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drawings/drawing4.xml" ContentType="application/vnd.openxmlformats-officedocument.drawing+xml"/>
  <Override PartName="/xl/comments9.xml" ContentType="application/vnd.openxmlformats-officedocument.spreadsheetml.comments+xml"/>
  <Override PartName="/xl/drawings/drawing5.xml" ContentType="application/vnd.openxmlformats-officedocument.drawing+xml"/>
  <Override PartName="/xl/comments10.xml" ContentType="application/vnd.openxmlformats-officedocument.spreadsheetml.comments+xml"/>
  <Override PartName="/xl/drawings/drawing6.xml" ContentType="application/vnd.openxmlformats-officedocument.drawing+xml"/>
  <Override PartName="/xl/comments11.xml" ContentType="application/vnd.openxmlformats-officedocument.spreadsheetml.comments+xml"/>
  <Override PartName="/xl/drawings/drawing7.xml" ContentType="application/vnd.openxmlformats-officedocument.drawing+xml"/>
  <Override PartName="/xl/comments12.xml" ContentType="application/vnd.openxmlformats-officedocument.spreadsheetml.comments+xml"/>
  <Override PartName="/xl/drawings/drawing8.xml" ContentType="application/vnd.openxmlformats-officedocument.drawing+xml"/>
  <Override PartName="/xl/comments13.xml" ContentType="application/vnd.openxmlformats-officedocument.spreadsheetml.comments+xml"/>
  <Override PartName="/xl/drawings/drawing9.xml" ContentType="application/vnd.openxmlformats-officedocument.drawing+xml"/>
  <Override PartName="/xl/comments14.xml" ContentType="application/vnd.openxmlformats-officedocument.spreadsheetml.comments+xml"/>
  <Override PartName="/xl/drawings/drawing10.xml" ContentType="application/vnd.openxmlformats-officedocument.drawing+xml"/>
  <Override PartName="/xl/comments15.xml" ContentType="application/vnd.openxmlformats-officedocument.spreadsheetml.comments+xml"/>
  <Override PartName="/xl/drawings/drawing11.xml" ContentType="application/vnd.openxmlformats-officedocument.drawing+xml"/>
  <Override PartName="/xl/comments16.xml" ContentType="application/vnd.openxmlformats-officedocument.spreadsheetml.comments+xml"/>
  <Override PartName="/xl/drawings/drawing12.xml" ContentType="application/vnd.openxmlformats-officedocument.drawing+xml"/>
  <Override PartName="/xl/comments17.xml" ContentType="application/vnd.openxmlformats-officedocument.spreadsheetml.comments+xml"/>
  <Override PartName="/xl/drawings/drawing13.xml" ContentType="application/vnd.openxmlformats-officedocument.drawing+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F:\GIZ_GELAMAI\8_RAD GRK Revisi\Perhitungan BAU Baseline dan Mitigasi_Hitung Ulang\Limbah\Hitungan Limbah_BAU_2010-2030_IW\Berau\"/>
    </mc:Choice>
  </mc:AlternateContent>
  <bookViews>
    <workbookView xWindow="0" yWindow="0" windowWidth="20490" windowHeight="7755" tabRatio="820" activeTab="2"/>
  </bookViews>
  <sheets>
    <sheet name="Instructions" sheetId="1" r:id="rId1"/>
    <sheet name="Parameters" sheetId="4" r:id="rId2"/>
    <sheet name="MCF" sheetId="8" r:id="rId3"/>
    <sheet name="Activity" sheetId="6" r:id="rId4"/>
    <sheet name="Dry_Matter_Content" sheetId="30" r:id="rId5"/>
    <sheet name="Amnt_Deposited" sheetId="7" r:id="rId6"/>
    <sheet name="Recovery_OX" sheetId="28" r:id="rId7"/>
    <sheet name="Results" sheetId="17" r:id="rId8"/>
    <sheet name="HWP" sheetId="38" r:id="rId9"/>
    <sheet name="Stored_C" sheetId="39" r:id="rId10"/>
    <sheet name="Theory" sheetId="2" r:id="rId11"/>
    <sheet name="Defaults" sheetId="5" r:id="rId12"/>
    <sheet name="Food" sheetId="18" r:id="rId13"/>
    <sheet name="Paper" sheetId="31" r:id="rId14"/>
    <sheet name="Nappies" sheetId="35" r:id="rId15"/>
    <sheet name="Garden" sheetId="32" r:id="rId16"/>
    <sheet name="Wood" sheetId="34" r:id="rId17"/>
    <sheet name="Textiles" sheetId="33" r:id="rId18"/>
    <sheet name="Sludge" sheetId="36" r:id="rId19"/>
    <sheet name="MSW" sheetId="37" r:id="rId20"/>
    <sheet name="Industry" sheetId="40" r:id="rId21"/>
  </sheets>
  <externalReferences>
    <externalReference r:id="rId22"/>
    <externalReference r:id="rId23"/>
    <externalReference r:id="rId24"/>
  </externalReferences>
  <definedNames>
    <definedName name="CH4_fraction" localSheetId="8">[1]Parameters!$E$39</definedName>
    <definedName name="CH4_fraction" localSheetId="9">[1]Parameters!$E$39</definedName>
    <definedName name="CH4_fraction">Parameters!$E$51</definedName>
    <definedName name="city">Parameters!$D$2</definedName>
    <definedName name="conv" localSheetId="8">[1]Parameters!$E$41</definedName>
    <definedName name="conv" localSheetId="9">[1]Parameters!$E$41</definedName>
    <definedName name="conv">Parameters!$E$53</definedName>
    <definedName name="country" localSheetId="8">[1]Parameters!$D$2</definedName>
    <definedName name="country" localSheetId="9">[1]Parameters!$D$2</definedName>
    <definedName name="country">Parameters!$D$4</definedName>
    <definedName name="DOC_table" localSheetId="8">[1]Defaults!$P$8:$Q$17</definedName>
    <definedName name="DOC_table" localSheetId="9">[1]Defaults!$P$8:$Q$17</definedName>
    <definedName name="DOC_table">Defaults!$P$6:$S$20</definedName>
    <definedName name="DOCF" localSheetId="8">[1]Parameters!$E$23</definedName>
    <definedName name="DOCF" localSheetId="9">[1]Parameters!$E$23</definedName>
    <definedName name="DOCF">Parameters!$E$30</definedName>
    <definedName name="half_life" localSheetId="8">[1]Defaults!$D$8:$K$12</definedName>
    <definedName name="half_life" localSheetId="9">[1]Defaults!$D$8:$K$12</definedName>
    <definedName name="half_life">Defaults!$D$8:$K$12</definedName>
    <definedName name="ox" localSheetId="8">[1]Parameters!$E$43</definedName>
    <definedName name="ox" localSheetId="9">[1]Parameters!$E$43</definedName>
    <definedName name="ox">Parameters!$E$55</definedName>
    <definedName name="_xlnm.Print_Area" localSheetId="0">Instructions!$A$8:$I$158</definedName>
    <definedName name="_xlnm.Print_Area" localSheetId="1">Parameters!$A$1:$F$64</definedName>
    <definedName name="_xlnm.Print_Area" localSheetId="10">Theory!$A$1:$H$72</definedName>
    <definedName name="province">Parameters!$D$3</definedName>
    <definedName name="Regional_data" localSheetId="8">[1]Defaults!$W$8:$AH$26</definedName>
    <definedName name="Regional_data" localSheetId="9">[1]Defaults!$W$8:$AH$26</definedName>
    <definedName name="Regional_data">Defaults!$W$8:$AH$26</definedName>
    <definedName name="Select2" localSheetId="8">[1]Defaults!$O$20</definedName>
    <definedName name="Select2" localSheetId="9">[1]Defaults!$O$20</definedName>
    <definedName name="Select2">Defaults!$O$23</definedName>
    <definedName name="Select3" localSheetId="8">[1]Defaults!$W$5</definedName>
    <definedName name="Select3" localSheetId="9">[1]Defaults!$W$5</definedName>
    <definedName name="Select3">Defaults!$W$5</definedName>
    <definedName name="selected" localSheetId="8">[1]Defaults!$G$17</definedName>
    <definedName name="selected" localSheetId="9">[1]Defaults!$G$17</definedName>
    <definedName name="selected">Defaults!$G$17</definedName>
    <definedName name="year" localSheetId="8">[1]Parameters!$E$9</definedName>
    <definedName name="year" localSheetId="9">[1]Parameters!$E$9</definedName>
    <definedName name="year">Parameters!$E$11</definedName>
  </definedNames>
  <calcPr calcId="152511"/>
  <customWorkbookViews>
    <customWorkbookView name="Per - Personlig visning" guid="{B400968E-E9A7-41C3-9739-36597C9C6BC6}" mergeInterval="0" personalView="1" maximized="1" windowWidth="1020" windowHeight="569" activeSheetId="1"/>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E16" i="4" l="1"/>
  <c r="E17" i="4"/>
  <c r="E18" i="4"/>
  <c r="E19" i="4"/>
  <c r="E20" i="4"/>
  <c r="E21" i="4"/>
  <c r="E22" i="4"/>
  <c r="E23" i="4"/>
  <c r="E24" i="4"/>
  <c r="E25" i="4"/>
  <c r="E15" i="4"/>
  <c r="O8" i="6" l="1"/>
  <c r="N8" i="6"/>
  <c r="M8" i="6"/>
  <c r="L8" i="6"/>
  <c r="K8" i="6"/>
  <c r="J8" i="6"/>
  <c r="I8" i="6"/>
  <c r="F8" i="6"/>
  <c r="E8" i="6"/>
  <c r="C23" i="6" l="1"/>
  <c r="C22" i="6"/>
  <c r="C21" i="6"/>
  <c r="C20" i="6"/>
  <c r="C19" i="6"/>
  <c r="C18" i="6"/>
  <c r="C17" i="6"/>
  <c r="C16" i="6"/>
  <c r="C15" i="6"/>
  <c r="C14" i="6"/>
  <c r="C13" i="6"/>
  <c r="C43" i="6"/>
  <c r="C42" i="6"/>
  <c r="C41" i="6"/>
  <c r="C40" i="6"/>
  <c r="C39" i="6"/>
  <c r="C38" i="6"/>
  <c r="C37" i="6"/>
  <c r="C36" i="6"/>
  <c r="C35" i="6"/>
  <c r="C34" i="6"/>
  <c r="C33" i="6"/>
  <c r="C32" i="6"/>
  <c r="C31" i="6"/>
  <c r="C30" i="6"/>
  <c r="C29" i="6"/>
  <c r="C28" i="6"/>
  <c r="C27" i="6"/>
  <c r="C26" i="6"/>
  <c r="C25" i="6"/>
  <c r="C24" i="6"/>
  <c r="C116" i="4" l="1"/>
  <c r="E116" i="4" s="1"/>
  <c r="C115" i="4"/>
  <c r="E115" i="4" s="1"/>
  <c r="C114" i="4"/>
  <c r="E114" i="4" s="1"/>
  <c r="C113" i="4"/>
  <c r="E113" i="4" s="1"/>
  <c r="E112" i="4"/>
  <c r="C111" i="4"/>
  <c r="E111" i="4" s="1"/>
  <c r="E110" i="4"/>
  <c r="C109" i="4"/>
  <c r="E109" i="4" s="1"/>
  <c r="C108" i="4"/>
  <c r="E108" i="4" s="1"/>
  <c r="C105" i="4"/>
  <c r="E105" i="4" s="1"/>
  <c r="C104" i="4"/>
  <c r="E104" i="4" s="1"/>
  <c r="C103" i="4"/>
  <c r="E103" i="4" s="1"/>
  <c r="C102" i="4"/>
  <c r="E102" i="4" s="1"/>
  <c r="C101" i="4"/>
  <c r="E101" i="4" s="1"/>
  <c r="C100" i="4"/>
  <c r="E100" i="4" s="1"/>
  <c r="C99" i="4"/>
  <c r="E99" i="4" s="1"/>
  <c r="C98" i="4"/>
  <c r="E98" i="4" s="1"/>
  <c r="C97" i="4"/>
  <c r="E97" i="4" s="1"/>
  <c r="C94" i="4"/>
  <c r="E94" i="4" s="1"/>
  <c r="E93" i="4"/>
  <c r="E92" i="4"/>
  <c r="E91" i="4"/>
  <c r="E90" i="4"/>
  <c r="E89" i="4"/>
  <c r="E88" i="4"/>
  <c r="E87" i="4"/>
  <c r="E86" i="4"/>
  <c r="E106" i="4" l="1"/>
  <c r="E95" i="4"/>
  <c r="E117" i="4"/>
  <c r="B12" i="38"/>
  <c r="B13" i="38" s="1"/>
  <c r="B14" i="38" s="1"/>
  <c r="B15" i="38" s="1"/>
  <c r="B16" i="38" s="1"/>
  <c r="B17" i="38" s="1"/>
  <c r="B18" i="38" s="1"/>
  <c r="B19" i="38" s="1"/>
  <c r="B20" i="38" s="1"/>
  <c r="B21" i="38" s="1"/>
  <c r="B22" i="38" s="1"/>
  <c r="B23" i="38" s="1"/>
  <c r="B24" i="38" s="1"/>
  <c r="B25" i="38" s="1"/>
  <c r="B26" i="38" s="1"/>
  <c r="B27" i="38" s="1"/>
  <c r="B28" i="38" s="1"/>
  <c r="B29" i="38" s="1"/>
  <c r="B30" i="38" s="1"/>
  <c r="B31" i="38" s="1"/>
  <c r="B32" i="38" s="1"/>
  <c r="B33" i="38" s="1"/>
  <c r="B34" i="38" s="1"/>
  <c r="B35" i="38" s="1"/>
  <c r="B36" i="38" s="1"/>
  <c r="B37" i="38" s="1"/>
  <c r="B38" i="38" s="1"/>
  <c r="B39" i="38" s="1"/>
  <c r="B40" i="38" s="1"/>
  <c r="B41" i="38" s="1"/>
  <c r="B42" i="38" s="1"/>
  <c r="B43" i="38" s="1"/>
  <c r="B44" i="38" s="1"/>
  <c r="B45" i="38" s="1"/>
  <c r="B46" i="38" s="1"/>
  <c r="B47" i="38" s="1"/>
  <c r="B48" i="38" s="1"/>
  <c r="B49" i="38" s="1"/>
  <c r="B50" i="38" s="1"/>
  <c r="B51" i="38" s="1"/>
  <c r="B52" i="38" s="1"/>
  <c r="B53" i="38" s="1"/>
  <c r="B54" i="38" s="1"/>
  <c r="B55" i="38" s="1"/>
  <c r="B56" i="38" s="1"/>
  <c r="B57" i="38" s="1"/>
  <c r="B58" i="38" s="1"/>
  <c r="B59" i="38" s="1"/>
  <c r="B60" i="38" s="1"/>
  <c r="B61" i="38" s="1"/>
  <c r="B62" i="38" s="1"/>
  <c r="B63" i="38" s="1"/>
  <c r="B64" i="38" s="1"/>
  <c r="B65" i="38" s="1"/>
  <c r="B66" i="38" s="1"/>
  <c r="B67" i="38" s="1"/>
  <c r="B68" i="38" s="1"/>
  <c r="B69" i="38" s="1"/>
  <c r="B70" i="38" s="1"/>
  <c r="B71" i="38" s="1"/>
  <c r="B72" i="38" s="1"/>
  <c r="B73" i="38" s="1"/>
  <c r="B74" i="38" s="1"/>
  <c r="B75" i="38" s="1"/>
  <c r="B76" i="38" s="1"/>
  <c r="B77" i="38" s="1"/>
  <c r="B78" i="38" s="1"/>
  <c r="B79" i="38" s="1"/>
  <c r="B80" i="38" s="1"/>
  <c r="B81" i="38" s="1"/>
  <c r="B82" i="38" s="1"/>
  <c r="B83" i="38" s="1"/>
  <c r="B84" i="38" s="1"/>
  <c r="B85" i="38" s="1"/>
  <c r="B86" i="38" s="1"/>
  <c r="B87" i="38" s="1"/>
  <c r="B88" i="38" s="1"/>
  <c r="B89" i="38" s="1"/>
  <c r="B90" i="38" s="1"/>
  <c r="B91" i="38" s="1"/>
  <c r="B92" i="38" s="1"/>
  <c r="B18" i="39"/>
  <c r="B19" i="39" s="1"/>
  <c r="B20" i="39" s="1"/>
  <c r="B21" i="39" s="1"/>
  <c r="B22" i="39" s="1"/>
  <c r="B23" i="39" s="1"/>
  <c r="B24" i="39" s="1"/>
  <c r="B25" i="39" s="1"/>
  <c r="B26" i="39" s="1"/>
  <c r="B27" i="39" s="1"/>
  <c r="B28" i="39" s="1"/>
  <c r="B29" i="39" s="1"/>
  <c r="B30" i="39" s="1"/>
  <c r="B31" i="39" s="1"/>
  <c r="B32" i="39" s="1"/>
  <c r="B33" i="39" s="1"/>
  <c r="B34" i="39" s="1"/>
  <c r="B35" i="39" s="1"/>
  <c r="B36" i="39" s="1"/>
  <c r="B37" i="39" s="1"/>
  <c r="B38" i="39" s="1"/>
  <c r="B39" i="39" s="1"/>
  <c r="B40" i="39" s="1"/>
  <c r="B41" i="39" s="1"/>
  <c r="B42" i="39" s="1"/>
  <c r="B43" i="39" s="1"/>
  <c r="B44" i="39" s="1"/>
  <c r="B45" i="39" s="1"/>
  <c r="B46" i="39" s="1"/>
  <c r="B47" i="39" s="1"/>
  <c r="B48" i="39" s="1"/>
  <c r="B49" i="39" s="1"/>
  <c r="B50" i="39" s="1"/>
  <c r="B51" i="39" s="1"/>
  <c r="B52" i="39" s="1"/>
  <c r="B53" i="39" s="1"/>
  <c r="B54" i="39" s="1"/>
  <c r="B55" i="39" s="1"/>
  <c r="B56" i="39" s="1"/>
  <c r="B57" i="39" s="1"/>
  <c r="B58" i="39" s="1"/>
  <c r="B59" i="39" s="1"/>
  <c r="B60" i="39" s="1"/>
  <c r="B61" i="39" s="1"/>
  <c r="B62" i="39" s="1"/>
  <c r="B63" i="39" s="1"/>
  <c r="B64" i="39" s="1"/>
  <c r="B65" i="39" s="1"/>
  <c r="B66" i="39" s="1"/>
  <c r="B67" i="39" s="1"/>
  <c r="B68" i="39" s="1"/>
  <c r="B69" i="39" s="1"/>
  <c r="B70" i="39" s="1"/>
  <c r="B71" i="39" s="1"/>
  <c r="B72" i="39" s="1"/>
  <c r="B73" i="39" s="1"/>
  <c r="B74" i="39" s="1"/>
  <c r="B75" i="39" s="1"/>
  <c r="B76" i="39" s="1"/>
  <c r="B77" i="39" s="1"/>
  <c r="B78" i="39" s="1"/>
  <c r="B79" i="39" s="1"/>
  <c r="B80" i="39" s="1"/>
  <c r="B81" i="39" s="1"/>
  <c r="B82" i="39" s="1"/>
  <c r="B83" i="39" s="1"/>
  <c r="B84" i="39" s="1"/>
  <c r="B85" i="39" s="1"/>
  <c r="B86" i="39" s="1"/>
  <c r="B87" i="39" s="1"/>
  <c r="B88" i="39" s="1"/>
  <c r="B89" i="39" s="1"/>
  <c r="B90" i="39" s="1"/>
  <c r="B91" i="39" s="1"/>
  <c r="B92" i="39" s="1"/>
  <c r="B93" i="39" s="1"/>
  <c r="B94" i="39" s="1"/>
  <c r="B95" i="39" s="1"/>
  <c r="B96" i="39" s="1"/>
  <c r="B97" i="39" s="1"/>
  <c r="B98" i="39" s="1"/>
  <c r="D2" i="39"/>
  <c r="D3" i="39"/>
  <c r="P99" i="36"/>
  <c r="P98" i="36"/>
  <c r="P97" i="36"/>
  <c r="P96" i="36"/>
  <c r="P95" i="36"/>
  <c r="P94" i="36"/>
  <c r="P93" i="36"/>
  <c r="P92" i="36"/>
  <c r="P91" i="36"/>
  <c r="P90" i="36"/>
  <c r="P89" i="36"/>
  <c r="P88" i="36"/>
  <c r="P87" i="36"/>
  <c r="P86" i="36"/>
  <c r="P85" i="36"/>
  <c r="P84" i="36"/>
  <c r="P83" i="36"/>
  <c r="P82" i="36"/>
  <c r="P81" i="36"/>
  <c r="P80" i="36"/>
  <c r="P79" i="36"/>
  <c r="P78" i="36"/>
  <c r="P77" i="36"/>
  <c r="P76" i="36"/>
  <c r="P75" i="36"/>
  <c r="P74" i="36"/>
  <c r="P73" i="36"/>
  <c r="P72" i="36"/>
  <c r="P71" i="36"/>
  <c r="P70" i="36"/>
  <c r="P69" i="36"/>
  <c r="P68" i="36"/>
  <c r="P67" i="36"/>
  <c r="P66" i="36"/>
  <c r="P65" i="36"/>
  <c r="P64" i="36"/>
  <c r="P63" i="36"/>
  <c r="P62" i="36"/>
  <c r="P61" i="36"/>
  <c r="P60" i="36"/>
  <c r="P59" i="36"/>
  <c r="P58" i="36"/>
  <c r="P57" i="36"/>
  <c r="P56" i="36"/>
  <c r="P55" i="36"/>
  <c r="P54" i="36"/>
  <c r="P53" i="36"/>
  <c r="P52" i="36"/>
  <c r="P51" i="36"/>
  <c r="P50" i="36"/>
  <c r="P49" i="36"/>
  <c r="P48" i="36"/>
  <c r="P47" i="36"/>
  <c r="P46" i="36"/>
  <c r="P45" i="36"/>
  <c r="P44" i="36"/>
  <c r="P43" i="36"/>
  <c r="P42" i="36"/>
  <c r="P41" i="36"/>
  <c r="P40" i="36"/>
  <c r="P39" i="36"/>
  <c r="P38" i="36"/>
  <c r="P37" i="36"/>
  <c r="P36" i="36"/>
  <c r="P35" i="36"/>
  <c r="P34" i="36"/>
  <c r="P33" i="36"/>
  <c r="P32" i="36"/>
  <c r="P31" i="36"/>
  <c r="P30" i="36"/>
  <c r="P29" i="36"/>
  <c r="P28" i="36"/>
  <c r="P27" i="36"/>
  <c r="P26" i="36"/>
  <c r="P25" i="36"/>
  <c r="P24" i="36"/>
  <c r="P23" i="36"/>
  <c r="P22" i="36"/>
  <c r="P21" i="36"/>
  <c r="P20" i="36"/>
  <c r="P19" i="36"/>
  <c r="C99" i="36"/>
  <c r="C98" i="36"/>
  <c r="C97" i="36"/>
  <c r="C96" i="36"/>
  <c r="C95" i="36"/>
  <c r="C94" i="36"/>
  <c r="C93" i="36"/>
  <c r="C92" i="36"/>
  <c r="C91" i="36"/>
  <c r="C90" i="36"/>
  <c r="C89" i="36"/>
  <c r="C88" i="36"/>
  <c r="C87" i="36"/>
  <c r="C86" i="36"/>
  <c r="C85" i="36"/>
  <c r="C84" i="36"/>
  <c r="C83" i="36"/>
  <c r="C82" i="36"/>
  <c r="C81" i="36"/>
  <c r="C80" i="36"/>
  <c r="C79" i="36"/>
  <c r="C78" i="36"/>
  <c r="C77" i="36"/>
  <c r="C76" i="36"/>
  <c r="C75" i="36"/>
  <c r="C74" i="36"/>
  <c r="C73" i="36"/>
  <c r="C72" i="36"/>
  <c r="C71" i="36"/>
  <c r="C70" i="36"/>
  <c r="C69" i="36"/>
  <c r="C68" i="36"/>
  <c r="C67" i="36"/>
  <c r="C66" i="36"/>
  <c r="C65" i="36"/>
  <c r="C64" i="36"/>
  <c r="C63" i="36"/>
  <c r="C62" i="36"/>
  <c r="C61" i="36"/>
  <c r="C60" i="36"/>
  <c r="C59" i="36"/>
  <c r="C58" i="36"/>
  <c r="C57" i="36"/>
  <c r="C56" i="36"/>
  <c r="C55" i="36"/>
  <c r="C54" i="36"/>
  <c r="C53" i="36"/>
  <c r="C52" i="36"/>
  <c r="C51" i="36"/>
  <c r="C50" i="36"/>
  <c r="C49" i="36"/>
  <c r="C48" i="36"/>
  <c r="C47" i="36"/>
  <c r="C46" i="36"/>
  <c r="C45" i="36"/>
  <c r="C44" i="36"/>
  <c r="C43" i="36"/>
  <c r="C42" i="36"/>
  <c r="C41" i="36"/>
  <c r="C40" i="36"/>
  <c r="C39" i="36"/>
  <c r="C38" i="36"/>
  <c r="C37" i="36"/>
  <c r="C36" i="36"/>
  <c r="C35" i="36"/>
  <c r="C34" i="36"/>
  <c r="C33" i="36"/>
  <c r="C32" i="36"/>
  <c r="C31" i="36"/>
  <c r="C30" i="36"/>
  <c r="C29" i="36"/>
  <c r="C28" i="36"/>
  <c r="C27" i="36"/>
  <c r="C26" i="36"/>
  <c r="C25" i="36"/>
  <c r="C24" i="36"/>
  <c r="C23" i="36"/>
  <c r="C22" i="36"/>
  <c r="C21" i="36"/>
  <c r="C20" i="36"/>
  <c r="C19" i="36"/>
  <c r="D99" i="40"/>
  <c r="D98" i="40"/>
  <c r="D97" i="40"/>
  <c r="D96" i="40"/>
  <c r="D95" i="40"/>
  <c r="D94" i="40"/>
  <c r="D93" i="40"/>
  <c r="D92" i="40"/>
  <c r="D91" i="40"/>
  <c r="D90" i="40"/>
  <c r="D89" i="40"/>
  <c r="D88" i="40"/>
  <c r="D87" i="40"/>
  <c r="D86" i="40"/>
  <c r="D85" i="40"/>
  <c r="D84" i="40"/>
  <c r="D83" i="40"/>
  <c r="D82" i="40"/>
  <c r="D81" i="40"/>
  <c r="D80" i="40"/>
  <c r="D79" i="40"/>
  <c r="D78" i="40"/>
  <c r="D77" i="40"/>
  <c r="D76" i="40"/>
  <c r="D75" i="40"/>
  <c r="D74" i="40"/>
  <c r="D73" i="40"/>
  <c r="D72" i="40"/>
  <c r="D71" i="40"/>
  <c r="D70" i="40"/>
  <c r="D69" i="40"/>
  <c r="D68" i="40"/>
  <c r="D67" i="40"/>
  <c r="D66" i="40"/>
  <c r="D65" i="40"/>
  <c r="D64" i="40"/>
  <c r="D63" i="40"/>
  <c r="D62" i="40"/>
  <c r="D61" i="40"/>
  <c r="D60" i="40"/>
  <c r="D59" i="40"/>
  <c r="D58" i="40"/>
  <c r="D57" i="40"/>
  <c r="D56" i="40"/>
  <c r="D55" i="40"/>
  <c r="D54" i="40"/>
  <c r="D53" i="40"/>
  <c r="D52" i="40"/>
  <c r="D51" i="40"/>
  <c r="D50" i="40"/>
  <c r="D49" i="40"/>
  <c r="D48" i="40"/>
  <c r="D47" i="40"/>
  <c r="D46" i="40"/>
  <c r="D45" i="40"/>
  <c r="D44" i="40"/>
  <c r="D43" i="40"/>
  <c r="D42" i="40"/>
  <c r="D41" i="40"/>
  <c r="D40" i="40"/>
  <c r="D39" i="40"/>
  <c r="D38" i="40"/>
  <c r="D37" i="40"/>
  <c r="D36" i="40"/>
  <c r="D35" i="40"/>
  <c r="D34" i="40"/>
  <c r="D33" i="40"/>
  <c r="D32" i="40"/>
  <c r="D31" i="40"/>
  <c r="D30" i="40"/>
  <c r="D29" i="40"/>
  <c r="D28" i="40"/>
  <c r="D27" i="40"/>
  <c r="D26" i="40"/>
  <c r="D25" i="40"/>
  <c r="D24" i="40"/>
  <c r="D23" i="40"/>
  <c r="D22" i="40"/>
  <c r="D21" i="40"/>
  <c r="D20" i="40"/>
  <c r="D19" i="40"/>
  <c r="D99" i="35"/>
  <c r="D98" i="35"/>
  <c r="D97" i="35"/>
  <c r="D96" i="35"/>
  <c r="D95" i="35"/>
  <c r="D94" i="35"/>
  <c r="D93" i="35"/>
  <c r="D92" i="35"/>
  <c r="D91" i="35"/>
  <c r="D90" i="35"/>
  <c r="D89" i="35"/>
  <c r="D88" i="35"/>
  <c r="D87" i="35"/>
  <c r="D86" i="35"/>
  <c r="D85" i="35"/>
  <c r="D84" i="35"/>
  <c r="D83" i="35"/>
  <c r="D82" i="35"/>
  <c r="D81" i="35"/>
  <c r="D80" i="35"/>
  <c r="D79" i="35"/>
  <c r="D78" i="35"/>
  <c r="D77" i="35"/>
  <c r="D76" i="35"/>
  <c r="D75" i="35"/>
  <c r="D74" i="35"/>
  <c r="D73" i="35"/>
  <c r="D72" i="35"/>
  <c r="D71" i="35"/>
  <c r="D70" i="35"/>
  <c r="D69" i="35"/>
  <c r="D68" i="35"/>
  <c r="D67" i="35"/>
  <c r="D66" i="35"/>
  <c r="D65" i="35"/>
  <c r="D64" i="35"/>
  <c r="D63" i="35"/>
  <c r="D62" i="35"/>
  <c r="D61" i="35"/>
  <c r="D60" i="35"/>
  <c r="D59" i="35"/>
  <c r="D58" i="35"/>
  <c r="D57" i="35"/>
  <c r="D56" i="35"/>
  <c r="D55" i="35"/>
  <c r="D54" i="35"/>
  <c r="D53" i="35"/>
  <c r="D52" i="35"/>
  <c r="D51" i="35"/>
  <c r="D50" i="35"/>
  <c r="D49" i="35"/>
  <c r="D48" i="35"/>
  <c r="D47" i="35"/>
  <c r="D46" i="35"/>
  <c r="D45" i="35"/>
  <c r="D44" i="35"/>
  <c r="D43" i="35"/>
  <c r="D42" i="35"/>
  <c r="D41" i="35"/>
  <c r="D40" i="35"/>
  <c r="D39" i="35"/>
  <c r="D38" i="35"/>
  <c r="D37" i="35"/>
  <c r="D36" i="35"/>
  <c r="D35" i="35"/>
  <c r="D34" i="35"/>
  <c r="D33" i="35"/>
  <c r="D32" i="35"/>
  <c r="D31" i="35"/>
  <c r="D30" i="35"/>
  <c r="D29" i="35"/>
  <c r="D28" i="35"/>
  <c r="D27" i="35"/>
  <c r="D26" i="35"/>
  <c r="D25" i="35"/>
  <c r="D24" i="35"/>
  <c r="D23" i="35"/>
  <c r="D22" i="35"/>
  <c r="D21" i="35"/>
  <c r="D20" i="35"/>
  <c r="D19" i="35"/>
  <c r="D99" i="34"/>
  <c r="D98" i="34"/>
  <c r="D97" i="34"/>
  <c r="D96" i="34"/>
  <c r="D95" i="34"/>
  <c r="D94" i="34"/>
  <c r="D93" i="34"/>
  <c r="D92" i="34"/>
  <c r="D91" i="34"/>
  <c r="D90" i="34"/>
  <c r="D89" i="34"/>
  <c r="D88" i="34"/>
  <c r="D87" i="34"/>
  <c r="D86" i="34"/>
  <c r="D85" i="34"/>
  <c r="D84" i="34"/>
  <c r="D83" i="34"/>
  <c r="D82" i="34"/>
  <c r="D81" i="34"/>
  <c r="D80" i="34"/>
  <c r="D79" i="34"/>
  <c r="D78" i="34"/>
  <c r="D77" i="34"/>
  <c r="D76" i="34"/>
  <c r="D75" i="34"/>
  <c r="D74" i="34"/>
  <c r="D73" i="34"/>
  <c r="D72" i="34"/>
  <c r="D71" i="34"/>
  <c r="D70" i="34"/>
  <c r="D69" i="34"/>
  <c r="D68" i="34"/>
  <c r="D67" i="34"/>
  <c r="D66" i="34"/>
  <c r="D65" i="34"/>
  <c r="D64" i="34"/>
  <c r="D63" i="34"/>
  <c r="D62" i="34"/>
  <c r="D61" i="34"/>
  <c r="D60" i="34"/>
  <c r="D59" i="34"/>
  <c r="D58" i="34"/>
  <c r="D57" i="34"/>
  <c r="D56" i="34"/>
  <c r="D55" i="34"/>
  <c r="D54" i="34"/>
  <c r="D53" i="34"/>
  <c r="D52" i="34"/>
  <c r="D51" i="34"/>
  <c r="D50" i="34"/>
  <c r="D49" i="34"/>
  <c r="D48" i="34"/>
  <c r="D47" i="34"/>
  <c r="D46" i="34"/>
  <c r="D45" i="34"/>
  <c r="D44" i="34"/>
  <c r="D43" i="34"/>
  <c r="D42" i="34"/>
  <c r="D41" i="34"/>
  <c r="D40" i="34"/>
  <c r="D39" i="34"/>
  <c r="D38" i="34"/>
  <c r="D37" i="34"/>
  <c r="D36" i="34"/>
  <c r="D35" i="34"/>
  <c r="D34" i="34"/>
  <c r="D33" i="34"/>
  <c r="D32" i="34"/>
  <c r="D31" i="34"/>
  <c r="D30" i="34"/>
  <c r="D29" i="34"/>
  <c r="D28" i="34"/>
  <c r="D27" i="34"/>
  <c r="D26" i="34"/>
  <c r="D25" i="34"/>
  <c r="D24" i="34"/>
  <c r="D23" i="34"/>
  <c r="D22" i="34"/>
  <c r="D21" i="34"/>
  <c r="D20" i="34"/>
  <c r="D19" i="34"/>
  <c r="I98" i="8"/>
  <c r="J98" i="8"/>
  <c r="K98" i="8"/>
  <c r="L98" i="8"/>
  <c r="S98" i="8" s="1"/>
  <c r="M98" i="8"/>
  <c r="I97" i="8"/>
  <c r="J97" i="8"/>
  <c r="K97" i="8"/>
  <c r="L97" i="8"/>
  <c r="M97" i="8"/>
  <c r="S97" i="8"/>
  <c r="I96" i="8"/>
  <c r="J96" i="8"/>
  <c r="K96" i="8"/>
  <c r="L96" i="8"/>
  <c r="S96" i="8" s="1"/>
  <c r="M96" i="8"/>
  <c r="I95" i="8"/>
  <c r="J95" i="8"/>
  <c r="K95" i="8"/>
  <c r="L95" i="8"/>
  <c r="M95" i="8"/>
  <c r="S95" i="8"/>
  <c r="I94" i="8"/>
  <c r="J94" i="8"/>
  <c r="K94" i="8"/>
  <c r="L94" i="8"/>
  <c r="S94" i="8" s="1"/>
  <c r="M94" i="8"/>
  <c r="I93" i="8"/>
  <c r="J93" i="8"/>
  <c r="K93" i="8"/>
  <c r="L93" i="8"/>
  <c r="M93" i="8"/>
  <c r="S93" i="8"/>
  <c r="I92" i="8"/>
  <c r="J92" i="8"/>
  <c r="K92" i="8"/>
  <c r="L92" i="8"/>
  <c r="S92" i="8" s="1"/>
  <c r="M92" i="8"/>
  <c r="I91" i="8"/>
  <c r="J91" i="8"/>
  <c r="K91" i="8"/>
  <c r="L91" i="8"/>
  <c r="M91" i="8"/>
  <c r="S91" i="8"/>
  <c r="I90" i="8"/>
  <c r="J90" i="8"/>
  <c r="K90" i="8"/>
  <c r="L90" i="8"/>
  <c r="S90" i="8" s="1"/>
  <c r="M90" i="8"/>
  <c r="I89" i="8"/>
  <c r="J89" i="8"/>
  <c r="K89" i="8"/>
  <c r="L89" i="8"/>
  <c r="M89" i="8"/>
  <c r="S89" i="8"/>
  <c r="I88" i="8"/>
  <c r="J88" i="8"/>
  <c r="K88" i="8"/>
  <c r="L88" i="8"/>
  <c r="S88" i="8" s="1"/>
  <c r="M88" i="8"/>
  <c r="I87" i="8"/>
  <c r="J87" i="8"/>
  <c r="K87" i="8"/>
  <c r="L87" i="8"/>
  <c r="M87" i="8"/>
  <c r="S87" i="8"/>
  <c r="I86" i="8"/>
  <c r="J86" i="8"/>
  <c r="K86" i="8"/>
  <c r="L86" i="8"/>
  <c r="S86" i="8" s="1"/>
  <c r="M86" i="8"/>
  <c r="I85" i="8"/>
  <c r="J85" i="8"/>
  <c r="K85" i="8"/>
  <c r="L85" i="8"/>
  <c r="M85" i="8"/>
  <c r="S85" i="8"/>
  <c r="I84" i="8"/>
  <c r="J84" i="8"/>
  <c r="K84" i="8"/>
  <c r="L84" i="8"/>
  <c r="S84" i="8" s="1"/>
  <c r="M84" i="8"/>
  <c r="I83" i="8"/>
  <c r="J83" i="8"/>
  <c r="N83" i="8" s="1"/>
  <c r="K83" i="8"/>
  <c r="L83" i="8"/>
  <c r="M83" i="8"/>
  <c r="S83" i="8"/>
  <c r="I82" i="8"/>
  <c r="J82" i="8"/>
  <c r="K82" i="8"/>
  <c r="L82" i="8"/>
  <c r="S82" i="8" s="1"/>
  <c r="M82" i="8"/>
  <c r="I81" i="8"/>
  <c r="J81" i="8"/>
  <c r="K81" i="8"/>
  <c r="L81" i="8"/>
  <c r="M81" i="8"/>
  <c r="S81" i="8"/>
  <c r="I80" i="8"/>
  <c r="J80" i="8"/>
  <c r="K80" i="8"/>
  <c r="L80" i="8"/>
  <c r="S80" i="8" s="1"/>
  <c r="M80" i="8"/>
  <c r="I79" i="8"/>
  <c r="J79" i="8"/>
  <c r="K79" i="8"/>
  <c r="L79" i="8"/>
  <c r="M79" i="8"/>
  <c r="S79" i="8"/>
  <c r="I78" i="8"/>
  <c r="J78" i="8"/>
  <c r="K78" i="8"/>
  <c r="L78" i="8"/>
  <c r="S78" i="8" s="1"/>
  <c r="M78" i="8"/>
  <c r="I77" i="8"/>
  <c r="J77" i="8"/>
  <c r="K77" i="8"/>
  <c r="L77" i="8"/>
  <c r="M77" i="8"/>
  <c r="S77" i="8"/>
  <c r="I76" i="8"/>
  <c r="J76" i="8"/>
  <c r="K76" i="8"/>
  <c r="L76" i="8"/>
  <c r="S76" i="8" s="1"/>
  <c r="M76" i="8"/>
  <c r="I75" i="8"/>
  <c r="J75" i="8"/>
  <c r="K75" i="8"/>
  <c r="L75" i="8"/>
  <c r="M75" i="8"/>
  <c r="S75" i="8"/>
  <c r="I74" i="8"/>
  <c r="J74" i="8"/>
  <c r="K74" i="8"/>
  <c r="L74" i="8"/>
  <c r="S74" i="8" s="1"/>
  <c r="M74" i="8"/>
  <c r="I73" i="8"/>
  <c r="J73" i="8"/>
  <c r="K73" i="8"/>
  <c r="L73" i="8"/>
  <c r="M73" i="8"/>
  <c r="S73" i="8"/>
  <c r="I72" i="8"/>
  <c r="J72" i="8"/>
  <c r="K72" i="8"/>
  <c r="L72" i="8"/>
  <c r="S72" i="8" s="1"/>
  <c r="M72" i="8"/>
  <c r="I71" i="8"/>
  <c r="J71" i="8"/>
  <c r="K71" i="8"/>
  <c r="L71" i="8"/>
  <c r="M71" i="8"/>
  <c r="S71" i="8"/>
  <c r="I70" i="8"/>
  <c r="J70" i="8"/>
  <c r="K70" i="8"/>
  <c r="L70" i="8"/>
  <c r="S70" i="8" s="1"/>
  <c r="M70" i="8"/>
  <c r="I69" i="8"/>
  <c r="J69" i="8"/>
  <c r="K69" i="8"/>
  <c r="L69" i="8"/>
  <c r="M69" i="8"/>
  <c r="S69" i="8"/>
  <c r="I68" i="8"/>
  <c r="J68" i="8"/>
  <c r="K68" i="8"/>
  <c r="L68" i="8"/>
  <c r="S68" i="8" s="1"/>
  <c r="M68" i="8"/>
  <c r="I67" i="8"/>
  <c r="J67" i="8"/>
  <c r="N67" i="8" s="1"/>
  <c r="K67" i="8"/>
  <c r="L67" i="8"/>
  <c r="M67" i="8"/>
  <c r="I66" i="8"/>
  <c r="J66" i="8"/>
  <c r="K66" i="8"/>
  <c r="L66" i="8"/>
  <c r="S66" i="8" s="1"/>
  <c r="M66" i="8"/>
  <c r="I65" i="8"/>
  <c r="J65" i="8"/>
  <c r="K65" i="8"/>
  <c r="L65" i="8"/>
  <c r="M65" i="8"/>
  <c r="S65" i="8"/>
  <c r="I64" i="8"/>
  <c r="J64" i="8"/>
  <c r="K64" i="8"/>
  <c r="L64" i="8"/>
  <c r="S64" i="8" s="1"/>
  <c r="M64" i="8"/>
  <c r="I63" i="8"/>
  <c r="J63" i="8"/>
  <c r="K63" i="8"/>
  <c r="L63" i="8"/>
  <c r="M63" i="8"/>
  <c r="S63" i="8"/>
  <c r="I62" i="8"/>
  <c r="J62" i="8"/>
  <c r="K62" i="8"/>
  <c r="L62" i="8"/>
  <c r="S62" i="8" s="1"/>
  <c r="M62" i="8"/>
  <c r="I61" i="8"/>
  <c r="J61" i="8"/>
  <c r="K61" i="8"/>
  <c r="L61" i="8"/>
  <c r="M61" i="8"/>
  <c r="S61" i="8"/>
  <c r="I60" i="8"/>
  <c r="J60" i="8"/>
  <c r="K60" i="8"/>
  <c r="L60" i="8"/>
  <c r="S60" i="8" s="1"/>
  <c r="M60" i="8"/>
  <c r="I59" i="8"/>
  <c r="J59" i="8"/>
  <c r="K59" i="8"/>
  <c r="L59" i="8"/>
  <c r="M59" i="8"/>
  <c r="S59" i="8"/>
  <c r="I58" i="8"/>
  <c r="J58" i="8"/>
  <c r="K58" i="8"/>
  <c r="L58" i="8"/>
  <c r="S58" i="8" s="1"/>
  <c r="M58" i="8"/>
  <c r="I57" i="8"/>
  <c r="J57" i="8"/>
  <c r="K57" i="8"/>
  <c r="L57" i="8"/>
  <c r="M57" i="8"/>
  <c r="S57" i="8"/>
  <c r="I56" i="8"/>
  <c r="J56" i="8"/>
  <c r="K56" i="8"/>
  <c r="L56" i="8"/>
  <c r="S56" i="8" s="1"/>
  <c r="M56" i="8"/>
  <c r="I55" i="8"/>
  <c r="J55" i="8"/>
  <c r="K55" i="8"/>
  <c r="L55" i="8"/>
  <c r="M55" i="8"/>
  <c r="S55" i="8"/>
  <c r="I54" i="8"/>
  <c r="J54" i="8"/>
  <c r="K54" i="8"/>
  <c r="L54" i="8"/>
  <c r="S54" i="8" s="1"/>
  <c r="M54" i="8"/>
  <c r="I53" i="8"/>
  <c r="J53" i="8"/>
  <c r="K53" i="8"/>
  <c r="L53" i="8"/>
  <c r="M53" i="8"/>
  <c r="S53" i="8"/>
  <c r="I52" i="8"/>
  <c r="J52" i="8"/>
  <c r="K52" i="8"/>
  <c r="L52" i="8"/>
  <c r="S52" i="8" s="1"/>
  <c r="M52" i="8"/>
  <c r="I51" i="8"/>
  <c r="J51" i="8"/>
  <c r="N51" i="8" s="1"/>
  <c r="K51" i="8"/>
  <c r="L51" i="8"/>
  <c r="M51" i="8"/>
  <c r="S51" i="8"/>
  <c r="I50" i="8"/>
  <c r="J50" i="8"/>
  <c r="K50" i="8"/>
  <c r="L50" i="8"/>
  <c r="S50" i="8" s="1"/>
  <c r="M50" i="8"/>
  <c r="I49" i="8"/>
  <c r="J49" i="8"/>
  <c r="K49" i="8"/>
  <c r="L49" i="8"/>
  <c r="M49" i="8"/>
  <c r="S49" i="8"/>
  <c r="I48" i="8"/>
  <c r="J48" i="8"/>
  <c r="K48" i="8"/>
  <c r="L48" i="8"/>
  <c r="S48" i="8" s="1"/>
  <c r="M48" i="8"/>
  <c r="I47" i="8"/>
  <c r="J47" i="8"/>
  <c r="K47" i="8"/>
  <c r="L47" i="8"/>
  <c r="M47" i="8"/>
  <c r="S47" i="8"/>
  <c r="I46" i="8"/>
  <c r="J46" i="8"/>
  <c r="K46" i="8"/>
  <c r="L46" i="8"/>
  <c r="S46" i="8" s="1"/>
  <c r="M46" i="8"/>
  <c r="I45" i="8"/>
  <c r="J45" i="8"/>
  <c r="K45" i="8"/>
  <c r="L45" i="8"/>
  <c r="M45" i="8"/>
  <c r="S45" i="8"/>
  <c r="I44" i="8"/>
  <c r="J44" i="8"/>
  <c r="K44" i="8"/>
  <c r="L44" i="8"/>
  <c r="S44" i="8" s="1"/>
  <c r="M44" i="8"/>
  <c r="I43" i="8"/>
  <c r="J43" i="8"/>
  <c r="K43" i="8"/>
  <c r="L43" i="8"/>
  <c r="M43" i="8"/>
  <c r="S43" i="8"/>
  <c r="I42" i="8"/>
  <c r="J42" i="8"/>
  <c r="K42" i="8"/>
  <c r="L42" i="8"/>
  <c r="S42" i="8" s="1"/>
  <c r="M42" i="8"/>
  <c r="I41" i="8"/>
  <c r="J41" i="8"/>
  <c r="K41" i="8"/>
  <c r="L41" i="8"/>
  <c r="M41" i="8"/>
  <c r="S41" i="8"/>
  <c r="I40" i="8"/>
  <c r="J40" i="8"/>
  <c r="K40" i="8"/>
  <c r="L40" i="8"/>
  <c r="S40" i="8" s="1"/>
  <c r="M40" i="8"/>
  <c r="I39" i="8"/>
  <c r="J39" i="8"/>
  <c r="K39" i="8"/>
  <c r="L39" i="8"/>
  <c r="M39" i="8"/>
  <c r="S39" i="8"/>
  <c r="I38" i="8"/>
  <c r="J38" i="8"/>
  <c r="K38" i="8"/>
  <c r="L38" i="8"/>
  <c r="S38" i="8" s="1"/>
  <c r="M38" i="8"/>
  <c r="I37" i="8"/>
  <c r="J37" i="8"/>
  <c r="K37" i="8"/>
  <c r="L37" i="8"/>
  <c r="M37" i="8"/>
  <c r="S37" i="8"/>
  <c r="I36" i="8"/>
  <c r="J36" i="8"/>
  <c r="K36" i="8"/>
  <c r="L36" i="8"/>
  <c r="S36" i="8" s="1"/>
  <c r="M36" i="8"/>
  <c r="I35" i="8"/>
  <c r="J35" i="8"/>
  <c r="N35" i="8" s="1"/>
  <c r="K35" i="8"/>
  <c r="L35" i="8"/>
  <c r="M35" i="8"/>
  <c r="S35" i="8"/>
  <c r="I34" i="8"/>
  <c r="J34" i="8"/>
  <c r="K34" i="8"/>
  <c r="L34" i="8"/>
  <c r="S34" i="8" s="1"/>
  <c r="M34" i="8"/>
  <c r="I33" i="8"/>
  <c r="J33" i="8"/>
  <c r="K33" i="8"/>
  <c r="L33" i="8"/>
  <c r="M33" i="8"/>
  <c r="S33" i="8"/>
  <c r="I32" i="8"/>
  <c r="J32" i="8"/>
  <c r="K32" i="8"/>
  <c r="L32" i="8"/>
  <c r="S32" i="8" s="1"/>
  <c r="M32" i="8"/>
  <c r="I31" i="8"/>
  <c r="J31" i="8"/>
  <c r="K31" i="8"/>
  <c r="L31" i="8"/>
  <c r="M31" i="8"/>
  <c r="S31" i="8"/>
  <c r="I30" i="8"/>
  <c r="J30" i="8"/>
  <c r="K30" i="8"/>
  <c r="L30" i="8"/>
  <c r="S30" i="8" s="1"/>
  <c r="M30" i="8"/>
  <c r="I29" i="8"/>
  <c r="J29" i="8"/>
  <c r="K29" i="8"/>
  <c r="L29" i="8"/>
  <c r="M29" i="8"/>
  <c r="S29" i="8"/>
  <c r="I28" i="8"/>
  <c r="J28" i="8"/>
  <c r="K28" i="8"/>
  <c r="L28" i="8"/>
  <c r="S28" i="8" s="1"/>
  <c r="M28" i="8"/>
  <c r="I27" i="8"/>
  <c r="J27" i="8"/>
  <c r="K27" i="8"/>
  <c r="L27" i="8"/>
  <c r="M27" i="8"/>
  <c r="S27" i="8"/>
  <c r="I26" i="8"/>
  <c r="J26" i="8"/>
  <c r="K26" i="8"/>
  <c r="L26" i="8"/>
  <c r="S26" i="8" s="1"/>
  <c r="M26" i="8"/>
  <c r="I25" i="8"/>
  <c r="J25" i="8"/>
  <c r="K25" i="8"/>
  <c r="L25" i="8"/>
  <c r="M25" i="8"/>
  <c r="S25" i="8"/>
  <c r="I24" i="8"/>
  <c r="J24" i="8"/>
  <c r="K24" i="8"/>
  <c r="L24" i="8"/>
  <c r="S24" i="8" s="1"/>
  <c r="M24" i="8"/>
  <c r="I23" i="8"/>
  <c r="J23" i="8"/>
  <c r="K23" i="8"/>
  <c r="L23" i="8"/>
  <c r="M23" i="8"/>
  <c r="S23" i="8"/>
  <c r="I22" i="8"/>
  <c r="J22" i="8"/>
  <c r="K22" i="8"/>
  <c r="L22" i="8"/>
  <c r="S22" i="8" s="1"/>
  <c r="M22" i="8"/>
  <c r="I21" i="8"/>
  <c r="J21" i="8"/>
  <c r="K21" i="8"/>
  <c r="L21" i="8"/>
  <c r="M21" i="8"/>
  <c r="S21" i="8"/>
  <c r="I20" i="8"/>
  <c r="J20" i="8"/>
  <c r="K20" i="8"/>
  <c r="L20" i="8"/>
  <c r="S20" i="8" s="1"/>
  <c r="M20" i="8"/>
  <c r="I19" i="8"/>
  <c r="J19" i="8"/>
  <c r="N19" i="8" s="1"/>
  <c r="K19" i="8"/>
  <c r="L19" i="8"/>
  <c r="M19" i="8"/>
  <c r="S19" i="8"/>
  <c r="I18" i="8"/>
  <c r="J18" i="8"/>
  <c r="K18" i="8"/>
  <c r="L18" i="8"/>
  <c r="S18" i="8" s="1"/>
  <c r="M18" i="8"/>
  <c r="D36" i="4"/>
  <c r="E36" i="4" s="1"/>
  <c r="C36" i="4"/>
  <c r="B36" i="4"/>
  <c r="L47" i="4"/>
  <c r="D47" i="4"/>
  <c r="E47" i="4" s="1"/>
  <c r="C47" i="4"/>
  <c r="B47" i="4"/>
  <c r="E51" i="4"/>
  <c r="E30" i="4"/>
  <c r="W7" i="40" s="1"/>
  <c r="K7" i="40"/>
  <c r="H28" i="4"/>
  <c r="I28" i="4"/>
  <c r="J28" i="4" s="1"/>
  <c r="C28" i="4"/>
  <c r="I17" i="4"/>
  <c r="J17" i="4" s="1"/>
  <c r="R28" i="4" s="1"/>
  <c r="H17" i="4"/>
  <c r="D17" i="4"/>
  <c r="C17" i="4"/>
  <c r="B17" i="4"/>
  <c r="D28" i="4"/>
  <c r="E28" i="4" s="1"/>
  <c r="O28" i="4" s="1"/>
  <c r="K6" i="40" s="1"/>
  <c r="L28" i="4"/>
  <c r="B28" i="4"/>
  <c r="V93" i="6"/>
  <c r="X93" i="6" s="1"/>
  <c r="P94" i="7" s="1"/>
  <c r="P99" i="40" s="1"/>
  <c r="V92" i="6"/>
  <c r="X92" i="6" s="1"/>
  <c r="P93" i="7"/>
  <c r="V91" i="6"/>
  <c r="X91" i="6" s="1"/>
  <c r="P92" i="7" s="1"/>
  <c r="V90" i="6"/>
  <c r="X90" i="6" s="1"/>
  <c r="P91" i="7"/>
  <c r="V89" i="6"/>
  <c r="X89" i="6" s="1"/>
  <c r="P90" i="7" s="1"/>
  <c r="V88" i="6"/>
  <c r="X88" i="6" s="1"/>
  <c r="P89" i="7"/>
  <c r="P94" i="40" s="1"/>
  <c r="V87" i="6"/>
  <c r="X87" i="6" s="1"/>
  <c r="P88" i="7" s="1"/>
  <c r="V86" i="6"/>
  <c r="X86" i="6" s="1"/>
  <c r="P87" i="7"/>
  <c r="V85" i="6"/>
  <c r="X85" i="6" s="1"/>
  <c r="P86" i="7" s="1"/>
  <c r="P91" i="40" s="1"/>
  <c r="V84" i="6"/>
  <c r="X84" i="6" s="1"/>
  <c r="P85" i="7"/>
  <c r="V83" i="6"/>
  <c r="X83" i="6" s="1"/>
  <c r="P84" i="7" s="1"/>
  <c r="V82" i="6"/>
  <c r="X82" i="6" s="1"/>
  <c r="P83" i="7"/>
  <c r="V81" i="6"/>
  <c r="X81" i="6" s="1"/>
  <c r="P82" i="7" s="1"/>
  <c r="V80" i="6"/>
  <c r="X80" i="6" s="1"/>
  <c r="P81" i="7"/>
  <c r="P86" i="40" s="1"/>
  <c r="V79" i="6"/>
  <c r="X79" i="6" s="1"/>
  <c r="P80" i="7" s="1"/>
  <c r="V78" i="6"/>
  <c r="X78" i="6" s="1"/>
  <c r="P79" i="7"/>
  <c r="V77" i="6"/>
  <c r="X77" i="6" s="1"/>
  <c r="P78" i="7" s="1"/>
  <c r="P83" i="40" s="1"/>
  <c r="V76" i="6"/>
  <c r="X76" i="6" s="1"/>
  <c r="P77" i="7"/>
  <c r="V75" i="6"/>
  <c r="X75" i="6" s="1"/>
  <c r="P76" i="7" s="1"/>
  <c r="V74" i="6"/>
  <c r="X74" i="6" s="1"/>
  <c r="P75" i="7"/>
  <c r="V73" i="6"/>
  <c r="X73" i="6" s="1"/>
  <c r="P74" i="7" s="1"/>
  <c r="V72" i="6"/>
  <c r="X72" i="6" s="1"/>
  <c r="P73" i="7"/>
  <c r="P78" i="40" s="1"/>
  <c r="V71" i="6"/>
  <c r="X71" i="6" s="1"/>
  <c r="P72" i="7" s="1"/>
  <c r="V70" i="6"/>
  <c r="X70" i="6" s="1"/>
  <c r="P71" i="7"/>
  <c r="V69" i="6"/>
  <c r="X69" i="6" s="1"/>
  <c r="P70" i="7" s="1"/>
  <c r="P75" i="40" s="1"/>
  <c r="V68" i="6"/>
  <c r="X68" i="6" s="1"/>
  <c r="P69" i="7"/>
  <c r="V67" i="6"/>
  <c r="X67" i="6" s="1"/>
  <c r="P68" i="7" s="1"/>
  <c r="V66" i="6"/>
  <c r="X66" i="6" s="1"/>
  <c r="P67" i="7"/>
  <c r="V65" i="6"/>
  <c r="X65" i="6" s="1"/>
  <c r="P66" i="7" s="1"/>
  <c r="V64" i="6"/>
  <c r="X64" i="6" s="1"/>
  <c r="P65" i="7"/>
  <c r="P70" i="40" s="1"/>
  <c r="V63" i="6"/>
  <c r="X63" i="6" s="1"/>
  <c r="P64" i="7" s="1"/>
  <c r="V62" i="6"/>
  <c r="X62" i="6" s="1"/>
  <c r="P63" i="7"/>
  <c r="V61" i="6"/>
  <c r="X61" i="6" s="1"/>
  <c r="P62" i="7" s="1"/>
  <c r="P67" i="40" s="1"/>
  <c r="V60" i="6"/>
  <c r="X60" i="6" s="1"/>
  <c r="P61" i="7"/>
  <c r="V59" i="6"/>
  <c r="X59" i="6" s="1"/>
  <c r="P60" i="7" s="1"/>
  <c r="V58" i="6"/>
  <c r="X58" i="6" s="1"/>
  <c r="P59" i="7"/>
  <c r="V57" i="6"/>
  <c r="X57" i="6" s="1"/>
  <c r="P58" i="7" s="1"/>
  <c r="V56" i="6"/>
  <c r="X56" i="6" s="1"/>
  <c r="P57" i="7"/>
  <c r="P62" i="40" s="1"/>
  <c r="V55" i="6"/>
  <c r="X55" i="6" s="1"/>
  <c r="P56" i="7" s="1"/>
  <c r="V54" i="6"/>
  <c r="X54" i="6" s="1"/>
  <c r="P55" i="7"/>
  <c r="V53" i="6"/>
  <c r="X53" i="6" s="1"/>
  <c r="P54" i="7" s="1"/>
  <c r="P59" i="40" s="1"/>
  <c r="V52" i="6"/>
  <c r="X52" i="6" s="1"/>
  <c r="P53" i="7"/>
  <c r="V51" i="6"/>
  <c r="X51" i="6" s="1"/>
  <c r="P52" i="7" s="1"/>
  <c r="V50" i="6"/>
  <c r="X50" i="6"/>
  <c r="P51" i="7" s="1"/>
  <c r="V49" i="6"/>
  <c r="X49" i="6" s="1"/>
  <c r="P50" i="7" s="1"/>
  <c r="V48" i="6"/>
  <c r="X48" i="6"/>
  <c r="P49" i="7" s="1"/>
  <c r="P54" i="40" s="1"/>
  <c r="V47" i="6"/>
  <c r="X47" i="6" s="1"/>
  <c r="P48" i="7" s="1"/>
  <c r="V46" i="6"/>
  <c r="X46" i="6"/>
  <c r="P47" i="7" s="1"/>
  <c r="V45" i="6"/>
  <c r="X45" i="6" s="1"/>
  <c r="P46" i="7" s="1"/>
  <c r="P51" i="40" s="1"/>
  <c r="V44" i="6"/>
  <c r="X44" i="6"/>
  <c r="P45" i="7" s="1"/>
  <c r="V43" i="6"/>
  <c r="X43" i="6" s="1"/>
  <c r="P44" i="7" s="1"/>
  <c r="V42" i="6"/>
  <c r="X42" i="6"/>
  <c r="P43" i="7" s="1"/>
  <c r="V41" i="6"/>
  <c r="X41" i="6" s="1"/>
  <c r="P42" i="7" s="1"/>
  <c r="V40" i="6"/>
  <c r="X40" i="6"/>
  <c r="P41" i="7" s="1"/>
  <c r="P46" i="40" s="1"/>
  <c r="V39" i="6"/>
  <c r="X39" i="6" s="1"/>
  <c r="P40" i="7" s="1"/>
  <c r="V38" i="6"/>
  <c r="X38" i="6"/>
  <c r="P39" i="7" s="1"/>
  <c r="V37" i="6"/>
  <c r="X37" i="6" s="1"/>
  <c r="P38" i="7" s="1"/>
  <c r="P43" i="40" s="1"/>
  <c r="V36" i="6"/>
  <c r="X36" i="6"/>
  <c r="P37" i="7" s="1"/>
  <c r="V35" i="6"/>
  <c r="X35" i="6" s="1"/>
  <c r="P36" i="7" s="1"/>
  <c r="V34" i="6"/>
  <c r="X34" i="6"/>
  <c r="P35" i="7" s="1"/>
  <c r="V33" i="6"/>
  <c r="X33" i="6" s="1"/>
  <c r="P34" i="7" s="1"/>
  <c r="V32" i="6"/>
  <c r="X32" i="6"/>
  <c r="P33" i="7" s="1"/>
  <c r="P38" i="40" s="1"/>
  <c r="V31" i="6"/>
  <c r="X31" i="6" s="1"/>
  <c r="P32" i="7" s="1"/>
  <c r="V30" i="6"/>
  <c r="X30" i="6"/>
  <c r="P31" i="7" s="1"/>
  <c r="V29" i="6"/>
  <c r="X29" i="6" s="1"/>
  <c r="P30" i="7" s="1"/>
  <c r="P35" i="40" s="1"/>
  <c r="V28" i="6"/>
  <c r="X28" i="6"/>
  <c r="P29" i="7" s="1"/>
  <c r="V27" i="6"/>
  <c r="X27" i="6" s="1"/>
  <c r="P28" i="7" s="1"/>
  <c r="V26" i="6"/>
  <c r="X26" i="6"/>
  <c r="P27" i="7" s="1"/>
  <c r="V25" i="6"/>
  <c r="X25" i="6" s="1"/>
  <c r="P26" i="7" s="1"/>
  <c r="V24" i="6"/>
  <c r="X24" i="6"/>
  <c r="P25" i="7" s="1"/>
  <c r="P30" i="40" s="1"/>
  <c r="V23" i="6"/>
  <c r="X23" i="6" s="1"/>
  <c r="P24" i="7" s="1"/>
  <c r="V22" i="6"/>
  <c r="X22" i="6"/>
  <c r="P23" i="7" s="1"/>
  <c r="V21" i="6"/>
  <c r="X21" i="6" s="1"/>
  <c r="P22" i="7" s="1"/>
  <c r="P27" i="40" s="1"/>
  <c r="V20" i="6"/>
  <c r="X20" i="6"/>
  <c r="P21" i="7" s="1"/>
  <c r="V19" i="6"/>
  <c r="X19" i="6" s="1"/>
  <c r="P20" i="7" s="1"/>
  <c r="V18" i="6"/>
  <c r="X18" i="6"/>
  <c r="P19" i="7" s="1"/>
  <c r="V17" i="6"/>
  <c r="X17" i="6" s="1"/>
  <c r="P18" i="7" s="1"/>
  <c r="V16" i="6"/>
  <c r="X16" i="6"/>
  <c r="P17" i="7" s="1"/>
  <c r="P22" i="40" s="1"/>
  <c r="V15" i="6"/>
  <c r="X15" i="6" s="1"/>
  <c r="P16" i="7" s="1"/>
  <c r="V14" i="6"/>
  <c r="X14" i="6"/>
  <c r="P15" i="7" s="1"/>
  <c r="V13" i="6"/>
  <c r="X13" i="6" s="1"/>
  <c r="P14" i="7" s="1"/>
  <c r="P19" i="40" s="1"/>
  <c r="S13" i="6"/>
  <c r="S14" i="6" s="1"/>
  <c r="S15" i="6" s="1"/>
  <c r="S16" i="6" s="1"/>
  <c r="S17" i="6" s="1"/>
  <c r="S18" i="6" s="1"/>
  <c r="S19" i="6" s="1"/>
  <c r="S20" i="6" s="1"/>
  <c r="S21" i="6" s="1"/>
  <c r="S22" i="6" s="1"/>
  <c r="S23" i="6" s="1"/>
  <c r="S24" i="6" s="1"/>
  <c r="S25" i="6" s="1"/>
  <c r="S26" i="6" s="1"/>
  <c r="S27" i="6" s="1"/>
  <c r="S28" i="6" s="1"/>
  <c r="S29" i="6" s="1"/>
  <c r="S30" i="6" s="1"/>
  <c r="S31" i="6" s="1"/>
  <c r="S32" i="6" s="1"/>
  <c r="S33" i="6" s="1"/>
  <c r="S34" i="6" s="1"/>
  <c r="S35" i="6" s="1"/>
  <c r="S36" i="6" s="1"/>
  <c r="S37" i="6" s="1"/>
  <c r="S38" i="6" s="1"/>
  <c r="S39" i="6" s="1"/>
  <c r="S40" i="6" s="1"/>
  <c r="S41" i="6" s="1"/>
  <c r="S42" i="6" s="1"/>
  <c r="S43" i="6" s="1"/>
  <c r="S44" i="6" s="1"/>
  <c r="S45" i="6" s="1"/>
  <c r="S46" i="6" s="1"/>
  <c r="S47" i="6" s="1"/>
  <c r="S48" i="6" s="1"/>
  <c r="S49" i="6" s="1"/>
  <c r="S50" i="6" s="1"/>
  <c r="S51" i="6" s="1"/>
  <c r="S52" i="6" s="1"/>
  <c r="S53" i="6" s="1"/>
  <c r="S54" i="6" s="1"/>
  <c r="S55" i="6" s="1"/>
  <c r="S56" i="6" s="1"/>
  <c r="S57" i="6" s="1"/>
  <c r="S58" i="6" s="1"/>
  <c r="S59" i="6" s="1"/>
  <c r="S60" i="6" s="1"/>
  <c r="S61" i="6" s="1"/>
  <c r="S62" i="6" s="1"/>
  <c r="S63" i="6" s="1"/>
  <c r="S64" i="6" s="1"/>
  <c r="S65" i="6" s="1"/>
  <c r="S66" i="6" s="1"/>
  <c r="S67" i="6" s="1"/>
  <c r="S68" i="6" s="1"/>
  <c r="S69" i="6" s="1"/>
  <c r="S70" i="6" s="1"/>
  <c r="S71" i="6" s="1"/>
  <c r="S72" i="6" s="1"/>
  <c r="S73" i="6" s="1"/>
  <c r="S74" i="6" s="1"/>
  <c r="S75" i="6" s="1"/>
  <c r="S76" i="6" s="1"/>
  <c r="S77" i="6" s="1"/>
  <c r="S78" i="6" s="1"/>
  <c r="S79" i="6" s="1"/>
  <c r="S80" i="6" s="1"/>
  <c r="S81" i="6" s="1"/>
  <c r="S82" i="6" s="1"/>
  <c r="S83" i="6" s="1"/>
  <c r="S84" i="6" s="1"/>
  <c r="S85" i="6" s="1"/>
  <c r="S86" i="6" s="1"/>
  <c r="S87" i="6" s="1"/>
  <c r="S88" i="6" s="1"/>
  <c r="S89" i="6" s="1"/>
  <c r="S90" i="6" s="1"/>
  <c r="S91" i="6" s="1"/>
  <c r="S92" i="6" s="1"/>
  <c r="S93" i="6" s="1"/>
  <c r="D4" i="39"/>
  <c r="G13" i="8"/>
  <c r="F13" i="8"/>
  <c r="E13" i="8"/>
  <c r="D13" i="8"/>
  <c r="C13" i="8"/>
  <c r="D15" i="4"/>
  <c r="D16" i="4"/>
  <c r="D27" i="4"/>
  <c r="E27" i="4" s="1"/>
  <c r="B3" i="37"/>
  <c r="I16" i="4"/>
  <c r="J16" i="4" s="1"/>
  <c r="H16" i="4"/>
  <c r="D21" i="37"/>
  <c r="D22" i="37"/>
  <c r="D23" i="37"/>
  <c r="D24" i="37"/>
  <c r="D25" i="37"/>
  <c r="D26" i="37"/>
  <c r="D27" i="37"/>
  <c r="D28" i="37"/>
  <c r="D29" i="37"/>
  <c r="D30" i="37"/>
  <c r="D31" i="37"/>
  <c r="D32" i="37"/>
  <c r="D33" i="37"/>
  <c r="D34" i="37"/>
  <c r="D35" i="37"/>
  <c r="D36" i="37"/>
  <c r="D37" i="37"/>
  <c r="D38" i="37"/>
  <c r="D39" i="37"/>
  <c r="D40" i="37"/>
  <c r="D41" i="37"/>
  <c r="D42" i="37"/>
  <c r="D43" i="37"/>
  <c r="D44" i="37"/>
  <c r="D45" i="37"/>
  <c r="D46" i="37"/>
  <c r="D47" i="37"/>
  <c r="D48" i="37"/>
  <c r="D49" i="37"/>
  <c r="D50" i="37"/>
  <c r="D51" i="37"/>
  <c r="D52" i="37"/>
  <c r="D53" i="37"/>
  <c r="D54" i="37"/>
  <c r="D55" i="37"/>
  <c r="D56" i="37"/>
  <c r="D57" i="37"/>
  <c r="D58" i="37"/>
  <c r="D59" i="37"/>
  <c r="D60" i="37"/>
  <c r="D61" i="37"/>
  <c r="D62" i="37"/>
  <c r="D63" i="37"/>
  <c r="D64" i="37"/>
  <c r="D65" i="37"/>
  <c r="D66" i="37"/>
  <c r="D67" i="37"/>
  <c r="D68" i="37"/>
  <c r="D69" i="37"/>
  <c r="D70" i="37"/>
  <c r="D71" i="37"/>
  <c r="D72" i="37"/>
  <c r="D73" i="37"/>
  <c r="D74" i="37"/>
  <c r="D75" i="37"/>
  <c r="D76" i="37"/>
  <c r="D77" i="37"/>
  <c r="D78" i="37"/>
  <c r="D79" i="37"/>
  <c r="D80" i="37"/>
  <c r="D81" i="37"/>
  <c r="D82" i="37"/>
  <c r="D83" i="37"/>
  <c r="D84" i="37"/>
  <c r="D85" i="37"/>
  <c r="D86" i="37"/>
  <c r="D87" i="37"/>
  <c r="D88" i="37"/>
  <c r="D89" i="37"/>
  <c r="D90" i="37"/>
  <c r="D91" i="37"/>
  <c r="D92" i="37"/>
  <c r="D93" i="37"/>
  <c r="D94" i="37"/>
  <c r="D95" i="37"/>
  <c r="D96" i="37"/>
  <c r="D97" i="37"/>
  <c r="D98" i="37"/>
  <c r="D99" i="37"/>
  <c r="D20" i="37"/>
  <c r="D19" i="37"/>
  <c r="D21" i="36"/>
  <c r="D22" i="36"/>
  <c r="D23" i="36"/>
  <c r="D24" i="36"/>
  <c r="D25" i="36"/>
  <c r="D26" i="36"/>
  <c r="D27" i="36"/>
  <c r="D28" i="36"/>
  <c r="D29" i="36"/>
  <c r="D30" i="36"/>
  <c r="D31" i="36"/>
  <c r="D32" i="36"/>
  <c r="D33" i="36"/>
  <c r="D34" i="36"/>
  <c r="D35" i="36"/>
  <c r="D36" i="36"/>
  <c r="D37" i="36"/>
  <c r="D38" i="36"/>
  <c r="D39" i="36"/>
  <c r="D40" i="36"/>
  <c r="D41" i="36"/>
  <c r="D42" i="36"/>
  <c r="D43" i="36"/>
  <c r="D44" i="36"/>
  <c r="D45" i="36"/>
  <c r="D46" i="36"/>
  <c r="D47" i="36"/>
  <c r="D48" i="36"/>
  <c r="D49" i="36"/>
  <c r="D50" i="36"/>
  <c r="D51" i="36"/>
  <c r="D52" i="36"/>
  <c r="D53" i="36"/>
  <c r="D54" i="36"/>
  <c r="D55" i="36"/>
  <c r="D56" i="36"/>
  <c r="D57" i="36"/>
  <c r="D58" i="36"/>
  <c r="D59" i="36"/>
  <c r="D60" i="36"/>
  <c r="D61" i="36"/>
  <c r="D62" i="36"/>
  <c r="D63" i="36"/>
  <c r="D64" i="36"/>
  <c r="D65" i="36"/>
  <c r="D66" i="36"/>
  <c r="D67" i="36"/>
  <c r="D68" i="36"/>
  <c r="D69" i="36"/>
  <c r="D70" i="36"/>
  <c r="D71" i="36"/>
  <c r="D72" i="36"/>
  <c r="D73" i="36"/>
  <c r="D74" i="36"/>
  <c r="D75" i="36"/>
  <c r="D76" i="36"/>
  <c r="D77" i="36"/>
  <c r="D78" i="36"/>
  <c r="D79" i="36"/>
  <c r="D80" i="36"/>
  <c r="D81" i="36"/>
  <c r="D82" i="36"/>
  <c r="D83" i="36"/>
  <c r="D84" i="36"/>
  <c r="D85" i="36"/>
  <c r="D86" i="36"/>
  <c r="D87" i="36"/>
  <c r="D88" i="36"/>
  <c r="D89" i="36"/>
  <c r="D90" i="36"/>
  <c r="D91" i="36"/>
  <c r="D92" i="36"/>
  <c r="D93" i="36"/>
  <c r="D94" i="36"/>
  <c r="D95" i="36"/>
  <c r="D96" i="36"/>
  <c r="D97" i="36"/>
  <c r="D98" i="36"/>
  <c r="D99" i="36"/>
  <c r="D20" i="36"/>
  <c r="D19" i="36"/>
  <c r="D35" i="4"/>
  <c r="E35" i="4" s="1"/>
  <c r="O35" i="4" s="1"/>
  <c r="C35" i="4"/>
  <c r="C16" i="4"/>
  <c r="C42" i="4"/>
  <c r="D42" i="4"/>
  <c r="E42" i="4" s="1"/>
  <c r="C43" i="4"/>
  <c r="D43" i="4"/>
  <c r="E43" i="4"/>
  <c r="O43" i="4" s="1"/>
  <c r="C44" i="4"/>
  <c r="D44" i="4"/>
  <c r="E44" i="4" s="1"/>
  <c r="O44" i="4" s="1"/>
  <c r="D41" i="4"/>
  <c r="E41" i="4" s="1"/>
  <c r="O41" i="4" s="1"/>
  <c r="C41" i="4"/>
  <c r="B35" i="4"/>
  <c r="B16" i="4"/>
  <c r="I64" i="4"/>
  <c r="J64" i="4" s="1"/>
  <c r="R64" i="4" s="1"/>
  <c r="I63" i="4"/>
  <c r="J63" i="4" s="1"/>
  <c r="R63" i="4" s="1"/>
  <c r="I62" i="4"/>
  <c r="J62" i="4" s="1"/>
  <c r="D64" i="4"/>
  <c r="E64" i="4" s="1"/>
  <c r="O64" i="4" s="1"/>
  <c r="D63" i="4"/>
  <c r="E63" i="4" s="1"/>
  <c r="D62" i="4"/>
  <c r="E62" i="4" s="1"/>
  <c r="E5" i="17"/>
  <c r="B5" i="17"/>
  <c r="H5" i="17"/>
  <c r="I3" i="7"/>
  <c r="B3" i="35"/>
  <c r="B3" i="34"/>
  <c r="D39" i="4"/>
  <c r="E39" i="4" s="1"/>
  <c r="O39" i="4" s="1"/>
  <c r="K8" i="34" s="1"/>
  <c r="K10" i="34" s="1"/>
  <c r="D38" i="4"/>
  <c r="E38" i="4" s="1"/>
  <c r="O38" i="4" s="1"/>
  <c r="C39" i="4"/>
  <c r="C38" i="4"/>
  <c r="B44" i="4"/>
  <c r="B43" i="4"/>
  <c r="B42" i="4"/>
  <c r="B41" i="4"/>
  <c r="B40" i="4"/>
  <c r="B39" i="4"/>
  <c r="B38" i="4"/>
  <c r="B37" i="4"/>
  <c r="B34" i="4"/>
  <c r="B46" i="4"/>
  <c r="D46" i="4"/>
  <c r="E46" i="4" s="1"/>
  <c r="C46" i="4"/>
  <c r="I93" i="6"/>
  <c r="I92" i="6"/>
  <c r="I91" i="6"/>
  <c r="I90" i="6"/>
  <c r="I89" i="6"/>
  <c r="I88" i="6"/>
  <c r="I87" i="6"/>
  <c r="I86" i="6"/>
  <c r="I85" i="6"/>
  <c r="I84" i="6"/>
  <c r="I83" i="6"/>
  <c r="I82" i="6"/>
  <c r="I81" i="6"/>
  <c r="I80" i="6"/>
  <c r="G81" i="7" s="1"/>
  <c r="P86" i="34" s="1"/>
  <c r="I79" i="6"/>
  <c r="I78" i="6"/>
  <c r="I77" i="6"/>
  <c r="I76" i="6"/>
  <c r="I75" i="6"/>
  <c r="I74" i="6"/>
  <c r="I73" i="6"/>
  <c r="I72" i="6"/>
  <c r="I71" i="6"/>
  <c r="I70" i="6"/>
  <c r="I69" i="6"/>
  <c r="I68" i="6"/>
  <c r="I67" i="6"/>
  <c r="I66" i="6"/>
  <c r="I65" i="6"/>
  <c r="I64" i="6"/>
  <c r="I63" i="6"/>
  <c r="I62" i="6"/>
  <c r="I61" i="6"/>
  <c r="G62" i="7" s="1"/>
  <c r="P67" i="34" s="1"/>
  <c r="I60" i="6"/>
  <c r="I59" i="6"/>
  <c r="I58" i="6"/>
  <c r="I57" i="6"/>
  <c r="I56" i="6"/>
  <c r="I55" i="6"/>
  <c r="G56" i="7" s="1"/>
  <c r="P61" i="34" s="1"/>
  <c r="I54" i="6"/>
  <c r="I53" i="6"/>
  <c r="G54" i="7" s="1"/>
  <c r="P59" i="34" s="1"/>
  <c r="I52" i="6"/>
  <c r="I51" i="6"/>
  <c r="I50" i="6"/>
  <c r="I49" i="6"/>
  <c r="I48" i="6"/>
  <c r="I47" i="6"/>
  <c r="G48" i="7" s="1"/>
  <c r="P53" i="34" s="1"/>
  <c r="I46" i="6"/>
  <c r="I45" i="6"/>
  <c r="I44" i="6"/>
  <c r="I43" i="6"/>
  <c r="I42" i="6"/>
  <c r="I41" i="6"/>
  <c r="I40" i="6"/>
  <c r="I39" i="6"/>
  <c r="I38" i="6"/>
  <c r="I37" i="6"/>
  <c r="I36" i="6"/>
  <c r="I35" i="6"/>
  <c r="I34" i="6"/>
  <c r="I33" i="6"/>
  <c r="I32" i="6"/>
  <c r="I31" i="6"/>
  <c r="I30" i="6"/>
  <c r="I29" i="6"/>
  <c r="I28" i="6"/>
  <c r="I27" i="6"/>
  <c r="I26" i="6"/>
  <c r="I25" i="6"/>
  <c r="I24" i="6"/>
  <c r="I23" i="6"/>
  <c r="I22" i="6"/>
  <c r="I21" i="6"/>
  <c r="I20" i="6"/>
  <c r="I19" i="6"/>
  <c r="I18" i="6"/>
  <c r="I17" i="6"/>
  <c r="I16" i="6"/>
  <c r="I15" i="6"/>
  <c r="I14" i="6"/>
  <c r="G93" i="6"/>
  <c r="G92" i="6"/>
  <c r="G91" i="6"/>
  <c r="G90" i="6"/>
  <c r="G89" i="6"/>
  <c r="G88" i="6"/>
  <c r="G87" i="6"/>
  <c r="G86" i="6"/>
  <c r="G85" i="6"/>
  <c r="G84" i="6"/>
  <c r="G83" i="6"/>
  <c r="G82" i="6"/>
  <c r="G81" i="6"/>
  <c r="G80" i="6"/>
  <c r="E81" i="7" s="1"/>
  <c r="P86" i="35" s="1"/>
  <c r="G79" i="6"/>
  <c r="G78" i="6"/>
  <c r="G77" i="6"/>
  <c r="E78" i="7" s="1"/>
  <c r="P83" i="35" s="1"/>
  <c r="G76" i="6"/>
  <c r="G75" i="6"/>
  <c r="G74" i="6"/>
  <c r="G73" i="6"/>
  <c r="G72" i="6"/>
  <c r="G71" i="6"/>
  <c r="G70" i="6"/>
  <c r="E71" i="7" s="1"/>
  <c r="P76" i="35" s="1"/>
  <c r="G69" i="6"/>
  <c r="G68" i="6"/>
  <c r="G67" i="6"/>
  <c r="G66" i="6"/>
  <c r="G65" i="6"/>
  <c r="G64" i="6"/>
  <c r="G63" i="6"/>
  <c r="G62" i="6"/>
  <c r="G61" i="6"/>
  <c r="G60" i="6"/>
  <c r="G59" i="6"/>
  <c r="G58" i="6"/>
  <c r="G57" i="6"/>
  <c r="G56" i="6"/>
  <c r="G55" i="6"/>
  <c r="G54" i="6"/>
  <c r="G53" i="6"/>
  <c r="E54" i="7" s="1"/>
  <c r="P59" i="35" s="1"/>
  <c r="G52" i="6"/>
  <c r="G51" i="6"/>
  <c r="G50" i="6"/>
  <c r="G49" i="6"/>
  <c r="G48" i="6"/>
  <c r="G47" i="6"/>
  <c r="G46" i="6"/>
  <c r="G45" i="6"/>
  <c r="E46" i="7" s="1"/>
  <c r="P51" i="35" s="1"/>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I13" i="6"/>
  <c r="G13" i="6"/>
  <c r="I2" i="7"/>
  <c r="O21" i="6"/>
  <c r="I11" i="4"/>
  <c r="J11" i="4"/>
  <c r="I27" i="4"/>
  <c r="J27" i="4" s="1"/>
  <c r="R27" i="4" s="1"/>
  <c r="H11" i="39"/>
  <c r="H27" i="4"/>
  <c r="C27" i="4"/>
  <c r="B27" i="4"/>
  <c r="B21" i="4"/>
  <c r="H15" i="4"/>
  <c r="I15" i="4"/>
  <c r="J15" i="4" s="1"/>
  <c r="D21" i="4"/>
  <c r="O21" i="4"/>
  <c r="K6" i="35" s="1"/>
  <c r="D20" i="4"/>
  <c r="O20" i="4" s="1"/>
  <c r="K6" i="34" s="1"/>
  <c r="C15" i="4"/>
  <c r="I21" i="4"/>
  <c r="J21" i="4" s="1"/>
  <c r="I20" i="4"/>
  <c r="J20" i="4" s="1"/>
  <c r="R20" i="4" s="1"/>
  <c r="H21" i="4"/>
  <c r="H20" i="4"/>
  <c r="C21" i="4"/>
  <c r="C20" i="4"/>
  <c r="R21" i="4"/>
  <c r="B20" i="4"/>
  <c r="I25" i="4"/>
  <c r="J25" i="4" s="1"/>
  <c r="I24" i="4"/>
  <c r="J24" i="4" s="1"/>
  <c r="R24" i="4" s="1"/>
  <c r="I23" i="4"/>
  <c r="J23" i="4"/>
  <c r="R23" i="4" s="1"/>
  <c r="I22" i="4"/>
  <c r="J22" i="4" s="1"/>
  <c r="R22" i="4" s="1"/>
  <c r="D25" i="4"/>
  <c r="O25" i="4" s="1"/>
  <c r="D24" i="4"/>
  <c r="O24" i="4" s="1"/>
  <c r="D23" i="4"/>
  <c r="O23" i="4" s="1"/>
  <c r="D22" i="4"/>
  <c r="O22" i="4"/>
  <c r="H25" i="4"/>
  <c r="H24" i="4"/>
  <c r="H23" i="4"/>
  <c r="H22" i="4"/>
  <c r="C25" i="4"/>
  <c r="C24" i="4"/>
  <c r="C23" i="4"/>
  <c r="C22" i="4"/>
  <c r="R62" i="4"/>
  <c r="AC4" i="5"/>
  <c r="AB4" i="5"/>
  <c r="Z4" i="5"/>
  <c r="AD97" i="17"/>
  <c r="AD96" i="17"/>
  <c r="AD95" i="17"/>
  <c r="AD94" i="17"/>
  <c r="AD93" i="17"/>
  <c r="AD92" i="17"/>
  <c r="AD91" i="17"/>
  <c r="AD90" i="17"/>
  <c r="AD89" i="17"/>
  <c r="AD88" i="17"/>
  <c r="AD87" i="17"/>
  <c r="AD86" i="17"/>
  <c r="AD85" i="17"/>
  <c r="AD84" i="17"/>
  <c r="AD83" i="17"/>
  <c r="AD82" i="17"/>
  <c r="AD81" i="17"/>
  <c r="AD80" i="17"/>
  <c r="AD79" i="17"/>
  <c r="AD78" i="17"/>
  <c r="AD77" i="17"/>
  <c r="AD76" i="17"/>
  <c r="AD75" i="17"/>
  <c r="AD74" i="17"/>
  <c r="AD73" i="17"/>
  <c r="AD72" i="17"/>
  <c r="AD71" i="17"/>
  <c r="AD70" i="17"/>
  <c r="AD69" i="17"/>
  <c r="AD68" i="17"/>
  <c r="AD67" i="17"/>
  <c r="AD66" i="17"/>
  <c r="AD65" i="17"/>
  <c r="AD64" i="17"/>
  <c r="AD63" i="17"/>
  <c r="AD62" i="17"/>
  <c r="AD61" i="17"/>
  <c r="AD60" i="17"/>
  <c r="AD59" i="17"/>
  <c r="AD58" i="17"/>
  <c r="AD57" i="17"/>
  <c r="AD56" i="17"/>
  <c r="AD55" i="17"/>
  <c r="AD54" i="17"/>
  <c r="AD53" i="17"/>
  <c r="AD52" i="17"/>
  <c r="AD51" i="17"/>
  <c r="AD50" i="17"/>
  <c r="AD49" i="17"/>
  <c r="AD48" i="17"/>
  <c r="AD47" i="17"/>
  <c r="AD46" i="17"/>
  <c r="AD45" i="17"/>
  <c r="AD44" i="17"/>
  <c r="AD43" i="17"/>
  <c r="AD42" i="17"/>
  <c r="AD41" i="17"/>
  <c r="AD40" i="17"/>
  <c r="AD39" i="17"/>
  <c r="AD38" i="17"/>
  <c r="AD37" i="17"/>
  <c r="AD36" i="17"/>
  <c r="AD35" i="17"/>
  <c r="AD34" i="17"/>
  <c r="AD33" i="17"/>
  <c r="AD32" i="17"/>
  <c r="AD31" i="17"/>
  <c r="AD30" i="17"/>
  <c r="AD29" i="17"/>
  <c r="AD28" i="17"/>
  <c r="AD27" i="17"/>
  <c r="AD26" i="17"/>
  <c r="AD25" i="17"/>
  <c r="AD24" i="17"/>
  <c r="AD23" i="17"/>
  <c r="AD22" i="17"/>
  <c r="AD21" i="17"/>
  <c r="AD20" i="17"/>
  <c r="AD19" i="17"/>
  <c r="AD18" i="17"/>
  <c r="AD17" i="17"/>
  <c r="S17" i="17"/>
  <c r="S18" i="17" s="1"/>
  <c r="S19" i="17" s="1"/>
  <c r="S20" i="17" s="1"/>
  <c r="S21" i="17" s="1"/>
  <c r="S22" i="17" s="1"/>
  <c r="S23" i="17" s="1"/>
  <c r="S24" i="17" s="1"/>
  <c r="S25" i="17" s="1"/>
  <c r="S26" i="17" s="1"/>
  <c r="S27" i="17" s="1"/>
  <c r="S28" i="17" s="1"/>
  <c r="S29" i="17" s="1"/>
  <c r="S30" i="17" s="1"/>
  <c r="S31" i="17" s="1"/>
  <c r="S32" i="17" s="1"/>
  <c r="S33" i="17" s="1"/>
  <c r="S34" i="17" s="1"/>
  <c r="S35" i="17" s="1"/>
  <c r="S36" i="17" s="1"/>
  <c r="S37" i="17" s="1"/>
  <c r="S38" i="17" s="1"/>
  <c r="S39" i="17" s="1"/>
  <c r="S40" i="17" s="1"/>
  <c r="S41" i="17" s="1"/>
  <c r="S42" i="17" s="1"/>
  <c r="S43" i="17" s="1"/>
  <c r="S44" i="17" s="1"/>
  <c r="S45" i="17" s="1"/>
  <c r="S46" i="17" s="1"/>
  <c r="S47" i="17" s="1"/>
  <c r="S48" i="17" s="1"/>
  <c r="S49" i="17" s="1"/>
  <c r="S50" i="17" s="1"/>
  <c r="S51" i="17" s="1"/>
  <c r="S52" i="17" s="1"/>
  <c r="S53" i="17" s="1"/>
  <c r="S54" i="17" s="1"/>
  <c r="S55" i="17" s="1"/>
  <c r="S56" i="17" s="1"/>
  <c r="S57" i="17" s="1"/>
  <c r="S58" i="17" s="1"/>
  <c r="S59" i="17" s="1"/>
  <c r="S60" i="17" s="1"/>
  <c r="S61" i="17" s="1"/>
  <c r="S62" i="17" s="1"/>
  <c r="S63" i="17" s="1"/>
  <c r="S64" i="17" s="1"/>
  <c r="S65" i="17" s="1"/>
  <c r="S66" i="17" s="1"/>
  <c r="S67" i="17" s="1"/>
  <c r="S68" i="17" s="1"/>
  <c r="S69" i="17" s="1"/>
  <c r="S70" i="17" s="1"/>
  <c r="S71" i="17" s="1"/>
  <c r="S72" i="17" s="1"/>
  <c r="S73" i="17" s="1"/>
  <c r="S74" i="17" s="1"/>
  <c r="S75" i="17" s="1"/>
  <c r="S76" i="17" s="1"/>
  <c r="S77" i="17" s="1"/>
  <c r="S78" i="17" s="1"/>
  <c r="S79" i="17" s="1"/>
  <c r="S80" i="17" s="1"/>
  <c r="S81" i="17" s="1"/>
  <c r="S82" i="17" s="1"/>
  <c r="S83" i="17" s="1"/>
  <c r="S84" i="17" s="1"/>
  <c r="S85" i="17" s="1"/>
  <c r="S86" i="17" s="1"/>
  <c r="S87" i="17" s="1"/>
  <c r="S88" i="17" s="1"/>
  <c r="S89" i="17" s="1"/>
  <c r="S90" i="17" s="1"/>
  <c r="S91" i="17" s="1"/>
  <c r="S92" i="17" s="1"/>
  <c r="S93" i="17" s="1"/>
  <c r="S94" i="17" s="1"/>
  <c r="S95" i="17" s="1"/>
  <c r="S96" i="17" s="1"/>
  <c r="S97" i="17" s="1"/>
  <c r="D99" i="33"/>
  <c r="D21" i="33"/>
  <c r="D22" i="33"/>
  <c r="D23" i="33"/>
  <c r="D24" i="33"/>
  <c r="D25" i="33"/>
  <c r="D26" i="33"/>
  <c r="D27" i="33"/>
  <c r="D28" i="33"/>
  <c r="D29" i="33"/>
  <c r="D30" i="33"/>
  <c r="D31" i="33"/>
  <c r="D32" i="33"/>
  <c r="D33" i="33"/>
  <c r="D34" i="33"/>
  <c r="D35" i="33"/>
  <c r="D36" i="33"/>
  <c r="D37" i="33"/>
  <c r="D38" i="33"/>
  <c r="D39" i="33"/>
  <c r="D40" i="33"/>
  <c r="D41" i="33"/>
  <c r="D42" i="33"/>
  <c r="D43" i="33"/>
  <c r="D44" i="33"/>
  <c r="D45" i="33"/>
  <c r="D46" i="33"/>
  <c r="D47" i="33"/>
  <c r="D48" i="33"/>
  <c r="D49" i="33"/>
  <c r="D50" i="33"/>
  <c r="D51" i="33"/>
  <c r="D52" i="33"/>
  <c r="D53" i="33"/>
  <c r="D54" i="33"/>
  <c r="D55" i="33"/>
  <c r="D56" i="33"/>
  <c r="D57" i="33"/>
  <c r="D58" i="33"/>
  <c r="D59" i="33"/>
  <c r="D60" i="33"/>
  <c r="D61" i="33"/>
  <c r="D62" i="33"/>
  <c r="D63" i="33"/>
  <c r="D64" i="33"/>
  <c r="D65" i="33"/>
  <c r="D66" i="33"/>
  <c r="D67" i="33"/>
  <c r="D68" i="33"/>
  <c r="D69" i="33"/>
  <c r="D70" i="33"/>
  <c r="D71" i="33"/>
  <c r="D72" i="33"/>
  <c r="D73" i="33"/>
  <c r="D74" i="33"/>
  <c r="D75" i="33"/>
  <c r="D76" i="33"/>
  <c r="D77" i="33"/>
  <c r="D78" i="33"/>
  <c r="D79" i="33"/>
  <c r="D80" i="33"/>
  <c r="D81" i="33"/>
  <c r="D82" i="33"/>
  <c r="D83" i="33"/>
  <c r="D84" i="33"/>
  <c r="D85" i="33"/>
  <c r="D86" i="33"/>
  <c r="D87" i="33"/>
  <c r="D88" i="33"/>
  <c r="D89" i="33"/>
  <c r="D90" i="33"/>
  <c r="D91" i="33"/>
  <c r="D92" i="33"/>
  <c r="D93" i="33"/>
  <c r="D94" i="33"/>
  <c r="D95" i="33"/>
  <c r="D96" i="33"/>
  <c r="D97" i="33"/>
  <c r="D98" i="33"/>
  <c r="D20" i="33"/>
  <c r="D19" i="33"/>
  <c r="B3" i="33"/>
  <c r="D99" i="32"/>
  <c r="D21" i="32"/>
  <c r="D22" i="32"/>
  <c r="D23" i="32"/>
  <c r="D24" i="32"/>
  <c r="D25" i="32"/>
  <c r="D26" i="32"/>
  <c r="D27" i="32"/>
  <c r="D28" i="32"/>
  <c r="D29" i="32"/>
  <c r="D30" i="32"/>
  <c r="D31" i="32"/>
  <c r="D32" i="32"/>
  <c r="D33" i="32"/>
  <c r="D34" i="32"/>
  <c r="D35" i="32"/>
  <c r="D36" i="32"/>
  <c r="D37" i="32"/>
  <c r="D38" i="32"/>
  <c r="D39" i="32"/>
  <c r="D40" i="32"/>
  <c r="D41" i="32"/>
  <c r="D42" i="32"/>
  <c r="D43" i="32"/>
  <c r="D44" i="32"/>
  <c r="D45" i="32"/>
  <c r="D46" i="32"/>
  <c r="D47" i="32"/>
  <c r="D48" i="32"/>
  <c r="D49" i="32"/>
  <c r="D50" i="32"/>
  <c r="D51" i="32"/>
  <c r="D52" i="32"/>
  <c r="D53" i="32"/>
  <c r="D54" i="32"/>
  <c r="D55" i="32"/>
  <c r="D56" i="32"/>
  <c r="D57" i="32"/>
  <c r="D58" i="32"/>
  <c r="D59" i="32"/>
  <c r="D60" i="32"/>
  <c r="D61" i="32"/>
  <c r="D62" i="32"/>
  <c r="D63" i="32"/>
  <c r="D64" i="32"/>
  <c r="D65" i="32"/>
  <c r="D66" i="32"/>
  <c r="D67" i="32"/>
  <c r="D68" i="32"/>
  <c r="D69" i="32"/>
  <c r="D70" i="32"/>
  <c r="D71" i="32"/>
  <c r="D72" i="32"/>
  <c r="D73" i="32"/>
  <c r="D74" i="32"/>
  <c r="D75" i="32"/>
  <c r="D76" i="32"/>
  <c r="D77" i="32"/>
  <c r="D78" i="32"/>
  <c r="D79" i="32"/>
  <c r="D80" i="32"/>
  <c r="D81" i="32"/>
  <c r="D82" i="32"/>
  <c r="D83" i="32"/>
  <c r="D84" i="32"/>
  <c r="D85" i="32"/>
  <c r="D86" i="32"/>
  <c r="D87" i="32"/>
  <c r="D88" i="32"/>
  <c r="D89" i="32"/>
  <c r="D90" i="32"/>
  <c r="D91" i="32"/>
  <c r="D92" i="32"/>
  <c r="D93" i="32"/>
  <c r="D94" i="32"/>
  <c r="D95" i="32"/>
  <c r="D96" i="32"/>
  <c r="D97" i="32"/>
  <c r="D98" i="32"/>
  <c r="D20" i="32"/>
  <c r="D19" i="32"/>
  <c r="B3" i="32"/>
  <c r="D99" i="31"/>
  <c r="D21" i="31"/>
  <c r="D22" i="31"/>
  <c r="D23" i="31"/>
  <c r="D24" i="31"/>
  <c r="D25" i="31"/>
  <c r="D26" i="31"/>
  <c r="D27" i="31"/>
  <c r="D28" i="31"/>
  <c r="D29" i="31"/>
  <c r="D30" i="31"/>
  <c r="D31" i="31"/>
  <c r="D32" i="31"/>
  <c r="D33" i="31"/>
  <c r="D34" i="31"/>
  <c r="D35" i="31"/>
  <c r="D36" i="31"/>
  <c r="D37" i="31"/>
  <c r="D38" i="31"/>
  <c r="D39" i="31"/>
  <c r="D40" i="31"/>
  <c r="D41" i="31"/>
  <c r="D42" i="31"/>
  <c r="D43" i="31"/>
  <c r="D44" i="31"/>
  <c r="D45" i="31"/>
  <c r="D46" i="31"/>
  <c r="D47" i="31"/>
  <c r="D48" i="31"/>
  <c r="D49" i="31"/>
  <c r="D50" i="31"/>
  <c r="D51" i="31"/>
  <c r="D52" i="31"/>
  <c r="D53" i="31"/>
  <c r="D54" i="31"/>
  <c r="D55" i="31"/>
  <c r="D56" i="31"/>
  <c r="D57" i="31"/>
  <c r="D58" i="31"/>
  <c r="D59" i="31"/>
  <c r="D60" i="31"/>
  <c r="D61" i="31"/>
  <c r="D62" i="31"/>
  <c r="D63" i="31"/>
  <c r="D64" i="31"/>
  <c r="D65" i="31"/>
  <c r="D66" i="31"/>
  <c r="D67" i="31"/>
  <c r="D68" i="31"/>
  <c r="D69" i="31"/>
  <c r="D70" i="31"/>
  <c r="D71" i="31"/>
  <c r="D72" i="31"/>
  <c r="D73" i="31"/>
  <c r="D74" i="31"/>
  <c r="D75" i="31"/>
  <c r="D76" i="31"/>
  <c r="D77" i="31"/>
  <c r="D78" i="31"/>
  <c r="D79" i="31"/>
  <c r="D80" i="31"/>
  <c r="D81" i="31"/>
  <c r="D82" i="31"/>
  <c r="D83" i="31"/>
  <c r="D84" i="31"/>
  <c r="D85" i="31"/>
  <c r="D86" i="31"/>
  <c r="D87" i="31"/>
  <c r="D88" i="31"/>
  <c r="D89" i="31"/>
  <c r="D90" i="31"/>
  <c r="D91" i="31"/>
  <c r="D92" i="31"/>
  <c r="D93" i="31"/>
  <c r="D94" i="31"/>
  <c r="D95" i="31"/>
  <c r="D96" i="31"/>
  <c r="D97" i="31"/>
  <c r="D98" i="31"/>
  <c r="D20" i="31"/>
  <c r="D19" i="31"/>
  <c r="B3" i="31"/>
  <c r="R25" i="4"/>
  <c r="I19" i="4"/>
  <c r="J19" i="4" s="1"/>
  <c r="R19" i="4" s="1"/>
  <c r="I18" i="4"/>
  <c r="J18" i="4" s="1"/>
  <c r="R18" i="4" s="1"/>
  <c r="W6" i="33" s="1"/>
  <c r="H19" i="4"/>
  <c r="H18" i="4"/>
  <c r="L15" i="4"/>
  <c r="L16" i="4"/>
  <c r="L19" i="4"/>
  <c r="D21" i="18"/>
  <c r="D22" i="18"/>
  <c r="D23" i="18"/>
  <c r="D24" i="18"/>
  <c r="D25" i="18"/>
  <c r="D26" i="18"/>
  <c r="D27" i="18"/>
  <c r="D28" i="18"/>
  <c r="D29" i="18"/>
  <c r="D30" i="18"/>
  <c r="D31" i="18"/>
  <c r="D32" i="18"/>
  <c r="D33" i="18"/>
  <c r="D34" i="18"/>
  <c r="D35" i="18"/>
  <c r="D36" i="18"/>
  <c r="D37" i="18"/>
  <c r="D38" i="18"/>
  <c r="D39" i="18"/>
  <c r="D40" i="18"/>
  <c r="D41" i="18"/>
  <c r="D42" i="18"/>
  <c r="D43" i="18"/>
  <c r="D44" i="18"/>
  <c r="D45" i="18"/>
  <c r="D46" i="18"/>
  <c r="D47" i="18"/>
  <c r="D48" i="18"/>
  <c r="D49" i="18"/>
  <c r="D50" i="18"/>
  <c r="D51" i="18"/>
  <c r="D52" i="18"/>
  <c r="D53" i="18"/>
  <c r="D54" i="18"/>
  <c r="D55" i="18"/>
  <c r="D56" i="18"/>
  <c r="D57" i="18"/>
  <c r="D58" i="18"/>
  <c r="D59" i="18"/>
  <c r="D60" i="18"/>
  <c r="D61" i="18"/>
  <c r="D62" i="18"/>
  <c r="D63" i="18"/>
  <c r="D64" i="18"/>
  <c r="D65" i="18"/>
  <c r="D66" i="18"/>
  <c r="D67" i="18"/>
  <c r="D68" i="18"/>
  <c r="D69" i="18"/>
  <c r="D70" i="18"/>
  <c r="D71" i="18"/>
  <c r="D72" i="18"/>
  <c r="D73" i="18"/>
  <c r="D74" i="18"/>
  <c r="D75" i="18"/>
  <c r="D76" i="18"/>
  <c r="D77" i="18"/>
  <c r="D78" i="18"/>
  <c r="D79" i="18"/>
  <c r="D80" i="18"/>
  <c r="D81" i="18"/>
  <c r="D82" i="18"/>
  <c r="D83" i="18"/>
  <c r="D84" i="18"/>
  <c r="D85" i="18"/>
  <c r="D86" i="18"/>
  <c r="D87" i="18"/>
  <c r="D88" i="18"/>
  <c r="D89" i="18"/>
  <c r="D90" i="18"/>
  <c r="D91" i="18"/>
  <c r="D92" i="18"/>
  <c r="D93" i="18"/>
  <c r="D94" i="18"/>
  <c r="D95" i="18"/>
  <c r="D96" i="18"/>
  <c r="D97" i="18"/>
  <c r="D98" i="18"/>
  <c r="D99" i="18"/>
  <c r="D20" i="18"/>
  <c r="D19" i="18"/>
  <c r="E14" i="6"/>
  <c r="B6" i="30"/>
  <c r="B7" i="30" s="1"/>
  <c r="B8" i="30" s="1"/>
  <c r="B9" i="30" s="1"/>
  <c r="B10" i="30" s="1"/>
  <c r="B11" i="30" s="1"/>
  <c r="B12" i="30" s="1"/>
  <c r="B13" i="30" s="1"/>
  <c r="B14" i="30" s="1"/>
  <c r="B15" i="30" s="1"/>
  <c r="B16" i="30" s="1"/>
  <c r="B17" i="30" s="1"/>
  <c r="B18" i="30" s="1"/>
  <c r="B19" i="30" s="1"/>
  <c r="B20" i="30" s="1"/>
  <c r="B21" i="30" s="1"/>
  <c r="B22" i="30" s="1"/>
  <c r="B23" i="30" s="1"/>
  <c r="B24" i="30" s="1"/>
  <c r="B25" i="30" s="1"/>
  <c r="B26" i="30" s="1"/>
  <c r="B27" i="30" s="1"/>
  <c r="B28" i="30" s="1"/>
  <c r="B29" i="30" s="1"/>
  <c r="B30" i="30" s="1"/>
  <c r="B31" i="30" s="1"/>
  <c r="B32" i="30" s="1"/>
  <c r="B33" i="30" s="1"/>
  <c r="B34" i="30" s="1"/>
  <c r="B35" i="30" s="1"/>
  <c r="B36" i="30" s="1"/>
  <c r="B37" i="30" s="1"/>
  <c r="B38" i="30" s="1"/>
  <c r="B39" i="30" s="1"/>
  <c r="B40" i="30" s="1"/>
  <c r="B41" i="30" s="1"/>
  <c r="B42" i="30" s="1"/>
  <c r="B43" i="30" s="1"/>
  <c r="B44" i="30" s="1"/>
  <c r="B45" i="30" s="1"/>
  <c r="B46" i="30" s="1"/>
  <c r="B47" i="30" s="1"/>
  <c r="B48" i="30" s="1"/>
  <c r="B49" i="30" s="1"/>
  <c r="B50" i="30" s="1"/>
  <c r="B51" i="30" s="1"/>
  <c r="B52" i="30" s="1"/>
  <c r="B53" i="30" s="1"/>
  <c r="B54" i="30" s="1"/>
  <c r="B55" i="30" s="1"/>
  <c r="B56" i="30" s="1"/>
  <c r="B57" i="30" s="1"/>
  <c r="B58" i="30" s="1"/>
  <c r="B59" i="30" s="1"/>
  <c r="B60" i="30" s="1"/>
  <c r="B61" i="30" s="1"/>
  <c r="B62" i="30" s="1"/>
  <c r="B63" i="30" s="1"/>
  <c r="B64" i="30" s="1"/>
  <c r="B65" i="30" s="1"/>
  <c r="B66" i="30" s="1"/>
  <c r="B67" i="30" s="1"/>
  <c r="B68" i="30" s="1"/>
  <c r="B69" i="30" s="1"/>
  <c r="B70" i="30" s="1"/>
  <c r="B71" i="30" s="1"/>
  <c r="B72" i="30" s="1"/>
  <c r="B73" i="30" s="1"/>
  <c r="B74" i="30" s="1"/>
  <c r="B75" i="30" s="1"/>
  <c r="B76" i="30" s="1"/>
  <c r="B77" i="30" s="1"/>
  <c r="B78" i="30" s="1"/>
  <c r="B79" i="30" s="1"/>
  <c r="B80" i="30" s="1"/>
  <c r="B81" i="30" s="1"/>
  <c r="B82" i="30" s="1"/>
  <c r="B83" i="30" s="1"/>
  <c r="B84" i="30" s="1"/>
  <c r="B85" i="30" s="1"/>
  <c r="B86" i="30" s="1"/>
  <c r="B25" i="4"/>
  <c r="M14" i="6"/>
  <c r="N14" i="6"/>
  <c r="M15" i="6"/>
  <c r="N15" i="6"/>
  <c r="M16" i="6"/>
  <c r="N16" i="6"/>
  <c r="M17" i="6"/>
  <c r="N17" i="6"/>
  <c r="M18" i="6"/>
  <c r="N18" i="6"/>
  <c r="M19" i="6"/>
  <c r="N19" i="6"/>
  <c r="M20" i="6"/>
  <c r="N20" i="6"/>
  <c r="M21" i="6"/>
  <c r="N21" i="6"/>
  <c r="M22" i="6"/>
  <c r="N22" i="6"/>
  <c r="M23" i="6"/>
  <c r="N23" i="6"/>
  <c r="M24" i="6"/>
  <c r="N24" i="6"/>
  <c r="M25" i="6"/>
  <c r="N25" i="6"/>
  <c r="M26" i="6"/>
  <c r="N26" i="6"/>
  <c r="M27" i="6"/>
  <c r="N27" i="6"/>
  <c r="M28" i="6"/>
  <c r="N28" i="6"/>
  <c r="M29" i="6"/>
  <c r="N29" i="6"/>
  <c r="M30" i="6"/>
  <c r="N30" i="6"/>
  <c r="M31" i="6"/>
  <c r="N31" i="6"/>
  <c r="M32" i="6"/>
  <c r="N32" i="6"/>
  <c r="M33" i="6"/>
  <c r="N33" i="6"/>
  <c r="O34" i="7"/>
  <c r="C39" i="37" s="1"/>
  <c r="M34" i="6"/>
  <c r="N34" i="6"/>
  <c r="M35" i="6"/>
  <c r="N35" i="6"/>
  <c r="M36" i="6"/>
  <c r="N36" i="6"/>
  <c r="M37" i="6"/>
  <c r="N37" i="6"/>
  <c r="M38" i="6"/>
  <c r="N38" i="6"/>
  <c r="M39" i="6"/>
  <c r="N39" i="6"/>
  <c r="M40" i="6"/>
  <c r="N40" i="6"/>
  <c r="M41" i="6"/>
  <c r="N41" i="6"/>
  <c r="M42" i="6"/>
  <c r="N42" i="6"/>
  <c r="L43" i="7" s="1"/>
  <c r="M43" i="6"/>
  <c r="K44" i="7" s="1"/>
  <c r="N43" i="6"/>
  <c r="M44" i="6"/>
  <c r="N44" i="6"/>
  <c r="M45" i="6"/>
  <c r="N45" i="6"/>
  <c r="M46" i="6"/>
  <c r="N46" i="6"/>
  <c r="M47" i="6"/>
  <c r="N47" i="6"/>
  <c r="M48" i="6"/>
  <c r="N48" i="6"/>
  <c r="M49" i="6"/>
  <c r="N49" i="6"/>
  <c r="M50" i="6"/>
  <c r="N50" i="6"/>
  <c r="M51" i="6"/>
  <c r="N51" i="6"/>
  <c r="M52" i="6"/>
  <c r="N52" i="6"/>
  <c r="M53" i="6"/>
  <c r="N53" i="6"/>
  <c r="M54" i="6"/>
  <c r="N54" i="6"/>
  <c r="M55" i="6"/>
  <c r="N55" i="6"/>
  <c r="M56" i="6"/>
  <c r="N56" i="6"/>
  <c r="M57" i="6"/>
  <c r="N57" i="6"/>
  <c r="M58" i="6"/>
  <c r="N58" i="6"/>
  <c r="E59" i="7"/>
  <c r="P64" i="35" s="1"/>
  <c r="M59" i="6"/>
  <c r="N59" i="6"/>
  <c r="M60" i="6"/>
  <c r="N60" i="6"/>
  <c r="M61" i="6"/>
  <c r="N61" i="6"/>
  <c r="M62" i="6"/>
  <c r="N62" i="6"/>
  <c r="M63" i="6"/>
  <c r="N63" i="6"/>
  <c r="M64" i="6"/>
  <c r="N64" i="6"/>
  <c r="M65" i="6"/>
  <c r="N65" i="6"/>
  <c r="M66" i="6"/>
  <c r="N66" i="6"/>
  <c r="M67" i="6"/>
  <c r="N67" i="6"/>
  <c r="M68" i="6"/>
  <c r="N68" i="6"/>
  <c r="M69" i="6"/>
  <c r="N69" i="6"/>
  <c r="M70" i="6"/>
  <c r="N70" i="6"/>
  <c r="M71" i="6"/>
  <c r="N71" i="6"/>
  <c r="M72" i="6"/>
  <c r="N72" i="6"/>
  <c r="M73" i="6"/>
  <c r="N73" i="6"/>
  <c r="M74" i="6"/>
  <c r="N74" i="6"/>
  <c r="M75" i="6"/>
  <c r="N75" i="6"/>
  <c r="M76" i="6"/>
  <c r="N76" i="6"/>
  <c r="M77" i="6"/>
  <c r="N77" i="6"/>
  <c r="M78" i="6"/>
  <c r="N78" i="6"/>
  <c r="M79" i="6"/>
  <c r="N79" i="6"/>
  <c r="M80" i="6"/>
  <c r="K81" i="7" s="1"/>
  <c r="N80" i="6"/>
  <c r="M81" i="6"/>
  <c r="K82" i="7" s="1"/>
  <c r="N81" i="6"/>
  <c r="G82" i="7"/>
  <c r="P87" i="34" s="1"/>
  <c r="M82" i="6"/>
  <c r="N82" i="6"/>
  <c r="M83" i="6"/>
  <c r="N83" i="6"/>
  <c r="M84" i="6"/>
  <c r="N84" i="6"/>
  <c r="M85" i="6"/>
  <c r="N85" i="6"/>
  <c r="L86" i="7" s="1"/>
  <c r="M86" i="6"/>
  <c r="N86" i="6"/>
  <c r="M87" i="6"/>
  <c r="N87" i="6"/>
  <c r="M88" i="6"/>
  <c r="N88" i="6"/>
  <c r="M89" i="6"/>
  <c r="N89" i="6"/>
  <c r="M90" i="6"/>
  <c r="N90" i="6"/>
  <c r="M91" i="6"/>
  <c r="N91" i="6"/>
  <c r="M92" i="6"/>
  <c r="N92" i="6"/>
  <c r="M93" i="6"/>
  <c r="N93" i="6"/>
  <c r="M13" i="6"/>
  <c r="N13" i="6"/>
  <c r="O42" i="4"/>
  <c r="C40" i="4"/>
  <c r="D40" i="4"/>
  <c r="E40" i="4" s="1"/>
  <c r="O40" i="4" s="1"/>
  <c r="K8" i="35" s="1"/>
  <c r="D37" i="4"/>
  <c r="E37" i="4" s="1"/>
  <c r="O37" i="4" s="1"/>
  <c r="W8" i="33" s="1"/>
  <c r="W9" i="33" s="1"/>
  <c r="C37" i="4"/>
  <c r="B24" i="4"/>
  <c r="B23" i="4"/>
  <c r="B22" i="4"/>
  <c r="B19" i="4"/>
  <c r="B18" i="4"/>
  <c r="L35" i="4"/>
  <c r="D34" i="4"/>
  <c r="E34" i="4" s="1"/>
  <c r="O34" i="4" s="1"/>
  <c r="O45" i="4"/>
  <c r="F18" i="8"/>
  <c r="L38" i="4"/>
  <c r="L34" i="4"/>
  <c r="E65" i="6"/>
  <c r="O62" i="4"/>
  <c r="F78" i="6"/>
  <c r="H91" i="6"/>
  <c r="O63" i="4"/>
  <c r="J78" i="6"/>
  <c r="D18" i="4"/>
  <c r="O18" i="4" s="1"/>
  <c r="K6" i="33" s="1"/>
  <c r="D19" i="4"/>
  <c r="O19" i="4" s="1"/>
  <c r="K50" i="6"/>
  <c r="L30" i="6"/>
  <c r="C93" i="8"/>
  <c r="D93" i="8"/>
  <c r="E93" i="8"/>
  <c r="F93" i="8"/>
  <c r="G93" i="8"/>
  <c r="K7" i="37"/>
  <c r="W7" i="35"/>
  <c r="W7" i="33"/>
  <c r="C92" i="8"/>
  <c r="D92" i="8"/>
  <c r="E92" i="8"/>
  <c r="F92" i="8"/>
  <c r="G92" i="8"/>
  <c r="C91" i="8"/>
  <c r="D91" i="8"/>
  <c r="E91" i="8"/>
  <c r="F91" i="8"/>
  <c r="G91" i="8"/>
  <c r="C90" i="8"/>
  <c r="D90" i="8"/>
  <c r="E90" i="8"/>
  <c r="F90" i="8"/>
  <c r="G90" i="8"/>
  <c r="C89" i="8"/>
  <c r="D89" i="8"/>
  <c r="E89" i="8"/>
  <c r="F89" i="8"/>
  <c r="G89" i="8"/>
  <c r="C88" i="8"/>
  <c r="D88" i="8"/>
  <c r="E88" i="8"/>
  <c r="F88" i="8"/>
  <c r="G88" i="8"/>
  <c r="C87" i="8"/>
  <c r="D87" i="8"/>
  <c r="E87" i="8"/>
  <c r="F87" i="8"/>
  <c r="G87" i="8"/>
  <c r="C86" i="8"/>
  <c r="D86" i="8"/>
  <c r="E86" i="8"/>
  <c r="F86" i="8"/>
  <c r="G86" i="8"/>
  <c r="C85" i="8"/>
  <c r="D85" i="8"/>
  <c r="E85" i="8"/>
  <c r="F85" i="8"/>
  <c r="G85" i="8"/>
  <c r="C84" i="8"/>
  <c r="D84" i="8"/>
  <c r="E84" i="8"/>
  <c r="F84" i="8"/>
  <c r="G84" i="8"/>
  <c r="C83" i="8"/>
  <c r="D83" i="8"/>
  <c r="E83" i="8"/>
  <c r="F83" i="8"/>
  <c r="G83" i="8"/>
  <c r="C82" i="8"/>
  <c r="D82" i="8"/>
  <c r="E82" i="8"/>
  <c r="F82" i="8"/>
  <c r="G82" i="8"/>
  <c r="C81" i="8"/>
  <c r="D81" i="8"/>
  <c r="E81" i="8"/>
  <c r="F81" i="8"/>
  <c r="G81" i="8"/>
  <c r="C80" i="8"/>
  <c r="D80" i="8"/>
  <c r="E80" i="8"/>
  <c r="F80" i="8"/>
  <c r="G80" i="8"/>
  <c r="C79" i="8"/>
  <c r="D79" i="8"/>
  <c r="E79" i="8"/>
  <c r="F79" i="8"/>
  <c r="G79" i="8"/>
  <c r="C78" i="8"/>
  <c r="D78" i="8"/>
  <c r="E78" i="8"/>
  <c r="F78" i="8"/>
  <c r="G78" i="8"/>
  <c r="C77" i="8"/>
  <c r="D77" i="8"/>
  <c r="E77" i="8"/>
  <c r="F77" i="8"/>
  <c r="G77" i="8"/>
  <c r="C76" i="8"/>
  <c r="D76" i="8"/>
  <c r="E76" i="8"/>
  <c r="F76" i="8"/>
  <c r="G76" i="8"/>
  <c r="C75" i="8"/>
  <c r="D75" i="8"/>
  <c r="E75" i="8"/>
  <c r="F75" i="8"/>
  <c r="G75" i="8"/>
  <c r="C74" i="8"/>
  <c r="D74" i="8"/>
  <c r="E74" i="8"/>
  <c r="F74" i="8"/>
  <c r="G74" i="8"/>
  <c r="C73" i="8"/>
  <c r="D73" i="8"/>
  <c r="E73" i="8"/>
  <c r="F73" i="8"/>
  <c r="G73" i="8"/>
  <c r="C72" i="8"/>
  <c r="D72" i="8"/>
  <c r="E72" i="8"/>
  <c r="F72" i="8"/>
  <c r="G72" i="8"/>
  <c r="C71" i="8"/>
  <c r="D71" i="8"/>
  <c r="E71" i="8"/>
  <c r="F71" i="8"/>
  <c r="G71" i="8"/>
  <c r="C70" i="8"/>
  <c r="D70" i="8"/>
  <c r="E70" i="8"/>
  <c r="F70" i="8"/>
  <c r="G70" i="8"/>
  <c r="C69" i="8"/>
  <c r="D69" i="8"/>
  <c r="E69" i="8"/>
  <c r="F69" i="8"/>
  <c r="G69" i="8"/>
  <c r="C68" i="8"/>
  <c r="D68" i="8"/>
  <c r="E68" i="8"/>
  <c r="F68" i="8"/>
  <c r="G68" i="8"/>
  <c r="C67" i="8"/>
  <c r="D67" i="8"/>
  <c r="E67" i="8"/>
  <c r="F67" i="8"/>
  <c r="G67" i="8"/>
  <c r="C66" i="8"/>
  <c r="D66" i="8"/>
  <c r="E66" i="8"/>
  <c r="F66" i="8"/>
  <c r="G66" i="8"/>
  <c r="C65" i="8"/>
  <c r="D65" i="8"/>
  <c r="E65" i="8"/>
  <c r="F65" i="8"/>
  <c r="G65" i="8"/>
  <c r="C64" i="8"/>
  <c r="D64" i="8"/>
  <c r="E64" i="8"/>
  <c r="F64" i="8"/>
  <c r="G64" i="8"/>
  <c r="C63" i="8"/>
  <c r="D63" i="8"/>
  <c r="E63" i="8"/>
  <c r="F63" i="8"/>
  <c r="G63" i="8"/>
  <c r="C62" i="8"/>
  <c r="D62" i="8"/>
  <c r="E62" i="8"/>
  <c r="F62" i="8"/>
  <c r="G62" i="8"/>
  <c r="C61" i="8"/>
  <c r="D61" i="8"/>
  <c r="E61" i="8"/>
  <c r="F61" i="8"/>
  <c r="G61" i="8"/>
  <c r="C60" i="8"/>
  <c r="D60" i="8"/>
  <c r="E60" i="8"/>
  <c r="F60" i="8"/>
  <c r="G60" i="8"/>
  <c r="C59" i="8"/>
  <c r="D59" i="8"/>
  <c r="E59" i="8"/>
  <c r="F59" i="8"/>
  <c r="G59" i="8"/>
  <c r="C58" i="8"/>
  <c r="D58" i="8"/>
  <c r="E58" i="8"/>
  <c r="F58" i="8"/>
  <c r="G58" i="8"/>
  <c r="C57" i="8"/>
  <c r="D57" i="8"/>
  <c r="E57" i="8"/>
  <c r="F57" i="8"/>
  <c r="G57" i="8"/>
  <c r="C56" i="8"/>
  <c r="D56" i="8"/>
  <c r="E56" i="8"/>
  <c r="F56" i="8"/>
  <c r="G56" i="8"/>
  <c r="C55" i="8"/>
  <c r="D55" i="8"/>
  <c r="E55" i="8"/>
  <c r="F55" i="8"/>
  <c r="G55" i="8"/>
  <c r="C54" i="8"/>
  <c r="D54" i="8"/>
  <c r="E54" i="8"/>
  <c r="F54" i="8"/>
  <c r="G54" i="8"/>
  <c r="C53" i="8"/>
  <c r="D53" i="8"/>
  <c r="E53" i="8"/>
  <c r="F53" i="8"/>
  <c r="G53" i="8"/>
  <c r="C52" i="8"/>
  <c r="D52" i="8"/>
  <c r="E52" i="8"/>
  <c r="F52" i="8"/>
  <c r="G52" i="8"/>
  <c r="C51" i="8"/>
  <c r="D51" i="8"/>
  <c r="E51" i="8"/>
  <c r="F51" i="8"/>
  <c r="G51" i="8"/>
  <c r="C50" i="8"/>
  <c r="D50" i="8"/>
  <c r="E50" i="8"/>
  <c r="F50" i="8"/>
  <c r="G50" i="8"/>
  <c r="C49" i="8"/>
  <c r="D49" i="8"/>
  <c r="E49" i="8"/>
  <c r="F49" i="8"/>
  <c r="G49" i="8"/>
  <c r="C48" i="8"/>
  <c r="D48" i="8"/>
  <c r="E48" i="8"/>
  <c r="F48" i="8"/>
  <c r="G48" i="8"/>
  <c r="C47" i="8"/>
  <c r="D47" i="8"/>
  <c r="E47" i="8"/>
  <c r="F47" i="8"/>
  <c r="G47" i="8"/>
  <c r="C46" i="8"/>
  <c r="D46" i="8"/>
  <c r="E46" i="8"/>
  <c r="F46" i="8"/>
  <c r="G46" i="8"/>
  <c r="C45" i="8"/>
  <c r="D45" i="8"/>
  <c r="E45" i="8"/>
  <c r="F45" i="8"/>
  <c r="G45" i="8"/>
  <c r="C44" i="8"/>
  <c r="D44" i="8"/>
  <c r="E44" i="8"/>
  <c r="F44" i="8"/>
  <c r="G44" i="8"/>
  <c r="C43" i="8"/>
  <c r="D43" i="8"/>
  <c r="E43" i="8"/>
  <c r="F43" i="8"/>
  <c r="G43" i="8"/>
  <c r="C42" i="8"/>
  <c r="D42" i="8"/>
  <c r="E42" i="8"/>
  <c r="F42" i="8"/>
  <c r="G42" i="8"/>
  <c r="C41" i="8"/>
  <c r="D41" i="8"/>
  <c r="E41" i="8"/>
  <c r="F41" i="8"/>
  <c r="G41" i="8"/>
  <c r="C40" i="8"/>
  <c r="D40" i="8"/>
  <c r="E40" i="8"/>
  <c r="F40" i="8"/>
  <c r="G40" i="8"/>
  <c r="C39" i="8"/>
  <c r="D39" i="8"/>
  <c r="E39" i="8"/>
  <c r="F39" i="8"/>
  <c r="G39" i="8"/>
  <c r="C38" i="8"/>
  <c r="D38" i="8"/>
  <c r="E38" i="8"/>
  <c r="F38" i="8"/>
  <c r="G38" i="8"/>
  <c r="C37" i="8"/>
  <c r="D37" i="8"/>
  <c r="E37" i="8"/>
  <c r="F37" i="8"/>
  <c r="G37" i="8"/>
  <c r="C36" i="8"/>
  <c r="D36" i="8"/>
  <c r="E36" i="8"/>
  <c r="F36" i="8"/>
  <c r="G36" i="8"/>
  <c r="C35" i="8"/>
  <c r="D35" i="8"/>
  <c r="E35" i="8"/>
  <c r="F35" i="8"/>
  <c r="G35" i="8"/>
  <c r="C34" i="8"/>
  <c r="D34" i="8"/>
  <c r="E34" i="8"/>
  <c r="F34" i="8"/>
  <c r="G34" i="8"/>
  <c r="C33" i="8"/>
  <c r="D33" i="8"/>
  <c r="E33" i="8"/>
  <c r="F33" i="8"/>
  <c r="G33" i="8"/>
  <c r="C32" i="8"/>
  <c r="D32" i="8"/>
  <c r="E32" i="8"/>
  <c r="F32" i="8"/>
  <c r="G32" i="8"/>
  <c r="C31" i="8"/>
  <c r="D31" i="8"/>
  <c r="E31" i="8"/>
  <c r="F31" i="8"/>
  <c r="G31" i="8"/>
  <c r="C30" i="8"/>
  <c r="D30" i="8"/>
  <c r="E30" i="8"/>
  <c r="F30" i="8"/>
  <c r="G30" i="8"/>
  <c r="C29" i="8"/>
  <c r="D29" i="8"/>
  <c r="E29" i="8"/>
  <c r="F29" i="8"/>
  <c r="G29" i="8"/>
  <c r="C28" i="8"/>
  <c r="D28" i="8"/>
  <c r="E28" i="8"/>
  <c r="F28" i="8"/>
  <c r="G28" i="8"/>
  <c r="C27" i="8"/>
  <c r="D27" i="8"/>
  <c r="E27" i="8"/>
  <c r="F27" i="8"/>
  <c r="G27" i="8"/>
  <c r="C26" i="8"/>
  <c r="D26" i="8"/>
  <c r="E26" i="8"/>
  <c r="F26" i="8"/>
  <c r="G26" i="8"/>
  <c r="C25" i="8"/>
  <c r="D25" i="8"/>
  <c r="E25" i="8"/>
  <c r="F25" i="8"/>
  <c r="G25" i="8"/>
  <c r="C24" i="8"/>
  <c r="D24" i="8"/>
  <c r="E24" i="8"/>
  <c r="F24" i="8"/>
  <c r="G24" i="8"/>
  <c r="C23" i="8"/>
  <c r="D23" i="8"/>
  <c r="E23" i="8"/>
  <c r="F23" i="8"/>
  <c r="G23" i="8"/>
  <c r="C22" i="8"/>
  <c r="D22" i="8"/>
  <c r="E22" i="8"/>
  <c r="F22" i="8"/>
  <c r="G22" i="8"/>
  <c r="C21" i="8"/>
  <c r="D21" i="8"/>
  <c r="E21" i="8"/>
  <c r="F21" i="8"/>
  <c r="G21" i="8"/>
  <c r="C20" i="8"/>
  <c r="D20" i="8"/>
  <c r="E20" i="8"/>
  <c r="F20" i="8"/>
  <c r="G20" i="8"/>
  <c r="C19" i="8"/>
  <c r="D19" i="8"/>
  <c r="E19" i="8"/>
  <c r="F19" i="8"/>
  <c r="G19" i="8"/>
  <c r="C18" i="8"/>
  <c r="D18" i="8"/>
  <c r="E18" i="8"/>
  <c r="G18" i="8"/>
  <c r="K13" i="37"/>
  <c r="W13" i="33"/>
  <c r="E53" i="4"/>
  <c r="W4" i="5"/>
  <c r="X4" i="5"/>
  <c r="AH25" i="5" s="1"/>
  <c r="Y4" i="5"/>
  <c r="AA4" i="5"/>
  <c r="AD4" i="5"/>
  <c r="E58" i="4"/>
  <c r="E59" i="4"/>
  <c r="E55" i="4"/>
  <c r="F12" i="28" s="1"/>
  <c r="C94" i="8"/>
  <c r="D94" i="8"/>
  <c r="E94" i="8"/>
  <c r="F94" i="8"/>
  <c r="G94" i="8"/>
  <c r="C95" i="8"/>
  <c r="D95" i="8"/>
  <c r="E95" i="8"/>
  <c r="F95" i="8"/>
  <c r="G95" i="8"/>
  <c r="C96" i="8"/>
  <c r="D96" i="8"/>
  <c r="E96" i="8"/>
  <c r="F96" i="8"/>
  <c r="G96" i="8"/>
  <c r="C97" i="8"/>
  <c r="D97" i="8"/>
  <c r="E97" i="8"/>
  <c r="F97" i="8"/>
  <c r="G97" i="8"/>
  <c r="C98" i="8"/>
  <c r="D98" i="8"/>
  <c r="E98" i="8"/>
  <c r="F98" i="8"/>
  <c r="G98" i="8"/>
  <c r="B14" i="7"/>
  <c r="O19" i="37" s="1"/>
  <c r="O19" i="18"/>
  <c r="B3" i="18"/>
  <c r="AE8" i="5"/>
  <c r="AE9" i="5"/>
  <c r="AE10" i="5"/>
  <c r="AE11" i="5"/>
  <c r="AF32" i="5"/>
  <c r="AF11" i="5" s="1"/>
  <c r="AG32" i="5"/>
  <c r="AG11" i="5" s="1"/>
  <c r="AE12" i="5"/>
  <c r="AE13" i="5"/>
  <c r="AE14" i="5"/>
  <c r="AE15" i="5"/>
  <c r="AE16" i="5"/>
  <c r="AE17" i="5"/>
  <c r="AE18" i="5"/>
  <c r="AE19" i="5"/>
  <c r="AE20" i="5"/>
  <c r="AE21" i="5"/>
  <c r="AE22" i="5"/>
  <c r="AE23" i="5"/>
  <c r="AE24" i="5"/>
  <c r="AE25" i="5"/>
  <c r="AE26" i="5"/>
  <c r="W29" i="5"/>
  <c r="X29" i="5"/>
  <c r="Y29" i="5"/>
  <c r="Z29" i="5"/>
  <c r="AD29" i="5"/>
  <c r="C39" i="5"/>
  <c r="C41" i="5"/>
  <c r="F13" i="28"/>
  <c r="B17" i="17"/>
  <c r="B18" i="17" s="1"/>
  <c r="B19" i="17"/>
  <c r="B20" i="17" s="1"/>
  <c r="B21" i="17" s="1"/>
  <c r="B22" i="17" s="1"/>
  <c r="B23" i="17" s="1"/>
  <c r="B24" i="17" s="1"/>
  <c r="B25" i="17" s="1"/>
  <c r="B26" i="17" s="1"/>
  <c r="B27" i="17" s="1"/>
  <c r="B28" i="17" s="1"/>
  <c r="B29" i="17" s="1"/>
  <c r="B30" i="17" s="1"/>
  <c r="B31" i="17" s="1"/>
  <c r="B32" i="17" s="1"/>
  <c r="B33" i="17" s="1"/>
  <c r="B34" i="17" s="1"/>
  <c r="B35" i="17" s="1"/>
  <c r="B36" i="17" s="1"/>
  <c r="B37" i="17" s="1"/>
  <c r="B38" i="17" s="1"/>
  <c r="B39" i="17" s="1"/>
  <c r="B40" i="17" s="1"/>
  <c r="B41" i="17" s="1"/>
  <c r="B42" i="17" s="1"/>
  <c r="B43" i="17" s="1"/>
  <c r="B44" i="17" s="1"/>
  <c r="B45" i="17" s="1"/>
  <c r="B46" i="17" s="1"/>
  <c r="B47" i="17" s="1"/>
  <c r="B48" i="17" s="1"/>
  <c r="B49" i="17" s="1"/>
  <c r="B50" i="17" s="1"/>
  <c r="B51" i="17" s="1"/>
  <c r="B52" i="17" s="1"/>
  <c r="B53" i="17" s="1"/>
  <c r="B54" i="17" s="1"/>
  <c r="B55" i="17" s="1"/>
  <c r="B56" i="17" s="1"/>
  <c r="B57" i="17" s="1"/>
  <c r="B58" i="17" s="1"/>
  <c r="B59" i="17" s="1"/>
  <c r="B60" i="17" s="1"/>
  <c r="B61" i="17" s="1"/>
  <c r="B62" i="17" s="1"/>
  <c r="B63" i="17" s="1"/>
  <c r="B64" i="17" s="1"/>
  <c r="B65" i="17" s="1"/>
  <c r="B66" i="17" s="1"/>
  <c r="B67" i="17" s="1"/>
  <c r="B68" i="17" s="1"/>
  <c r="B69" i="17" s="1"/>
  <c r="B70" i="17" s="1"/>
  <c r="B71" i="17" s="1"/>
  <c r="B72" i="17" s="1"/>
  <c r="B73" i="17" s="1"/>
  <c r="B74" i="17" s="1"/>
  <c r="B75" i="17" s="1"/>
  <c r="B76" i="17" s="1"/>
  <c r="B77" i="17" s="1"/>
  <c r="B78" i="17" s="1"/>
  <c r="B79" i="17" s="1"/>
  <c r="B80" i="17" s="1"/>
  <c r="B81" i="17" s="1"/>
  <c r="B82" i="17" s="1"/>
  <c r="B83" i="17" s="1"/>
  <c r="B84" i="17" s="1"/>
  <c r="B85" i="17" s="1"/>
  <c r="B86" i="17" s="1"/>
  <c r="B87" i="17" s="1"/>
  <c r="B88" i="17" s="1"/>
  <c r="B89" i="17" s="1"/>
  <c r="B90" i="17" s="1"/>
  <c r="B91" i="17" s="1"/>
  <c r="B92" i="17" s="1"/>
  <c r="B93" i="17" s="1"/>
  <c r="B94" i="17" s="1"/>
  <c r="B95" i="17" s="1"/>
  <c r="B96" i="17" s="1"/>
  <c r="B97" i="17" s="1"/>
  <c r="M17" i="17"/>
  <c r="M18" i="17"/>
  <c r="M19" i="17"/>
  <c r="M20" i="17"/>
  <c r="M21" i="17"/>
  <c r="M22" i="17"/>
  <c r="M23" i="17"/>
  <c r="M24" i="17"/>
  <c r="M25" i="17"/>
  <c r="M26" i="17"/>
  <c r="M27" i="17"/>
  <c r="M28" i="17"/>
  <c r="M29" i="17"/>
  <c r="M30" i="17"/>
  <c r="M31" i="17"/>
  <c r="M32" i="17"/>
  <c r="M33" i="17"/>
  <c r="M34" i="17"/>
  <c r="M35" i="17"/>
  <c r="M36" i="17"/>
  <c r="M37" i="17"/>
  <c r="M38" i="17"/>
  <c r="M39" i="17"/>
  <c r="M40" i="17"/>
  <c r="M41" i="17"/>
  <c r="M42" i="17"/>
  <c r="M43" i="17"/>
  <c r="M44" i="17"/>
  <c r="M45" i="17"/>
  <c r="M46" i="17"/>
  <c r="M47" i="17"/>
  <c r="M48" i="17"/>
  <c r="M49" i="17"/>
  <c r="M50" i="17"/>
  <c r="M51" i="17"/>
  <c r="M52" i="17"/>
  <c r="M53" i="17"/>
  <c r="M54" i="17"/>
  <c r="M55" i="17"/>
  <c r="M56" i="17"/>
  <c r="M57" i="17"/>
  <c r="M58" i="17"/>
  <c r="M59" i="17"/>
  <c r="M60" i="17"/>
  <c r="M61" i="17"/>
  <c r="M62" i="17"/>
  <c r="M63" i="17"/>
  <c r="M64" i="17"/>
  <c r="M65" i="17"/>
  <c r="M66" i="17"/>
  <c r="M67" i="17"/>
  <c r="M68" i="17"/>
  <c r="M69" i="17"/>
  <c r="M70" i="17"/>
  <c r="M71" i="17"/>
  <c r="M72" i="17"/>
  <c r="M73" i="17"/>
  <c r="M74" i="17"/>
  <c r="M75" i="17"/>
  <c r="M76" i="17"/>
  <c r="M77" i="17"/>
  <c r="M78" i="17"/>
  <c r="M79" i="17"/>
  <c r="M80" i="17"/>
  <c r="M81" i="17"/>
  <c r="M82" i="17"/>
  <c r="M83" i="17"/>
  <c r="M84" i="17"/>
  <c r="M85" i="17"/>
  <c r="M86" i="17"/>
  <c r="M87" i="17"/>
  <c r="M88" i="17"/>
  <c r="M89" i="17"/>
  <c r="M90" i="17"/>
  <c r="M91" i="17"/>
  <c r="M92" i="17"/>
  <c r="M93" i="17"/>
  <c r="M94" i="17"/>
  <c r="M95" i="17"/>
  <c r="M96" i="17"/>
  <c r="M97" i="17"/>
  <c r="B12" i="28"/>
  <c r="B13" i="28" s="1"/>
  <c r="B14" i="28" s="1"/>
  <c r="B15" i="28" s="1"/>
  <c r="B16" i="28" s="1"/>
  <c r="B17" i="28" s="1"/>
  <c r="B18" i="28" s="1"/>
  <c r="B19" i="28" s="1"/>
  <c r="B20" i="28" s="1"/>
  <c r="B21" i="28" s="1"/>
  <c r="B22" i="28" s="1"/>
  <c r="B23" i="28" s="1"/>
  <c r="B24" i="28" s="1"/>
  <c r="B25" i="28" s="1"/>
  <c r="B26" i="28" s="1"/>
  <c r="B27" i="28" s="1"/>
  <c r="B28" i="28" s="1"/>
  <c r="B29" i="28" s="1"/>
  <c r="B30" i="28" s="1"/>
  <c r="B31" i="28" s="1"/>
  <c r="B32" i="28" s="1"/>
  <c r="B33" i="28" s="1"/>
  <c r="B34" i="28" s="1"/>
  <c r="B35" i="28" s="1"/>
  <c r="B36" i="28" s="1"/>
  <c r="B37" i="28" s="1"/>
  <c r="B38" i="28" s="1"/>
  <c r="B39" i="28" s="1"/>
  <c r="B40" i="28" s="1"/>
  <c r="B41" i="28" s="1"/>
  <c r="B42" i="28" s="1"/>
  <c r="B43" i="28" s="1"/>
  <c r="B44" i="28" s="1"/>
  <c r="B45" i="28" s="1"/>
  <c r="B46" i="28" s="1"/>
  <c r="B47" i="28" s="1"/>
  <c r="B48" i="28" s="1"/>
  <c r="B49" i="28" s="1"/>
  <c r="B50" i="28" s="1"/>
  <c r="B51" i="28" s="1"/>
  <c r="B52" i="28" s="1"/>
  <c r="B53" i="28" s="1"/>
  <c r="B54" i="28" s="1"/>
  <c r="B55" i="28" s="1"/>
  <c r="B56" i="28" s="1"/>
  <c r="B57" i="28" s="1"/>
  <c r="B58" i="28" s="1"/>
  <c r="B59" i="28" s="1"/>
  <c r="B60" i="28" s="1"/>
  <c r="B61" i="28" s="1"/>
  <c r="B62" i="28" s="1"/>
  <c r="B63" i="28" s="1"/>
  <c r="B64" i="28" s="1"/>
  <c r="B65" i="28" s="1"/>
  <c r="B66" i="28" s="1"/>
  <c r="B67" i="28" s="1"/>
  <c r="B68" i="28" s="1"/>
  <c r="B69" i="28" s="1"/>
  <c r="B70" i="28" s="1"/>
  <c r="B71" i="28" s="1"/>
  <c r="B72" i="28" s="1"/>
  <c r="B73" i="28" s="1"/>
  <c r="B74" i="28" s="1"/>
  <c r="B75" i="28" s="1"/>
  <c r="B76" i="28" s="1"/>
  <c r="B77" i="28" s="1"/>
  <c r="B78" i="28" s="1"/>
  <c r="B79" i="28" s="1"/>
  <c r="B80" i="28" s="1"/>
  <c r="B81" i="28" s="1"/>
  <c r="B82" i="28" s="1"/>
  <c r="B83" i="28" s="1"/>
  <c r="B84" i="28" s="1"/>
  <c r="B85" i="28" s="1"/>
  <c r="B86" i="28" s="1"/>
  <c r="B87" i="28" s="1"/>
  <c r="B88" i="28" s="1"/>
  <c r="B89" i="28" s="1"/>
  <c r="B90" i="28" s="1"/>
  <c r="B91" i="28" s="1"/>
  <c r="B92" i="28" s="1"/>
  <c r="I4" i="7"/>
  <c r="B13" i="6"/>
  <c r="B14" i="6" s="1"/>
  <c r="B15" i="6" s="1"/>
  <c r="B16" i="6" s="1"/>
  <c r="B17" i="6" s="1"/>
  <c r="B18" i="6" s="1"/>
  <c r="B19" i="6" s="1"/>
  <c r="B20" i="6" s="1"/>
  <c r="B21" i="6" s="1"/>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B45" i="6" s="1"/>
  <c r="B46" i="6" s="1"/>
  <c r="B47" i="6" s="1"/>
  <c r="B48" i="6" s="1"/>
  <c r="B49" i="6" s="1"/>
  <c r="B50" i="6" s="1"/>
  <c r="B51" i="6" s="1"/>
  <c r="B52" i="6" s="1"/>
  <c r="B53" i="6" s="1"/>
  <c r="B54" i="6" s="1"/>
  <c r="B55" i="6" s="1"/>
  <c r="B56" i="6" s="1"/>
  <c r="B57" i="6" s="1"/>
  <c r="B58" i="6" s="1"/>
  <c r="B59" i="6" s="1"/>
  <c r="B60" i="6" s="1"/>
  <c r="B61" i="6" s="1"/>
  <c r="B62" i="6" s="1"/>
  <c r="B63" i="6" s="1"/>
  <c r="B64" i="6" s="1"/>
  <c r="B65" i="6" s="1"/>
  <c r="B66" i="6" s="1"/>
  <c r="B67" i="6" s="1"/>
  <c r="B68" i="6" s="1"/>
  <c r="B69" i="6" s="1"/>
  <c r="B70" i="6" s="1"/>
  <c r="B71" i="6" s="1"/>
  <c r="B72" i="6" s="1"/>
  <c r="B73" i="6" s="1"/>
  <c r="B74" i="6" s="1"/>
  <c r="B75" i="6" s="1"/>
  <c r="B76" i="6" s="1"/>
  <c r="B77" i="6" s="1"/>
  <c r="B78" i="6" s="1"/>
  <c r="B79" i="6" s="1"/>
  <c r="B80" i="6" s="1"/>
  <c r="B81" i="6" s="1"/>
  <c r="B82" i="6" s="1"/>
  <c r="B83" i="6" s="1"/>
  <c r="B84" i="6" s="1"/>
  <c r="B85" i="6" s="1"/>
  <c r="B86" i="6" s="1"/>
  <c r="B87" i="6" s="1"/>
  <c r="B88" i="6" s="1"/>
  <c r="B89" i="6" s="1"/>
  <c r="B90" i="6" s="1"/>
  <c r="B91" i="6" s="1"/>
  <c r="B92" i="6" s="1"/>
  <c r="B93" i="6" s="1"/>
  <c r="B18" i="8"/>
  <c r="B19" i="8" s="1"/>
  <c r="B20" i="8" s="1"/>
  <c r="B21" i="8" s="1"/>
  <c r="B22" i="8" s="1"/>
  <c r="B23" i="8" s="1"/>
  <c r="B24" i="8" s="1"/>
  <c r="B25" i="8" s="1"/>
  <c r="B26" i="8" s="1"/>
  <c r="B27" i="8" s="1"/>
  <c r="B28" i="8" s="1"/>
  <c r="B29" i="8" s="1"/>
  <c r="B30" i="8" s="1"/>
  <c r="B31" i="8" s="1"/>
  <c r="B32" i="8" s="1"/>
  <c r="B33" i="8" s="1"/>
  <c r="B34" i="8" s="1"/>
  <c r="B35" i="8" s="1"/>
  <c r="B36" i="8" s="1"/>
  <c r="B37" i="8" s="1"/>
  <c r="B38" i="8" s="1"/>
  <c r="B39" i="8" s="1"/>
  <c r="B40" i="8" s="1"/>
  <c r="B41" i="8" s="1"/>
  <c r="B42" i="8" s="1"/>
  <c r="B43" i="8" s="1"/>
  <c r="B44" i="8" s="1"/>
  <c r="B45" i="8" s="1"/>
  <c r="B46" i="8" s="1"/>
  <c r="B47" i="8" s="1"/>
  <c r="B48" i="8" s="1"/>
  <c r="B49" i="8" s="1"/>
  <c r="B50" i="8" s="1"/>
  <c r="B51" i="8" s="1"/>
  <c r="B52" i="8" s="1"/>
  <c r="B53" i="8" s="1"/>
  <c r="B54" i="8" s="1"/>
  <c r="B55" i="8" s="1"/>
  <c r="B56" i="8" s="1"/>
  <c r="B57" i="8" s="1"/>
  <c r="B58" i="8" s="1"/>
  <c r="B59" i="8" s="1"/>
  <c r="B60" i="8" s="1"/>
  <c r="B61" i="8" s="1"/>
  <c r="B62" i="8" s="1"/>
  <c r="B63" i="8" s="1"/>
  <c r="B64" i="8" s="1"/>
  <c r="B65" i="8" s="1"/>
  <c r="B66" i="8" s="1"/>
  <c r="B67" i="8" s="1"/>
  <c r="B68" i="8" s="1"/>
  <c r="B69" i="8" s="1"/>
  <c r="B70" i="8" s="1"/>
  <c r="B71" i="8" s="1"/>
  <c r="B72" i="8" s="1"/>
  <c r="B73" i="8" s="1"/>
  <c r="B74" i="8" s="1"/>
  <c r="B75" i="8" s="1"/>
  <c r="B76" i="8" s="1"/>
  <c r="B77" i="8" s="1"/>
  <c r="B78" i="8" s="1"/>
  <c r="B79" i="8" s="1"/>
  <c r="B80" i="8" s="1"/>
  <c r="B81" i="8" s="1"/>
  <c r="B82" i="8" s="1"/>
  <c r="B83" i="8" s="1"/>
  <c r="B84" i="8" s="1"/>
  <c r="B85" i="8" s="1"/>
  <c r="B86" i="8" s="1"/>
  <c r="B87" i="8" s="1"/>
  <c r="B88" i="8" s="1"/>
  <c r="B89" i="8" s="1"/>
  <c r="B90" i="8" s="1"/>
  <c r="B91" i="8" s="1"/>
  <c r="B92" i="8" s="1"/>
  <c r="B93" i="8" s="1"/>
  <c r="B94" i="8" s="1"/>
  <c r="B95" i="8" s="1"/>
  <c r="B96" i="8" s="1"/>
  <c r="B97" i="8" s="1"/>
  <c r="B98" i="8" s="1"/>
  <c r="B15" i="4"/>
  <c r="C18" i="4"/>
  <c r="C19" i="4"/>
  <c r="C34" i="4"/>
  <c r="D53" i="4"/>
  <c r="B62" i="4"/>
  <c r="B63" i="4"/>
  <c r="B64" i="4"/>
  <c r="F75" i="28"/>
  <c r="E83" i="6"/>
  <c r="J17" i="6"/>
  <c r="K13" i="18"/>
  <c r="H76" i="6"/>
  <c r="J46" i="6"/>
  <c r="E70" i="6"/>
  <c r="E29" i="6"/>
  <c r="E18" i="6"/>
  <c r="E43" i="6"/>
  <c r="F43" i="6"/>
  <c r="H43" i="6"/>
  <c r="J43" i="6"/>
  <c r="K43" i="6"/>
  <c r="L43" i="6"/>
  <c r="E44" i="6"/>
  <c r="E35" i="6"/>
  <c r="E34" i="6"/>
  <c r="E37" i="6"/>
  <c r="E28" i="6"/>
  <c r="E20" i="6"/>
  <c r="E58" i="6"/>
  <c r="J41" i="6"/>
  <c r="E67" i="6"/>
  <c r="E23" i="6"/>
  <c r="J80" i="6"/>
  <c r="H81" i="7" s="1"/>
  <c r="E63" i="6"/>
  <c r="F63" i="6"/>
  <c r="H63" i="6"/>
  <c r="J63" i="6"/>
  <c r="K63" i="6"/>
  <c r="L63" i="6"/>
  <c r="J53" i="6"/>
  <c r="E46" i="6"/>
  <c r="C47" i="7" s="1"/>
  <c r="P52" i="18" s="1"/>
  <c r="L65" i="6"/>
  <c r="E82" i="6"/>
  <c r="C83" i="7" s="1"/>
  <c r="E64" i="6"/>
  <c r="E76" i="6"/>
  <c r="E60" i="6"/>
  <c r="L13" i="6"/>
  <c r="J67" i="6"/>
  <c r="E55" i="6"/>
  <c r="E36" i="6"/>
  <c r="E21" i="6"/>
  <c r="K51" i="6"/>
  <c r="E54" i="6"/>
  <c r="E13" i="6"/>
  <c r="E66" i="6"/>
  <c r="E79" i="6"/>
  <c r="F79" i="6"/>
  <c r="H79" i="6"/>
  <c r="F80" i="7" s="1"/>
  <c r="J79" i="6"/>
  <c r="K79" i="6"/>
  <c r="L79" i="6"/>
  <c r="J42" i="6"/>
  <c r="E88" i="6"/>
  <c r="J22" i="6"/>
  <c r="J92" i="6"/>
  <c r="E87" i="6"/>
  <c r="E51" i="6"/>
  <c r="E33" i="6"/>
  <c r="J82" i="6"/>
  <c r="E45" i="6"/>
  <c r="E27" i="6"/>
  <c r="E74" i="6"/>
  <c r="E57" i="6"/>
  <c r="L89" i="6"/>
  <c r="K38" i="6"/>
  <c r="K28" i="6"/>
  <c r="L38" i="6"/>
  <c r="E38" i="6"/>
  <c r="F38" i="6"/>
  <c r="H38" i="6"/>
  <c r="J38" i="6"/>
  <c r="K17" i="6"/>
  <c r="F91" i="6"/>
  <c r="K42" i="6"/>
  <c r="L93" i="6"/>
  <c r="L54" i="6"/>
  <c r="K23" i="6"/>
  <c r="K88" i="6"/>
  <c r="I89" i="7" s="1"/>
  <c r="L40" i="6"/>
  <c r="L24" i="6"/>
  <c r="L42" i="6"/>
  <c r="K65" i="6"/>
  <c r="F18" i="6"/>
  <c r="K26" i="6"/>
  <c r="O54" i="7"/>
  <c r="L34" i="6"/>
  <c r="F41" i="6"/>
  <c r="F93" i="6"/>
  <c r="G57" i="7"/>
  <c r="P62" i="34" s="1"/>
  <c r="F20" i="6"/>
  <c r="L71" i="6"/>
  <c r="G72" i="7"/>
  <c r="P77" i="34" s="1"/>
  <c r="L55" i="6"/>
  <c r="L25" i="6"/>
  <c r="K22" i="6"/>
  <c r="E22" i="6"/>
  <c r="F22" i="6"/>
  <c r="H22" i="6"/>
  <c r="L22" i="6"/>
  <c r="F92" i="6"/>
  <c r="K47" i="6"/>
  <c r="F26" i="6"/>
  <c r="L17" i="6"/>
  <c r="L75" i="6"/>
  <c r="F77" i="6"/>
  <c r="D78" i="7" s="1"/>
  <c r="C83" i="35" s="1"/>
  <c r="L52" i="6"/>
  <c r="L57" i="6"/>
  <c r="L70" i="6"/>
  <c r="L72" i="6"/>
  <c r="K25" i="6"/>
  <c r="K72" i="6"/>
  <c r="E72" i="6"/>
  <c r="F72" i="6"/>
  <c r="D73" i="7" s="1"/>
  <c r="C78" i="35" s="1"/>
  <c r="H72" i="6"/>
  <c r="J72" i="6"/>
  <c r="K46" i="6"/>
  <c r="F53" i="6"/>
  <c r="L86" i="6"/>
  <c r="G74" i="7"/>
  <c r="P79" i="34" s="1"/>
  <c r="K92" i="6"/>
  <c r="F59" i="6"/>
  <c r="C46" i="7"/>
  <c r="C51" i="18" s="1"/>
  <c r="K48" i="6"/>
  <c r="L46" i="6"/>
  <c r="O68" i="7"/>
  <c r="I47" i="7"/>
  <c r="O65" i="7"/>
  <c r="E79" i="7"/>
  <c r="P84" i="35" s="1"/>
  <c r="F19" i="6"/>
  <c r="L68" i="6"/>
  <c r="L39" i="6"/>
  <c r="L29" i="6"/>
  <c r="K77" i="6"/>
  <c r="K55" i="6"/>
  <c r="K81" i="6"/>
  <c r="K59" i="6"/>
  <c r="K74" i="6"/>
  <c r="I75" i="7" s="1"/>
  <c r="L64" i="7"/>
  <c r="F86" i="6"/>
  <c r="H14" i="6"/>
  <c r="K68" i="6"/>
  <c r="L31" i="6"/>
  <c r="L59" i="6"/>
  <c r="L83" i="6"/>
  <c r="H86" i="6"/>
  <c r="H26" i="6"/>
  <c r="L18" i="6"/>
  <c r="L80" i="6"/>
  <c r="L81" i="6"/>
  <c r="L44" i="6"/>
  <c r="L82" i="6"/>
  <c r="L45" i="6"/>
  <c r="L78" i="6"/>
  <c r="K53" i="6"/>
  <c r="I54" i="7"/>
  <c r="K87" i="6"/>
  <c r="K33" i="6"/>
  <c r="K78" i="6"/>
  <c r="K19" i="6"/>
  <c r="K75" i="6"/>
  <c r="K52" i="6"/>
  <c r="K18" i="6"/>
  <c r="L23" i="6"/>
  <c r="H67" i="6"/>
  <c r="H80" i="6"/>
  <c r="F81" i="7" s="1"/>
  <c r="H71" i="6"/>
  <c r="H53" i="6"/>
  <c r="K36" i="6"/>
  <c r="K70" i="6"/>
  <c r="L87" i="6"/>
  <c r="H36" i="6"/>
  <c r="F37" i="7" s="1"/>
  <c r="H48" i="6"/>
  <c r="L26" i="6"/>
  <c r="L27" i="6"/>
  <c r="L20" i="6"/>
  <c r="L49" i="6"/>
  <c r="L16" i="6"/>
  <c r="L50" i="6"/>
  <c r="L90" i="6"/>
  <c r="K34" i="6"/>
  <c r="K45" i="6"/>
  <c r="I46" i="7" s="1"/>
  <c r="K84" i="6"/>
  <c r="I85" i="7" s="1"/>
  <c r="K57" i="6"/>
  <c r="K54" i="6"/>
  <c r="K27" i="6"/>
  <c r="K91" i="6"/>
  <c r="K16" i="6"/>
  <c r="H32" i="6"/>
  <c r="F32" i="6"/>
  <c r="F69" i="6"/>
  <c r="F48" i="6"/>
  <c r="F30" i="6"/>
  <c r="F84" i="6"/>
  <c r="F29" i="6"/>
  <c r="F60" i="6"/>
  <c r="F90" i="6"/>
  <c r="F27" i="6"/>
  <c r="F49" i="6"/>
  <c r="F73" i="6"/>
  <c r="F62" i="6"/>
  <c r="F46" i="6"/>
  <c r="F89" i="6"/>
  <c r="F28" i="6"/>
  <c r="F54" i="6"/>
  <c r="F51" i="6"/>
  <c r="F58" i="6"/>
  <c r="F67" i="6"/>
  <c r="F35" i="6"/>
  <c r="D36" i="7" s="1"/>
  <c r="C41" i="31" s="1"/>
  <c r="F15" i="6"/>
  <c r="F82" i="6"/>
  <c r="D83" i="7" s="1"/>
  <c r="F13" i="6"/>
  <c r="F33" i="6"/>
  <c r="F87" i="6"/>
  <c r="F61" i="6"/>
  <c r="F31" i="6"/>
  <c r="F75" i="6"/>
  <c r="F34" i="6"/>
  <c r="F55" i="6"/>
  <c r="L62" i="6"/>
  <c r="L51" i="6"/>
  <c r="L84" i="6"/>
  <c r="L60" i="6"/>
  <c r="L41" i="6"/>
  <c r="L21" i="6"/>
  <c r="L76" i="6"/>
  <c r="L53" i="6"/>
  <c r="J54" i="7" s="1"/>
  <c r="L33" i="6"/>
  <c r="L14" i="6"/>
  <c r="L48" i="6"/>
  <c r="L91" i="6"/>
  <c r="J92" i="7" s="1"/>
  <c r="L47" i="6"/>
  <c r="J48" i="7" s="1"/>
  <c r="L74" i="6"/>
  <c r="L67" i="6"/>
  <c r="J68" i="7" s="1"/>
  <c r="L56" i="6"/>
  <c r="L64" i="6"/>
  <c r="L73" i="6"/>
  <c r="L85" i="6"/>
  <c r="K37" i="6"/>
  <c r="K29" i="6"/>
  <c r="K32" i="6"/>
  <c r="K44" i="6"/>
  <c r="K24" i="6"/>
  <c r="K80" i="6"/>
  <c r="K67" i="6"/>
  <c r="K35" i="6"/>
  <c r="K40" i="6"/>
  <c r="K86" i="6"/>
  <c r="K73" i="6"/>
  <c r="K41" i="6"/>
  <c r="K56" i="6"/>
  <c r="K71" i="6"/>
  <c r="K21" i="6"/>
  <c r="K90" i="6"/>
  <c r="K66" i="6"/>
  <c r="K76" i="6"/>
  <c r="I77" i="7" s="1"/>
  <c r="K93" i="6"/>
  <c r="K61" i="6"/>
  <c r="K82" i="6"/>
  <c r="K62" i="6"/>
  <c r="K20" i="6"/>
  <c r="K58" i="6"/>
  <c r="L15" i="6"/>
  <c r="L36" i="6"/>
  <c r="L61" i="6"/>
  <c r="L77" i="6"/>
  <c r="J78" i="7" s="1"/>
  <c r="F83" i="6"/>
  <c r="F57" i="6"/>
  <c r="F23" i="6"/>
  <c r="L32" i="6"/>
  <c r="L37" i="6"/>
  <c r="L19" i="6"/>
  <c r="L69" i="6"/>
  <c r="L28" i="6"/>
  <c r="L58" i="6"/>
  <c r="L88" i="6"/>
  <c r="J89" i="7" s="1"/>
  <c r="L35" i="6"/>
  <c r="L66" i="6"/>
  <c r="L92" i="6"/>
  <c r="K31" i="6"/>
  <c r="K85" i="6"/>
  <c r="K39" i="6"/>
  <c r="K30" i="6"/>
  <c r="K49" i="6"/>
  <c r="I50" i="7" s="1"/>
  <c r="K89" i="6"/>
  <c r="K13" i="6"/>
  <c r="K83" i="6"/>
  <c r="K14" i="6"/>
  <c r="K60" i="6"/>
  <c r="K64" i="6"/>
  <c r="F68" i="6"/>
  <c r="F24" i="6"/>
  <c r="K69" i="6"/>
  <c r="F39" i="6"/>
  <c r="F50" i="6"/>
  <c r="K15" i="6"/>
  <c r="F21" i="6"/>
  <c r="F37" i="6"/>
  <c r="E81" i="6"/>
  <c r="E42" i="6"/>
  <c r="E90" i="6"/>
  <c r="E15" i="6"/>
  <c r="E52" i="6"/>
  <c r="E85" i="6"/>
  <c r="E89" i="6"/>
  <c r="E69" i="6"/>
  <c r="E47" i="6"/>
  <c r="C48" i="7" s="1"/>
  <c r="E16" i="6"/>
  <c r="E86" i="6"/>
  <c r="E84" i="6"/>
  <c r="E41" i="6"/>
  <c r="E59" i="6"/>
  <c r="E26" i="6"/>
  <c r="E39" i="6"/>
  <c r="E48" i="6"/>
  <c r="E61" i="6"/>
  <c r="E91" i="6"/>
  <c r="C92" i="7" s="1"/>
  <c r="P97" i="18" s="1"/>
  <c r="E68" i="6"/>
  <c r="E53" i="6"/>
  <c r="E17" i="6"/>
  <c r="E93" i="6"/>
  <c r="E77" i="6"/>
  <c r="C78" i="7" s="1"/>
  <c r="E25" i="6"/>
  <c r="E73" i="6"/>
  <c r="E78" i="6"/>
  <c r="E62" i="6"/>
  <c r="C63" i="7" s="1"/>
  <c r="P68" i="18" s="1"/>
  <c r="E30" i="6"/>
  <c r="E80" i="6"/>
  <c r="C81" i="7" s="1"/>
  <c r="E50" i="6"/>
  <c r="E75" i="6"/>
  <c r="J91" i="6"/>
  <c r="J25" i="6"/>
  <c r="J44" i="6"/>
  <c r="J18" i="6"/>
  <c r="J86" i="6"/>
  <c r="J30" i="6"/>
  <c r="J73" i="6"/>
  <c r="J34" i="6"/>
  <c r="J74" i="6"/>
  <c r="J15" i="6"/>
  <c r="J60" i="6"/>
  <c r="J31" i="6"/>
  <c r="J40" i="6"/>
  <c r="J62" i="6"/>
  <c r="J26" i="6"/>
  <c r="J57" i="6"/>
  <c r="J28" i="6"/>
  <c r="J54" i="6"/>
  <c r="J88" i="6"/>
  <c r="J19" i="6"/>
  <c r="J66" i="6"/>
  <c r="J50" i="6"/>
  <c r="J64" i="6"/>
  <c r="J27" i="6"/>
  <c r="J52" i="6"/>
  <c r="J76" i="6"/>
  <c r="H77" i="7" s="1"/>
  <c r="J83" i="6"/>
  <c r="J71" i="6"/>
  <c r="J59" i="6"/>
  <c r="J49" i="6"/>
  <c r="J37" i="6"/>
  <c r="J24" i="6"/>
  <c r="J85" i="6"/>
  <c r="J21" i="6"/>
  <c r="J58" i="6"/>
  <c r="J84" i="6"/>
  <c r="J75" i="6"/>
  <c r="J55" i="6"/>
  <c r="J29" i="6"/>
  <c r="J16" i="6"/>
  <c r="J47" i="6"/>
  <c r="H48" i="7" s="1"/>
  <c r="J68" i="6"/>
  <c r="J14" i="6"/>
  <c r="J87" i="6"/>
  <c r="J93" i="6"/>
  <c r="J39" i="6"/>
  <c r="J70" i="6"/>
  <c r="J51" i="6"/>
  <c r="J35" i="6"/>
  <c r="J13" i="6"/>
  <c r="J45" i="6"/>
  <c r="J77" i="6"/>
  <c r="H46" i="6"/>
  <c r="H52" i="6"/>
  <c r="H20" i="6"/>
  <c r="H84" i="6"/>
  <c r="J65" i="6"/>
  <c r="H27" i="6"/>
  <c r="J56" i="6"/>
  <c r="H74" i="6"/>
  <c r="J20" i="6"/>
  <c r="AH19" i="5"/>
  <c r="H45" i="6"/>
  <c r="H39" i="6"/>
  <c r="F40" i="7" s="1"/>
  <c r="H85" i="6"/>
  <c r="H66" i="6"/>
  <c r="H59" i="6"/>
  <c r="H49" i="6"/>
  <c r="H78" i="6"/>
  <c r="H15" i="6"/>
  <c r="H51" i="6"/>
  <c r="H19" i="6"/>
  <c r="H89" i="6"/>
  <c r="H77" i="6"/>
  <c r="H37" i="6"/>
  <c r="H44" i="6"/>
  <c r="H68" i="6"/>
  <c r="H35" i="6"/>
  <c r="H24" i="6"/>
  <c r="H16" i="6"/>
  <c r="H90" i="6"/>
  <c r="H58" i="6"/>
  <c r="H33" i="6"/>
  <c r="H25" i="6"/>
  <c r="H75" i="6"/>
  <c r="H23" i="6"/>
  <c r="H54" i="6"/>
  <c r="H61" i="6"/>
  <c r="F62" i="7" s="1"/>
  <c r="H56" i="6"/>
  <c r="H87" i="6"/>
  <c r="H17" i="6"/>
  <c r="H60" i="6"/>
  <c r="H28" i="6"/>
  <c r="H18" i="6"/>
  <c r="H82" i="6"/>
  <c r="H42" i="6"/>
  <c r="H13" i="6"/>
  <c r="H73" i="6"/>
  <c r="H83" i="6"/>
  <c r="H57" i="6"/>
  <c r="H50" i="6"/>
  <c r="H62" i="6"/>
  <c r="H88" i="6"/>
  <c r="H40" i="6"/>
  <c r="H93" i="6"/>
  <c r="H70" i="6"/>
  <c r="H29" i="6"/>
  <c r="H64" i="6"/>
  <c r="F65" i="7" s="1"/>
  <c r="P70" i="32" s="1"/>
  <c r="H65" i="6"/>
  <c r="J33" i="6"/>
  <c r="J61" i="6"/>
  <c r="J90" i="6"/>
  <c r="H81" i="6"/>
  <c r="H21" i="6"/>
  <c r="H92" i="6"/>
  <c r="H30" i="6"/>
  <c r="H31" i="6"/>
  <c r="J32" i="6"/>
  <c r="H47" i="6"/>
  <c r="F48" i="7" s="1"/>
  <c r="H34" i="6"/>
  <c r="F35" i="7" s="1"/>
  <c r="C40" i="32" s="1"/>
  <c r="H41" i="6"/>
  <c r="H55" i="6"/>
  <c r="F66" i="6"/>
  <c r="F64" i="6"/>
  <c r="F81" i="6"/>
  <c r="F45" i="6"/>
  <c r="F70" i="6"/>
  <c r="D71" i="7" s="1"/>
  <c r="P76" i="31" s="1"/>
  <c r="F56" i="6"/>
  <c r="D57" i="7" s="1"/>
  <c r="P62" i="31" s="1"/>
  <c r="F74" i="6"/>
  <c r="F88" i="6"/>
  <c r="D89" i="7" s="1"/>
  <c r="C94" i="35" s="1"/>
  <c r="F47" i="6"/>
  <c r="F14" i="6"/>
  <c r="F71" i="6"/>
  <c r="F44" i="6"/>
  <c r="F16" i="6"/>
  <c r="F65" i="6"/>
  <c r="F42" i="6"/>
  <c r="F85" i="6"/>
  <c r="F52" i="6"/>
  <c r="F17" i="6"/>
  <c r="F80" i="6"/>
  <c r="D81" i="7" s="1"/>
  <c r="C86" i="31" s="1"/>
  <c r="F36" i="6"/>
  <c r="F40" i="6"/>
  <c r="F25" i="6"/>
  <c r="F76" i="6"/>
  <c r="E19" i="6"/>
  <c r="E56" i="6"/>
  <c r="E24" i="6"/>
  <c r="E40" i="6"/>
  <c r="E49" i="6"/>
  <c r="E32" i="6"/>
  <c r="E31" i="6"/>
  <c r="E71" i="6"/>
  <c r="E92" i="6"/>
  <c r="H69" i="6"/>
  <c r="J89" i="6"/>
  <c r="J48" i="6"/>
  <c r="J23" i="6"/>
  <c r="J81" i="6"/>
  <c r="J69" i="6"/>
  <c r="J36" i="6"/>
  <c r="O81" i="7"/>
  <c r="C86" i="37" s="1"/>
  <c r="L89" i="7"/>
  <c r="L45" i="7"/>
  <c r="I83" i="7"/>
  <c r="H75" i="7"/>
  <c r="O43" i="7"/>
  <c r="P48" i="37" s="1"/>
  <c r="O48" i="7"/>
  <c r="C53" i="37" s="1"/>
  <c r="F70" i="28"/>
  <c r="F74" i="28"/>
  <c r="F48" i="28"/>
  <c r="F71" i="28"/>
  <c r="F47" i="28"/>
  <c r="F28" i="28"/>
  <c r="F18" i="28"/>
  <c r="F27" i="28"/>
  <c r="F49" i="28"/>
  <c r="F50" i="28"/>
  <c r="F68" i="28"/>
  <c r="F43" i="28"/>
  <c r="F21" i="28"/>
  <c r="F69" i="28"/>
  <c r="F44" i="28"/>
  <c r="F22" i="28"/>
  <c r="F58" i="28"/>
  <c r="F33" i="28"/>
  <c r="F34" i="28"/>
  <c r="F84" i="28"/>
  <c r="F64" i="28"/>
  <c r="F37" i="28"/>
  <c r="F85" i="28"/>
  <c r="F65" i="28"/>
  <c r="F38" i="28"/>
  <c r="F88" i="28"/>
  <c r="F86" i="28"/>
  <c r="F87" i="28"/>
  <c r="F92" i="28"/>
  <c r="F80" i="28"/>
  <c r="F53" i="28"/>
  <c r="F31" i="28"/>
  <c r="F81" i="28"/>
  <c r="F54" i="28"/>
  <c r="F32" i="28"/>
  <c r="F90" i="28"/>
  <c r="F78" i="28"/>
  <c r="F41" i="28"/>
  <c r="F79" i="28"/>
  <c r="F42" i="28"/>
  <c r="F89" i="28"/>
  <c r="F76" i="28"/>
  <c r="F66" i="28"/>
  <c r="F51" i="28"/>
  <c r="F39" i="28"/>
  <c r="F29" i="28"/>
  <c r="F19" i="28"/>
  <c r="F77" i="28"/>
  <c r="F67" i="28"/>
  <c r="F52" i="28"/>
  <c r="F40" i="28"/>
  <c r="F30" i="28"/>
  <c r="F20" i="28"/>
  <c r="F15" i="28"/>
  <c r="F62" i="28"/>
  <c r="F25" i="28"/>
  <c r="F63" i="28"/>
  <c r="F26" i="28"/>
  <c r="F14" i="28"/>
  <c r="F82" i="28"/>
  <c r="F72" i="28"/>
  <c r="F55" i="28"/>
  <c r="F45" i="28"/>
  <c r="F35" i="28"/>
  <c r="F23" i="28"/>
  <c r="F83" i="28"/>
  <c r="F73" i="28"/>
  <c r="F56" i="28"/>
  <c r="F46" i="28"/>
  <c r="F36" i="28"/>
  <c r="F24" i="28"/>
  <c r="F57" i="28"/>
  <c r="F91" i="28"/>
  <c r="F59" i="28"/>
  <c r="F16" i="28"/>
  <c r="W13" i="18"/>
  <c r="K7" i="18"/>
  <c r="W7" i="18"/>
  <c r="F60" i="28"/>
  <c r="F61" i="28"/>
  <c r="F17" i="28"/>
  <c r="B19" i="35"/>
  <c r="K7" i="31"/>
  <c r="W7" i="31"/>
  <c r="K13" i="31"/>
  <c r="W13" i="31"/>
  <c r="K7" i="32"/>
  <c r="W7" i="32"/>
  <c r="K13" i="32"/>
  <c r="W13" i="32"/>
  <c r="K7" i="33"/>
  <c r="K13" i="33"/>
  <c r="E74" i="7"/>
  <c r="P79" i="35" s="1"/>
  <c r="E35" i="7"/>
  <c r="P40" i="35" s="1"/>
  <c r="O46" i="4"/>
  <c r="K7" i="34"/>
  <c r="W7" i="34"/>
  <c r="K13" i="34"/>
  <c r="W13" i="34"/>
  <c r="K7" i="35"/>
  <c r="K13" i="35"/>
  <c r="O73" i="7"/>
  <c r="P78" i="37" s="1"/>
  <c r="K47" i="7"/>
  <c r="O52" i="7"/>
  <c r="C57" i="37" s="1"/>
  <c r="L93" i="7"/>
  <c r="L77" i="7"/>
  <c r="G43" i="7"/>
  <c r="P48" i="34" s="1"/>
  <c r="K89" i="7"/>
  <c r="O89" i="7"/>
  <c r="P94" i="37" s="1"/>
  <c r="O79" i="7"/>
  <c r="C84" i="37" s="1"/>
  <c r="L37" i="7"/>
  <c r="O46" i="7"/>
  <c r="C51" i="37" s="1"/>
  <c r="G88" i="7"/>
  <c r="P93" i="34" s="1"/>
  <c r="L57" i="7"/>
  <c r="H35" i="7"/>
  <c r="P40" i="33" s="1"/>
  <c r="I56" i="7"/>
  <c r="C75" i="7"/>
  <c r="C80" i="18" s="1"/>
  <c r="L74" i="7"/>
  <c r="O45" i="7"/>
  <c r="L72" i="7"/>
  <c r="G92" i="7"/>
  <c r="P97" i="34" s="1"/>
  <c r="D92" i="7"/>
  <c r="C97" i="35" s="1"/>
  <c r="K92" i="7"/>
  <c r="O92" i="7"/>
  <c r="P97" i="37" s="1"/>
  <c r="H76" i="7"/>
  <c r="P81" i="33" s="1"/>
  <c r="I49" i="7"/>
  <c r="L49" i="7"/>
  <c r="J81" i="7"/>
  <c r="C54" i="7"/>
  <c r="W13" i="35"/>
  <c r="W7" i="36"/>
  <c r="W13" i="36"/>
  <c r="W7" i="37"/>
  <c r="W13" i="37"/>
  <c r="K7" i="36"/>
  <c r="K13" i="36"/>
  <c r="C97" i="37"/>
  <c r="P20" i="40"/>
  <c r="C20" i="40"/>
  <c r="P24" i="40"/>
  <c r="C24" i="40"/>
  <c r="P29" i="40"/>
  <c r="C29" i="40"/>
  <c r="P31" i="40"/>
  <c r="C31" i="40"/>
  <c r="P33" i="40"/>
  <c r="C33" i="40"/>
  <c r="P37" i="40"/>
  <c r="C37" i="40"/>
  <c r="P39" i="40"/>
  <c r="C39" i="40"/>
  <c r="P41" i="40"/>
  <c r="C41" i="40"/>
  <c r="P45" i="40"/>
  <c r="C45" i="40"/>
  <c r="P47" i="40"/>
  <c r="C47" i="40"/>
  <c r="P49" i="40"/>
  <c r="C49" i="40"/>
  <c r="P53" i="40"/>
  <c r="C53" i="40"/>
  <c r="P55" i="40"/>
  <c r="C55" i="40"/>
  <c r="P57" i="40"/>
  <c r="C57" i="40"/>
  <c r="P60" i="40"/>
  <c r="C60" i="40"/>
  <c r="C62" i="40"/>
  <c r="P64" i="40"/>
  <c r="C64" i="40"/>
  <c r="P66" i="40"/>
  <c r="C66" i="40"/>
  <c r="P68" i="40"/>
  <c r="C68" i="40"/>
  <c r="C70" i="40"/>
  <c r="P72" i="40"/>
  <c r="C72" i="40"/>
  <c r="P74" i="40"/>
  <c r="C74" i="40"/>
  <c r="P76" i="40"/>
  <c r="C76" i="40"/>
  <c r="C78" i="40"/>
  <c r="P80" i="40"/>
  <c r="C80" i="40"/>
  <c r="P82" i="40"/>
  <c r="C82" i="40"/>
  <c r="P84" i="40"/>
  <c r="C84" i="40"/>
  <c r="C86" i="40"/>
  <c r="P88" i="40"/>
  <c r="C88" i="40"/>
  <c r="P90" i="40"/>
  <c r="C90" i="40"/>
  <c r="P93" i="40"/>
  <c r="C93" i="40"/>
  <c r="P95" i="40"/>
  <c r="C95" i="40"/>
  <c r="P97" i="40"/>
  <c r="C97" i="40"/>
  <c r="C99" i="40"/>
  <c r="P51" i="37"/>
  <c r="P57" i="37"/>
  <c r="C19" i="40"/>
  <c r="P21" i="40"/>
  <c r="C21" i="40"/>
  <c r="P23" i="40"/>
  <c r="C23" i="40"/>
  <c r="P25" i="40"/>
  <c r="C25" i="40"/>
  <c r="P26" i="40"/>
  <c r="C26" i="40"/>
  <c r="P28" i="40"/>
  <c r="C28" i="40"/>
  <c r="C30" i="40"/>
  <c r="P32" i="40"/>
  <c r="C32" i="40"/>
  <c r="P34" i="40"/>
  <c r="C34" i="40"/>
  <c r="P36" i="40"/>
  <c r="C36" i="40"/>
  <c r="C38" i="40"/>
  <c r="P40" i="40"/>
  <c r="C40" i="40"/>
  <c r="P42" i="40"/>
  <c r="C42" i="40"/>
  <c r="P44" i="40"/>
  <c r="C44" i="40"/>
  <c r="C46" i="40"/>
  <c r="P48" i="40"/>
  <c r="C48" i="40"/>
  <c r="P50" i="40"/>
  <c r="C50" i="40"/>
  <c r="P52" i="40"/>
  <c r="C52" i="40"/>
  <c r="C54" i="40"/>
  <c r="P56" i="40"/>
  <c r="C56" i="40"/>
  <c r="P58" i="40"/>
  <c r="C58" i="40"/>
  <c r="P61" i="40"/>
  <c r="C61" i="40"/>
  <c r="P63" i="40"/>
  <c r="C63" i="40"/>
  <c r="P65" i="40"/>
  <c r="C65" i="40"/>
  <c r="P69" i="40"/>
  <c r="C69" i="40"/>
  <c r="P71" i="40"/>
  <c r="C71" i="40"/>
  <c r="P73" i="40"/>
  <c r="C73" i="40"/>
  <c r="P77" i="40"/>
  <c r="C77" i="40"/>
  <c r="P79" i="40"/>
  <c r="C79" i="40"/>
  <c r="P81" i="40"/>
  <c r="C81" i="40"/>
  <c r="P85" i="40"/>
  <c r="C85" i="40"/>
  <c r="P87" i="40"/>
  <c r="C87" i="40"/>
  <c r="P89" i="40"/>
  <c r="C89" i="40"/>
  <c r="P92" i="40"/>
  <c r="C92" i="40"/>
  <c r="P96" i="40"/>
  <c r="C96" i="40"/>
  <c r="P98" i="40"/>
  <c r="C98" i="40"/>
  <c r="F12" i="39"/>
  <c r="R16" i="4"/>
  <c r="O17" i="4"/>
  <c r="K6" i="32" s="1"/>
  <c r="W8" i="34"/>
  <c r="W6" i="36"/>
  <c r="W8" i="35"/>
  <c r="K8" i="33"/>
  <c r="K8" i="37"/>
  <c r="K12" i="37" s="1"/>
  <c r="W8" i="37"/>
  <c r="W10" i="35"/>
  <c r="K12" i="34"/>
  <c r="K9" i="34"/>
  <c r="K12" i="35"/>
  <c r="K9" i="37"/>
  <c r="W10" i="37"/>
  <c r="W12" i="37"/>
  <c r="W9" i="37"/>
  <c r="C53" i="34" l="1"/>
  <c r="C53" i="32"/>
  <c r="B15" i="7"/>
  <c r="B20" i="33" s="1"/>
  <c r="B19" i="36"/>
  <c r="O19" i="32"/>
  <c r="O19" i="33"/>
  <c r="O19" i="40"/>
  <c r="O20" i="31"/>
  <c r="O19" i="34"/>
  <c r="B19" i="32"/>
  <c r="B19" i="18"/>
  <c r="B19" i="37"/>
  <c r="B19" i="31"/>
  <c r="O19" i="31"/>
  <c r="O19" i="36"/>
  <c r="O20" i="33"/>
  <c r="B16" i="7"/>
  <c r="B21" i="31" s="1"/>
  <c r="B19" i="33"/>
  <c r="O19" i="35"/>
  <c r="B19" i="40"/>
  <c r="B19" i="34"/>
  <c r="P97" i="31"/>
  <c r="C94" i="37"/>
  <c r="C40" i="33"/>
  <c r="P42" i="32"/>
  <c r="C42" i="32"/>
  <c r="R26" i="4"/>
  <c r="R15" i="4"/>
  <c r="S67" i="8"/>
  <c r="L79" i="7"/>
  <c r="H50" i="7"/>
  <c r="C55" i="33" s="1"/>
  <c r="O62" i="7"/>
  <c r="C67" i="37" s="1"/>
  <c r="E62" i="7"/>
  <c r="P67" i="35" s="1"/>
  <c r="AH16" i="5"/>
  <c r="H56" i="7"/>
  <c r="C74" i="7"/>
  <c r="P79" i="18" s="1"/>
  <c r="C62" i="7"/>
  <c r="P67" i="18" s="1"/>
  <c r="C43" i="7"/>
  <c r="C48" i="18" s="1"/>
  <c r="J65" i="7"/>
  <c r="G45" i="7"/>
  <c r="P50" i="34" s="1"/>
  <c r="G85" i="7"/>
  <c r="P90" i="34" s="1"/>
  <c r="F36" i="7"/>
  <c r="P41" i="32" s="1"/>
  <c r="H96" i="8"/>
  <c r="H20" i="8"/>
  <c r="L81" i="7"/>
  <c r="K10" i="37"/>
  <c r="C91" i="40"/>
  <c r="C83" i="40"/>
  <c r="C75" i="40"/>
  <c r="C51" i="40"/>
  <c r="C27" i="40"/>
  <c r="AH15" i="5"/>
  <c r="AH24" i="5"/>
  <c r="K73" i="7"/>
  <c r="K65" i="7"/>
  <c r="H74" i="7"/>
  <c r="P79" i="33" s="1"/>
  <c r="I57" i="7"/>
  <c r="H58" i="7"/>
  <c r="C63" i="33" s="1"/>
  <c r="W13" i="40"/>
  <c r="K13" i="40"/>
  <c r="C94" i="40"/>
  <c r="C67" i="40"/>
  <c r="C59" i="40"/>
  <c r="C43" i="40"/>
  <c r="C35" i="40"/>
  <c r="C22" i="40"/>
  <c r="C78" i="37"/>
  <c r="O74" i="7"/>
  <c r="K75" i="7"/>
  <c r="K56" i="7"/>
  <c r="F57" i="7"/>
  <c r="C62" i="32" s="1"/>
  <c r="D79" i="7"/>
  <c r="C84" i="31" s="1"/>
  <c r="P53" i="32"/>
  <c r="K48" i="7"/>
  <c r="H73" i="7"/>
  <c r="C78" i="33" s="1"/>
  <c r="O56" i="7"/>
  <c r="C57" i="7"/>
  <c r="C62" i="18" s="1"/>
  <c r="D48" i="7"/>
  <c r="C53" i="35" s="1"/>
  <c r="K63" i="7"/>
  <c r="H39" i="7"/>
  <c r="C44" i="33" s="1"/>
  <c r="J55" i="7"/>
  <c r="F83" i="7"/>
  <c r="C88" i="34" s="1"/>
  <c r="R81" i="8"/>
  <c r="E82" i="33" s="1"/>
  <c r="L65" i="7"/>
  <c r="L56" i="7"/>
  <c r="L54" i="7"/>
  <c r="L48" i="7"/>
  <c r="E48" i="7"/>
  <c r="P53" i="35" s="1"/>
  <c r="E92" i="7"/>
  <c r="P97" i="35" s="1"/>
  <c r="G89" i="7"/>
  <c r="P94" i="34" s="1"/>
  <c r="P73" i="37"/>
  <c r="C73" i="37"/>
  <c r="L71" i="7"/>
  <c r="L63" i="7"/>
  <c r="E68" i="7"/>
  <c r="P73" i="35" s="1"/>
  <c r="E72" i="7"/>
  <c r="P77" i="35" s="1"/>
  <c r="G68" i="7"/>
  <c r="P73" i="34" s="1"/>
  <c r="P86" i="37"/>
  <c r="I78" i="7"/>
  <c r="I39" i="7"/>
  <c r="H47" i="7"/>
  <c r="C52" i="33" s="1"/>
  <c r="E83" i="7"/>
  <c r="P88" i="35" s="1"/>
  <c r="L47" i="7"/>
  <c r="C72" i="7"/>
  <c r="C77" i="18" s="1"/>
  <c r="D72" i="7"/>
  <c r="P77" i="31" s="1"/>
  <c r="F63" i="7"/>
  <c r="C68" i="32" s="1"/>
  <c r="F78" i="7"/>
  <c r="J39" i="7"/>
  <c r="H83" i="7"/>
  <c r="C88" i="33" s="1"/>
  <c r="H42" i="7"/>
  <c r="C47" i="33" s="1"/>
  <c r="C71" i="7"/>
  <c r="P76" i="18" s="1"/>
  <c r="L78" i="7"/>
  <c r="K83" i="7"/>
  <c r="O72" i="7"/>
  <c r="C77" i="37" s="1"/>
  <c r="C70" i="32"/>
  <c r="J71" i="7"/>
  <c r="C39" i="7"/>
  <c r="P44" i="18" s="1"/>
  <c r="H68" i="7"/>
  <c r="J47" i="7"/>
  <c r="E47" i="7"/>
  <c r="P52" i="35" s="1"/>
  <c r="I71" i="7"/>
  <c r="F47" i="7"/>
  <c r="C52" i="32" s="1"/>
  <c r="H60" i="7"/>
  <c r="J83" i="7"/>
  <c r="K94" i="7"/>
  <c r="K78" i="7"/>
  <c r="K68" i="7"/>
  <c r="K51" i="7"/>
  <c r="K49" i="7"/>
  <c r="K45" i="7"/>
  <c r="K37" i="7"/>
  <c r="K35" i="7"/>
  <c r="G35" i="7"/>
  <c r="P40" i="34" s="1"/>
  <c r="G39" i="7"/>
  <c r="P44" i="34" s="1"/>
  <c r="G47" i="7"/>
  <c r="P52" i="34" s="1"/>
  <c r="G63" i="7"/>
  <c r="P68" i="34" s="1"/>
  <c r="G71" i="7"/>
  <c r="P76" i="34" s="1"/>
  <c r="G75" i="7"/>
  <c r="P80" i="34" s="1"/>
  <c r="G79" i="7"/>
  <c r="P84" i="34" s="1"/>
  <c r="C70" i="34"/>
  <c r="G78" i="7"/>
  <c r="P83" i="34" s="1"/>
  <c r="H72" i="7"/>
  <c r="C77" i="33" s="1"/>
  <c r="D39" i="7"/>
  <c r="C44" i="31" s="1"/>
  <c r="O71" i="7"/>
  <c r="P76" i="37" s="1"/>
  <c r="C68" i="7"/>
  <c r="P73" i="18" s="1"/>
  <c r="O47" i="7"/>
  <c r="O40" i="7"/>
  <c r="P45" i="37" s="1"/>
  <c r="O78" i="7"/>
  <c r="I63" i="7"/>
  <c r="J63" i="7"/>
  <c r="D63" i="7"/>
  <c r="C68" i="35" s="1"/>
  <c r="C73" i="7"/>
  <c r="P78" i="18" s="1"/>
  <c r="I43" i="7"/>
  <c r="I44" i="7"/>
  <c r="H88" i="8"/>
  <c r="H34" i="8"/>
  <c r="H66" i="8"/>
  <c r="R34" i="8"/>
  <c r="Q35" i="37" s="1"/>
  <c r="H62" i="8"/>
  <c r="H70" i="8"/>
  <c r="H74" i="8"/>
  <c r="H78" i="8"/>
  <c r="R35" i="8"/>
  <c r="Q36" i="32" s="1"/>
  <c r="H46" i="8"/>
  <c r="R60" i="8"/>
  <c r="E61" i="40" s="1"/>
  <c r="F61" i="40" s="1"/>
  <c r="R95" i="8"/>
  <c r="E96" i="18" s="1"/>
  <c r="H57" i="8"/>
  <c r="H27" i="8"/>
  <c r="R31" i="8"/>
  <c r="Q32" i="34" s="1"/>
  <c r="H38" i="8"/>
  <c r="H50" i="8"/>
  <c r="H89" i="8"/>
  <c r="H29" i="8"/>
  <c r="H40" i="8"/>
  <c r="C45" i="32"/>
  <c r="P45" i="32"/>
  <c r="C48" i="37"/>
  <c r="J82" i="7"/>
  <c r="O50" i="7"/>
  <c r="E82" i="7"/>
  <c r="P87" i="35" s="1"/>
  <c r="F58" i="7"/>
  <c r="C63" i="34" s="1"/>
  <c r="H40" i="7"/>
  <c r="P45" i="33" s="1"/>
  <c r="D37" i="7"/>
  <c r="C42" i="35" s="1"/>
  <c r="I37" i="7"/>
  <c r="L88" i="7"/>
  <c r="C88" i="7"/>
  <c r="C93" i="18" s="1"/>
  <c r="E52" i="7"/>
  <c r="P57" i="35" s="1"/>
  <c r="I52" i="7"/>
  <c r="O35" i="7"/>
  <c r="J35" i="7"/>
  <c r="G77" i="7"/>
  <c r="P82" i="34" s="1"/>
  <c r="J77" i="7"/>
  <c r="C77" i="7"/>
  <c r="C82" i="18" s="1"/>
  <c r="C35" i="7"/>
  <c r="P40" i="18" s="1"/>
  <c r="K88" i="7"/>
  <c r="L52" i="7"/>
  <c r="L50" i="7"/>
  <c r="L46" i="7"/>
  <c r="L40" i="7"/>
  <c r="G40" i="7"/>
  <c r="P45" i="34" s="1"/>
  <c r="G52" i="7"/>
  <c r="P57" i="34" s="1"/>
  <c r="P53" i="37"/>
  <c r="C86" i="33"/>
  <c r="P86" i="33"/>
  <c r="H85" i="7"/>
  <c r="P90" i="33" s="1"/>
  <c r="P77" i="37"/>
  <c r="F45" i="7"/>
  <c r="P50" i="32" s="1"/>
  <c r="J88" i="7"/>
  <c r="K46" i="7"/>
  <c r="J37" i="7"/>
  <c r="F50" i="7"/>
  <c r="P55" i="32" s="1"/>
  <c r="O77" i="7"/>
  <c r="P82" i="37" s="1"/>
  <c r="H37" i="7"/>
  <c r="C42" i="33" s="1"/>
  <c r="L85" i="7"/>
  <c r="C37" i="7"/>
  <c r="C42" i="18" s="1"/>
  <c r="I58" i="7"/>
  <c r="I73" i="7"/>
  <c r="G49" i="7"/>
  <c r="P54" i="34" s="1"/>
  <c r="O49" i="7"/>
  <c r="C54" i="37" s="1"/>
  <c r="J43" i="7"/>
  <c r="F43" i="7"/>
  <c r="K77" i="7"/>
  <c r="K54" i="7"/>
  <c r="K52" i="7"/>
  <c r="K40" i="7"/>
  <c r="E45" i="7"/>
  <c r="P50" i="35" s="1"/>
  <c r="E57" i="7"/>
  <c r="P62" i="35" s="1"/>
  <c r="E77" i="7"/>
  <c r="P82" i="35" s="1"/>
  <c r="G65" i="7"/>
  <c r="P70" i="34" s="1"/>
  <c r="P84" i="37"/>
  <c r="C45" i="34"/>
  <c r="F82" i="7"/>
  <c r="H54" i="7"/>
  <c r="P59" i="33" s="1"/>
  <c r="C49" i="7"/>
  <c r="C54" i="18" s="1"/>
  <c r="O85" i="7"/>
  <c r="P90" i="37" s="1"/>
  <c r="L75" i="7"/>
  <c r="C56" i="7"/>
  <c r="H57" i="7"/>
  <c r="C62" i="33" s="1"/>
  <c r="L62" i="7"/>
  <c r="O88" i="7"/>
  <c r="H46" i="7"/>
  <c r="C51" i="33" s="1"/>
  <c r="G46" i="7"/>
  <c r="P51" i="34" s="1"/>
  <c r="G37" i="7"/>
  <c r="P42" i="34" s="1"/>
  <c r="G50" i="7"/>
  <c r="P55" i="34" s="1"/>
  <c r="F77" i="7"/>
  <c r="C82" i="34" s="1"/>
  <c r="H88" i="7"/>
  <c r="J46" i="7"/>
  <c r="L73" i="7"/>
  <c r="E43" i="7"/>
  <c r="P48" i="35" s="1"/>
  <c r="E85" i="7"/>
  <c r="P90" i="35" s="1"/>
  <c r="K50" i="7"/>
  <c r="J85" i="7"/>
  <c r="K85" i="7"/>
  <c r="D77" i="7"/>
  <c r="P82" i="31" s="1"/>
  <c r="F56" i="7"/>
  <c r="C61" i="32" s="1"/>
  <c r="F74" i="7"/>
  <c r="C79" i="34" s="1"/>
  <c r="F88" i="7"/>
  <c r="C93" i="32" s="1"/>
  <c r="F38" i="7"/>
  <c r="P43" i="32" s="1"/>
  <c r="F52" i="7"/>
  <c r="C57" i="34" s="1"/>
  <c r="F75" i="7"/>
  <c r="C80" i="32" s="1"/>
  <c r="F85" i="7"/>
  <c r="C90" i="32" s="1"/>
  <c r="H52" i="7"/>
  <c r="C40" i="7"/>
  <c r="C45" i="18" s="1"/>
  <c r="D40" i="7"/>
  <c r="C45" i="35" s="1"/>
  <c r="I65" i="7"/>
  <c r="I40" i="7"/>
  <c r="I62" i="7"/>
  <c r="I45" i="7"/>
  <c r="J49" i="7"/>
  <c r="D56" i="7"/>
  <c r="P61" i="31" s="1"/>
  <c r="D50" i="7"/>
  <c r="C55" i="35" s="1"/>
  <c r="J40" i="7"/>
  <c r="E63" i="7"/>
  <c r="P68" i="35" s="1"/>
  <c r="O63" i="7"/>
  <c r="P68" i="37" s="1"/>
  <c r="F68" i="7"/>
  <c r="L68" i="7"/>
  <c r="F39" i="7"/>
  <c r="P44" i="32" s="1"/>
  <c r="E39" i="7"/>
  <c r="P44" i="35" s="1"/>
  <c r="L39" i="7"/>
  <c r="O39" i="7"/>
  <c r="C44" i="37" s="1"/>
  <c r="J87" i="7"/>
  <c r="L83" i="7"/>
  <c r="G83" i="7"/>
  <c r="P88" i="34" s="1"/>
  <c r="O83" i="7"/>
  <c r="F51" i="7"/>
  <c r="P56" i="32" s="1"/>
  <c r="H71" i="7"/>
  <c r="C76" i="33" s="1"/>
  <c r="H45" i="7"/>
  <c r="P50" i="33" s="1"/>
  <c r="C79" i="7"/>
  <c r="C84" i="18" s="1"/>
  <c r="J36" i="7"/>
  <c r="I74" i="7"/>
  <c r="I68" i="7"/>
  <c r="D52" i="7"/>
  <c r="C57" i="31" s="1"/>
  <c r="D47" i="7"/>
  <c r="P52" i="31" s="1"/>
  <c r="D54" i="7"/>
  <c r="C59" i="31" s="1"/>
  <c r="J73" i="7"/>
  <c r="J56" i="7"/>
  <c r="H43" i="7"/>
  <c r="P48" i="33" s="1"/>
  <c r="E50" i="7"/>
  <c r="P55" i="35" s="1"/>
  <c r="R52" i="8"/>
  <c r="Q53" i="18" s="1"/>
  <c r="H75" i="8"/>
  <c r="R79" i="8"/>
  <c r="Q80" i="33" s="1"/>
  <c r="R33" i="8"/>
  <c r="E34" i="37" s="1"/>
  <c r="H36" i="8"/>
  <c r="H37" i="8"/>
  <c r="R49" i="8"/>
  <c r="R57" i="8"/>
  <c r="Q58" i="36" s="1"/>
  <c r="R58" i="36" s="1"/>
  <c r="H76" i="8"/>
  <c r="R21" i="8"/>
  <c r="E22" i="32" s="1"/>
  <c r="R25" i="8"/>
  <c r="E26" i="33" s="1"/>
  <c r="R82" i="8"/>
  <c r="Q83" i="34" s="1"/>
  <c r="E96" i="31"/>
  <c r="R98" i="8"/>
  <c r="E99" i="37" s="1"/>
  <c r="R26" i="8"/>
  <c r="E27" i="34" s="1"/>
  <c r="H30" i="8"/>
  <c r="R37" i="8"/>
  <c r="E38" i="40" s="1"/>
  <c r="Q82" i="36"/>
  <c r="R82" i="36" s="1"/>
  <c r="R97" i="8"/>
  <c r="R19" i="8"/>
  <c r="E20" i="31" s="1"/>
  <c r="H23" i="8"/>
  <c r="R68" i="8"/>
  <c r="E69" i="36" s="1"/>
  <c r="J68" i="39" s="1"/>
  <c r="R83" i="8"/>
  <c r="E84" i="31" s="1"/>
  <c r="H91" i="8"/>
  <c r="R18" i="8"/>
  <c r="E19" i="35" s="1"/>
  <c r="H39" i="8"/>
  <c r="H41" i="8"/>
  <c r="R51" i="8"/>
  <c r="E52" i="37" s="1"/>
  <c r="H56" i="8"/>
  <c r="R63" i="8"/>
  <c r="E64" i="36" s="1"/>
  <c r="J63" i="39" s="1"/>
  <c r="R65" i="8"/>
  <c r="Q66" i="32" s="1"/>
  <c r="R67" i="8"/>
  <c r="E68" i="34" s="1"/>
  <c r="H69" i="8"/>
  <c r="R71" i="8"/>
  <c r="Q72" i="33" s="1"/>
  <c r="H73" i="8"/>
  <c r="R75" i="8"/>
  <c r="E76" i="18" s="1"/>
  <c r="H79" i="8"/>
  <c r="H82" i="8"/>
  <c r="H84" i="8"/>
  <c r="H86" i="8"/>
  <c r="H90" i="8"/>
  <c r="H92" i="8"/>
  <c r="Q84" i="40"/>
  <c r="Q20" i="32"/>
  <c r="R23" i="8"/>
  <c r="E24" i="18" s="1"/>
  <c r="Q82" i="18"/>
  <c r="Q52" i="33"/>
  <c r="R69" i="8"/>
  <c r="E70" i="33" s="1"/>
  <c r="Q96" i="32"/>
  <c r="Q96" i="31"/>
  <c r="R73" i="8"/>
  <c r="R55" i="8"/>
  <c r="H55" i="8"/>
  <c r="R59" i="8"/>
  <c r="Q60" i="40" s="1"/>
  <c r="H59" i="8"/>
  <c r="E82" i="36"/>
  <c r="J81" i="39" s="1"/>
  <c r="E82" i="18"/>
  <c r="Q82" i="37"/>
  <c r="Q82" i="32"/>
  <c r="Q20" i="40"/>
  <c r="E82" i="32"/>
  <c r="E52" i="33"/>
  <c r="H77" i="8"/>
  <c r="R77" i="8"/>
  <c r="R93" i="8"/>
  <c r="Q94" i="35" s="1"/>
  <c r="H93" i="8"/>
  <c r="Q52" i="37"/>
  <c r="R39" i="8"/>
  <c r="H98" i="8"/>
  <c r="H22" i="8"/>
  <c r="R29" i="8"/>
  <c r="E30" i="36" s="1"/>
  <c r="J29" i="39" s="1"/>
  <c r="H43" i="8"/>
  <c r="H47" i="8"/>
  <c r="H54" i="8"/>
  <c r="R61" i="8"/>
  <c r="H65" i="8"/>
  <c r="H68" i="8"/>
  <c r="H72" i="8"/>
  <c r="R87" i="8"/>
  <c r="E88" i="31" s="1"/>
  <c r="R91" i="8"/>
  <c r="Q92" i="40" s="1"/>
  <c r="E36" i="18"/>
  <c r="E36" i="34"/>
  <c r="E36" i="36"/>
  <c r="J35" i="39" s="1"/>
  <c r="E36" i="35"/>
  <c r="Q36" i="35"/>
  <c r="E36" i="40"/>
  <c r="F36" i="40" s="1"/>
  <c r="Q36" i="34"/>
  <c r="E36" i="37"/>
  <c r="E36" i="32"/>
  <c r="Q36" i="37"/>
  <c r="Q36" i="18"/>
  <c r="Q76" i="33"/>
  <c r="Q76" i="18"/>
  <c r="E58" i="31"/>
  <c r="E35" i="18"/>
  <c r="E35" i="34"/>
  <c r="E35" i="33"/>
  <c r="E35" i="32"/>
  <c r="R85" i="8"/>
  <c r="H85" i="8"/>
  <c r="E35" i="40"/>
  <c r="F35" i="40" s="1"/>
  <c r="Q96" i="40"/>
  <c r="Q96" i="34"/>
  <c r="E96" i="36"/>
  <c r="J95" i="39" s="1"/>
  <c r="R89" i="8"/>
  <c r="R27" i="8"/>
  <c r="R53" i="8"/>
  <c r="H53" i="8"/>
  <c r="E83" i="32"/>
  <c r="Q96" i="33"/>
  <c r="Q96" i="37"/>
  <c r="E96" i="34"/>
  <c r="E68" i="36"/>
  <c r="J67" i="39" s="1"/>
  <c r="E52" i="34"/>
  <c r="E82" i="35"/>
  <c r="E82" i="31"/>
  <c r="E34" i="40"/>
  <c r="F34" i="40" s="1"/>
  <c r="E83" i="31"/>
  <c r="H87" i="8"/>
  <c r="I88" i="7"/>
  <c r="C83" i="34"/>
  <c r="P83" i="32"/>
  <c r="C67" i="32"/>
  <c r="P67" i="32"/>
  <c r="C67" i="34"/>
  <c r="P52" i="32"/>
  <c r="C42" i="34"/>
  <c r="F46" i="7"/>
  <c r="E56" i="7"/>
  <c r="P61" i="35" s="1"/>
  <c r="O62" i="6"/>
  <c r="M63" i="7" s="1"/>
  <c r="O74" i="6"/>
  <c r="M75" i="7" s="1"/>
  <c r="O23" i="6"/>
  <c r="P23" i="6" s="1"/>
  <c r="P61" i="33"/>
  <c r="C61" i="33"/>
  <c r="P82" i="33"/>
  <c r="C82" i="33"/>
  <c r="F82" i="33" s="1"/>
  <c r="P88" i="33"/>
  <c r="O89" i="6"/>
  <c r="M90" i="7" s="1"/>
  <c r="O76" i="6"/>
  <c r="M77" i="7" s="1"/>
  <c r="P78" i="33"/>
  <c r="O82" i="6"/>
  <c r="M83" i="7" s="1"/>
  <c r="O30" i="6"/>
  <c r="O24" i="6"/>
  <c r="O83" i="6"/>
  <c r="P83" i="6" s="1"/>
  <c r="O42" i="6"/>
  <c r="M43" i="7" s="1"/>
  <c r="O72" i="6"/>
  <c r="M73" i="7" s="1"/>
  <c r="D49" i="7"/>
  <c r="P54" i="31" s="1"/>
  <c r="P21" i="6"/>
  <c r="C88" i="31"/>
  <c r="P88" i="31"/>
  <c r="C88" i="35"/>
  <c r="D65" i="7"/>
  <c r="C70" i="31" s="1"/>
  <c r="O88" i="6"/>
  <c r="M89" i="7" s="1"/>
  <c r="O50" i="6"/>
  <c r="P50" i="6" s="1"/>
  <c r="O20" i="6"/>
  <c r="O14" i="6"/>
  <c r="C97" i="31"/>
  <c r="O64" i="6"/>
  <c r="M65" i="7" s="1"/>
  <c r="O31" i="6"/>
  <c r="O49" i="6"/>
  <c r="M50" i="7" s="1"/>
  <c r="P62" i="18"/>
  <c r="C67" i="18"/>
  <c r="P8" i="6"/>
  <c r="O61" i="6"/>
  <c r="P61" i="6" s="1"/>
  <c r="O43" i="6"/>
  <c r="M44" i="7" s="1"/>
  <c r="O38" i="6"/>
  <c r="M39" i="7" s="1"/>
  <c r="O59" i="6"/>
  <c r="P59" i="6" s="1"/>
  <c r="O78" i="6"/>
  <c r="P78" i="6" s="1"/>
  <c r="O16" i="6"/>
  <c r="O90" i="6"/>
  <c r="P90" i="6" s="1"/>
  <c r="O47" i="6"/>
  <c r="M48" i="7" s="1"/>
  <c r="O52" i="6"/>
  <c r="P52" i="6" s="1"/>
  <c r="O32" i="6"/>
  <c r="O81" i="6"/>
  <c r="M82" i="7" s="1"/>
  <c r="O55" i="6"/>
  <c r="P55" i="6" s="1"/>
  <c r="O33" i="6"/>
  <c r="P33" i="6" s="1"/>
  <c r="O17" i="6"/>
  <c r="P17" i="6" s="1"/>
  <c r="O51" i="6"/>
  <c r="M52" i="7" s="1"/>
  <c r="O85" i="6"/>
  <c r="P85" i="6" s="1"/>
  <c r="O60" i="6"/>
  <c r="P60" i="6" s="1"/>
  <c r="O40" i="6"/>
  <c r="M41" i="7" s="1"/>
  <c r="O36" i="6"/>
  <c r="P36" i="6" s="1"/>
  <c r="O26" i="6"/>
  <c r="P26" i="6" s="1"/>
  <c r="O66" i="6"/>
  <c r="P66" i="6" s="1"/>
  <c r="O22" i="6"/>
  <c r="O54" i="6"/>
  <c r="P54" i="6" s="1"/>
  <c r="O77" i="6"/>
  <c r="M78" i="7" s="1"/>
  <c r="O34" i="6"/>
  <c r="M35" i="7" s="1"/>
  <c r="O86" i="6"/>
  <c r="M87" i="7" s="1"/>
  <c r="O57" i="6"/>
  <c r="M58" i="7" s="1"/>
  <c r="O46" i="6"/>
  <c r="O18" i="6"/>
  <c r="P18" i="6" s="1"/>
  <c r="O80" i="6"/>
  <c r="O87" i="6"/>
  <c r="O48" i="6"/>
  <c r="P48" i="6" s="1"/>
  <c r="O91" i="6"/>
  <c r="M92" i="7" s="1"/>
  <c r="O73" i="6"/>
  <c r="M74" i="7" s="1"/>
  <c r="O70" i="6"/>
  <c r="M71" i="7" s="1"/>
  <c r="O84" i="6"/>
  <c r="M85" i="7" s="1"/>
  <c r="O13" i="6"/>
  <c r="O25" i="6"/>
  <c r="O39" i="6"/>
  <c r="P39" i="6" s="1"/>
  <c r="O56" i="6"/>
  <c r="M57" i="7" s="1"/>
  <c r="O53" i="6"/>
  <c r="M54" i="7" s="1"/>
  <c r="O37" i="6"/>
  <c r="M38" i="7" s="1"/>
  <c r="O29" i="6"/>
  <c r="P29" i="6" s="1"/>
  <c r="O15" i="6"/>
  <c r="O41" i="6"/>
  <c r="M42" i="7" s="1"/>
  <c r="O65" i="6"/>
  <c r="M66" i="7" s="1"/>
  <c r="O71" i="6"/>
  <c r="P71" i="6" s="1"/>
  <c r="O68" i="6"/>
  <c r="P68" i="6" s="1"/>
  <c r="O45" i="6"/>
  <c r="M46" i="7" s="1"/>
  <c r="O28" i="6"/>
  <c r="O75" i="6"/>
  <c r="P75" i="6" s="1"/>
  <c r="C88" i="18"/>
  <c r="P86" i="18"/>
  <c r="C86" i="18"/>
  <c r="C50" i="7"/>
  <c r="C55" i="18" s="1"/>
  <c r="O19" i="6"/>
  <c r="P19" i="6" s="1"/>
  <c r="O58" i="6"/>
  <c r="M59" i="7" s="1"/>
  <c r="O27" i="6"/>
  <c r="O67" i="6"/>
  <c r="M68" i="7" s="1"/>
  <c r="O69" i="6"/>
  <c r="M70" i="7" s="1"/>
  <c r="O92" i="6"/>
  <c r="M93" i="7" s="1"/>
  <c r="O44" i="6"/>
  <c r="M45" i="7" s="1"/>
  <c r="O93" i="6"/>
  <c r="P93" i="6" s="1"/>
  <c r="O35" i="6"/>
  <c r="P35" i="6" s="1"/>
  <c r="O79" i="6"/>
  <c r="P79" i="6" s="1"/>
  <c r="O63" i="6"/>
  <c r="M64" i="7" s="1"/>
  <c r="P72" i="6"/>
  <c r="C59" i="18"/>
  <c r="P59" i="18"/>
  <c r="P65" i="33"/>
  <c r="C65" i="33"/>
  <c r="F87" i="7"/>
  <c r="P92" i="32" s="1"/>
  <c r="G87" i="7"/>
  <c r="P92" i="34" s="1"/>
  <c r="O87" i="7"/>
  <c r="E87" i="7"/>
  <c r="P92" i="35" s="1"/>
  <c r="L87" i="7"/>
  <c r="H87" i="7"/>
  <c r="P92" i="33" s="1"/>
  <c r="D87" i="7"/>
  <c r="K87" i="7"/>
  <c r="G91" i="7"/>
  <c r="P96" i="34" s="1"/>
  <c r="F91" i="7"/>
  <c r="C96" i="32" s="1"/>
  <c r="L91" i="7"/>
  <c r="H91" i="7"/>
  <c r="D91" i="7"/>
  <c r="P96" i="31" s="1"/>
  <c r="J91" i="7"/>
  <c r="K76" i="7"/>
  <c r="L76" i="7"/>
  <c r="E76" i="7"/>
  <c r="P81" i="35" s="1"/>
  <c r="G76" i="7"/>
  <c r="P81" i="34" s="1"/>
  <c r="O76" i="7"/>
  <c r="J90" i="7"/>
  <c r="K90" i="7"/>
  <c r="H90" i="7"/>
  <c r="D90" i="7"/>
  <c r="E90" i="7"/>
  <c r="P95" i="35" s="1"/>
  <c r="G90" i="7"/>
  <c r="P95" i="34" s="1"/>
  <c r="F86" i="7"/>
  <c r="C91" i="32" s="1"/>
  <c r="C86" i="7"/>
  <c r="E86" i="7"/>
  <c r="P91" i="35" s="1"/>
  <c r="O86" i="7"/>
  <c r="K86" i="7"/>
  <c r="H86" i="7"/>
  <c r="D86" i="7"/>
  <c r="C91" i="31" s="1"/>
  <c r="G86" i="7"/>
  <c r="P91" i="34" s="1"/>
  <c r="L84" i="7"/>
  <c r="O84" i="7"/>
  <c r="H84" i="7"/>
  <c r="P89" i="33" s="1"/>
  <c r="E84" i="7"/>
  <c r="P89" i="35" s="1"/>
  <c r="K84" i="7"/>
  <c r="I84" i="7"/>
  <c r="F84" i="7"/>
  <c r="C84" i="7"/>
  <c r="P89" i="18" s="1"/>
  <c r="D84" i="7"/>
  <c r="L41" i="7"/>
  <c r="K41" i="7"/>
  <c r="I41" i="7"/>
  <c r="O41" i="7"/>
  <c r="E41" i="7"/>
  <c r="P46" i="35" s="1"/>
  <c r="G41" i="7"/>
  <c r="P46" i="34" s="1"/>
  <c r="C41" i="7"/>
  <c r="L59" i="7"/>
  <c r="F59" i="7"/>
  <c r="G59" i="7"/>
  <c r="P64" i="34" s="1"/>
  <c r="O59" i="7"/>
  <c r="D59" i="7"/>
  <c r="C59" i="7"/>
  <c r="H59" i="7"/>
  <c r="P64" i="33" s="1"/>
  <c r="L34" i="7"/>
  <c r="K34" i="7"/>
  <c r="H34" i="7"/>
  <c r="C39" i="33" s="1"/>
  <c r="C34" i="7"/>
  <c r="C39" i="18" s="1"/>
  <c r="D34" i="7"/>
  <c r="P39" i="31" s="1"/>
  <c r="J34" i="7"/>
  <c r="E34" i="7"/>
  <c r="P39" i="35" s="1"/>
  <c r="F34" i="7"/>
  <c r="C39" i="34" s="1"/>
  <c r="P83" i="31"/>
  <c r="C83" i="31"/>
  <c r="G34" i="7"/>
  <c r="P39" i="34" s="1"/>
  <c r="I59" i="7"/>
  <c r="C50" i="37"/>
  <c r="P50" i="37"/>
  <c r="G84" i="7"/>
  <c r="P89" i="34" s="1"/>
  <c r="C87" i="7"/>
  <c r="K59" i="7"/>
  <c r="J59" i="7"/>
  <c r="J84" i="7"/>
  <c r="D67" i="7"/>
  <c r="I67" i="7"/>
  <c r="E67" i="7"/>
  <c r="P72" i="35" s="1"/>
  <c r="G67" i="7"/>
  <c r="P72" i="34" s="1"/>
  <c r="O67" i="7"/>
  <c r="F67" i="7"/>
  <c r="C72" i="34" s="1"/>
  <c r="E64" i="7"/>
  <c r="P69" i="35" s="1"/>
  <c r="G64" i="7"/>
  <c r="P69" i="34" s="1"/>
  <c r="D64" i="7"/>
  <c r="H64" i="7"/>
  <c r="J64" i="7"/>
  <c r="C64" i="7"/>
  <c r="P69" i="18" s="1"/>
  <c r="O64" i="7"/>
  <c r="D42" i="7"/>
  <c r="F42" i="7"/>
  <c r="C47" i="32" s="1"/>
  <c r="G42" i="7"/>
  <c r="P47" i="34" s="1"/>
  <c r="L42" i="7"/>
  <c r="C42" i="7"/>
  <c r="O42" i="7"/>
  <c r="I42" i="7"/>
  <c r="J53" i="7"/>
  <c r="H53" i="7"/>
  <c r="P58" i="33" s="1"/>
  <c r="K53" i="7"/>
  <c r="I53" i="7"/>
  <c r="E53" i="7"/>
  <c r="P58" i="35" s="1"/>
  <c r="O53" i="7"/>
  <c r="L70" i="7"/>
  <c r="I70" i="7"/>
  <c r="C70" i="7"/>
  <c r="H69" i="7"/>
  <c r="E69" i="7"/>
  <c r="P74" i="35" s="1"/>
  <c r="K69" i="7"/>
  <c r="I69" i="7"/>
  <c r="F69" i="7"/>
  <c r="C74" i="32" s="1"/>
  <c r="O55" i="7"/>
  <c r="G55" i="7"/>
  <c r="P60" i="34" s="1"/>
  <c r="D55" i="7"/>
  <c r="C60" i="31" s="1"/>
  <c r="I55" i="7"/>
  <c r="E55" i="7"/>
  <c r="P60" i="35" s="1"/>
  <c r="K55" i="7"/>
  <c r="F55" i="7"/>
  <c r="L55" i="7"/>
  <c r="K60" i="7"/>
  <c r="E60" i="7"/>
  <c r="P65" i="35" s="1"/>
  <c r="G60" i="7"/>
  <c r="P65" i="34" s="1"/>
  <c r="I60" i="7"/>
  <c r="L60" i="7"/>
  <c r="O60" i="7"/>
  <c r="I51" i="7"/>
  <c r="H51" i="7"/>
  <c r="J51" i="7"/>
  <c r="O51" i="7"/>
  <c r="E51" i="7"/>
  <c r="P56" i="35" s="1"/>
  <c r="G51" i="7"/>
  <c r="P56" i="34" s="1"/>
  <c r="L51" i="7"/>
  <c r="D51" i="7"/>
  <c r="C56" i="31" s="1"/>
  <c r="D93" i="7"/>
  <c r="C98" i="31" s="1"/>
  <c r="H93" i="7"/>
  <c r="E93" i="7"/>
  <c r="P98" i="35" s="1"/>
  <c r="O93" i="7"/>
  <c r="J93" i="7"/>
  <c r="G93" i="7"/>
  <c r="P98" i="34" s="1"/>
  <c r="I93" i="7"/>
  <c r="G36" i="7"/>
  <c r="P41" i="34" s="1"/>
  <c r="L36" i="7"/>
  <c r="E36" i="7"/>
  <c r="P41" i="35" s="1"/>
  <c r="K36" i="7"/>
  <c r="C36" i="7"/>
  <c r="C41" i="18" s="1"/>
  <c r="E38" i="7"/>
  <c r="P43" i="35" s="1"/>
  <c r="I38" i="7"/>
  <c r="D38" i="7"/>
  <c r="C43" i="35" s="1"/>
  <c r="J38" i="7"/>
  <c r="G38" i="7"/>
  <c r="P43" i="34" s="1"/>
  <c r="L38" i="7"/>
  <c r="K38" i="7"/>
  <c r="H38" i="7"/>
  <c r="P43" i="33" s="1"/>
  <c r="L61" i="7"/>
  <c r="F61" i="7"/>
  <c r="D61" i="7"/>
  <c r="H61" i="7"/>
  <c r="C66" i="33" s="1"/>
  <c r="E61" i="7"/>
  <c r="P66" i="35" s="1"/>
  <c r="G61" i="7"/>
  <c r="P66" i="34" s="1"/>
  <c r="C61" i="7"/>
  <c r="I61" i="7"/>
  <c r="E44" i="7"/>
  <c r="P49" i="35" s="1"/>
  <c r="O44" i="7"/>
  <c r="L44" i="7"/>
  <c r="F44" i="7"/>
  <c r="C49" i="32" s="1"/>
  <c r="G44" i="7"/>
  <c r="P49" i="34" s="1"/>
  <c r="H44" i="7"/>
  <c r="C49" i="33" s="1"/>
  <c r="C44" i="7"/>
  <c r="C49" i="18" s="1"/>
  <c r="D66" i="7"/>
  <c r="I66" i="7"/>
  <c r="J66" i="7"/>
  <c r="F66" i="7"/>
  <c r="K66" i="7"/>
  <c r="G66" i="7"/>
  <c r="P71" i="34" s="1"/>
  <c r="L66" i="7"/>
  <c r="H66" i="7"/>
  <c r="O66" i="7"/>
  <c r="E94" i="7"/>
  <c r="P99" i="35" s="1"/>
  <c r="I94" i="7"/>
  <c r="H94" i="7"/>
  <c r="M94" i="7"/>
  <c r="F94" i="7"/>
  <c r="K93" i="7"/>
  <c r="K67" i="7"/>
  <c r="K61" i="7"/>
  <c r="G94" i="7"/>
  <c r="P99" i="34" s="1"/>
  <c r="O90" i="7"/>
  <c r="P54" i="37"/>
  <c r="C66" i="7"/>
  <c r="J61" i="7"/>
  <c r="O38" i="7"/>
  <c r="C38" i="7"/>
  <c r="O36" i="7"/>
  <c r="P41" i="37" s="1"/>
  <c r="P83" i="18"/>
  <c r="C83" i="18"/>
  <c r="C53" i="33"/>
  <c r="P53" i="33"/>
  <c r="I64" i="7"/>
  <c r="J67" i="7"/>
  <c r="C59" i="37"/>
  <c r="P59" i="37"/>
  <c r="F41" i="7"/>
  <c r="J41" i="7"/>
  <c r="I86" i="7"/>
  <c r="L90" i="7"/>
  <c r="C81" i="33"/>
  <c r="H55" i="7"/>
  <c r="C60" i="33" s="1"/>
  <c r="G70" i="7"/>
  <c r="P75" i="34" s="1"/>
  <c r="G53" i="7"/>
  <c r="P58" i="34" s="1"/>
  <c r="P70" i="37"/>
  <c r="C70" i="37"/>
  <c r="J44" i="7"/>
  <c r="C40" i="34"/>
  <c r="P40" i="32"/>
  <c r="O61" i="7"/>
  <c r="D41" i="7"/>
  <c r="O91" i="7"/>
  <c r="P53" i="18"/>
  <c r="C53" i="18"/>
  <c r="L67" i="7"/>
  <c r="E66" i="7"/>
  <c r="P71" i="35" s="1"/>
  <c r="C52" i="18"/>
  <c r="F64" i="7"/>
  <c r="O80" i="7"/>
  <c r="C78" i="31"/>
  <c r="C86" i="34"/>
  <c r="P86" i="32"/>
  <c r="C86" i="32"/>
  <c r="C62" i="35"/>
  <c r="C62" i="31"/>
  <c r="C51" i="7"/>
  <c r="J86" i="7"/>
  <c r="E37" i="7"/>
  <c r="P42" i="35" s="1"/>
  <c r="E40" i="7"/>
  <c r="P45" i="35" s="1"/>
  <c r="H89" i="7"/>
  <c r="C94" i="33" s="1"/>
  <c r="E89" i="7"/>
  <c r="P94" i="35" s="1"/>
  <c r="L92" i="7"/>
  <c r="I92" i="7"/>
  <c r="F92" i="7"/>
  <c r="E88" i="7"/>
  <c r="P93" i="35" s="1"/>
  <c r="D43" i="7"/>
  <c r="P48" i="31" s="1"/>
  <c r="I35" i="7"/>
  <c r="O37" i="7"/>
  <c r="D46" i="7"/>
  <c r="C51" i="31" s="1"/>
  <c r="F89" i="7"/>
  <c r="H67" i="7"/>
  <c r="C72" i="33" s="1"/>
  <c r="I90" i="7"/>
  <c r="D88" i="7"/>
  <c r="J60" i="7"/>
  <c r="E73" i="7"/>
  <c r="P78" i="35" s="1"/>
  <c r="G73" i="7"/>
  <c r="P78" i="34" s="1"/>
  <c r="F73" i="7"/>
  <c r="C93" i="7"/>
  <c r="F93" i="7"/>
  <c r="C98" i="32" s="1"/>
  <c r="F90" i="7"/>
  <c r="P95" i="32" s="1"/>
  <c r="I81" i="7"/>
  <c r="I34" i="7"/>
  <c r="D44" i="7"/>
  <c r="K64" i="7"/>
  <c r="P39" i="37"/>
  <c r="B20" i="32"/>
  <c r="O20" i="35"/>
  <c r="B20" i="40"/>
  <c r="O20" i="37"/>
  <c r="B20" i="36"/>
  <c r="O20" i="18"/>
  <c r="B20" i="37"/>
  <c r="B20" i="34"/>
  <c r="B20" i="31"/>
  <c r="O20" i="40"/>
  <c r="O20" i="32"/>
  <c r="O20" i="36"/>
  <c r="B20" i="35"/>
  <c r="O20" i="34"/>
  <c r="B20" i="18"/>
  <c r="P88" i="32"/>
  <c r="P54" i="18"/>
  <c r="P80" i="18"/>
  <c r="P55" i="33"/>
  <c r="C80" i="33"/>
  <c r="P80" i="33"/>
  <c r="C85" i="34"/>
  <c r="C85" i="32"/>
  <c r="H63" i="7"/>
  <c r="H92" i="7"/>
  <c r="I87" i="7"/>
  <c r="H79" i="7"/>
  <c r="P84" i="33" s="1"/>
  <c r="I79" i="7"/>
  <c r="F79" i="7"/>
  <c r="K79" i="7"/>
  <c r="J79" i="7"/>
  <c r="J42" i="7"/>
  <c r="K42" i="7"/>
  <c r="E42" i="7"/>
  <c r="P47" i="35" s="1"/>
  <c r="H65" i="7"/>
  <c r="C65" i="7"/>
  <c r="E65" i="7"/>
  <c r="P70" i="35" s="1"/>
  <c r="F53" i="7"/>
  <c r="D53" i="7"/>
  <c r="P58" i="31" s="1"/>
  <c r="L53" i="7"/>
  <c r="C53" i="7"/>
  <c r="J75" i="7"/>
  <c r="O75" i="7"/>
  <c r="E75" i="7"/>
  <c r="P80" i="35" s="1"/>
  <c r="D75" i="7"/>
  <c r="P80" i="31" s="1"/>
  <c r="O70" i="7"/>
  <c r="D70" i="7"/>
  <c r="H70" i="7"/>
  <c r="J70" i="7"/>
  <c r="K70" i="7"/>
  <c r="F70" i="7"/>
  <c r="E70" i="7"/>
  <c r="P75" i="35" s="1"/>
  <c r="E91" i="7"/>
  <c r="P96" i="35" s="1"/>
  <c r="K91" i="7"/>
  <c r="C91" i="7"/>
  <c r="P96" i="18" s="1"/>
  <c r="I91" i="7"/>
  <c r="R24" i="8"/>
  <c r="H24" i="8"/>
  <c r="H25" i="8"/>
  <c r="H26" i="8"/>
  <c r="R58" i="8"/>
  <c r="H58" i="8"/>
  <c r="H60" i="8"/>
  <c r="H61" i="8"/>
  <c r="R80" i="8"/>
  <c r="H80" i="8"/>
  <c r="H81" i="8"/>
  <c r="E83" i="37"/>
  <c r="H78" i="7"/>
  <c r="D68" i="7"/>
  <c r="F54" i="7"/>
  <c r="D62" i="7"/>
  <c r="J62" i="7"/>
  <c r="K62" i="7"/>
  <c r="H62" i="7"/>
  <c r="J76" i="7"/>
  <c r="C76" i="7"/>
  <c r="P81" i="18" s="1"/>
  <c r="F76" i="7"/>
  <c r="C81" i="34" s="1"/>
  <c r="I76" i="7"/>
  <c r="D76" i="7"/>
  <c r="C81" i="31" s="1"/>
  <c r="F49" i="7"/>
  <c r="H49" i="7"/>
  <c r="P54" i="33" s="1"/>
  <c r="E49" i="7"/>
  <c r="P54" i="35" s="1"/>
  <c r="O57" i="7"/>
  <c r="K57" i="7"/>
  <c r="J57" i="7"/>
  <c r="C52" i="7"/>
  <c r="C89" i="7"/>
  <c r="C67" i="7"/>
  <c r="C55" i="7"/>
  <c r="AE29" i="5"/>
  <c r="H97" i="8"/>
  <c r="H18" i="8"/>
  <c r="H19" i="8"/>
  <c r="R32" i="8"/>
  <c r="H32" i="8"/>
  <c r="H33" i="8"/>
  <c r="Q35" i="36"/>
  <c r="R35" i="36" s="1"/>
  <c r="Q35" i="34"/>
  <c r="Q35" i="32"/>
  <c r="E35" i="31"/>
  <c r="H35" i="8"/>
  <c r="R50" i="8"/>
  <c r="H51" i="8"/>
  <c r="H52" i="8"/>
  <c r="R66" i="8"/>
  <c r="H67" i="8"/>
  <c r="H71" i="8"/>
  <c r="H83" i="8"/>
  <c r="N18" i="8"/>
  <c r="N20" i="8"/>
  <c r="N21" i="8"/>
  <c r="N22" i="8"/>
  <c r="N23" i="8"/>
  <c r="N24" i="8"/>
  <c r="N25" i="8"/>
  <c r="N26" i="8"/>
  <c r="N27" i="8"/>
  <c r="N28" i="8"/>
  <c r="N29" i="8"/>
  <c r="N30" i="8"/>
  <c r="N31" i="8"/>
  <c r="N32" i="8"/>
  <c r="N33" i="8"/>
  <c r="N34" i="8"/>
  <c r="N36" i="8"/>
  <c r="N37" i="8"/>
  <c r="N38" i="8"/>
  <c r="N39" i="8"/>
  <c r="N40" i="8"/>
  <c r="N41" i="8"/>
  <c r="N42" i="8"/>
  <c r="N43" i="8"/>
  <c r="N44" i="8"/>
  <c r="N45" i="8"/>
  <c r="N46" i="8"/>
  <c r="N47" i="8"/>
  <c r="N48" i="8"/>
  <c r="N49" i="8"/>
  <c r="N50" i="8"/>
  <c r="N52" i="8"/>
  <c r="N53" i="8"/>
  <c r="N54" i="8"/>
  <c r="N55" i="8"/>
  <c r="N56" i="8"/>
  <c r="N57" i="8"/>
  <c r="N58" i="8"/>
  <c r="N59" i="8"/>
  <c r="N60" i="8"/>
  <c r="N61" i="8"/>
  <c r="N62" i="8"/>
  <c r="N63" i="8"/>
  <c r="N64" i="8"/>
  <c r="N65" i="8"/>
  <c r="N66" i="8"/>
  <c r="N68" i="8"/>
  <c r="N69" i="8"/>
  <c r="N70" i="8"/>
  <c r="N71" i="8"/>
  <c r="N72" i="8"/>
  <c r="N73" i="8"/>
  <c r="N74" i="8"/>
  <c r="N75" i="8"/>
  <c r="N76" i="8"/>
  <c r="N77" i="8"/>
  <c r="N78" i="8"/>
  <c r="N79" i="8"/>
  <c r="N80" i="8"/>
  <c r="N81" i="8"/>
  <c r="N82" i="8"/>
  <c r="N84" i="8"/>
  <c r="N85" i="8"/>
  <c r="N86" i="8"/>
  <c r="N87" i="8"/>
  <c r="N88" i="8"/>
  <c r="N89" i="8"/>
  <c r="N90" i="8"/>
  <c r="N91" i="8"/>
  <c r="N92" i="8"/>
  <c r="N93" i="8"/>
  <c r="N94" i="8"/>
  <c r="N95" i="8"/>
  <c r="N96" i="8"/>
  <c r="N97" i="8"/>
  <c r="N98" i="8"/>
  <c r="L94" i="7"/>
  <c r="J94" i="7"/>
  <c r="D94" i="7"/>
  <c r="C94" i="7"/>
  <c r="O94" i="7"/>
  <c r="L82" i="7"/>
  <c r="C82" i="7"/>
  <c r="O82" i="7"/>
  <c r="D82" i="7"/>
  <c r="I82" i="7"/>
  <c r="H82" i="7"/>
  <c r="L80" i="7"/>
  <c r="G80" i="7"/>
  <c r="P85" i="34" s="1"/>
  <c r="H80" i="7"/>
  <c r="D80" i="7"/>
  <c r="C85" i="31" s="1"/>
  <c r="J80" i="7"/>
  <c r="K80" i="7"/>
  <c r="I80" i="7"/>
  <c r="C80" i="7"/>
  <c r="E80" i="7"/>
  <c r="P85" i="35" s="1"/>
  <c r="K74" i="7"/>
  <c r="L58" i="7"/>
  <c r="C58" i="7"/>
  <c r="G58" i="7"/>
  <c r="P63" i="34" s="1"/>
  <c r="O58" i="7"/>
  <c r="K58" i="7"/>
  <c r="J58" i="7"/>
  <c r="E58" i="7"/>
  <c r="P63" i="35" s="1"/>
  <c r="D58" i="7"/>
  <c r="K43" i="7"/>
  <c r="K39" i="7"/>
  <c r="AH10" i="5"/>
  <c r="AH13" i="5"/>
  <c r="AH8" i="5"/>
  <c r="AH14" i="5"/>
  <c r="AH21" i="5"/>
  <c r="R86" i="8"/>
  <c r="R78" i="8"/>
  <c r="R90" i="8"/>
  <c r="R74" i="8"/>
  <c r="R64" i="8"/>
  <c r="R56" i="8"/>
  <c r="R48" i="8"/>
  <c r="R47" i="8"/>
  <c r="R46" i="8"/>
  <c r="R45" i="8"/>
  <c r="R44" i="8"/>
  <c r="R43" i="8"/>
  <c r="R42" i="8"/>
  <c r="R41" i="8"/>
  <c r="R40" i="8"/>
  <c r="R38" i="8"/>
  <c r="R30" i="8"/>
  <c r="R22" i="8"/>
  <c r="R94" i="8"/>
  <c r="C76" i="31"/>
  <c r="C76" i="35"/>
  <c r="P24" i="6"/>
  <c r="H41" i="7"/>
  <c r="C90" i="7"/>
  <c r="K71" i="7"/>
  <c r="F71" i="7"/>
  <c r="P76" i="32" s="1"/>
  <c r="G69" i="7"/>
  <c r="P74" i="34" s="1"/>
  <c r="J69" i="7"/>
  <c r="M69" i="7"/>
  <c r="L69" i="7"/>
  <c r="D69" i="7"/>
  <c r="P74" i="31" s="1"/>
  <c r="C69" i="7"/>
  <c r="O69" i="7"/>
  <c r="D74" i="7"/>
  <c r="J74" i="7"/>
  <c r="I48" i="7"/>
  <c r="J45" i="7"/>
  <c r="C45" i="7"/>
  <c r="C50" i="18" s="1"/>
  <c r="D45" i="7"/>
  <c r="J52" i="7"/>
  <c r="F60" i="7"/>
  <c r="D60" i="7"/>
  <c r="C60" i="7"/>
  <c r="D85" i="7"/>
  <c r="C85" i="7"/>
  <c r="P90" i="18" s="1"/>
  <c r="J72" i="7"/>
  <c r="F72" i="7"/>
  <c r="K72" i="7"/>
  <c r="I72" i="7"/>
  <c r="I36" i="7"/>
  <c r="H36" i="7"/>
  <c r="C41" i="33" s="1"/>
  <c r="D35" i="7"/>
  <c r="L35" i="7"/>
  <c r="J50" i="7"/>
  <c r="AF29" i="5"/>
  <c r="R96" i="8"/>
  <c r="H95" i="8"/>
  <c r="H94" i="8"/>
  <c r="AH12" i="5"/>
  <c r="AH20" i="5"/>
  <c r="AH9" i="5"/>
  <c r="AH23" i="5"/>
  <c r="AH11" i="5"/>
  <c r="AH22" i="5"/>
  <c r="AH26" i="5"/>
  <c r="AH17" i="5"/>
  <c r="AH18" i="5"/>
  <c r="R20" i="8"/>
  <c r="H21" i="8"/>
  <c r="R28" i="8"/>
  <c r="H28" i="8"/>
  <c r="H31" i="8"/>
  <c r="R36" i="8"/>
  <c r="H42" i="8"/>
  <c r="H44" i="8"/>
  <c r="H45" i="8"/>
  <c r="H48" i="8"/>
  <c r="H49" i="8"/>
  <c r="R54" i="8"/>
  <c r="R62" i="8"/>
  <c r="H63" i="8"/>
  <c r="H64" i="8"/>
  <c r="R70" i="8"/>
  <c r="R72" i="8"/>
  <c r="R88" i="8"/>
  <c r="R76" i="8"/>
  <c r="R84" i="8"/>
  <c r="R92" i="8"/>
  <c r="D11" i="39"/>
  <c r="W6" i="31"/>
  <c r="K12" i="33"/>
  <c r="K9" i="33"/>
  <c r="K10" i="33"/>
  <c r="O47" i="4"/>
  <c r="O36" i="4"/>
  <c r="W9" i="35"/>
  <c r="W12" i="35"/>
  <c r="K9" i="35"/>
  <c r="K10" i="35"/>
  <c r="O26" i="4"/>
  <c r="K6" i="37" s="1"/>
  <c r="O15" i="4"/>
  <c r="K6" i="18" s="1"/>
  <c r="K8" i="31"/>
  <c r="W8" i="31"/>
  <c r="O27" i="4"/>
  <c r="K6" i="36" s="1"/>
  <c r="O16" i="4"/>
  <c r="K6" i="31" s="1"/>
  <c r="W6" i="40"/>
  <c r="H12" i="39"/>
  <c r="K82" i="39" s="1"/>
  <c r="W8" i="36"/>
  <c r="K8" i="36"/>
  <c r="W6" i="35"/>
  <c r="H10" i="39"/>
  <c r="R17" i="4"/>
  <c r="W8" i="18"/>
  <c r="K8" i="18"/>
  <c r="W9" i="34"/>
  <c r="W12" i="34"/>
  <c r="W10" i="34"/>
  <c r="H81" i="39"/>
  <c r="K10" i="31"/>
  <c r="K12" i="31"/>
  <c r="K9" i="31"/>
  <c r="O21" i="34"/>
  <c r="O21" i="18"/>
  <c r="O21" i="37"/>
  <c r="B21" i="33"/>
  <c r="W12" i="33"/>
  <c r="W10" i="33"/>
  <c r="D12" i="39"/>
  <c r="W6" i="34"/>
  <c r="K98" i="39"/>
  <c r="K90" i="39"/>
  <c r="K66" i="39"/>
  <c r="K58" i="39"/>
  <c r="K34" i="39"/>
  <c r="K26" i="39"/>
  <c r="K75" i="39"/>
  <c r="K67" i="39"/>
  <c r="K43" i="39"/>
  <c r="K35" i="39"/>
  <c r="K9" i="18"/>
  <c r="P51" i="18"/>
  <c r="P93" i="32"/>
  <c r="P86" i="31"/>
  <c r="C71" i="35"/>
  <c r="C88" i="32"/>
  <c r="C83" i="32"/>
  <c r="P88" i="18"/>
  <c r="C86" i="35"/>
  <c r="C97" i="18"/>
  <c r="C64" i="33"/>
  <c r="C93" i="34"/>
  <c r="C68" i="18"/>
  <c r="P82" i="18"/>
  <c r="P90" i="32"/>
  <c r="C58" i="33"/>
  <c r="C94" i="31"/>
  <c r="P85" i="32"/>
  <c r="C63" i="37"/>
  <c r="P78" i="31"/>
  <c r="P68" i="32"/>
  <c r="C82" i="35"/>
  <c r="P94" i="31"/>
  <c r="C90" i="34"/>
  <c r="P41" i="31"/>
  <c r="C41" i="35"/>
  <c r="P63" i="32"/>
  <c r="C63" i="32"/>
  <c r="C78" i="18" l="1"/>
  <c r="C84" i="35"/>
  <c r="M37" i="7"/>
  <c r="C53" i="31"/>
  <c r="C82" i="31"/>
  <c r="C55" i="31"/>
  <c r="P79" i="32"/>
  <c r="P53" i="31"/>
  <c r="C95" i="32"/>
  <c r="P77" i="33"/>
  <c r="C76" i="18"/>
  <c r="C89" i="33"/>
  <c r="P84" i="31"/>
  <c r="C62" i="34"/>
  <c r="C45" i="33"/>
  <c r="P42" i="31"/>
  <c r="C41" i="34"/>
  <c r="B21" i="32"/>
  <c r="B21" i="18"/>
  <c r="O21" i="32"/>
  <c r="O21" i="33"/>
  <c r="O21" i="35"/>
  <c r="O21" i="40"/>
  <c r="B21" i="36"/>
  <c r="B21" i="35"/>
  <c r="B21" i="37"/>
  <c r="O21" i="36"/>
  <c r="P42" i="18"/>
  <c r="B21" i="40"/>
  <c r="B17" i="7"/>
  <c r="O21" i="31"/>
  <c r="B21" i="34"/>
  <c r="C42" i="31"/>
  <c r="C48" i="33"/>
  <c r="C41" i="32"/>
  <c r="C45" i="31"/>
  <c r="C50" i="32"/>
  <c r="P45" i="31"/>
  <c r="P48" i="18"/>
  <c r="P47" i="33"/>
  <c r="C50" i="33"/>
  <c r="F50" i="33" s="1"/>
  <c r="G50" i="33" s="1"/>
  <c r="C44" i="18"/>
  <c r="C39" i="32"/>
  <c r="P63" i="33"/>
  <c r="C59" i="33"/>
  <c r="C73" i="18"/>
  <c r="P51" i="33"/>
  <c r="C50" i="34"/>
  <c r="P41" i="33"/>
  <c r="P77" i="18"/>
  <c r="C48" i="35"/>
  <c r="H69" i="39"/>
  <c r="P67" i="37"/>
  <c r="P44" i="33"/>
  <c r="C39" i="35"/>
  <c r="P80" i="32"/>
  <c r="C68" i="37"/>
  <c r="C52" i="31"/>
  <c r="P76" i="33"/>
  <c r="R76" i="33" s="1"/>
  <c r="T76" i="33" s="1"/>
  <c r="C82" i="37"/>
  <c r="F88" i="31"/>
  <c r="H88" i="31" s="1"/>
  <c r="K19" i="39"/>
  <c r="K51" i="39"/>
  <c r="K83" i="39"/>
  <c r="K42" i="39"/>
  <c r="K74" i="39"/>
  <c r="E99" i="36"/>
  <c r="J98" i="39" s="1"/>
  <c r="Q61" i="35"/>
  <c r="C80" i="34"/>
  <c r="M76" i="7"/>
  <c r="P55" i="31"/>
  <c r="P82" i="6"/>
  <c r="C79" i="18"/>
  <c r="C52" i="35"/>
  <c r="P62" i="32"/>
  <c r="C79" i="32"/>
  <c r="Q82" i="31"/>
  <c r="R82" i="31" s="1"/>
  <c r="Q82" i="40"/>
  <c r="Q58" i="35"/>
  <c r="E76" i="31"/>
  <c r="E82" i="37"/>
  <c r="Q20" i="31"/>
  <c r="E82" i="34"/>
  <c r="E83" i="40"/>
  <c r="F83" i="40" s="1"/>
  <c r="E82" i="40"/>
  <c r="F82" i="40" s="1"/>
  <c r="Q34" i="40"/>
  <c r="C77" i="35"/>
  <c r="C61" i="37"/>
  <c r="P61" i="37"/>
  <c r="F10" i="39"/>
  <c r="D81" i="39" s="1"/>
  <c r="W6" i="18"/>
  <c r="K27" i="39"/>
  <c r="K59" i="39"/>
  <c r="K91" i="39"/>
  <c r="K50" i="39"/>
  <c r="Q83" i="33"/>
  <c r="P55" i="18"/>
  <c r="P76" i="6"/>
  <c r="C79" i="33"/>
  <c r="Q92" i="34"/>
  <c r="Q82" i="35"/>
  <c r="Q58" i="37"/>
  <c r="R76" i="18"/>
  <c r="Q82" i="34"/>
  <c r="Q82" i="33"/>
  <c r="D75" i="39"/>
  <c r="E32" i="36"/>
  <c r="J31" i="39" s="1"/>
  <c r="P79" i="37"/>
  <c r="C79" i="37"/>
  <c r="D10" i="39"/>
  <c r="W6" i="37"/>
  <c r="P73" i="33"/>
  <c r="C73" i="33"/>
  <c r="P68" i="31"/>
  <c r="F82" i="34"/>
  <c r="H82" i="34" s="1"/>
  <c r="C52" i="34"/>
  <c r="F52" i="34" s="1"/>
  <c r="C52" i="37"/>
  <c r="P52" i="37"/>
  <c r="R52" i="37" s="1"/>
  <c r="C69" i="18"/>
  <c r="C68" i="31"/>
  <c r="F68" i="31" s="1"/>
  <c r="G68" i="31" s="1"/>
  <c r="P44" i="31"/>
  <c r="P96" i="32"/>
  <c r="C61" i="34"/>
  <c r="C43" i="32"/>
  <c r="C61" i="31"/>
  <c r="C92" i="33"/>
  <c r="C56" i="34"/>
  <c r="C90" i="37"/>
  <c r="C56" i="32"/>
  <c r="P52" i="33"/>
  <c r="P42" i="33"/>
  <c r="C68" i="34"/>
  <c r="F68" i="34" s="1"/>
  <c r="P57" i="31"/>
  <c r="P44" i="37"/>
  <c r="P59" i="31"/>
  <c r="C44" i="35"/>
  <c r="C92" i="34"/>
  <c r="C82" i="32"/>
  <c r="F82" i="32" s="1"/>
  <c r="C39" i="31"/>
  <c r="C77" i="31"/>
  <c r="C55" i="32"/>
  <c r="H51" i="39"/>
  <c r="C83" i="37"/>
  <c r="P83" i="37"/>
  <c r="R82" i="37"/>
  <c r="P98" i="32"/>
  <c r="P49" i="33"/>
  <c r="C45" i="37"/>
  <c r="C76" i="37"/>
  <c r="Q35" i="33"/>
  <c r="E35" i="37"/>
  <c r="E69" i="34"/>
  <c r="G68" i="39" s="1"/>
  <c r="E34" i="34"/>
  <c r="Q58" i="40"/>
  <c r="R58" i="40" s="1"/>
  <c r="Q96" i="35"/>
  <c r="E96" i="33"/>
  <c r="H95" i="39" s="1"/>
  <c r="E96" i="32"/>
  <c r="E58" i="34"/>
  <c r="E68" i="18"/>
  <c r="D67" i="39" s="1"/>
  <c r="Q35" i="40"/>
  <c r="R35" i="40" s="1"/>
  <c r="Q58" i="34"/>
  <c r="E76" i="36"/>
  <c r="J75" i="39" s="1"/>
  <c r="E72" i="18"/>
  <c r="E52" i="32"/>
  <c r="F52" i="32" s="1"/>
  <c r="E20" i="40"/>
  <c r="F20" i="40" s="1"/>
  <c r="Q35" i="18"/>
  <c r="Q35" i="35"/>
  <c r="E68" i="31"/>
  <c r="E35" i="35"/>
  <c r="Q96" i="36"/>
  <c r="R96" i="36" s="1"/>
  <c r="Q35" i="31"/>
  <c r="Q96" i="18"/>
  <c r="R96" i="18" s="1"/>
  <c r="S96" i="18" s="1"/>
  <c r="E96" i="40"/>
  <c r="F96" i="40" s="1"/>
  <c r="E35" i="36"/>
  <c r="J34" i="39" s="1"/>
  <c r="Q76" i="36"/>
  <c r="R76" i="36" s="1"/>
  <c r="E96" i="35"/>
  <c r="Q20" i="33"/>
  <c r="E96" i="37"/>
  <c r="E61" i="18"/>
  <c r="D60" i="39" s="1"/>
  <c r="Q70" i="36"/>
  <c r="R70" i="36" s="1"/>
  <c r="Q92" i="32"/>
  <c r="Q32" i="33"/>
  <c r="Q32" i="37"/>
  <c r="Q32" i="31"/>
  <c r="Q80" i="31"/>
  <c r="E32" i="40"/>
  <c r="F32" i="40" s="1"/>
  <c r="Q53" i="33"/>
  <c r="R53" i="33" s="1"/>
  <c r="S53" i="33" s="1"/>
  <c r="Q61" i="31"/>
  <c r="R61" i="31" s="1"/>
  <c r="E94" i="32"/>
  <c r="Q61" i="40"/>
  <c r="Q36" i="33"/>
  <c r="E36" i="33"/>
  <c r="Q36" i="40"/>
  <c r="R36" i="40" s="1"/>
  <c r="Q64" i="31"/>
  <c r="Q61" i="32"/>
  <c r="E61" i="37"/>
  <c r="E94" i="40"/>
  <c r="F94" i="40" s="1"/>
  <c r="Q80" i="34"/>
  <c r="R80" i="34" s="1"/>
  <c r="Q32" i="36"/>
  <c r="R32" i="36" s="1"/>
  <c r="E61" i="32"/>
  <c r="F61" i="32" s="1"/>
  <c r="E32" i="34"/>
  <c r="E32" i="31"/>
  <c r="Q64" i="36"/>
  <c r="R64" i="36" s="1"/>
  <c r="E61" i="36"/>
  <c r="J60" i="39" s="1"/>
  <c r="Q69" i="32"/>
  <c r="Q61" i="33"/>
  <c r="R61" i="33" s="1"/>
  <c r="T61" i="33" s="1"/>
  <c r="Q61" i="36"/>
  <c r="R61" i="36" s="1"/>
  <c r="E32" i="32"/>
  <c r="E26" i="32"/>
  <c r="E61" i="33"/>
  <c r="H60" i="39" s="1"/>
  <c r="Q32" i="35"/>
  <c r="E32" i="35"/>
  <c r="E61" i="31"/>
  <c r="F60" i="39" s="1"/>
  <c r="Q61" i="18"/>
  <c r="Q61" i="34"/>
  <c r="Q61" i="37"/>
  <c r="E52" i="40"/>
  <c r="F52" i="40" s="1"/>
  <c r="Q32" i="32"/>
  <c r="E61" i="35"/>
  <c r="E32" i="18"/>
  <c r="E61" i="34"/>
  <c r="Q32" i="18"/>
  <c r="E68" i="40"/>
  <c r="E32" i="37"/>
  <c r="Q32" i="40"/>
  <c r="R32" i="40" s="1"/>
  <c r="Q76" i="40"/>
  <c r="E76" i="40"/>
  <c r="L75" i="39" s="1"/>
  <c r="Q36" i="36"/>
  <c r="R36" i="36" s="1"/>
  <c r="Q36" i="31"/>
  <c r="E36" i="31"/>
  <c r="E22" i="35"/>
  <c r="E68" i="32"/>
  <c r="F68" i="32" s="1"/>
  <c r="Q52" i="35"/>
  <c r="R52" i="35" s="1"/>
  <c r="E20" i="34"/>
  <c r="E32" i="33"/>
  <c r="E22" i="40"/>
  <c r="M21" i="39" s="1"/>
  <c r="E19" i="31"/>
  <c r="Q52" i="18"/>
  <c r="R52" i="18" s="1"/>
  <c r="Q52" i="40"/>
  <c r="R52" i="40" s="1"/>
  <c r="Q68" i="33"/>
  <c r="E68" i="35"/>
  <c r="F68" i="35" s="1"/>
  <c r="G68" i="35" s="1"/>
  <c r="Q68" i="36"/>
  <c r="R68" i="36" s="1"/>
  <c r="Q68" i="18"/>
  <c r="R68" i="18" s="1"/>
  <c r="E53" i="37"/>
  <c r="R52" i="33"/>
  <c r="T52" i="33" s="1"/>
  <c r="Q94" i="31"/>
  <c r="R94" i="31" s="1"/>
  <c r="T94" i="31" s="1"/>
  <c r="Q52" i="34"/>
  <c r="Q68" i="32"/>
  <c r="Q68" i="31"/>
  <c r="Q68" i="34"/>
  <c r="R68" i="34" s="1"/>
  <c r="E76" i="37"/>
  <c r="Q76" i="31"/>
  <c r="R76" i="31" s="1"/>
  <c r="E76" i="34"/>
  <c r="G75" i="39" s="1"/>
  <c r="Q22" i="35"/>
  <c r="E20" i="36"/>
  <c r="J19" i="39" s="1"/>
  <c r="E52" i="36"/>
  <c r="Q20" i="34"/>
  <c r="E20" i="35"/>
  <c r="Q76" i="34"/>
  <c r="E76" i="33"/>
  <c r="Q76" i="37"/>
  <c r="R76" i="37" s="1"/>
  <c r="S76" i="37" s="1"/>
  <c r="E22" i="31"/>
  <c r="Q52" i="31"/>
  <c r="R52" i="31" s="1"/>
  <c r="Q20" i="18"/>
  <c r="Q20" i="35"/>
  <c r="F83" i="32"/>
  <c r="F76" i="40"/>
  <c r="E72" i="34"/>
  <c r="G71" i="39" s="1"/>
  <c r="E22" i="36"/>
  <c r="J21" i="39" s="1"/>
  <c r="E22" i="37"/>
  <c r="Q22" i="40"/>
  <c r="R22" i="40" s="1"/>
  <c r="Q68" i="40"/>
  <c r="R68" i="40" s="1"/>
  <c r="Q38" i="40"/>
  <c r="E19" i="34"/>
  <c r="E94" i="36"/>
  <c r="J93" i="39" s="1"/>
  <c r="E52" i="18"/>
  <c r="D51" i="39" s="1"/>
  <c r="Q68" i="37"/>
  <c r="R68" i="37" s="1"/>
  <c r="T68" i="37" s="1"/>
  <c r="E68" i="33"/>
  <c r="H67" i="39" s="1"/>
  <c r="Q76" i="32"/>
  <c r="E76" i="32"/>
  <c r="Q76" i="35"/>
  <c r="R76" i="35" s="1"/>
  <c r="T76" i="35" s="1"/>
  <c r="E76" i="35"/>
  <c r="I75" i="39" s="1"/>
  <c r="E22" i="34"/>
  <c r="Q22" i="31"/>
  <c r="Q20" i="36"/>
  <c r="R20" i="36" s="1"/>
  <c r="E20" i="32"/>
  <c r="E20" i="18"/>
  <c r="E40" i="33"/>
  <c r="H39" i="39" s="1"/>
  <c r="E40" i="40"/>
  <c r="F40" i="40" s="1"/>
  <c r="Q40" i="31"/>
  <c r="Q74" i="40"/>
  <c r="R74" i="40" s="1"/>
  <c r="E74" i="32"/>
  <c r="F74" i="32" s="1"/>
  <c r="Q74" i="36"/>
  <c r="R74" i="36" s="1"/>
  <c r="E70" i="40"/>
  <c r="F70" i="40" s="1"/>
  <c r="E70" i="37"/>
  <c r="Q66" i="33"/>
  <c r="Q66" i="34"/>
  <c r="R66" i="34" s="1"/>
  <c r="Q98" i="35"/>
  <c r="R98" i="35" s="1"/>
  <c r="Q98" i="32"/>
  <c r="Q53" i="40"/>
  <c r="R53" i="40" s="1"/>
  <c r="E53" i="40"/>
  <c r="F53" i="40" s="1"/>
  <c r="E53" i="31"/>
  <c r="F52" i="39" s="1"/>
  <c r="E53" i="35"/>
  <c r="F53" i="35" s="1"/>
  <c r="Q53" i="32"/>
  <c r="Q53" i="36"/>
  <c r="R53" i="36" s="1"/>
  <c r="E53" i="34"/>
  <c r="F53" i="34" s="1"/>
  <c r="H53" i="34" s="1"/>
  <c r="E53" i="36"/>
  <c r="J52" i="39" s="1"/>
  <c r="Q53" i="35"/>
  <c r="R53" i="35" s="1"/>
  <c r="T53" i="35" s="1"/>
  <c r="Q53" i="31"/>
  <c r="Q53" i="34"/>
  <c r="R53" i="34" s="1"/>
  <c r="Q27" i="32"/>
  <c r="E74" i="36"/>
  <c r="J73" i="39" s="1"/>
  <c r="Q84" i="33"/>
  <c r="R84" i="33" s="1"/>
  <c r="E53" i="18"/>
  <c r="D52" i="39" s="1"/>
  <c r="E53" i="32"/>
  <c r="F53" i="32" s="1"/>
  <c r="E24" i="34"/>
  <c r="E24" i="36"/>
  <c r="J23" i="39" s="1"/>
  <c r="Q24" i="18"/>
  <c r="E24" i="35"/>
  <c r="E72" i="31"/>
  <c r="Q72" i="40"/>
  <c r="R72" i="40" s="1"/>
  <c r="E72" i="36"/>
  <c r="J71" i="39" s="1"/>
  <c r="E72" i="33"/>
  <c r="F72" i="33" s="1"/>
  <c r="Q72" i="34"/>
  <c r="R72" i="34" s="1"/>
  <c r="E72" i="40"/>
  <c r="F72" i="40" s="1"/>
  <c r="Q64" i="40"/>
  <c r="R64" i="40" s="1"/>
  <c r="Q64" i="34"/>
  <c r="R64" i="34" s="1"/>
  <c r="E64" i="37"/>
  <c r="E64" i="35"/>
  <c r="I63" i="39" s="1"/>
  <c r="Q64" i="18"/>
  <c r="E64" i="32"/>
  <c r="E69" i="31"/>
  <c r="F68" i="39" s="1"/>
  <c r="E69" i="18"/>
  <c r="D68" i="39" s="1"/>
  <c r="E69" i="40"/>
  <c r="F69" i="40" s="1"/>
  <c r="E69" i="37"/>
  <c r="E99" i="34"/>
  <c r="E99" i="18"/>
  <c r="D98" i="39" s="1"/>
  <c r="Q99" i="33"/>
  <c r="Q99" i="32"/>
  <c r="E83" i="35"/>
  <c r="Q83" i="37"/>
  <c r="Q83" i="36"/>
  <c r="R83" i="36" s="1"/>
  <c r="E83" i="36"/>
  <c r="J82" i="39" s="1"/>
  <c r="Q83" i="32"/>
  <c r="E83" i="34"/>
  <c r="G82" i="39" s="1"/>
  <c r="Q83" i="40"/>
  <c r="R83" i="40" s="1"/>
  <c r="Q83" i="35"/>
  <c r="R83" i="35" s="1"/>
  <c r="T83" i="35" s="1"/>
  <c r="Q83" i="31"/>
  <c r="R83" i="31" s="1"/>
  <c r="E58" i="36"/>
  <c r="J57" i="39" s="1"/>
  <c r="E58" i="40"/>
  <c r="F58" i="40" s="1"/>
  <c r="E58" i="18"/>
  <c r="E58" i="32"/>
  <c r="E58" i="37"/>
  <c r="Q58" i="18"/>
  <c r="E34" i="32"/>
  <c r="Q34" i="31"/>
  <c r="E34" i="18"/>
  <c r="Q34" i="33"/>
  <c r="E34" i="36"/>
  <c r="J33" i="39" s="1"/>
  <c r="Q34" i="32"/>
  <c r="F83" i="37"/>
  <c r="H83" i="37" s="1"/>
  <c r="Q69" i="33"/>
  <c r="Q53" i="37"/>
  <c r="R53" i="37" s="1"/>
  <c r="S53" i="37" s="1"/>
  <c r="Q83" i="18"/>
  <c r="R83" i="18" s="1"/>
  <c r="E83" i="18"/>
  <c r="D82" i="39" s="1"/>
  <c r="F61" i="33"/>
  <c r="H61" i="33" s="1"/>
  <c r="Q69" i="40"/>
  <c r="R69" i="40" s="1"/>
  <c r="Q34" i="36"/>
  <c r="R34" i="36" s="1"/>
  <c r="Q58" i="31"/>
  <c r="R58" i="31" s="1"/>
  <c r="E58" i="35"/>
  <c r="I57" i="39" s="1"/>
  <c r="E83" i="33"/>
  <c r="E53" i="33"/>
  <c r="H52" i="39" s="1"/>
  <c r="Q58" i="32"/>
  <c r="Q72" i="18"/>
  <c r="E64" i="31"/>
  <c r="F63" i="39" s="1"/>
  <c r="Q92" i="36"/>
  <c r="R92" i="36" s="1"/>
  <c r="E92" i="36"/>
  <c r="J91" i="39" s="1"/>
  <c r="E92" i="31"/>
  <c r="F91" i="39" s="1"/>
  <c r="E92" i="40"/>
  <c r="E92" i="32"/>
  <c r="E34" i="31"/>
  <c r="F68" i="36"/>
  <c r="R96" i="31"/>
  <c r="E80" i="18"/>
  <c r="E26" i="35"/>
  <c r="C93" i="37"/>
  <c r="P93" i="37"/>
  <c r="C87" i="34"/>
  <c r="C87" i="32"/>
  <c r="P81" i="32"/>
  <c r="P61" i="32"/>
  <c r="P91" i="32"/>
  <c r="R82" i="33"/>
  <c r="T82" i="33" s="1"/>
  <c r="P48" i="32"/>
  <c r="C48" i="34"/>
  <c r="C48" i="32"/>
  <c r="C58" i="35"/>
  <c r="C43" i="34"/>
  <c r="C98" i="34"/>
  <c r="P45" i="18"/>
  <c r="P93" i="18"/>
  <c r="C40" i="18"/>
  <c r="P84" i="18"/>
  <c r="P87" i="32"/>
  <c r="P57" i="32"/>
  <c r="R80" i="33"/>
  <c r="S80" i="33" s="1"/>
  <c r="C88" i="37"/>
  <c r="P88" i="37"/>
  <c r="P73" i="32"/>
  <c r="C73" i="32"/>
  <c r="C73" i="34"/>
  <c r="C40" i="37"/>
  <c r="P40" i="37"/>
  <c r="C44" i="34"/>
  <c r="C44" i="32"/>
  <c r="P55" i="37"/>
  <c r="C55" i="37"/>
  <c r="C57" i="35"/>
  <c r="C55" i="34"/>
  <c r="C57" i="32"/>
  <c r="C57" i="33"/>
  <c r="P57" i="33"/>
  <c r="P94" i="33"/>
  <c r="C49" i="34"/>
  <c r="C81" i="32"/>
  <c r="C90" i="33"/>
  <c r="C59" i="35"/>
  <c r="R53" i="18"/>
  <c r="T53" i="18" s="1"/>
  <c r="C54" i="31"/>
  <c r="C95" i="34"/>
  <c r="C61" i="35"/>
  <c r="P82" i="32"/>
  <c r="C96" i="34"/>
  <c r="P62" i="33"/>
  <c r="F61" i="35"/>
  <c r="P93" i="33"/>
  <c r="C93" i="33"/>
  <c r="C61" i="18"/>
  <c r="P61" i="18"/>
  <c r="Q50" i="18"/>
  <c r="Q50" i="36"/>
  <c r="R50" i="36" s="1"/>
  <c r="Q50" i="32"/>
  <c r="Q50" i="31"/>
  <c r="Q50" i="40"/>
  <c r="R50" i="40" s="1"/>
  <c r="E50" i="36"/>
  <c r="J49" i="39" s="1"/>
  <c r="Q50" i="34"/>
  <c r="R50" i="34" s="1"/>
  <c r="E50" i="40"/>
  <c r="M49" i="39" s="1"/>
  <c r="Q50" i="37"/>
  <c r="R50" i="37" s="1"/>
  <c r="S50" i="37" s="1"/>
  <c r="E50" i="37"/>
  <c r="E50" i="18"/>
  <c r="F50" i="18" s="1"/>
  <c r="E50" i="31"/>
  <c r="F49" i="39" s="1"/>
  <c r="Q50" i="33"/>
  <c r="R50" i="33" s="1"/>
  <c r="S50" i="33" s="1"/>
  <c r="Q50" i="35"/>
  <c r="R50" i="35" s="1"/>
  <c r="T50" i="35" s="1"/>
  <c r="E88" i="32"/>
  <c r="F88" i="32" s="1"/>
  <c r="Q26" i="36"/>
  <c r="R26" i="36" s="1"/>
  <c r="E50" i="32"/>
  <c r="F50" i="32" s="1"/>
  <c r="E62" i="40"/>
  <c r="E62" i="18"/>
  <c r="D61" i="39" s="1"/>
  <c r="E62" i="33"/>
  <c r="E40" i="37"/>
  <c r="Q40" i="36"/>
  <c r="R40" i="36" s="1"/>
  <c r="Q40" i="18"/>
  <c r="R40" i="18" s="1"/>
  <c r="Q40" i="33"/>
  <c r="R40" i="33" s="1"/>
  <c r="S40" i="33" s="1"/>
  <c r="Q40" i="34"/>
  <c r="R40" i="34" s="1"/>
  <c r="E40" i="34"/>
  <c r="Q40" i="40"/>
  <c r="E40" i="32"/>
  <c r="F40" i="32" s="1"/>
  <c r="E26" i="34"/>
  <c r="E26" i="36"/>
  <c r="J25" i="39" s="1"/>
  <c r="Q26" i="37"/>
  <c r="Q26" i="35"/>
  <c r="Q26" i="33"/>
  <c r="E26" i="37"/>
  <c r="E26" i="40"/>
  <c r="F26" i="40" s="1"/>
  <c r="Q26" i="34"/>
  <c r="Q26" i="40"/>
  <c r="R26" i="40" s="1"/>
  <c r="E26" i="31"/>
  <c r="Q26" i="18"/>
  <c r="Q26" i="32"/>
  <c r="Q26" i="31"/>
  <c r="E26" i="18"/>
  <c r="Q80" i="35"/>
  <c r="Q80" i="18"/>
  <c r="R80" i="18" s="1"/>
  <c r="T80" i="18" s="1"/>
  <c r="E80" i="40"/>
  <c r="E80" i="33"/>
  <c r="Q80" i="32"/>
  <c r="E80" i="31"/>
  <c r="F79" i="39" s="1"/>
  <c r="Q80" i="37"/>
  <c r="E80" i="36"/>
  <c r="J79" i="39" s="1"/>
  <c r="E80" i="37"/>
  <c r="Q80" i="36"/>
  <c r="R80" i="36" s="1"/>
  <c r="E80" i="35"/>
  <c r="I79" i="39" s="1"/>
  <c r="Q80" i="40"/>
  <c r="R80" i="40" s="1"/>
  <c r="E80" i="32"/>
  <c r="F80" i="32" s="1"/>
  <c r="E80" i="34"/>
  <c r="G79" i="39" s="1"/>
  <c r="E50" i="35"/>
  <c r="I49" i="39" s="1"/>
  <c r="E50" i="34"/>
  <c r="E50" i="33"/>
  <c r="H49" i="39" s="1"/>
  <c r="E66" i="40"/>
  <c r="F66" i="40" s="1"/>
  <c r="E66" i="18"/>
  <c r="D65" i="39" s="1"/>
  <c r="Q66" i="31"/>
  <c r="E66" i="31"/>
  <c r="E66" i="32"/>
  <c r="E66" i="35"/>
  <c r="I65" i="39" s="1"/>
  <c r="E84" i="32"/>
  <c r="Q84" i="34"/>
  <c r="R84" i="34" s="1"/>
  <c r="E84" i="34"/>
  <c r="G83" i="39" s="1"/>
  <c r="E84" i="33"/>
  <c r="H83" i="39" s="1"/>
  <c r="Q84" i="35"/>
  <c r="R84" i="35" s="1"/>
  <c r="Q84" i="31"/>
  <c r="R84" i="31" s="1"/>
  <c r="Q84" i="18"/>
  <c r="E98" i="35"/>
  <c r="I97" i="39" s="1"/>
  <c r="Q98" i="33"/>
  <c r="E98" i="32"/>
  <c r="F98" i="32" s="1"/>
  <c r="E98" i="37"/>
  <c r="C97" i="39" s="1"/>
  <c r="E98" i="36"/>
  <c r="J97" i="39" s="1"/>
  <c r="E98" i="40"/>
  <c r="Q98" i="37"/>
  <c r="E98" i="33"/>
  <c r="H97" i="39" s="1"/>
  <c r="Q27" i="37"/>
  <c r="Q27" i="34"/>
  <c r="E27" i="37"/>
  <c r="E27" i="31"/>
  <c r="Q27" i="33"/>
  <c r="Q27" i="36"/>
  <c r="R27" i="36" s="1"/>
  <c r="Q27" i="18"/>
  <c r="E27" i="36"/>
  <c r="J26" i="39" s="1"/>
  <c r="F82" i="35"/>
  <c r="H82" i="35" s="1"/>
  <c r="Q69" i="31"/>
  <c r="Q69" i="35"/>
  <c r="R69" i="35" s="1"/>
  <c r="S69" i="35" s="1"/>
  <c r="Q69" i="37"/>
  <c r="Q99" i="31"/>
  <c r="Q99" i="35"/>
  <c r="R99" i="35" s="1"/>
  <c r="S99" i="35" s="1"/>
  <c r="E99" i="35"/>
  <c r="I98" i="39" s="1"/>
  <c r="E69" i="35"/>
  <c r="I68" i="39" s="1"/>
  <c r="Q72" i="35"/>
  <c r="R72" i="35" s="1"/>
  <c r="Q72" i="36"/>
  <c r="R72" i="36" s="1"/>
  <c r="Q72" i="37"/>
  <c r="E72" i="37"/>
  <c r="E72" i="35"/>
  <c r="I71" i="39" s="1"/>
  <c r="Q22" i="18"/>
  <c r="Q22" i="37"/>
  <c r="E22" i="18"/>
  <c r="E22" i="33"/>
  <c r="Q22" i="36"/>
  <c r="R22" i="36" s="1"/>
  <c r="Q64" i="37"/>
  <c r="E64" i="40"/>
  <c r="E64" i="33"/>
  <c r="H63" i="39" s="1"/>
  <c r="E64" i="34"/>
  <c r="E99" i="33"/>
  <c r="Q58" i="33"/>
  <c r="R58" i="33" s="1"/>
  <c r="T58" i="33" s="1"/>
  <c r="E58" i="33"/>
  <c r="H57" i="39" s="1"/>
  <c r="Q34" i="34"/>
  <c r="E34" i="35"/>
  <c r="Q34" i="18"/>
  <c r="E34" i="33"/>
  <c r="Q34" i="37"/>
  <c r="Q34" i="35"/>
  <c r="Q69" i="18"/>
  <c r="R69" i="18" s="1"/>
  <c r="Q69" i="34"/>
  <c r="R69" i="34" s="1"/>
  <c r="Q69" i="36"/>
  <c r="R69" i="36" s="1"/>
  <c r="Q99" i="18"/>
  <c r="Q99" i="34"/>
  <c r="R99" i="34" s="1"/>
  <c r="Q72" i="31"/>
  <c r="Q72" i="32"/>
  <c r="E72" i="32"/>
  <c r="Q22" i="32"/>
  <c r="Q22" i="33"/>
  <c r="Q22" i="34"/>
  <c r="Q64" i="32"/>
  <c r="Q64" i="33"/>
  <c r="R64" i="33" s="1"/>
  <c r="T64" i="33" s="1"/>
  <c r="Q64" i="35"/>
  <c r="R64" i="35" s="1"/>
  <c r="S64" i="35" s="1"/>
  <c r="E64" i="18"/>
  <c r="D63" i="39" s="1"/>
  <c r="L37" i="39"/>
  <c r="F38" i="40"/>
  <c r="Q19" i="34"/>
  <c r="E40" i="36"/>
  <c r="Q24" i="32"/>
  <c r="Q24" i="40"/>
  <c r="R24" i="40" s="1"/>
  <c r="E84" i="37"/>
  <c r="C83" i="39" s="1"/>
  <c r="E66" i="33"/>
  <c r="H65" i="39" s="1"/>
  <c r="Q66" i="18"/>
  <c r="Q40" i="37"/>
  <c r="E66" i="34"/>
  <c r="G65" i="39" s="1"/>
  <c r="E66" i="36"/>
  <c r="E98" i="18"/>
  <c r="D97" i="39" s="1"/>
  <c r="Q84" i="32"/>
  <c r="E84" i="36"/>
  <c r="J83" i="39" s="1"/>
  <c r="E84" i="35"/>
  <c r="Q68" i="35"/>
  <c r="R68" i="35" s="1"/>
  <c r="E68" i="37"/>
  <c r="Q52" i="36"/>
  <c r="R52" i="36" s="1"/>
  <c r="E52" i="31"/>
  <c r="Q52" i="32"/>
  <c r="E52" i="35"/>
  <c r="E20" i="33"/>
  <c r="E20" i="37"/>
  <c r="Q20" i="37"/>
  <c r="E19" i="40"/>
  <c r="L18" i="39" s="1"/>
  <c r="E19" i="33"/>
  <c r="Q19" i="18"/>
  <c r="E19" i="18"/>
  <c r="E19" i="32"/>
  <c r="Q19" i="31"/>
  <c r="Q19" i="37"/>
  <c r="Q19" i="35"/>
  <c r="E19" i="36"/>
  <c r="J18" i="39" s="1"/>
  <c r="Q19" i="33"/>
  <c r="E38" i="35"/>
  <c r="E38" i="18"/>
  <c r="Q38" i="34"/>
  <c r="E38" i="31"/>
  <c r="E38" i="34"/>
  <c r="Q38" i="37"/>
  <c r="Q38" i="33"/>
  <c r="Q38" i="31"/>
  <c r="E38" i="37"/>
  <c r="E38" i="33"/>
  <c r="E38" i="36"/>
  <c r="J37" i="39" s="1"/>
  <c r="Q38" i="32"/>
  <c r="E38" i="32"/>
  <c r="Q38" i="35"/>
  <c r="Q38" i="18"/>
  <c r="Q38" i="36"/>
  <c r="R38" i="36" s="1"/>
  <c r="Q19" i="36"/>
  <c r="R19" i="36" s="1"/>
  <c r="Q66" i="35"/>
  <c r="R66" i="35" s="1"/>
  <c r="E66" i="37"/>
  <c r="E98" i="34"/>
  <c r="Q98" i="18"/>
  <c r="E27" i="33"/>
  <c r="Q27" i="40"/>
  <c r="R27" i="40" s="1"/>
  <c r="E27" i="32"/>
  <c r="E27" i="40"/>
  <c r="F27" i="40" s="1"/>
  <c r="Q27" i="31"/>
  <c r="Q27" i="35"/>
  <c r="R80" i="31"/>
  <c r="F96" i="34"/>
  <c r="Q98" i="36"/>
  <c r="R98" i="36" s="1"/>
  <c r="Q70" i="32"/>
  <c r="E19" i="37"/>
  <c r="E92" i="37"/>
  <c r="Q19" i="32"/>
  <c r="Q19" i="40"/>
  <c r="R19" i="40" s="1"/>
  <c r="Q74" i="32"/>
  <c r="E84" i="40"/>
  <c r="M83" i="39" s="1"/>
  <c r="Q84" i="36"/>
  <c r="R84" i="36" s="1"/>
  <c r="Q24" i="35"/>
  <c r="Q84" i="37"/>
  <c r="R84" i="37" s="1"/>
  <c r="Q40" i="35"/>
  <c r="R40" i="35" s="1"/>
  <c r="Q66" i="40"/>
  <c r="R66" i="40" s="1"/>
  <c r="E40" i="31"/>
  <c r="F39" i="39" s="1"/>
  <c r="Q66" i="37"/>
  <c r="Q66" i="36"/>
  <c r="R66" i="36" s="1"/>
  <c r="E27" i="18"/>
  <c r="E27" i="35"/>
  <c r="Q98" i="34"/>
  <c r="Q98" i="40"/>
  <c r="R98" i="40" s="1"/>
  <c r="Q98" i="31"/>
  <c r="E98" i="31"/>
  <c r="E84" i="18"/>
  <c r="D83" i="39" s="1"/>
  <c r="E69" i="32"/>
  <c r="E69" i="33"/>
  <c r="H68" i="39" s="1"/>
  <c r="E99" i="31"/>
  <c r="E99" i="40"/>
  <c r="F99" i="40" s="1"/>
  <c r="Q99" i="37"/>
  <c r="E99" i="32"/>
  <c r="Q99" i="36"/>
  <c r="R99" i="36" s="1"/>
  <c r="Q99" i="40"/>
  <c r="R99" i="40" s="1"/>
  <c r="E88" i="35"/>
  <c r="F88" i="35" s="1"/>
  <c r="Q88" i="35"/>
  <c r="R88" i="35" s="1"/>
  <c r="T88" i="35" s="1"/>
  <c r="Q88" i="40"/>
  <c r="R88" i="40" s="1"/>
  <c r="E88" i="34"/>
  <c r="F88" i="34" s="1"/>
  <c r="Q88" i="33"/>
  <c r="R88" i="33" s="1"/>
  <c r="S88" i="33" s="1"/>
  <c r="E88" i="33"/>
  <c r="Q88" i="37"/>
  <c r="E88" i="40"/>
  <c r="Q88" i="18"/>
  <c r="R88" i="18" s="1"/>
  <c r="Q30" i="40"/>
  <c r="R30" i="40" s="1"/>
  <c r="E30" i="35"/>
  <c r="E30" i="33"/>
  <c r="Q30" i="34"/>
  <c r="E30" i="34"/>
  <c r="E30" i="18"/>
  <c r="E30" i="31"/>
  <c r="Q30" i="35"/>
  <c r="E30" i="40"/>
  <c r="F30" i="40" s="1"/>
  <c r="E30" i="37"/>
  <c r="Q30" i="32"/>
  <c r="E62" i="32"/>
  <c r="F62" i="32" s="1"/>
  <c r="E88" i="37"/>
  <c r="Q30" i="36"/>
  <c r="R30" i="36" s="1"/>
  <c r="F52" i="33"/>
  <c r="Q62" i="34"/>
  <c r="R62" i="34" s="1"/>
  <c r="Q62" i="32"/>
  <c r="E88" i="18"/>
  <c r="D87" i="39" s="1"/>
  <c r="Q30" i="18"/>
  <c r="Q88" i="32"/>
  <c r="Q30" i="33"/>
  <c r="E94" i="37"/>
  <c r="E94" i="31"/>
  <c r="F94" i="31" s="1"/>
  <c r="G94" i="31" s="1"/>
  <c r="Q94" i="33"/>
  <c r="R94" i="33" s="1"/>
  <c r="S94" i="33" s="1"/>
  <c r="E94" i="35"/>
  <c r="Q94" i="37"/>
  <c r="R94" i="37" s="1"/>
  <c r="Q94" i="32"/>
  <c r="E94" i="33"/>
  <c r="Q94" i="40"/>
  <c r="R94" i="40" s="1"/>
  <c r="Q94" i="34"/>
  <c r="R94" i="34" s="1"/>
  <c r="Q94" i="18"/>
  <c r="Q94" i="36"/>
  <c r="R94" i="36" s="1"/>
  <c r="E94" i="18"/>
  <c r="D93" i="39" s="1"/>
  <c r="E94" i="34"/>
  <c r="G93" i="39" s="1"/>
  <c r="E62" i="31"/>
  <c r="F62" i="31" s="1"/>
  <c r="H62" i="31" s="1"/>
  <c r="Q62" i="31"/>
  <c r="R62" i="31" s="1"/>
  <c r="E62" i="36"/>
  <c r="J61" i="39" s="1"/>
  <c r="Q62" i="37"/>
  <c r="Q62" i="18"/>
  <c r="R62" i="18" s="1"/>
  <c r="Q62" i="40"/>
  <c r="R62" i="40" s="1"/>
  <c r="E62" i="34"/>
  <c r="F62" i="34" s="1"/>
  <c r="H62" i="34" s="1"/>
  <c r="Q62" i="33"/>
  <c r="R62" i="33" s="1"/>
  <c r="T62" i="33" s="1"/>
  <c r="Q62" i="35"/>
  <c r="R62" i="35" s="1"/>
  <c r="S62" i="35" s="1"/>
  <c r="E62" i="35"/>
  <c r="F62" i="35" s="1"/>
  <c r="G62" i="35" s="1"/>
  <c r="E62" i="37"/>
  <c r="Q30" i="37"/>
  <c r="E88" i="36"/>
  <c r="J87" i="39" s="1"/>
  <c r="E56" i="34"/>
  <c r="F56" i="34" s="1"/>
  <c r="H56" i="34" s="1"/>
  <c r="E56" i="18"/>
  <c r="D55" i="39" s="1"/>
  <c r="Q56" i="34"/>
  <c r="R56" i="34" s="1"/>
  <c r="Q56" i="18"/>
  <c r="E56" i="40"/>
  <c r="M55" i="39" s="1"/>
  <c r="E56" i="37"/>
  <c r="E56" i="33"/>
  <c r="H55" i="39" s="1"/>
  <c r="Q56" i="37"/>
  <c r="Q56" i="33"/>
  <c r="E56" i="31"/>
  <c r="F56" i="31" s="1"/>
  <c r="Q56" i="31"/>
  <c r="E56" i="35"/>
  <c r="E56" i="36"/>
  <c r="J55" i="39" s="1"/>
  <c r="Q56" i="36"/>
  <c r="R56" i="36" s="1"/>
  <c r="Q56" i="35"/>
  <c r="R56" i="35" s="1"/>
  <c r="S56" i="35" s="1"/>
  <c r="Q56" i="40"/>
  <c r="E56" i="32"/>
  <c r="Q56" i="32"/>
  <c r="R82" i="18"/>
  <c r="G82" i="34"/>
  <c r="F96" i="32"/>
  <c r="Q62" i="36"/>
  <c r="R62" i="36" s="1"/>
  <c r="Q88" i="31"/>
  <c r="R88" i="31" s="1"/>
  <c r="Q30" i="31"/>
  <c r="Q88" i="34"/>
  <c r="R88" i="34" s="1"/>
  <c r="Q88" i="36"/>
  <c r="R88" i="36" s="1"/>
  <c r="E30" i="32"/>
  <c r="E92" i="34"/>
  <c r="F92" i="34" s="1"/>
  <c r="G92" i="34" s="1"/>
  <c r="Q92" i="35"/>
  <c r="R92" i="35" s="1"/>
  <c r="E92" i="33"/>
  <c r="H91" i="39" s="1"/>
  <c r="Q92" i="33"/>
  <c r="R92" i="33" s="1"/>
  <c r="E92" i="35"/>
  <c r="I91" i="39" s="1"/>
  <c r="Q92" i="18"/>
  <c r="Q92" i="37"/>
  <c r="E92" i="18"/>
  <c r="D91" i="39" s="1"/>
  <c r="Q92" i="31"/>
  <c r="E40" i="18"/>
  <c r="D39" i="39" s="1"/>
  <c r="Q40" i="32"/>
  <c r="E40" i="35"/>
  <c r="I39" i="39" s="1"/>
  <c r="E78" i="34"/>
  <c r="G77" i="39" s="1"/>
  <c r="E78" i="18"/>
  <c r="D77" i="39" s="1"/>
  <c r="Q78" i="32"/>
  <c r="Q78" i="36"/>
  <c r="R78" i="36" s="1"/>
  <c r="Q78" i="40"/>
  <c r="R78" i="40" s="1"/>
  <c r="E78" i="33"/>
  <c r="Q78" i="35"/>
  <c r="Q78" i="31"/>
  <c r="R78" i="31" s="1"/>
  <c r="E78" i="37"/>
  <c r="E78" i="31"/>
  <c r="Q78" i="37"/>
  <c r="R78" i="37" s="1"/>
  <c r="S78" i="37" s="1"/>
  <c r="Q78" i="33"/>
  <c r="R78" i="33" s="1"/>
  <c r="T78" i="33" s="1"/>
  <c r="E78" i="40"/>
  <c r="M77" i="39" s="1"/>
  <c r="Q78" i="34"/>
  <c r="R78" i="34" s="1"/>
  <c r="E78" i="36"/>
  <c r="J77" i="39" s="1"/>
  <c r="E78" i="35"/>
  <c r="E78" i="32"/>
  <c r="Q78" i="18"/>
  <c r="R78" i="18" s="1"/>
  <c r="S78" i="18" s="1"/>
  <c r="E60" i="40"/>
  <c r="F60" i="40" s="1"/>
  <c r="E60" i="34"/>
  <c r="G59" i="39" s="1"/>
  <c r="E60" i="18"/>
  <c r="D59" i="39" s="1"/>
  <c r="Q60" i="34"/>
  <c r="R60" i="34" s="1"/>
  <c r="Q60" i="18"/>
  <c r="E60" i="37"/>
  <c r="E60" i="33"/>
  <c r="Q60" i="37"/>
  <c r="Q60" i="33"/>
  <c r="E60" i="31"/>
  <c r="Q60" i="31"/>
  <c r="E60" i="35"/>
  <c r="I59" i="39" s="1"/>
  <c r="E60" i="36"/>
  <c r="J59" i="39" s="1"/>
  <c r="Q60" i="36"/>
  <c r="R60" i="36" s="1"/>
  <c r="Q60" i="35"/>
  <c r="R60" i="35" s="1"/>
  <c r="E60" i="32"/>
  <c r="Q60" i="32"/>
  <c r="E74" i="40"/>
  <c r="M73" i="39" s="1"/>
  <c r="E74" i="35"/>
  <c r="I73" i="39" s="1"/>
  <c r="E74" i="18"/>
  <c r="D73" i="39" s="1"/>
  <c r="E74" i="34"/>
  <c r="G73" i="39" s="1"/>
  <c r="E74" i="31"/>
  <c r="F73" i="39" s="1"/>
  <c r="Q74" i="33"/>
  <c r="Q74" i="35"/>
  <c r="R74" i="35" s="1"/>
  <c r="Q74" i="37"/>
  <c r="Q74" i="31"/>
  <c r="R74" i="31" s="1"/>
  <c r="E74" i="37"/>
  <c r="Q74" i="18"/>
  <c r="E74" i="33"/>
  <c r="H73" i="39" s="1"/>
  <c r="Q74" i="34"/>
  <c r="R74" i="34" s="1"/>
  <c r="E70" i="35"/>
  <c r="I69" i="39" s="1"/>
  <c r="Q70" i="37"/>
  <c r="R70" i="37" s="1"/>
  <c r="Q70" i="31"/>
  <c r="Q70" i="40"/>
  <c r="R70" i="40" s="1"/>
  <c r="E70" i="34"/>
  <c r="F70" i="34" s="1"/>
  <c r="G70" i="34" s="1"/>
  <c r="Q70" i="35"/>
  <c r="R70" i="35" s="1"/>
  <c r="T70" i="35" s="1"/>
  <c r="Q70" i="18"/>
  <c r="E70" i="36"/>
  <c r="Q70" i="33"/>
  <c r="E70" i="31"/>
  <c r="E70" i="32"/>
  <c r="F70" i="32" s="1"/>
  <c r="E70" i="18"/>
  <c r="D69" i="39" s="1"/>
  <c r="Q70" i="34"/>
  <c r="R70" i="34" s="1"/>
  <c r="T70" i="34" s="1"/>
  <c r="E24" i="32"/>
  <c r="E24" i="31"/>
  <c r="E24" i="40"/>
  <c r="F24" i="40" s="1"/>
  <c r="E24" i="37"/>
  <c r="Q24" i="37"/>
  <c r="Q24" i="31"/>
  <c r="E24" i="33"/>
  <c r="Q24" i="34"/>
  <c r="Q24" i="33"/>
  <c r="Q24" i="36"/>
  <c r="R24" i="36" s="1"/>
  <c r="F72" i="34"/>
  <c r="G72" i="34" s="1"/>
  <c r="E90" i="36"/>
  <c r="J89" i="39" s="1"/>
  <c r="E90" i="32"/>
  <c r="F90" i="32" s="1"/>
  <c r="Q90" i="35"/>
  <c r="R90" i="35" s="1"/>
  <c r="Q90" i="31"/>
  <c r="E90" i="18"/>
  <c r="D89" i="39" s="1"/>
  <c r="E90" i="33"/>
  <c r="H89" i="39" s="1"/>
  <c r="Q90" i="34"/>
  <c r="R90" i="34" s="1"/>
  <c r="E90" i="37"/>
  <c r="E90" i="31"/>
  <c r="F89" i="39" s="1"/>
  <c r="Q90" i="33"/>
  <c r="R90" i="33" s="1"/>
  <c r="T90" i="33" s="1"/>
  <c r="E90" i="35"/>
  <c r="I89" i="39" s="1"/>
  <c r="Q90" i="37"/>
  <c r="R90" i="37" s="1"/>
  <c r="Q90" i="32"/>
  <c r="E90" i="40"/>
  <c r="Q90" i="40"/>
  <c r="R90" i="40" s="1"/>
  <c r="E90" i="34"/>
  <c r="F90" i="34" s="1"/>
  <c r="H90" i="34" s="1"/>
  <c r="Q90" i="36"/>
  <c r="R90" i="36" s="1"/>
  <c r="Q90" i="18"/>
  <c r="R90" i="18" s="1"/>
  <c r="Q86" i="40"/>
  <c r="R86" i="40" s="1"/>
  <c r="E86" i="40"/>
  <c r="F86" i="40" s="1"/>
  <c r="E86" i="36"/>
  <c r="J85" i="39" s="1"/>
  <c r="E86" i="32"/>
  <c r="F86" i="32" s="1"/>
  <c r="Q86" i="35"/>
  <c r="R86" i="35" s="1"/>
  <c r="Q86" i="31"/>
  <c r="R86" i="31" s="1"/>
  <c r="E86" i="18"/>
  <c r="D85" i="39" s="1"/>
  <c r="E86" i="33"/>
  <c r="Q86" i="34"/>
  <c r="R86" i="34" s="1"/>
  <c r="E86" i="37"/>
  <c r="E86" i="31"/>
  <c r="Q86" i="33"/>
  <c r="R86" i="33" s="1"/>
  <c r="T86" i="33" s="1"/>
  <c r="E86" i="35"/>
  <c r="Q86" i="37"/>
  <c r="R86" i="37" s="1"/>
  <c r="Q86" i="32"/>
  <c r="E86" i="34"/>
  <c r="F86" i="34" s="1"/>
  <c r="Q86" i="36"/>
  <c r="R86" i="36" s="1"/>
  <c r="Q86" i="18"/>
  <c r="R86" i="18" s="1"/>
  <c r="C98" i="39"/>
  <c r="E54" i="36"/>
  <c r="J53" i="39" s="1"/>
  <c r="E54" i="32"/>
  <c r="Q54" i="36"/>
  <c r="R54" i="36" s="1"/>
  <c r="Q54" i="32"/>
  <c r="Q54" i="40"/>
  <c r="R54" i="40" s="1"/>
  <c r="E54" i="37"/>
  <c r="E54" i="31"/>
  <c r="F53" i="39" s="1"/>
  <c r="Q54" i="34"/>
  <c r="R54" i="34" s="1"/>
  <c r="E54" i="33"/>
  <c r="H53" i="39" s="1"/>
  <c r="Q54" i="33"/>
  <c r="R54" i="33" s="1"/>
  <c r="E54" i="40"/>
  <c r="E54" i="18"/>
  <c r="Q54" i="31"/>
  <c r="R54" i="31" s="1"/>
  <c r="E54" i="35"/>
  <c r="I53" i="39" s="1"/>
  <c r="Q54" i="37"/>
  <c r="R54" i="37" s="1"/>
  <c r="T54" i="37" s="1"/>
  <c r="Q54" i="18"/>
  <c r="R54" i="18" s="1"/>
  <c r="E54" i="34"/>
  <c r="G53" i="39" s="1"/>
  <c r="Q54" i="35"/>
  <c r="R54" i="35" s="1"/>
  <c r="S54" i="35" s="1"/>
  <c r="Q28" i="40"/>
  <c r="R28" i="40" s="1"/>
  <c r="E28" i="37"/>
  <c r="E28" i="33"/>
  <c r="Q28" i="37"/>
  <c r="Q28" i="33"/>
  <c r="E28" i="34"/>
  <c r="E28" i="36"/>
  <c r="Q28" i="31"/>
  <c r="E28" i="40"/>
  <c r="M27" i="39" s="1"/>
  <c r="E28" i="32"/>
  <c r="Q28" i="35"/>
  <c r="Q28" i="18"/>
  <c r="Q28" i="36"/>
  <c r="R28" i="36" s="1"/>
  <c r="E28" i="31"/>
  <c r="Q28" i="34"/>
  <c r="E28" i="35"/>
  <c r="E28" i="18"/>
  <c r="Q28" i="32"/>
  <c r="C72" i="32"/>
  <c r="C74" i="34"/>
  <c r="P49" i="32"/>
  <c r="P39" i="32"/>
  <c r="C51" i="32"/>
  <c r="C51" i="34"/>
  <c r="P51" i="32"/>
  <c r="P74" i="32"/>
  <c r="P72" i="32"/>
  <c r="P30" i="6"/>
  <c r="P62" i="6"/>
  <c r="P42" i="6"/>
  <c r="M84" i="7"/>
  <c r="P74" i="6"/>
  <c r="M79" i="7"/>
  <c r="M34" i="7"/>
  <c r="C43" i="33"/>
  <c r="P60" i="33"/>
  <c r="P37" i="6"/>
  <c r="P39" i="33"/>
  <c r="P27" i="6"/>
  <c r="C54" i="33"/>
  <c r="P89" i="6"/>
  <c r="M53" i="7"/>
  <c r="C54" i="35"/>
  <c r="C74" i="31"/>
  <c r="M60" i="7"/>
  <c r="P16" i="6"/>
  <c r="P45" i="6"/>
  <c r="P14" i="6"/>
  <c r="P77" i="6"/>
  <c r="P41" i="6"/>
  <c r="M49" i="7"/>
  <c r="P44" i="6"/>
  <c r="P41" i="18"/>
  <c r="P88" i="6"/>
  <c r="M86" i="7"/>
  <c r="P70" i="6"/>
  <c r="P84" i="6"/>
  <c r="P49" i="6"/>
  <c r="P40" i="6"/>
  <c r="P58" i="6"/>
  <c r="P31" i="6"/>
  <c r="M80" i="7"/>
  <c r="M62" i="7"/>
  <c r="P86" i="6"/>
  <c r="P70" i="31"/>
  <c r="C43" i="31"/>
  <c r="M61" i="7"/>
  <c r="M51" i="7"/>
  <c r="P64" i="6"/>
  <c r="C58" i="31"/>
  <c r="F58" i="31" s="1"/>
  <c r="H58" i="31" s="1"/>
  <c r="C48" i="31"/>
  <c r="F57" i="39"/>
  <c r="P73" i="6"/>
  <c r="P91" i="6"/>
  <c r="C70" i="35"/>
  <c r="C96" i="31"/>
  <c r="F96" i="31" s="1"/>
  <c r="H96" i="31" s="1"/>
  <c r="P43" i="31"/>
  <c r="M56" i="7"/>
  <c r="M36" i="7"/>
  <c r="M67" i="7"/>
  <c r="P47" i="6"/>
  <c r="P43" i="6"/>
  <c r="P20" i="6"/>
  <c r="P92" i="6"/>
  <c r="P25" i="6"/>
  <c r="P87" i="6"/>
  <c r="M88" i="7"/>
  <c r="M72" i="7"/>
  <c r="M55" i="7"/>
  <c r="P81" i="6"/>
  <c r="P38" i="6"/>
  <c r="P28" i="6"/>
  <c r="P80" i="6"/>
  <c r="M81" i="7"/>
  <c r="P22" i="6"/>
  <c r="P63" i="6"/>
  <c r="P65" i="6"/>
  <c r="P67" i="6"/>
  <c r="M91" i="7"/>
  <c r="P32" i="6"/>
  <c r="M40" i="7"/>
  <c r="P57" i="6"/>
  <c r="P69" i="6"/>
  <c r="C89" i="18"/>
  <c r="P51" i="6"/>
  <c r="P53" i="6"/>
  <c r="P13" i="6"/>
  <c r="M47" i="7"/>
  <c r="P46" i="6"/>
  <c r="P34" i="6"/>
  <c r="P15" i="6"/>
  <c r="P56" i="6"/>
  <c r="C98" i="18"/>
  <c r="P98" i="18"/>
  <c r="P85" i="37"/>
  <c r="C85" i="37"/>
  <c r="C69" i="34"/>
  <c r="P69" i="32"/>
  <c r="C69" i="32"/>
  <c r="C46" i="35"/>
  <c r="P46" i="31"/>
  <c r="C46" i="31"/>
  <c r="C46" i="34"/>
  <c r="P46" i="32"/>
  <c r="C46" i="32"/>
  <c r="C71" i="18"/>
  <c r="P71" i="18"/>
  <c r="P99" i="33"/>
  <c r="C99" i="33"/>
  <c r="P71" i="33"/>
  <c r="C71" i="33"/>
  <c r="C71" i="34"/>
  <c r="C71" i="32"/>
  <c r="P71" i="32"/>
  <c r="C66" i="32"/>
  <c r="C66" i="34"/>
  <c r="P66" i="32"/>
  <c r="P98" i="37"/>
  <c r="C98" i="37"/>
  <c r="P56" i="37"/>
  <c r="C56" i="37"/>
  <c r="C60" i="37"/>
  <c r="C64" i="31"/>
  <c r="C64" i="35"/>
  <c r="P64" i="31"/>
  <c r="R64" i="31" s="1"/>
  <c r="C89" i="37"/>
  <c r="P89" i="37"/>
  <c r="P91" i="33"/>
  <c r="C91" i="33"/>
  <c r="C91" i="18"/>
  <c r="P91" i="18"/>
  <c r="P95" i="31"/>
  <c r="C95" i="31"/>
  <c r="C95" i="35"/>
  <c r="C81" i="35"/>
  <c r="P60" i="37"/>
  <c r="H98" i="39"/>
  <c r="C49" i="31"/>
  <c r="P49" i="31"/>
  <c r="C49" i="35"/>
  <c r="C42" i="37"/>
  <c r="P42" i="37"/>
  <c r="P95" i="37"/>
  <c r="C95" i="37"/>
  <c r="P47" i="37"/>
  <c r="C47" i="37"/>
  <c r="C72" i="37"/>
  <c r="P72" i="37"/>
  <c r="C72" i="35"/>
  <c r="P72" i="31"/>
  <c r="C72" i="31"/>
  <c r="F72" i="31" s="1"/>
  <c r="H72" i="31" s="1"/>
  <c r="C64" i="37"/>
  <c r="F64" i="37" s="1"/>
  <c r="H64" i="37" s="1"/>
  <c r="P64" i="37"/>
  <c r="C46" i="18"/>
  <c r="P46" i="18"/>
  <c r="C46" i="37"/>
  <c r="P46" i="37"/>
  <c r="C89" i="31"/>
  <c r="C89" i="35"/>
  <c r="P95" i="33"/>
  <c r="C95" i="33"/>
  <c r="C81" i="37"/>
  <c r="P81" i="37"/>
  <c r="C96" i="33"/>
  <c r="P96" i="33"/>
  <c r="R96" i="33" s="1"/>
  <c r="T96" i="33" s="1"/>
  <c r="P81" i="31"/>
  <c r="P47" i="32"/>
  <c r="C56" i="35"/>
  <c r="P72" i="33"/>
  <c r="R72" i="33" s="1"/>
  <c r="S72" i="33" s="1"/>
  <c r="C92" i="32"/>
  <c r="C51" i="35"/>
  <c r="C91" i="34"/>
  <c r="C78" i="34"/>
  <c r="C78" i="32"/>
  <c r="P78" i="32"/>
  <c r="C56" i="18"/>
  <c r="P56" i="18"/>
  <c r="P66" i="37"/>
  <c r="C66" i="37"/>
  <c r="C43" i="37"/>
  <c r="P43" i="37"/>
  <c r="P99" i="32"/>
  <c r="C99" i="34"/>
  <c r="C99" i="32"/>
  <c r="C49" i="37"/>
  <c r="P49" i="37"/>
  <c r="C66" i="18"/>
  <c r="F66" i="18" s="1"/>
  <c r="P66" i="18"/>
  <c r="P66" i="33"/>
  <c r="C98" i="33"/>
  <c r="P98" i="33"/>
  <c r="P60" i="32"/>
  <c r="C60" i="32"/>
  <c r="C60" i="34"/>
  <c r="P60" i="31"/>
  <c r="C60" i="35"/>
  <c r="C74" i="33"/>
  <c r="P74" i="33"/>
  <c r="P58" i="37"/>
  <c r="R58" i="37" s="1"/>
  <c r="C58" i="37"/>
  <c r="P47" i="18"/>
  <c r="C47" i="18"/>
  <c r="P47" i="31"/>
  <c r="C47" i="31"/>
  <c r="C47" i="35"/>
  <c r="C69" i="33"/>
  <c r="P69" i="33"/>
  <c r="C91" i="37"/>
  <c r="P91" i="37"/>
  <c r="P92" i="31"/>
  <c r="C92" i="35"/>
  <c r="C92" i="31"/>
  <c r="P56" i="31"/>
  <c r="C41" i="37"/>
  <c r="C47" i="34"/>
  <c r="C74" i="35"/>
  <c r="P49" i="18"/>
  <c r="P89" i="31"/>
  <c r="P51" i="31"/>
  <c r="C96" i="35"/>
  <c r="F96" i="35" s="1"/>
  <c r="P39" i="18"/>
  <c r="C93" i="35"/>
  <c r="C93" i="31"/>
  <c r="P93" i="31"/>
  <c r="C94" i="32"/>
  <c r="C94" i="34"/>
  <c r="P94" i="32"/>
  <c r="C97" i="34"/>
  <c r="P97" i="32"/>
  <c r="C97" i="32"/>
  <c r="P96" i="37"/>
  <c r="R96" i="37" s="1"/>
  <c r="S96" i="37" s="1"/>
  <c r="C96" i="37"/>
  <c r="F96" i="37" s="1"/>
  <c r="H96" i="37" s="1"/>
  <c r="P43" i="18"/>
  <c r="C43" i="18"/>
  <c r="C71" i="37"/>
  <c r="P71" i="37"/>
  <c r="C71" i="31"/>
  <c r="P71" i="31"/>
  <c r="C66" i="31"/>
  <c r="C66" i="35"/>
  <c r="P66" i="31"/>
  <c r="C98" i="35"/>
  <c r="P98" i="31"/>
  <c r="C56" i="33"/>
  <c r="P56" i="33"/>
  <c r="C65" i="37"/>
  <c r="P65" i="37"/>
  <c r="C75" i="18"/>
  <c r="P75" i="18"/>
  <c r="C69" i="37"/>
  <c r="P69" i="37"/>
  <c r="P69" i="31"/>
  <c r="R69" i="31" s="1"/>
  <c r="C69" i="31"/>
  <c r="C69" i="35"/>
  <c r="C92" i="18"/>
  <c r="P92" i="18"/>
  <c r="C64" i="18"/>
  <c r="P64" i="18"/>
  <c r="C64" i="34"/>
  <c r="F64" i="34" s="1"/>
  <c r="C64" i="32"/>
  <c r="P64" i="32"/>
  <c r="C89" i="34"/>
  <c r="C89" i="32"/>
  <c r="P89" i="32"/>
  <c r="P91" i="31"/>
  <c r="C91" i="35"/>
  <c r="P92" i="37"/>
  <c r="C92" i="37"/>
  <c r="F76" i="36"/>
  <c r="F76" i="18"/>
  <c r="F68" i="18"/>
  <c r="H68" i="18" s="1"/>
  <c r="F52" i="37"/>
  <c r="H52" i="37" s="1"/>
  <c r="E93" i="18"/>
  <c r="Q93" i="37"/>
  <c r="Q93" i="36"/>
  <c r="R93" i="36" s="1"/>
  <c r="E93" i="37"/>
  <c r="C92" i="39" s="1"/>
  <c r="Q93" i="35"/>
  <c r="R93" i="35" s="1"/>
  <c r="T93" i="35" s="1"/>
  <c r="Q93" i="34"/>
  <c r="R93" i="34" s="1"/>
  <c r="Q93" i="33"/>
  <c r="Q93" i="32"/>
  <c r="Q93" i="31"/>
  <c r="E93" i="36"/>
  <c r="E93" i="34"/>
  <c r="F93" i="34" s="1"/>
  <c r="E93" i="32"/>
  <c r="F93" i="32" s="1"/>
  <c r="Q93" i="18"/>
  <c r="E93" i="35"/>
  <c r="E93" i="33"/>
  <c r="E93" i="31"/>
  <c r="Q93" i="40"/>
  <c r="R93" i="40" s="1"/>
  <c r="E93" i="40"/>
  <c r="Q77" i="37"/>
  <c r="R77" i="37" s="1"/>
  <c r="S77" i="37" s="1"/>
  <c r="Q77" i="36"/>
  <c r="R77" i="36" s="1"/>
  <c r="E77" i="18"/>
  <c r="E77" i="37"/>
  <c r="Q77" i="35"/>
  <c r="R77" i="35" s="1"/>
  <c r="T77" i="35" s="1"/>
  <c r="Q77" i="34"/>
  <c r="R77" i="34" s="1"/>
  <c r="Q77" i="33"/>
  <c r="R77" i="33" s="1"/>
  <c r="S77" i="33" s="1"/>
  <c r="Q77" i="32"/>
  <c r="Q77" i="31"/>
  <c r="R77" i="31" s="1"/>
  <c r="E77" i="36"/>
  <c r="E77" i="34"/>
  <c r="G76" i="39" s="1"/>
  <c r="E77" i="32"/>
  <c r="Q77" i="18"/>
  <c r="R77" i="18" s="1"/>
  <c r="E77" i="35"/>
  <c r="E77" i="33"/>
  <c r="E77" i="31"/>
  <c r="F76" i="39" s="1"/>
  <c r="E77" i="40"/>
  <c r="L76" i="39" s="1"/>
  <c r="Q77" i="40"/>
  <c r="R77" i="40" s="1"/>
  <c r="E89" i="18"/>
  <c r="D88" i="39" s="1"/>
  <c r="Q89" i="37"/>
  <c r="Q89" i="36"/>
  <c r="R89" i="36" s="1"/>
  <c r="E89" i="37"/>
  <c r="C88" i="39" s="1"/>
  <c r="Q89" i="35"/>
  <c r="R89" i="35" s="1"/>
  <c r="Q89" i="34"/>
  <c r="R89" i="34" s="1"/>
  <c r="Q89" i="33"/>
  <c r="R89" i="33" s="1"/>
  <c r="S89" i="33" s="1"/>
  <c r="Q89" i="32"/>
  <c r="Q89" i="31"/>
  <c r="Q89" i="18"/>
  <c r="R89" i="18" s="1"/>
  <c r="E89" i="35"/>
  <c r="I88" i="39" s="1"/>
  <c r="E89" i="33"/>
  <c r="E89" i="31"/>
  <c r="F88" i="39" s="1"/>
  <c r="E89" i="36"/>
  <c r="E89" i="34"/>
  <c r="E89" i="32"/>
  <c r="Q89" i="40"/>
  <c r="R89" i="40" s="1"/>
  <c r="E89" i="40"/>
  <c r="F89" i="40" s="1"/>
  <c r="E71" i="18"/>
  <c r="D70" i="39" s="1"/>
  <c r="E71" i="37"/>
  <c r="E71" i="36"/>
  <c r="Q71" i="35"/>
  <c r="R71" i="35" s="1"/>
  <c r="S71" i="35" s="1"/>
  <c r="Q71" i="34"/>
  <c r="R71" i="34" s="1"/>
  <c r="Q71" i="33"/>
  <c r="Q71" i="32"/>
  <c r="Q71" i="31"/>
  <c r="Q71" i="37"/>
  <c r="E71" i="34"/>
  <c r="G70" i="39" s="1"/>
  <c r="E71" i="32"/>
  <c r="Q71" i="36"/>
  <c r="R71" i="36" s="1"/>
  <c r="E71" i="35"/>
  <c r="E71" i="33"/>
  <c r="E71" i="31"/>
  <c r="F70" i="39" s="1"/>
  <c r="Q71" i="18"/>
  <c r="Q71" i="40"/>
  <c r="R71" i="40" s="1"/>
  <c r="E71" i="40"/>
  <c r="M70" i="39" s="1"/>
  <c r="E55" i="18"/>
  <c r="E55" i="37"/>
  <c r="E55" i="36"/>
  <c r="Q55" i="35"/>
  <c r="R55" i="35" s="1"/>
  <c r="Q55" i="34"/>
  <c r="R55" i="34" s="1"/>
  <c r="Q55" i="33"/>
  <c r="R55" i="33" s="1"/>
  <c r="S55" i="33" s="1"/>
  <c r="Q55" i="32"/>
  <c r="Q55" i="31"/>
  <c r="R55" i="31" s="1"/>
  <c r="Q55" i="18"/>
  <c r="Q55" i="37"/>
  <c r="E55" i="34"/>
  <c r="E55" i="32"/>
  <c r="F55" i="32" s="1"/>
  <c r="Q55" i="36"/>
  <c r="R55" i="36" s="1"/>
  <c r="E55" i="35"/>
  <c r="F55" i="35" s="1"/>
  <c r="E55" i="33"/>
  <c r="E55" i="31"/>
  <c r="E55" i="40"/>
  <c r="F55" i="40" s="1"/>
  <c r="Q55" i="40"/>
  <c r="R55" i="40" s="1"/>
  <c r="E37" i="18"/>
  <c r="Q37" i="37"/>
  <c r="Q37" i="36"/>
  <c r="R37" i="36" s="1"/>
  <c r="Q37" i="35"/>
  <c r="Q37" i="34"/>
  <c r="Q37" i="33"/>
  <c r="Q37" i="32"/>
  <c r="E37" i="31"/>
  <c r="E37" i="36"/>
  <c r="J36" i="39" s="1"/>
  <c r="E37" i="35"/>
  <c r="E37" i="33"/>
  <c r="E37" i="37"/>
  <c r="E37" i="34"/>
  <c r="E37" i="32"/>
  <c r="Q37" i="18"/>
  <c r="Q37" i="31"/>
  <c r="Q37" i="40"/>
  <c r="R37" i="40" s="1"/>
  <c r="E37" i="40"/>
  <c r="M36" i="39" s="1"/>
  <c r="AC30" i="5"/>
  <c r="AA30" i="5"/>
  <c r="AB30" i="5"/>
  <c r="Y30" i="5"/>
  <c r="X30" i="5"/>
  <c r="Z30" i="5"/>
  <c r="W30" i="5"/>
  <c r="C77" i="34"/>
  <c r="P77" i="32"/>
  <c r="C77" i="32"/>
  <c r="C90" i="18"/>
  <c r="C65" i="35"/>
  <c r="C65" i="31"/>
  <c r="P65" i="31"/>
  <c r="C50" i="35"/>
  <c r="C50" i="31"/>
  <c r="P50" i="31"/>
  <c r="C79" i="35"/>
  <c r="P79" i="31"/>
  <c r="C79" i="31"/>
  <c r="P74" i="18"/>
  <c r="C74" i="18"/>
  <c r="C76" i="32"/>
  <c r="C76" i="34"/>
  <c r="Q95" i="37"/>
  <c r="Q95" i="36"/>
  <c r="R95" i="36" s="1"/>
  <c r="E95" i="36"/>
  <c r="Q95" i="35"/>
  <c r="R95" i="35" s="1"/>
  <c r="S95" i="35" s="1"/>
  <c r="Q95" i="34"/>
  <c r="R95" i="34" s="1"/>
  <c r="Q95" i="33"/>
  <c r="Q95" i="32"/>
  <c r="Q95" i="31"/>
  <c r="Q95" i="18"/>
  <c r="E95" i="37"/>
  <c r="C94" i="39" s="1"/>
  <c r="E95" i="34"/>
  <c r="E95" i="32"/>
  <c r="F95" i="32" s="1"/>
  <c r="E95" i="18"/>
  <c r="D94" i="39" s="1"/>
  <c r="E95" i="35"/>
  <c r="I94" i="39" s="1"/>
  <c r="E95" i="33"/>
  <c r="E95" i="31"/>
  <c r="F94" i="39" s="1"/>
  <c r="Q95" i="40"/>
  <c r="R95" i="40" s="1"/>
  <c r="E95" i="40"/>
  <c r="M94" i="39" s="1"/>
  <c r="Q31" i="35"/>
  <c r="Q31" i="34"/>
  <c r="Q31" i="33"/>
  <c r="Q31" i="32"/>
  <c r="Q31" i="31"/>
  <c r="Q31" i="18"/>
  <c r="E31" i="37"/>
  <c r="E31" i="36"/>
  <c r="J30" i="39" s="1"/>
  <c r="E31" i="34"/>
  <c r="E31" i="32"/>
  <c r="E31" i="18"/>
  <c r="Q31" i="37"/>
  <c r="E31" i="35"/>
  <c r="E31" i="33"/>
  <c r="E31" i="31"/>
  <c r="Q31" i="36"/>
  <c r="R31" i="36" s="1"/>
  <c r="Q31" i="40"/>
  <c r="R31" i="40" s="1"/>
  <c r="E31" i="40"/>
  <c r="F31" i="40" s="1"/>
  <c r="E41" i="18"/>
  <c r="E41" i="37"/>
  <c r="C40" i="39" s="1"/>
  <c r="Q41" i="36"/>
  <c r="R41" i="36" s="1"/>
  <c r="Q41" i="35"/>
  <c r="R41" i="35" s="1"/>
  <c r="T41" i="35" s="1"/>
  <c r="Q41" i="34"/>
  <c r="R41" i="34" s="1"/>
  <c r="Q41" i="33"/>
  <c r="Q41" i="32"/>
  <c r="Q41" i="31"/>
  <c r="R41" i="31" s="1"/>
  <c r="E41" i="36"/>
  <c r="E41" i="35"/>
  <c r="I40" i="39" s="1"/>
  <c r="E41" i="33"/>
  <c r="E41" i="31"/>
  <c r="F41" i="31" s="1"/>
  <c r="H41" i="31" s="1"/>
  <c r="Q41" i="18"/>
  <c r="Q41" i="37"/>
  <c r="R41" i="37" s="1"/>
  <c r="T41" i="37" s="1"/>
  <c r="E41" i="34"/>
  <c r="E41" i="32"/>
  <c r="E41" i="40"/>
  <c r="Q41" i="40"/>
  <c r="R41" i="40" s="1"/>
  <c r="Q43" i="36"/>
  <c r="R43" i="36" s="1"/>
  <c r="Q43" i="35"/>
  <c r="R43" i="35" s="1"/>
  <c r="Q43" i="34"/>
  <c r="R43" i="34" s="1"/>
  <c r="Q43" i="33"/>
  <c r="R43" i="33" s="1"/>
  <c r="S43" i="33" s="1"/>
  <c r="Q43" i="32"/>
  <c r="Q43" i="31"/>
  <c r="Q43" i="18"/>
  <c r="E43" i="37"/>
  <c r="C42" i="39" s="1"/>
  <c r="E43" i="36"/>
  <c r="Q43" i="37"/>
  <c r="E43" i="35"/>
  <c r="E43" i="33"/>
  <c r="E43" i="31"/>
  <c r="F42" i="39" s="1"/>
  <c r="E43" i="40"/>
  <c r="E43" i="34"/>
  <c r="G42" i="39" s="1"/>
  <c r="E43" i="32"/>
  <c r="E43" i="18"/>
  <c r="Q43" i="40"/>
  <c r="R43" i="40" s="1"/>
  <c r="E45" i="18"/>
  <c r="D44" i="39" s="1"/>
  <c r="E45" i="37"/>
  <c r="C44" i="39" s="1"/>
  <c r="Q45" i="36"/>
  <c r="R45" i="36" s="1"/>
  <c r="Q45" i="35"/>
  <c r="Q45" i="34"/>
  <c r="R45" i="34" s="1"/>
  <c r="Q45" i="33"/>
  <c r="R45" i="33" s="1"/>
  <c r="S45" i="33" s="1"/>
  <c r="Q45" i="32"/>
  <c r="Q45" i="31"/>
  <c r="Q45" i="18"/>
  <c r="Q45" i="37"/>
  <c r="R45" i="37" s="1"/>
  <c r="T45" i="37" s="1"/>
  <c r="E45" i="34"/>
  <c r="F45" i="34" s="1"/>
  <c r="E45" i="32"/>
  <c r="F45" i="32" s="1"/>
  <c r="E45" i="36"/>
  <c r="J44" i="39" s="1"/>
  <c r="E45" i="35"/>
  <c r="E45" i="33"/>
  <c r="E45" i="31"/>
  <c r="F44" i="39" s="1"/>
  <c r="E45" i="40"/>
  <c r="Q45" i="40"/>
  <c r="R45" i="40" s="1"/>
  <c r="Q47" i="35"/>
  <c r="R47" i="35" s="1"/>
  <c r="T47" i="35" s="1"/>
  <c r="Q47" i="34"/>
  <c r="R47" i="34" s="1"/>
  <c r="Q47" i="33"/>
  <c r="Q47" i="32"/>
  <c r="Q47" i="31"/>
  <c r="Q47" i="18"/>
  <c r="Q47" i="37"/>
  <c r="Q47" i="36"/>
  <c r="R47" i="36" s="1"/>
  <c r="E47" i="34"/>
  <c r="E47" i="32"/>
  <c r="F47" i="32" s="1"/>
  <c r="E47" i="18"/>
  <c r="E47" i="36"/>
  <c r="E47" i="35"/>
  <c r="I46" i="39" s="1"/>
  <c r="E47" i="33"/>
  <c r="E47" i="31"/>
  <c r="F46" i="39" s="1"/>
  <c r="E47" i="37"/>
  <c r="C46" i="39" s="1"/>
  <c r="E47" i="40"/>
  <c r="L46" i="39" s="1"/>
  <c r="Q47" i="40"/>
  <c r="Q49" i="37"/>
  <c r="Q49" i="36"/>
  <c r="R49" i="36" s="1"/>
  <c r="E49" i="35"/>
  <c r="I48" i="39" s="1"/>
  <c r="E49" i="34"/>
  <c r="E49" i="33"/>
  <c r="E49" i="32"/>
  <c r="F49" i="32" s="1"/>
  <c r="E49" i="31"/>
  <c r="F48" i="39" s="1"/>
  <c r="E49" i="18"/>
  <c r="E49" i="36"/>
  <c r="J48" i="39" s="1"/>
  <c r="E49" i="37"/>
  <c r="C48" i="39" s="1"/>
  <c r="Q49" i="35"/>
  <c r="R49" i="35" s="1"/>
  <c r="S49" i="35" s="1"/>
  <c r="Q49" i="33"/>
  <c r="Q49" i="31"/>
  <c r="E49" i="40"/>
  <c r="F49" i="40" s="1"/>
  <c r="Q49" i="34"/>
  <c r="R49" i="34" s="1"/>
  <c r="Q49" i="32"/>
  <c r="Q49" i="18"/>
  <c r="Q49" i="40"/>
  <c r="R49" i="40" s="1"/>
  <c r="Q65" i="35"/>
  <c r="R65" i="35" s="1"/>
  <c r="Q65" i="34"/>
  <c r="R65" i="34" s="1"/>
  <c r="Q65" i="33"/>
  <c r="R65" i="33" s="1"/>
  <c r="S65" i="33" s="1"/>
  <c r="Q65" i="32"/>
  <c r="Q65" i="31"/>
  <c r="Q65" i="18"/>
  <c r="Q65" i="37"/>
  <c r="Q65" i="36"/>
  <c r="R65" i="36" s="1"/>
  <c r="E65" i="34"/>
  <c r="G64" i="39" s="1"/>
  <c r="E65" i="32"/>
  <c r="E65" i="18"/>
  <c r="D64" i="39" s="1"/>
  <c r="E65" i="36"/>
  <c r="E65" i="35"/>
  <c r="I64" i="39" s="1"/>
  <c r="E65" i="33"/>
  <c r="E65" i="31"/>
  <c r="F64" i="39" s="1"/>
  <c r="E65" i="37"/>
  <c r="Q65" i="40"/>
  <c r="R65" i="40" s="1"/>
  <c r="E65" i="40"/>
  <c r="Q91" i="35"/>
  <c r="R91" i="35" s="1"/>
  <c r="T91" i="35" s="1"/>
  <c r="Q91" i="34"/>
  <c r="R91" i="34" s="1"/>
  <c r="Q91" i="33"/>
  <c r="Q91" i="32"/>
  <c r="Q91" i="31"/>
  <c r="Q91" i="18"/>
  <c r="Q91" i="37"/>
  <c r="Q91" i="36"/>
  <c r="R91" i="36" s="1"/>
  <c r="E91" i="34"/>
  <c r="G90" i="39" s="1"/>
  <c r="E91" i="32"/>
  <c r="F91" i="32" s="1"/>
  <c r="E91" i="18"/>
  <c r="E91" i="36"/>
  <c r="E91" i="35"/>
  <c r="E91" i="33"/>
  <c r="E91" i="31"/>
  <c r="F91" i="31" s="1"/>
  <c r="G91" i="31" s="1"/>
  <c r="E91" i="37"/>
  <c r="Q91" i="40"/>
  <c r="R91" i="40" s="1"/>
  <c r="E91" i="40"/>
  <c r="M90" i="39" s="1"/>
  <c r="E87" i="37"/>
  <c r="E87" i="36"/>
  <c r="J86" i="39" s="1"/>
  <c r="Q87" i="35"/>
  <c r="R87" i="35" s="1"/>
  <c r="T87" i="35" s="1"/>
  <c r="Q87" i="34"/>
  <c r="R87" i="34" s="1"/>
  <c r="Q87" i="33"/>
  <c r="Q87" i="32"/>
  <c r="Q87" i="31"/>
  <c r="Q87" i="37"/>
  <c r="E87" i="34"/>
  <c r="E87" i="32"/>
  <c r="E87" i="18"/>
  <c r="Q87" i="36"/>
  <c r="R87" i="36" s="1"/>
  <c r="E87" i="35"/>
  <c r="I86" i="39" s="1"/>
  <c r="E87" i="33"/>
  <c r="H86" i="39" s="1"/>
  <c r="E87" i="31"/>
  <c r="F86" i="39" s="1"/>
  <c r="Q87" i="18"/>
  <c r="E87" i="40"/>
  <c r="M86" i="39" s="1"/>
  <c r="Q87" i="40"/>
  <c r="R87" i="40" s="1"/>
  <c r="C63" i="35"/>
  <c r="P63" i="31"/>
  <c r="C63" i="31"/>
  <c r="P85" i="33"/>
  <c r="C85" i="33"/>
  <c r="C87" i="35"/>
  <c r="F87" i="35" s="1"/>
  <c r="P87" i="31"/>
  <c r="C87" i="31"/>
  <c r="F87" i="31" s="1"/>
  <c r="G87" i="31" s="1"/>
  <c r="P87" i="18"/>
  <c r="R87" i="18" s="1"/>
  <c r="C87" i="18"/>
  <c r="C99" i="37"/>
  <c r="P99" i="37"/>
  <c r="C99" i="31"/>
  <c r="P99" i="31"/>
  <c r="C99" i="35"/>
  <c r="E51" i="37"/>
  <c r="Q51" i="36"/>
  <c r="R51" i="36" s="1"/>
  <c r="Q51" i="35"/>
  <c r="R51" i="35" s="1"/>
  <c r="Q51" i="34"/>
  <c r="R51" i="34" s="1"/>
  <c r="Q51" i="33"/>
  <c r="R51" i="33" s="1"/>
  <c r="S51" i="33" s="1"/>
  <c r="Q51" i="32"/>
  <c r="Q51" i="31"/>
  <c r="E51" i="18"/>
  <c r="Q51" i="37"/>
  <c r="R51" i="37" s="1"/>
  <c r="T51" i="37" s="1"/>
  <c r="E51" i="36"/>
  <c r="J50" i="39" s="1"/>
  <c r="E51" i="35"/>
  <c r="I50" i="39" s="1"/>
  <c r="E51" i="33"/>
  <c r="E51" i="31"/>
  <c r="F51" i="31" s="1"/>
  <c r="G51" i="31" s="1"/>
  <c r="Q51" i="18"/>
  <c r="R51" i="18" s="1"/>
  <c r="E51" i="34"/>
  <c r="G50" i="39" s="1"/>
  <c r="E51" i="32"/>
  <c r="E51" i="40"/>
  <c r="F51" i="40" s="1"/>
  <c r="Q51" i="40"/>
  <c r="R51" i="40" s="1"/>
  <c r="Q33" i="37"/>
  <c r="E33" i="36"/>
  <c r="E33" i="35"/>
  <c r="E33" i="34"/>
  <c r="E33" i="33"/>
  <c r="E33" i="32"/>
  <c r="E33" i="31"/>
  <c r="E33" i="18"/>
  <c r="Q33" i="36"/>
  <c r="R33" i="36" s="1"/>
  <c r="Q33" i="35"/>
  <c r="Q33" i="33"/>
  <c r="Q33" i="31"/>
  <c r="E33" i="37"/>
  <c r="Q33" i="40"/>
  <c r="R33" i="40" s="1"/>
  <c r="Q33" i="34"/>
  <c r="Q33" i="32"/>
  <c r="Q33" i="18"/>
  <c r="E33" i="40"/>
  <c r="F33" i="40" s="1"/>
  <c r="AE30" i="5"/>
  <c r="P60" i="18"/>
  <c r="C60" i="18"/>
  <c r="P72" i="18"/>
  <c r="C72" i="18"/>
  <c r="F72" i="18" s="1"/>
  <c r="D71" i="39"/>
  <c r="P57" i="18"/>
  <c r="C57" i="18"/>
  <c r="P62" i="37"/>
  <c r="C62" i="37"/>
  <c r="P54" i="32"/>
  <c r="C54" i="34"/>
  <c r="C54" i="32"/>
  <c r="C81" i="18"/>
  <c r="C67" i="33"/>
  <c r="P67" i="33"/>
  <c r="C59" i="34"/>
  <c r="P59" i="32"/>
  <c r="C59" i="32"/>
  <c r="C75" i="33"/>
  <c r="P75" i="33"/>
  <c r="P75" i="31"/>
  <c r="C75" i="35"/>
  <c r="C75" i="31"/>
  <c r="C80" i="35"/>
  <c r="C80" i="31"/>
  <c r="P80" i="37"/>
  <c r="C80" i="37"/>
  <c r="P58" i="32"/>
  <c r="C58" i="34"/>
  <c r="F58" i="34" s="1"/>
  <c r="C58" i="32"/>
  <c r="P70" i="33"/>
  <c r="C70" i="33"/>
  <c r="F70" i="33" s="1"/>
  <c r="H70" i="33" s="1"/>
  <c r="C84" i="33"/>
  <c r="P97" i="33"/>
  <c r="C97" i="33"/>
  <c r="Q85" i="37"/>
  <c r="Q85" i="36"/>
  <c r="R85" i="36" s="1"/>
  <c r="E85" i="35"/>
  <c r="I84" i="39" s="1"/>
  <c r="E85" i="34"/>
  <c r="F85" i="34" s="1"/>
  <c r="E85" i="33"/>
  <c r="H84" i="39" s="1"/>
  <c r="E85" i="32"/>
  <c r="F85" i="32" s="1"/>
  <c r="E85" i="31"/>
  <c r="E85" i="18"/>
  <c r="D84" i="39" s="1"/>
  <c r="E85" i="36"/>
  <c r="E85" i="37"/>
  <c r="Q85" i="35"/>
  <c r="R85" i="35" s="1"/>
  <c r="Q85" i="33"/>
  <c r="Q85" i="31"/>
  <c r="Q85" i="32"/>
  <c r="E85" i="40"/>
  <c r="L84" i="39" s="1"/>
  <c r="Q85" i="34"/>
  <c r="R85" i="34" s="1"/>
  <c r="Q85" i="18"/>
  <c r="Q85" i="40"/>
  <c r="R85" i="40" s="1"/>
  <c r="Q73" i="37"/>
  <c r="R73" i="37" s="1"/>
  <c r="T73" i="37" s="1"/>
  <c r="Q73" i="36"/>
  <c r="R73" i="36" s="1"/>
  <c r="E73" i="37"/>
  <c r="C72" i="39" s="1"/>
  <c r="Q73" i="35"/>
  <c r="R73" i="35" s="1"/>
  <c r="S73" i="35" s="1"/>
  <c r="Q73" i="34"/>
  <c r="R73" i="34" s="1"/>
  <c r="Q73" i="33"/>
  <c r="Q73" i="32"/>
  <c r="Q73" i="31"/>
  <c r="Q73" i="18"/>
  <c r="R73" i="18" s="1"/>
  <c r="E73" i="18"/>
  <c r="E73" i="35"/>
  <c r="I72" i="39" s="1"/>
  <c r="E73" i="33"/>
  <c r="E73" i="31"/>
  <c r="F72" i="39" s="1"/>
  <c r="E73" i="36"/>
  <c r="E73" i="34"/>
  <c r="E73" i="32"/>
  <c r="E73" i="40"/>
  <c r="L72" i="39" s="1"/>
  <c r="Q73" i="40"/>
  <c r="R73" i="40" s="1"/>
  <c r="E63" i="35"/>
  <c r="I62" i="39" s="1"/>
  <c r="E63" i="34"/>
  <c r="F63" i="34" s="1"/>
  <c r="E63" i="33"/>
  <c r="E63" i="32"/>
  <c r="F63" i="32" s="1"/>
  <c r="E63" i="31"/>
  <c r="F62" i="39" s="1"/>
  <c r="E63" i="18"/>
  <c r="D62" i="39" s="1"/>
  <c r="E63" i="37"/>
  <c r="E63" i="36"/>
  <c r="Q63" i="35"/>
  <c r="R63" i="35" s="1"/>
  <c r="T63" i="35" s="1"/>
  <c r="Q63" i="33"/>
  <c r="Q63" i="31"/>
  <c r="R63" i="31" s="1"/>
  <c r="Q63" i="37"/>
  <c r="Q63" i="40"/>
  <c r="R63" i="40" s="1"/>
  <c r="Q63" i="34"/>
  <c r="R63" i="34" s="1"/>
  <c r="Q63" i="32"/>
  <c r="Q63" i="18"/>
  <c r="Q63" i="36"/>
  <c r="R63" i="36" s="1"/>
  <c r="E63" i="40"/>
  <c r="F63" i="40" s="1"/>
  <c r="E29" i="18"/>
  <c r="E29" i="37"/>
  <c r="Q29" i="36"/>
  <c r="R29" i="36" s="1"/>
  <c r="Q29" i="35"/>
  <c r="Q29" i="34"/>
  <c r="Q29" i="33"/>
  <c r="Q29" i="32"/>
  <c r="E29" i="31"/>
  <c r="Q29" i="37"/>
  <c r="E29" i="36"/>
  <c r="J28" i="39" s="1"/>
  <c r="E29" i="34"/>
  <c r="E29" i="32"/>
  <c r="Q29" i="18"/>
  <c r="E29" i="35"/>
  <c r="E29" i="33"/>
  <c r="Q29" i="31"/>
  <c r="Q29" i="40"/>
  <c r="R29" i="40" s="1"/>
  <c r="E29" i="40"/>
  <c r="Q21" i="35"/>
  <c r="Q21" i="34"/>
  <c r="Q21" i="33"/>
  <c r="Q21" i="32"/>
  <c r="Q21" i="31"/>
  <c r="Q21" i="18"/>
  <c r="E21" i="37"/>
  <c r="E21" i="36"/>
  <c r="J20" i="39" s="1"/>
  <c r="E21" i="34"/>
  <c r="E21" i="32"/>
  <c r="E21" i="18"/>
  <c r="Q21" i="37"/>
  <c r="E21" i="35"/>
  <c r="E21" i="33"/>
  <c r="E21" i="31"/>
  <c r="Q21" i="36"/>
  <c r="R21" i="36" s="1"/>
  <c r="E21" i="40"/>
  <c r="M20" i="39" s="1"/>
  <c r="Q21" i="40"/>
  <c r="R21" i="40" s="1"/>
  <c r="E97" i="37"/>
  <c r="E97" i="36"/>
  <c r="Q97" i="35"/>
  <c r="R97" i="35" s="1"/>
  <c r="Q97" i="34"/>
  <c r="R97" i="34" s="1"/>
  <c r="Q97" i="33"/>
  <c r="Q97" i="32"/>
  <c r="Q97" i="31"/>
  <c r="R97" i="31" s="1"/>
  <c r="S97" i="31" s="1"/>
  <c r="Q97" i="18"/>
  <c r="R97" i="18" s="1"/>
  <c r="Q97" i="37"/>
  <c r="R97" i="37" s="1"/>
  <c r="S97" i="37" s="1"/>
  <c r="E97" i="34"/>
  <c r="G96" i="39" s="1"/>
  <c r="E97" i="32"/>
  <c r="E97" i="18"/>
  <c r="D96" i="39" s="1"/>
  <c r="Q97" i="36"/>
  <c r="R97" i="36" s="1"/>
  <c r="E97" i="35"/>
  <c r="E97" i="33"/>
  <c r="H96" i="39" s="1"/>
  <c r="E97" i="31"/>
  <c r="F96" i="39" s="1"/>
  <c r="Q97" i="40"/>
  <c r="R97" i="40" s="1"/>
  <c r="E97" i="40"/>
  <c r="M96" i="39" s="1"/>
  <c r="AD30" i="5"/>
  <c r="C40" i="31"/>
  <c r="C40" i="35"/>
  <c r="P40" i="31"/>
  <c r="C90" i="35"/>
  <c r="P90" i="31"/>
  <c r="C90" i="31"/>
  <c r="C65" i="18"/>
  <c r="P65" i="18"/>
  <c r="P65" i="32"/>
  <c r="C65" i="34"/>
  <c r="C65" i="32"/>
  <c r="P50" i="18"/>
  <c r="P74" i="37"/>
  <c r="C74" i="37"/>
  <c r="P95" i="18"/>
  <c r="C95" i="18"/>
  <c r="C46" i="33"/>
  <c r="P46" i="33"/>
  <c r="E23" i="37"/>
  <c r="Q23" i="36"/>
  <c r="R23" i="36" s="1"/>
  <c r="Q23" i="35"/>
  <c r="Q23" i="34"/>
  <c r="Q23" i="33"/>
  <c r="Q23" i="32"/>
  <c r="E23" i="31"/>
  <c r="E23" i="18"/>
  <c r="E23" i="36"/>
  <c r="J22" i="39" s="1"/>
  <c r="E23" i="34"/>
  <c r="E23" i="32"/>
  <c r="Q23" i="37"/>
  <c r="E23" i="35"/>
  <c r="E23" i="33"/>
  <c r="Q23" i="18"/>
  <c r="Q23" i="31"/>
  <c r="E23" i="40"/>
  <c r="Q23" i="40"/>
  <c r="R23" i="40" s="1"/>
  <c r="E39" i="18"/>
  <c r="D38" i="39" s="1"/>
  <c r="E39" i="37"/>
  <c r="Q39" i="36"/>
  <c r="R39" i="36" s="1"/>
  <c r="Q39" i="35"/>
  <c r="R39" i="35" s="1"/>
  <c r="Q39" i="34"/>
  <c r="R39" i="34" s="1"/>
  <c r="Q39" i="33"/>
  <c r="Q39" i="32"/>
  <c r="Q39" i="18"/>
  <c r="E39" i="31"/>
  <c r="F38" i="39" s="1"/>
  <c r="E39" i="34"/>
  <c r="F39" i="34" s="1"/>
  <c r="E39" i="32"/>
  <c r="Q39" i="31"/>
  <c r="R39" i="31" s="1"/>
  <c r="Q39" i="37"/>
  <c r="R39" i="37" s="1"/>
  <c r="S39" i="37" s="1"/>
  <c r="E39" i="36"/>
  <c r="E39" i="35"/>
  <c r="E39" i="33"/>
  <c r="H38" i="39" s="1"/>
  <c r="Q39" i="40"/>
  <c r="R39" i="40" s="1"/>
  <c r="E39" i="40"/>
  <c r="E42" i="18"/>
  <c r="Q42" i="37"/>
  <c r="Q42" i="36"/>
  <c r="R42" i="36" s="1"/>
  <c r="Q42" i="35"/>
  <c r="R42" i="35" s="1"/>
  <c r="Q42" i="34"/>
  <c r="R42" i="34" s="1"/>
  <c r="Q42" i="33"/>
  <c r="Q42" i="32"/>
  <c r="Q42" i="31"/>
  <c r="R42" i="31" s="1"/>
  <c r="Q42" i="18"/>
  <c r="E42" i="35"/>
  <c r="F42" i="35" s="1"/>
  <c r="E42" i="33"/>
  <c r="E42" i="31"/>
  <c r="E42" i="37"/>
  <c r="E42" i="36"/>
  <c r="E42" i="34"/>
  <c r="F42" i="34" s="1"/>
  <c r="E42" i="32"/>
  <c r="F42" i="32" s="1"/>
  <c r="Q42" i="40"/>
  <c r="R42" i="40" s="1"/>
  <c r="E42" i="40"/>
  <c r="M41" i="39" s="1"/>
  <c r="Q44" i="37"/>
  <c r="E44" i="18"/>
  <c r="E44" i="37"/>
  <c r="Q44" i="36"/>
  <c r="R44" i="36" s="1"/>
  <c r="Q44" i="35"/>
  <c r="R44" i="35" s="1"/>
  <c r="T44" i="35" s="1"/>
  <c r="Q44" i="34"/>
  <c r="R44" i="34" s="1"/>
  <c r="Q44" i="33"/>
  <c r="Q44" i="32"/>
  <c r="Q44" i="31"/>
  <c r="E44" i="36"/>
  <c r="E44" i="34"/>
  <c r="E44" i="32"/>
  <c r="E44" i="35"/>
  <c r="E44" i="33"/>
  <c r="E44" i="31"/>
  <c r="F44" i="31" s="1"/>
  <c r="H44" i="31" s="1"/>
  <c r="Q44" i="18"/>
  <c r="R44" i="18" s="1"/>
  <c r="Q44" i="40"/>
  <c r="R44" i="40" s="1"/>
  <c r="E44" i="40"/>
  <c r="E46" i="37"/>
  <c r="E46" i="35"/>
  <c r="I45" i="39" s="1"/>
  <c r="E46" i="34"/>
  <c r="G45" i="39" s="1"/>
  <c r="E46" i="33"/>
  <c r="H45" i="39" s="1"/>
  <c r="E46" i="32"/>
  <c r="E46" i="31"/>
  <c r="F45" i="39" s="1"/>
  <c r="E46" i="18"/>
  <c r="D45" i="39" s="1"/>
  <c r="Q46" i="36"/>
  <c r="R46" i="36" s="1"/>
  <c r="Q46" i="35"/>
  <c r="R46" i="35" s="1"/>
  <c r="T46" i="35" s="1"/>
  <c r="Q46" i="33"/>
  <c r="Q46" i="31"/>
  <c r="Q46" i="37"/>
  <c r="Q46" i="40"/>
  <c r="R46" i="40" s="1"/>
  <c r="Q46" i="34"/>
  <c r="R46" i="34" s="1"/>
  <c r="Q46" i="32"/>
  <c r="Q46" i="18"/>
  <c r="E46" i="36"/>
  <c r="J45" i="39" s="1"/>
  <c r="E46" i="40"/>
  <c r="M45" i="39" s="1"/>
  <c r="Q48" i="35"/>
  <c r="R48" i="35" s="1"/>
  <c r="S48" i="35" s="1"/>
  <c r="Q48" i="34"/>
  <c r="R48" i="34" s="1"/>
  <c r="Q48" i="33"/>
  <c r="R48" i="33" s="1"/>
  <c r="Q48" i="32"/>
  <c r="Q48" i="31"/>
  <c r="R48" i="31" s="1"/>
  <c r="Q48" i="18"/>
  <c r="Q48" i="37"/>
  <c r="R48" i="37" s="1"/>
  <c r="Q48" i="36"/>
  <c r="R48" i="36" s="1"/>
  <c r="E48" i="34"/>
  <c r="E48" i="32"/>
  <c r="E48" i="18"/>
  <c r="E48" i="36"/>
  <c r="J47" i="39" s="1"/>
  <c r="E48" i="35"/>
  <c r="F48" i="35" s="1"/>
  <c r="E48" i="33"/>
  <c r="E48" i="31"/>
  <c r="E48" i="37"/>
  <c r="Q48" i="40"/>
  <c r="R48" i="40" s="1"/>
  <c r="E48" i="40"/>
  <c r="L47" i="39" s="1"/>
  <c r="Q57" i="37"/>
  <c r="R57" i="37" s="1"/>
  <c r="E57" i="37"/>
  <c r="E57" i="36"/>
  <c r="Q57" i="35"/>
  <c r="R57" i="35" s="1"/>
  <c r="Q57" i="34"/>
  <c r="R57" i="34" s="1"/>
  <c r="Q57" i="33"/>
  <c r="Q57" i="32"/>
  <c r="Q57" i="31"/>
  <c r="R57" i="31" s="1"/>
  <c r="E57" i="35"/>
  <c r="E57" i="33"/>
  <c r="E57" i="31"/>
  <c r="F56" i="39" s="1"/>
  <c r="E57" i="18"/>
  <c r="D56" i="39" s="1"/>
  <c r="Q57" i="36"/>
  <c r="R57" i="36" s="1"/>
  <c r="E57" i="34"/>
  <c r="F57" i="34" s="1"/>
  <c r="E57" i="32"/>
  <c r="Q57" i="18"/>
  <c r="Q57" i="40"/>
  <c r="R57" i="40" s="1"/>
  <c r="E57" i="40"/>
  <c r="Q75" i="35"/>
  <c r="R75" i="35" s="1"/>
  <c r="S75" i="35" s="1"/>
  <c r="Q75" i="34"/>
  <c r="R75" i="34" s="1"/>
  <c r="Q75" i="33"/>
  <c r="Q75" i="32"/>
  <c r="Q75" i="31"/>
  <c r="Q75" i="18"/>
  <c r="Q75" i="37"/>
  <c r="Q75" i="36"/>
  <c r="R75" i="36" s="1"/>
  <c r="E75" i="34"/>
  <c r="G74" i="39" s="1"/>
  <c r="E75" i="32"/>
  <c r="E75" i="18"/>
  <c r="E75" i="36"/>
  <c r="E75" i="35"/>
  <c r="I74" i="39" s="1"/>
  <c r="E75" i="33"/>
  <c r="H74" i="39" s="1"/>
  <c r="E75" i="31"/>
  <c r="F75" i="31" s="1"/>
  <c r="G75" i="31" s="1"/>
  <c r="E75" i="37"/>
  <c r="E75" i="40"/>
  <c r="M74" i="39" s="1"/>
  <c r="Q75" i="40"/>
  <c r="R75" i="40" s="1"/>
  <c r="E79" i="35"/>
  <c r="I78" i="39" s="1"/>
  <c r="E79" i="34"/>
  <c r="F79" i="34" s="1"/>
  <c r="E79" i="33"/>
  <c r="E79" i="32"/>
  <c r="F79" i="32" s="1"/>
  <c r="E79" i="31"/>
  <c r="F78" i="39" s="1"/>
  <c r="E79" i="18"/>
  <c r="E79" i="37"/>
  <c r="E79" i="36"/>
  <c r="J78" i="39" s="1"/>
  <c r="Q79" i="35"/>
  <c r="R79" i="35" s="1"/>
  <c r="Q79" i="33"/>
  <c r="R79" i="33" s="1"/>
  <c r="Q79" i="31"/>
  <c r="Q79" i="37"/>
  <c r="R79" i="37" s="1"/>
  <c r="E79" i="40"/>
  <c r="Q79" i="34"/>
  <c r="R79" i="34" s="1"/>
  <c r="Q79" i="32"/>
  <c r="Q79" i="18"/>
  <c r="R79" i="18" s="1"/>
  <c r="Q79" i="36"/>
  <c r="R79" i="36" s="1"/>
  <c r="Q79" i="40"/>
  <c r="R79" i="40" s="1"/>
  <c r="AH32" i="5"/>
  <c r="P63" i="37"/>
  <c r="C63" i="18"/>
  <c r="P63" i="18"/>
  <c r="P85" i="18"/>
  <c r="C85" i="18"/>
  <c r="C85" i="35"/>
  <c r="P85" i="31"/>
  <c r="C87" i="33"/>
  <c r="P87" i="33"/>
  <c r="C87" i="37"/>
  <c r="P87" i="37"/>
  <c r="P99" i="18"/>
  <c r="C99" i="18"/>
  <c r="F99" i="18" s="1"/>
  <c r="E67" i="37"/>
  <c r="C66" i="39" s="1"/>
  <c r="E67" i="36"/>
  <c r="Q67" i="35"/>
  <c r="R67" i="35" s="1"/>
  <c r="S67" i="35" s="1"/>
  <c r="Q67" i="34"/>
  <c r="R67" i="34" s="1"/>
  <c r="Q67" i="33"/>
  <c r="Q67" i="32"/>
  <c r="Q67" i="31"/>
  <c r="E67" i="18"/>
  <c r="D66" i="39" s="1"/>
  <c r="Q67" i="37"/>
  <c r="R67" i="37" s="1"/>
  <c r="S67" i="37" s="1"/>
  <c r="E67" i="35"/>
  <c r="I66" i="39" s="1"/>
  <c r="E67" i="33"/>
  <c r="H66" i="39" s="1"/>
  <c r="E67" i="31"/>
  <c r="F66" i="39" s="1"/>
  <c r="Q67" i="18"/>
  <c r="R67" i="18" s="1"/>
  <c r="Q67" i="36"/>
  <c r="R67" i="36" s="1"/>
  <c r="E67" i="34"/>
  <c r="F67" i="34" s="1"/>
  <c r="E67" i="32"/>
  <c r="F67" i="32" s="1"/>
  <c r="Q67" i="40"/>
  <c r="R67" i="40" s="1"/>
  <c r="E67" i="40"/>
  <c r="C94" i="18"/>
  <c r="P94" i="18"/>
  <c r="C67" i="35"/>
  <c r="P67" i="31"/>
  <c r="C67" i="31"/>
  <c r="C73" i="31"/>
  <c r="C73" i="35"/>
  <c r="P73" i="31"/>
  <c r="P83" i="33"/>
  <c r="R83" i="33" s="1"/>
  <c r="T83" i="33" s="1"/>
  <c r="C83" i="33"/>
  <c r="H82" i="39"/>
  <c r="Q81" i="35"/>
  <c r="R81" i="35" s="1"/>
  <c r="Q81" i="34"/>
  <c r="R81" i="34" s="1"/>
  <c r="Q81" i="33"/>
  <c r="R81" i="33" s="1"/>
  <c r="S81" i="33" s="1"/>
  <c r="Q81" i="32"/>
  <c r="Q81" i="31"/>
  <c r="Q81" i="18"/>
  <c r="R81" i="18" s="1"/>
  <c r="S81" i="18" s="1"/>
  <c r="Q81" i="37"/>
  <c r="Q81" i="36"/>
  <c r="R81" i="36" s="1"/>
  <c r="E81" i="34"/>
  <c r="E81" i="32"/>
  <c r="E81" i="18"/>
  <c r="D80" i="39" s="1"/>
  <c r="E81" i="36"/>
  <c r="E81" i="35"/>
  <c r="I80" i="39" s="1"/>
  <c r="E81" i="33"/>
  <c r="E81" i="31"/>
  <c r="E81" i="37"/>
  <c r="E81" i="40"/>
  <c r="F81" i="40" s="1"/>
  <c r="Q81" i="40"/>
  <c r="R81" i="40" s="1"/>
  <c r="Q59" i="37"/>
  <c r="R59" i="37" s="1"/>
  <c r="Q59" i="36"/>
  <c r="R59" i="36" s="1"/>
  <c r="E59" i="35"/>
  <c r="E59" i="34"/>
  <c r="G58" i="39" s="1"/>
  <c r="E59" i="33"/>
  <c r="E59" i="32"/>
  <c r="E59" i="31"/>
  <c r="E59" i="18"/>
  <c r="E59" i="36"/>
  <c r="E59" i="37"/>
  <c r="Q59" i="35"/>
  <c r="R59" i="35" s="1"/>
  <c r="T59" i="35" s="1"/>
  <c r="Q59" i="33"/>
  <c r="R59" i="33" s="1"/>
  <c r="S59" i="33" s="1"/>
  <c r="Q59" i="31"/>
  <c r="R59" i="31" s="1"/>
  <c r="Q59" i="40"/>
  <c r="R59" i="40" s="1"/>
  <c r="Q59" i="34"/>
  <c r="R59" i="34" s="1"/>
  <c r="Q59" i="32"/>
  <c r="Q59" i="18"/>
  <c r="R59" i="18" s="1"/>
  <c r="E59" i="40"/>
  <c r="M58" i="39" s="1"/>
  <c r="E25" i="37"/>
  <c r="Q25" i="36"/>
  <c r="R25" i="36" s="1"/>
  <c r="Q25" i="35"/>
  <c r="Q25" i="34"/>
  <c r="Q25" i="33"/>
  <c r="Q25" i="32"/>
  <c r="Q25" i="18"/>
  <c r="E25" i="31"/>
  <c r="E25" i="18"/>
  <c r="E25" i="34"/>
  <c r="E25" i="32"/>
  <c r="Q25" i="31"/>
  <c r="Q25" i="37"/>
  <c r="E25" i="36"/>
  <c r="J24" i="39" s="1"/>
  <c r="E25" i="35"/>
  <c r="E25" i="33"/>
  <c r="Q25" i="40"/>
  <c r="R25" i="40" s="1"/>
  <c r="E25" i="40"/>
  <c r="F25" i="40" s="1"/>
  <c r="C96" i="18"/>
  <c r="F96" i="18" s="1"/>
  <c r="D95" i="39"/>
  <c r="C75" i="34"/>
  <c r="C75" i="32"/>
  <c r="P75" i="32"/>
  <c r="C75" i="37"/>
  <c r="P75" i="37"/>
  <c r="P58" i="18"/>
  <c r="C58" i="18"/>
  <c r="C70" i="18"/>
  <c r="P70" i="18"/>
  <c r="C84" i="32"/>
  <c r="P84" i="32"/>
  <c r="C84" i="34"/>
  <c r="C68" i="33"/>
  <c r="P68" i="33"/>
  <c r="K9" i="36"/>
  <c r="K12" i="36"/>
  <c r="K10" i="36"/>
  <c r="K8" i="40"/>
  <c r="W8" i="40"/>
  <c r="I60" i="39"/>
  <c r="I95" i="39"/>
  <c r="I81" i="39"/>
  <c r="I55" i="39"/>
  <c r="F82" i="18"/>
  <c r="W8" i="32"/>
  <c r="K8" i="32"/>
  <c r="K10" i="18"/>
  <c r="K12" i="18"/>
  <c r="R47" i="40"/>
  <c r="R40" i="40"/>
  <c r="R60" i="40"/>
  <c r="R84" i="40"/>
  <c r="R34" i="40"/>
  <c r="R38" i="40"/>
  <c r="R92" i="40"/>
  <c r="R61" i="40"/>
  <c r="R76" i="40"/>
  <c r="R96" i="40"/>
  <c r="R82" i="40"/>
  <c r="R20" i="40"/>
  <c r="R56" i="40"/>
  <c r="L60" i="39"/>
  <c r="L35" i="39"/>
  <c r="L31" i="39"/>
  <c r="L95" i="39"/>
  <c r="L19" i="39"/>
  <c r="F93" i="39"/>
  <c r="F83" i="39"/>
  <c r="F75" i="39"/>
  <c r="F61" i="39"/>
  <c r="L82" i="39"/>
  <c r="L33" i="39"/>
  <c r="F67" i="39"/>
  <c r="L34" i="39"/>
  <c r="L26" i="39"/>
  <c r="F82" i="39"/>
  <c r="F87" i="39"/>
  <c r="F43" i="39"/>
  <c r="F71" i="39"/>
  <c r="F81" i="39"/>
  <c r="F41" i="39"/>
  <c r="F95" i="39"/>
  <c r="F76" i="37"/>
  <c r="H76" i="37" s="1"/>
  <c r="R61" i="35"/>
  <c r="T61" i="35" s="1"/>
  <c r="F36" i="36"/>
  <c r="S68" i="37"/>
  <c r="F52" i="18"/>
  <c r="R96" i="35"/>
  <c r="R94" i="35"/>
  <c r="R82" i="35"/>
  <c r="F61" i="36"/>
  <c r="F58" i="36"/>
  <c r="F69" i="36"/>
  <c r="F35" i="36"/>
  <c r="F99" i="36"/>
  <c r="F64" i="36"/>
  <c r="F96" i="36"/>
  <c r="F30" i="36"/>
  <c r="F32" i="36"/>
  <c r="F87" i="36"/>
  <c r="F82" i="36"/>
  <c r="W10" i="18"/>
  <c r="W9" i="18"/>
  <c r="W12" i="18"/>
  <c r="T82" i="37"/>
  <c r="S82" i="37"/>
  <c r="F83" i="31"/>
  <c r="G83" i="31" s="1"/>
  <c r="F54" i="31"/>
  <c r="H54" i="31" s="1"/>
  <c r="F76" i="31"/>
  <c r="H76" i="31" s="1"/>
  <c r="F11" i="39"/>
  <c r="W6" i="32"/>
  <c r="W12" i="36"/>
  <c r="S69" i="36" s="1"/>
  <c r="W9" i="36"/>
  <c r="W10" i="36"/>
  <c r="K96" i="39"/>
  <c r="K86" i="39"/>
  <c r="K76" i="39"/>
  <c r="K64" i="39"/>
  <c r="K54" i="39"/>
  <c r="K44" i="39"/>
  <c r="K32" i="39"/>
  <c r="K22" i="39"/>
  <c r="K93" i="39"/>
  <c r="K81" i="39"/>
  <c r="K71" i="39"/>
  <c r="K61" i="39"/>
  <c r="K49" i="39"/>
  <c r="K39" i="39"/>
  <c r="K29" i="39"/>
  <c r="K88" i="39"/>
  <c r="K78" i="39"/>
  <c r="K68" i="39"/>
  <c r="K56" i="39"/>
  <c r="K46" i="39"/>
  <c r="K36" i="39"/>
  <c r="K24" i="39"/>
  <c r="K95" i="39"/>
  <c r="K85" i="39"/>
  <c r="K73" i="39"/>
  <c r="K63" i="39"/>
  <c r="K53" i="39"/>
  <c r="K41" i="39"/>
  <c r="K31" i="39"/>
  <c r="K21" i="39"/>
  <c r="K94" i="39"/>
  <c r="K72" i="39"/>
  <c r="K52" i="39"/>
  <c r="K30" i="39"/>
  <c r="K89" i="39"/>
  <c r="K69" i="39"/>
  <c r="K47" i="39"/>
  <c r="K25" i="39"/>
  <c r="K80" i="39"/>
  <c r="K60" i="39"/>
  <c r="K38" i="39"/>
  <c r="K97" i="39"/>
  <c r="K77" i="39"/>
  <c r="K55" i="39"/>
  <c r="K33" i="39"/>
  <c r="K92" i="39"/>
  <c r="K48" i="39"/>
  <c r="K87" i="39"/>
  <c r="K45" i="39"/>
  <c r="K62" i="39"/>
  <c r="K20" i="39"/>
  <c r="K57" i="39"/>
  <c r="K70" i="39"/>
  <c r="K65" i="39"/>
  <c r="K28" i="39"/>
  <c r="K23" i="39"/>
  <c r="K79" i="39"/>
  <c r="K37" i="39"/>
  <c r="K40" i="39"/>
  <c r="K84" i="39"/>
  <c r="W12" i="31"/>
  <c r="W9" i="31"/>
  <c r="W10" i="31"/>
  <c r="R70" i="31"/>
  <c r="F82" i="31"/>
  <c r="G82" i="31" s="1"/>
  <c r="R78" i="35"/>
  <c r="S78" i="35" s="1"/>
  <c r="R45" i="35"/>
  <c r="S45" i="35" s="1"/>
  <c r="R80" i="35"/>
  <c r="S80" i="35" s="1"/>
  <c r="R58" i="35"/>
  <c r="S58" i="35" s="1"/>
  <c r="F99" i="37"/>
  <c r="H99" i="37" s="1"/>
  <c r="F84" i="31"/>
  <c r="G84" i="31" s="1"/>
  <c r="T69" i="36"/>
  <c r="H82" i="33"/>
  <c r="G82" i="33"/>
  <c r="M53" i="39"/>
  <c r="M37" i="39"/>
  <c r="M33" i="39"/>
  <c r="G98" i="39"/>
  <c r="G84" i="39"/>
  <c r="G51" i="39"/>
  <c r="G89" i="39"/>
  <c r="M75" i="39"/>
  <c r="M59" i="39"/>
  <c r="G63" i="39"/>
  <c r="G57" i="39"/>
  <c r="G49" i="39"/>
  <c r="M34" i="39"/>
  <c r="M19" i="39"/>
  <c r="G67" i="39"/>
  <c r="M71" i="39"/>
  <c r="M35" i="39"/>
  <c r="G44" i="39"/>
  <c r="G95" i="39"/>
  <c r="M82" i="39"/>
  <c r="M60" i="39"/>
  <c r="M31" i="39"/>
  <c r="M95" i="39"/>
  <c r="M67" i="39"/>
  <c r="M39" i="39"/>
  <c r="G81" i="39"/>
  <c r="R76" i="34"/>
  <c r="R58" i="34"/>
  <c r="R98" i="34"/>
  <c r="R52" i="34"/>
  <c r="R96" i="34"/>
  <c r="R82" i="34"/>
  <c r="R61" i="34"/>
  <c r="R83" i="34"/>
  <c r="R92" i="34"/>
  <c r="T52" i="31"/>
  <c r="T62" i="18" l="1"/>
  <c r="R73" i="33"/>
  <c r="S73" i="33" s="1"/>
  <c r="R93" i="33"/>
  <c r="R53" i="31"/>
  <c r="T53" i="31" s="1"/>
  <c r="R63" i="33"/>
  <c r="S63" i="33" s="1"/>
  <c r="F97" i="32"/>
  <c r="F44" i="35"/>
  <c r="G44" i="35" s="1"/>
  <c r="R48" i="18"/>
  <c r="T48" i="18" s="1"/>
  <c r="R42" i="18"/>
  <c r="T42" i="18" s="1"/>
  <c r="F39" i="32"/>
  <c r="R40" i="37"/>
  <c r="T40" i="37" s="1"/>
  <c r="B22" i="34"/>
  <c r="O22" i="34"/>
  <c r="O22" i="18"/>
  <c r="B22" i="32"/>
  <c r="B22" i="33"/>
  <c r="B22" i="40"/>
  <c r="B22" i="31"/>
  <c r="B22" i="35"/>
  <c r="B22" i="18"/>
  <c r="O22" i="35"/>
  <c r="O22" i="37"/>
  <c r="O22" i="33"/>
  <c r="O22" i="31"/>
  <c r="B22" i="37"/>
  <c r="O22" i="32"/>
  <c r="B18" i="7"/>
  <c r="B22" i="36"/>
  <c r="O22" i="40"/>
  <c r="O22" i="36"/>
  <c r="F48" i="32"/>
  <c r="R49" i="33"/>
  <c r="S49" i="33" s="1"/>
  <c r="R47" i="33"/>
  <c r="S47" i="33" s="1"/>
  <c r="F42" i="31"/>
  <c r="H42" i="31" s="1"/>
  <c r="F41" i="32"/>
  <c r="F50" i="34"/>
  <c r="H50" i="34" s="1"/>
  <c r="R44" i="33"/>
  <c r="S44" i="33" s="1"/>
  <c r="R45" i="31"/>
  <c r="T45" i="31" s="1"/>
  <c r="H52" i="34"/>
  <c r="G52" i="34"/>
  <c r="S64" i="33"/>
  <c r="R91" i="18"/>
  <c r="T91" i="18" s="1"/>
  <c r="R41" i="33"/>
  <c r="S41" i="33" s="1"/>
  <c r="F89" i="32"/>
  <c r="F82" i="37"/>
  <c r="G82" i="37" s="1"/>
  <c r="F73" i="34"/>
  <c r="H73" i="34" s="1"/>
  <c r="R85" i="37"/>
  <c r="S85" i="37" s="1"/>
  <c r="R45" i="18"/>
  <c r="T45" i="18" s="1"/>
  <c r="F89" i="34"/>
  <c r="R84" i="18"/>
  <c r="T84" i="18" s="1"/>
  <c r="F61" i="34"/>
  <c r="G61" i="34" s="1"/>
  <c r="F44" i="32"/>
  <c r="R42" i="33"/>
  <c r="T42" i="33" s="1"/>
  <c r="R44" i="31"/>
  <c r="T44" i="31" s="1"/>
  <c r="R44" i="37"/>
  <c r="T44" i="37" s="1"/>
  <c r="F43" i="32"/>
  <c r="F68" i="37"/>
  <c r="G68" i="34"/>
  <c r="H68" i="34"/>
  <c r="M81" i="39"/>
  <c r="E75" i="38" s="1"/>
  <c r="F53" i="31"/>
  <c r="H53" i="31" s="1"/>
  <c r="F86" i="36"/>
  <c r="G86" i="36" s="1"/>
  <c r="F90" i="36"/>
  <c r="G90" i="36" s="1"/>
  <c r="F48" i="34"/>
  <c r="G48" i="34" s="1"/>
  <c r="F80" i="31"/>
  <c r="H80" i="31" s="1"/>
  <c r="C50" i="39"/>
  <c r="R47" i="37"/>
  <c r="S47" i="37" s="1"/>
  <c r="R71" i="37"/>
  <c r="T71" i="37" s="1"/>
  <c r="T77" i="18"/>
  <c r="H76" i="18"/>
  <c r="C95" i="39"/>
  <c r="T86" i="31"/>
  <c r="C89" i="39"/>
  <c r="R90" i="31"/>
  <c r="T90" i="31" s="1"/>
  <c r="C73" i="39"/>
  <c r="T94" i="36"/>
  <c r="S88" i="18"/>
  <c r="C91" i="39"/>
  <c r="C67" i="39"/>
  <c r="S69" i="18"/>
  <c r="C71" i="39"/>
  <c r="T40" i="18"/>
  <c r="S83" i="18"/>
  <c r="C57" i="39"/>
  <c r="C51" i="39"/>
  <c r="C82" i="39"/>
  <c r="S46" i="36"/>
  <c r="S87" i="36"/>
  <c r="S54" i="36"/>
  <c r="S84" i="36"/>
  <c r="C81" i="39"/>
  <c r="T99" i="35"/>
  <c r="G88" i="31"/>
  <c r="T64" i="35"/>
  <c r="F84" i="34"/>
  <c r="G84" i="34" s="1"/>
  <c r="C74" i="39"/>
  <c r="R57" i="33"/>
  <c r="T57" i="33" s="1"/>
  <c r="S44" i="18"/>
  <c r="T97" i="36"/>
  <c r="C96" i="39"/>
  <c r="C62" i="39"/>
  <c r="C79" i="39"/>
  <c r="R93" i="37"/>
  <c r="S93" i="37" s="1"/>
  <c r="G76" i="36"/>
  <c r="T54" i="31"/>
  <c r="T74" i="31"/>
  <c r="C59" i="39"/>
  <c r="S78" i="31"/>
  <c r="S88" i="31"/>
  <c r="S62" i="18"/>
  <c r="T96" i="31"/>
  <c r="C63" i="39"/>
  <c r="R61" i="37"/>
  <c r="S80" i="36"/>
  <c r="L57" i="39"/>
  <c r="S41" i="36"/>
  <c r="H36" i="36"/>
  <c r="L81" i="39"/>
  <c r="D75" i="38" s="1"/>
  <c r="R81" i="37"/>
  <c r="T81" i="37" s="1"/>
  <c r="F57" i="35"/>
  <c r="H57" i="35" s="1"/>
  <c r="C45" i="39"/>
  <c r="C43" i="39"/>
  <c r="S39" i="36"/>
  <c r="T97" i="18"/>
  <c r="C84" i="39"/>
  <c r="T85" i="36"/>
  <c r="C86" i="39"/>
  <c r="T45" i="36"/>
  <c r="T41" i="36"/>
  <c r="R55" i="18"/>
  <c r="F96" i="33"/>
  <c r="H96" i="33" s="1"/>
  <c r="T64" i="31"/>
  <c r="T90" i="18"/>
  <c r="T82" i="18"/>
  <c r="C93" i="39"/>
  <c r="R88" i="37"/>
  <c r="T80" i="31"/>
  <c r="F98" i="34"/>
  <c r="H98" i="34" s="1"/>
  <c r="C39" i="39"/>
  <c r="H68" i="36"/>
  <c r="C68" i="39"/>
  <c r="C69" i="39"/>
  <c r="R76" i="32"/>
  <c r="S52" i="31"/>
  <c r="C75" i="39"/>
  <c r="S68" i="18"/>
  <c r="T52" i="37"/>
  <c r="S52" i="37"/>
  <c r="F49" i="34"/>
  <c r="H49" i="34" s="1"/>
  <c r="S76" i="33"/>
  <c r="F48" i="31"/>
  <c r="H48" i="31" s="1"/>
  <c r="F73" i="32"/>
  <c r="R91" i="37"/>
  <c r="S91" i="37" s="1"/>
  <c r="F71" i="32"/>
  <c r="R83" i="37"/>
  <c r="R68" i="31"/>
  <c r="S68" i="31" s="1"/>
  <c r="R61" i="18"/>
  <c r="S61" i="18" s="1"/>
  <c r="R81" i="31"/>
  <c r="R79" i="31"/>
  <c r="S79" i="31" s="1"/>
  <c r="F57" i="32"/>
  <c r="R46" i="31"/>
  <c r="S46" i="31" s="1"/>
  <c r="R65" i="37"/>
  <c r="T65" i="37" s="1"/>
  <c r="F58" i="18"/>
  <c r="G58" i="18" s="1"/>
  <c r="R81" i="32"/>
  <c r="R55" i="37"/>
  <c r="T55" i="37" s="1"/>
  <c r="F56" i="32"/>
  <c r="G83" i="37"/>
  <c r="F22" i="36"/>
  <c r="H22" i="36" s="1"/>
  <c r="I87" i="39"/>
  <c r="T76" i="37"/>
  <c r="F69" i="34"/>
  <c r="H69" i="34" s="1"/>
  <c r="G68" i="18"/>
  <c r="F69" i="18"/>
  <c r="G69" i="18" s="1"/>
  <c r="L52" i="39"/>
  <c r="D46" i="38" s="1"/>
  <c r="F66" i="35"/>
  <c r="H66" i="35" s="1"/>
  <c r="F64" i="35"/>
  <c r="H64" i="35" s="1"/>
  <c r="T88" i="33"/>
  <c r="M52" i="39"/>
  <c r="L39" i="39"/>
  <c r="D33" i="38" s="1"/>
  <c r="L71" i="39"/>
  <c r="D65" i="38" s="1"/>
  <c r="F61" i="18"/>
  <c r="G61" i="18" s="1"/>
  <c r="T84" i="33"/>
  <c r="S84" i="33"/>
  <c r="T40" i="33"/>
  <c r="L93" i="39"/>
  <c r="D87" i="38" s="1"/>
  <c r="F92" i="32"/>
  <c r="F83" i="34"/>
  <c r="G83" i="34" s="1"/>
  <c r="S80" i="31"/>
  <c r="G76" i="37"/>
  <c r="M68" i="39"/>
  <c r="E62" i="38" s="1"/>
  <c r="M69" i="39"/>
  <c r="F43" i="34"/>
  <c r="H43" i="34" s="1"/>
  <c r="R99" i="18"/>
  <c r="S99" i="18" s="1"/>
  <c r="T54" i="36"/>
  <c r="G52" i="39"/>
  <c r="F24" i="36"/>
  <c r="G24" i="36" s="1"/>
  <c r="F67" i="31"/>
  <c r="G67" i="31" s="1"/>
  <c r="L69" i="39"/>
  <c r="D69" i="38"/>
  <c r="R58" i="18"/>
  <c r="T58" i="18" s="1"/>
  <c r="F50" i="31"/>
  <c r="G50" i="31" s="1"/>
  <c r="F94" i="32"/>
  <c r="F58" i="37"/>
  <c r="H58" i="37" s="1"/>
  <c r="T77" i="33"/>
  <c r="T53" i="33"/>
  <c r="G60" i="39"/>
  <c r="E54" i="38" s="1"/>
  <c r="M93" i="39"/>
  <c r="E87" i="38" s="1"/>
  <c r="T78" i="37"/>
  <c r="F61" i="31"/>
  <c r="G61" i="31" s="1"/>
  <c r="F78" i="36"/>
  <c r="H78" i="36" s="1"/>
  <c r="F72" i="36"/>
  <c r="G72" i="36" s="1"/>
  <c r="L59" i="39"/>
  <c r="F41" i="35"/>
  <c r="H41" i="35" s="1"/>
  <c r="F74" i="33"/>
  <c r="H74" i="33" s="1"/>
  <c r="F56" i="35"/>
  <c r="H56" i="35" s="1"/>
  <c r="L67" i="39"/>
  <c r="D61" i="38" s="1"/>
  <c r="F68" i="40"/>
  <c r="C60" i="39"/>
  <c r="F61" i="37"/>
  <c r="T84" i="36"/>
  <c r="G68" i="36"/>
  <c r="M51" i="39"/>
  <c r="G41" i="39"/>
  <c r="E35" i="38" s="1"/>
  <c r="M57" i="39"/>
  <c r="E51" i="38" s="1"/>
  <c r="S88" i="35"/>
  <c r="F88" i="36"/>
  <c r="G88" i="36" s="1"/>
  <c r="F20" i="36"/>
  <c r="G20" i="36" s="1"/>
  <c r="L51" i="39"/>
  <c r="F53" i="18"/>
  <c r="H53" i="18" s="1"/>
  <c r="R74" i="37"/>
  <c r="T74" i="37" s="1"/>
  <c r="F80" i="35"/>
  <c r="G80" i="35" s="1"/>
  <c r="F98" i="18"/>
  <c r="H98" i="18" s="1"/>
  <c r="R60" i="33"/>
  <c r="T60" i="33" s="1"/>
  <c r="F74" i="34"/>
  <c r="F80" i="34"/>
  <c r="H80" i="34" s="1"/>
  <c r="T84" i="37"/>
  <c r="S84" i="37"/>
  <c r="F92" i="40"/>
  <c r="L91" i="39"/>
  <c r="D85" i="38" s="1"/>
  <c r="M91" i="39"/>
  <c r="F83" i="35"/>
  <c r="I82" i="39"/>
  <c r="S96" i="31"/>
  <c r="M98" i="39"/>
  <c r="E92" i="38" s="1"/>
  <c r="M32" i="39"/>
  <c r="T95" i="35"/>
  <c r="H68" i="35"/>
  <c r="L98" i="39"/>
  <c r="J58" i="39"/>
  <c r="F59" i="36"/>
  <c r="H59" i="36" s="1"/>
  <c r="F83" i="33"/>
  <c r="G83" i="33" s="1"/>
  <c r="F87" i="33"/>
  <c r="G87" i="33" s="1"/>
  <c r="F58" i="32"/>
  <c r="S58" i="37"/>
  <c r="T58" i="37"/>
  <c r="C77" i="39"/>
  <c r="F78" i="37"/>
  <c r="G78" i="37" s="1"/>
  <c r="C55" i="39"/>
  <c r="F56" i="37"/>
  <c r="H56" i="37" s="1"/>
  <c r="F62" i="37"/>
  <c r="G62" i="37" s="1"/>
  <c r="C61" i="39"/>
  <c r="D79" i="39"/>
  <c r="F80" i="18"/>
  <c r="G80" i="18" s="1"/>
  <c r="H75" i="39"/>
  <c r="F76" i="33"/>
  <c r="J51" i="39"/>
  <c r="F52" i="36"/>
  <c r="G52" i="36" s="1"/>
  <c r="C52" i="39"/>
  <c r="F53" i="37"/>
  <c r="G53" i="37" s="1"/>
  <c r="F22" i="40"/>
  <c r="L21" i="39"/>
  <c r="S82" i="33"/>
  <c r="G47" i="39"/>
  <c r="G48" i="39"/>
  <c r="G87" i="39"/>
  <c r="H92" i="34"/>
  <c r="I67" i="39"/>
  <c r="F40" i="33"/>
  <c r="H40" i="33" s="1"/>
  <c r="S92" i="33"/>
  <c r="T92" i="33"/>
  <c r="F52" i="35"/>
  <c r="H52" i="35" s="1"/>
  <c r="I51" i="39"/>
  <c r="F65" i="39"/>
  <c r="F66" i="31"/>
  <c r="G66" i="31" s="1"/>
  <c r="S52" i="33"/>
  <c r="S74" i="31"/>
  <c r="G69" i="39"/>
  <c r="E63" i="38" s="1"/>
  <c r="T72" i="33"/>
  <c r="F97" i="31"/>
  <c r="H97" i="31" s="1"/>
  <c r="F19" i="36"/>
  <c r="G19" i="36" s="1"/>
  <c r="I19" i="36" s="1"/>
  <c r="F84" i="18"/>
  <c r="G84" i="18" s="1"/>
  <c r="F74" i="36"/>
  <c r="H74" i="36" s="1"/>
  <c r="S54" i="37"/>
  <c r="L32" i="39"/>
  <c r="T93" i="33"/>
  <c r="S93" i="33"/>
  <c r="F64" i="40"/>
  <c r="L63" i="39"/>
  <c r="D57" i="38" s="1"/>
  <c r="R68" i="33"/>
  <c r="S68" i="33" s="1"/>
  <c r="F76" i="34"/>
  <c r="H76" i="34" s="1"/>
  <c r="R66" i="33"/>
  <c r="F99" i="34"/>
  <c r="G99" i="34" s="1"/>
  <c r="R98" i="37"/>
  <c r="T98" i="37" s="1"/>
  <c r="T94" i="33"/>
  <c r="H91" i="31"/>
  <c r="M54" i="39"/>
  <c r="M29" i="39"/>
  <c r="R70" i="18"/>
  <c r="T70" i="18" s="1"/>
  <c r="R50" i="18"/>
  <c r="T50" i="18" s="1"/>
  <c r="R60" i="18"/>
  <c r="S60" i="18" s="1"/>
  <c r="F76" i="32"/>
  <c r="T50" i="33"/>
  <c r="F60" i="36"/>
  <c r="G60" i="36" s="1"/>
  <c r="F64" i="18"/>
  <c r="H64" i="18" s="1"/>
  <c r="F69" i="31"/>
  <c r="G69" i="31" s="1"/>
  <c r="R66" i="18"/>
  <c r="T66" i="18" s="1"/>
  <c r="R72" i="37"/>
  <c r="T72" i="37" s="1"/>
  <c r="F64" i="31"/>
  <c r="G53" i="34"/>
  <c r="J43" i="39"/>
  <c r="F44" i="36"/>
  <c r="G44" i="36" s="1"/>
  <c r="D43" i="39"/>
  <c r="F44" i="18"/>
  <c r="H44" i="18" s="1"/>
  <c r="F39" i="40"/>
  <c r="M38" i="39"/>
  <c r="L38" i="39"/>
  <c r="D32" i="38" s="1"/>
  <c r="J38" i="39"/>
  <c r="F39" i="36"/>
  <c r="H39" i="36" s="1"/>
  <c r="C38" i="39"/>
  <c r="F39" i="37"/>
  <c r="H39" i="37" s="1"/>
  <c r="F90" i="40"/>
  <c r="L89" i="39"/>
  <c r="D83" i="38" s="1"/>
  <c r="F97" i="39"/>
  <c r="F98" i="31"/>
  <c r="H98" i="31" s="1"/>
  <c r="F98" i="40"/>
  <c r="L97" i="39"/>
  <c r="M97" i="39"/>
  <c r="H79" i="39"/>
  <c r="F80" i="33"/>
  <c r="H80" i="33" s="1"/>
  <c r="G39" i="39"/>
  <c r="E33" i="38" s="1"/>
  <c r="F40" i="34"/>
  <c r="G40" i="34" s="1"/>
  <c r="F62" i="40"/>
  <c r="L61" i="39"/>
  <c r="D55" i="38" s="1"/>
  <c r="C49" i="39"/>
  <c r="F50" i="37"/>
  <c r="H50" i="37" s="1"/>
  <c r="H61" i="35"/>
  <c r="G61" i="35"/>
  <c r="H53" i="35"/>
  <c r="G53" i="35"/>
  <c r="S90" i="33"/>
  <c r="M63" i="39"/>
  <c r="E57" i="38" s="1"/>
  <c r="M61" i="39"/>
  <c r="R66" i="31"/>
  <c r="T66" i="31" s="1"/>
  <c r="G61" i="33"/>
  <c r="F94" i="36"/>
  <c r="G94" i="36" s="1"/>
  <c r="F79" i="36"/>
  <c r="H79" i="36" s="1"/>
  <c r="F92" i="39"/>
  <c r="F93" i="31"/>
  <c r="G93" i="31" s="1"/>
  <c r="F48" i="40"/>
  <c r="M47" i="39"/>
  <c r="F44" i="40"/>
  <c r="L43" i="39"/>
  <c r="D37" i="38" s="1"/>
  <c r="T68" i="31"/>
  <c r="F26" i="36"/>
  <c r="G26" i="36" s="1"/>
  <c r="T62" i="31"/>
  <c r="S62" i="31"/>
  <c r="T83" i="18"/>
  <c r="S58" i="33"/>
  <c r="M43" i="39"/>
  <c r="G38" i="39"/>
  <c r="S90" i="18"/>
  <c r="F50" i="36"/>
  <c r="H50" i="36" s="1"/>
  <c r="F80" i="36"/>
  <c r="G80" i="36" s="1"/>
  <c r="F70" i="37"/>
  <c r="G70" i="37" s="1"/>
  <c r="F78" i="31"/>
  <c r="H78" i="31" s="1"/>
  <c r="F77" i="39"/>
  <c r="H88" i="35"/>
  <c r="G88" i="35"/>
  <c r="R64" i="37"/>
  <c r="S64" i="37" s="1"/>
  <c r="R72" i="31"/>
  <c r="T72" i="31" s="1"/>
  <c r="F72" i="37"/>
  <c r="H72" i="37" s="1"/>
  <c r="R56" i="37"/>
  <c r="R72" i="32"/>
  <c r="F76" i="35"/>
  <c r="G76" i="35" s="1"/>
  <c r="F74" i="39"/>
  <c r="F84" i="32"/>
  <c r="F75" i="32"/>
  <c r="R98" i="33"/>
  <c r="F89" i="37"/>
  <c r="G89" i="37" s="1"/>
  <c r="S96" i="33"/>
  <c r="M24" i="39"/>
  <c r="L68" i="39"/>
  <c r="D62" i="38" s="1"/>
  <c r="T39" i="37"/>
  <c r="F68" i="33"/>
  <c r="G68" i="33" s="1"/>
  <c r="R75" i="37"/>
  <c r="T75" i="37" s="1"/>
  <c r="R73" i="31"/>
  <c r="T73" i="31" s="1"/>
  <c r="F99" i="35"/>
  <c r="G99" i="35" s="1"/>
  <c r="R56" i="18"/>
  <c r="T56" i="18" s="1"/>
  <c r="F99" i="33"/>
  <c r="F93" i="37"/>
  <c r="H93" i="37" s="1"/>
  <c r="G72" i="33"/>
  <c r="H72" i="33"/>
  <c r="F40" i="18"/>
  <c r="H40" i="18" s="1"/>
  <c r="T78" i="18"/>
  <c r="S85" i="36"/>
  <c r="G62" i="39"/>
  <c r="G61" i="39"/>
  <c r="F45" i="37"/>
  <c r="G45" i="37" s="1"/>
  <c r="F53" i="36"/>
  <c r="H53" i="36" s="1"/>
  <c r="L48" i="39"/>
  <c r="D42" i="38" s="1"/>
  <c r="I52" i="39"/>
  <c r="T53" i="37"/>
  <c r="F90" i="31"/>
  <c r="H90" i="31" s="1"/>
  <c r="R99" i="37"/>
  <c r="T99" i="37" s="1"/>
  <c r="F92" i="37"/>
  <c r="G92" i="37" s="1"/>
  <c r="F64" i="32"/>
  <c r="R69" i="33"/>
  <c r="H71" i="39"/>
  <c r="F69" i="32"/>
  <c r="F58" i="35"/>
  <c r="G58" i="35" s="1"/>
  <c r="T80" i="35"/>
  <c r="S61" i="33"/>
  <c r="H76" i="36"/>
  <c r="T48" i="35"/>
  <c r="M26" i="39"/>
  <c r="M25" i="39"/>
  <c r="M65" i="39"/>
  <c r="E59" i="38" s="1"/>
  <c r="M85" i="39"/>
  <c r="F94" i="37"/>
  <c r="G94" i="37" s="1"/>
  <c r="F77" i="31"/>
  <c r="H77" i="31" s="1"/>
  <c r="F31" i="36"/>
  <c r="H31" i="36" s="1"/>
  <c r="F51" i="36"/>
  <c r="G51" i="36" s="1"/>
  <c r="F62" i="18"/>
  <c r="H62" i="18" s="1"/>
  <c r="L29" i="39"/>
  <c r="L54" i="39"/>
  <c r="F47" i="39"/>
  <c r="D41" i="38" s="1"/>
  <c r="L25" i="39"/>
  <c r="F83" i="18"/>
  <c r="H83" i="18" s="1"/>
  <c r="F60" i="18"/>
  <c r="H60" i="18" s="1"/>
  <c r="D57" i="39"/>
  <c r="R40" i="31"/>
  <c r="T40" i="31" s="1"/>
  <c r="F80" i="37"/>
  <c r="H80" i="37" s="1"/>
  <c r="R72" i="18"/>
  <c r="T72" i="18" s="1"/>
  <c r="F90" i="18"/>
  <c r="H90" i="18" s="1"/>
  <c r="R92" i="37"/>
  <c r="S92" i="37" s="1"/>
  <c r="R69" i="37"/>
  <c r="S69" i="37" s="1"/>
  <c r="F92" i="31"/>
  <c r="H92" i="31" s="1"/>
  <c r="F47" i="37"/>
  <c r="G47" i="37" s="1"/>
  <c r="R99" i="33"/>
  <c r="S99" i="33" s="1"/>
  <c r="F83" i="36"/>
  <c r="H83" i="36" s="1"/>
  <c r="F34" i="36"/>
  <c r="H34" i="36" s="1"/>
  <c r="F27" i="36"/>
  <c r="G27" i="36" s="1"/>
  <c r="F62" i="36"/>
  <c r="H62" i="36" s="1"/>
  <c r="F63" i="18"/>
  <c r="G63" i="18" s="1"/>
  <c r="L65" i="39"/>
  <c r="F86" i="18"/>
  <c r="H86" i="18" s="1"/>
  <c r="R50" i="31"/>
  <c r="S50" i="31" s="1"/>
  <c r="F78" i="18"/>
  <c r="H78" i="18" s="1"/>
  <c r="G62" i="34"/>
  <c r="R64" i="18"/>
  <c r="S64" i="18" s="1"/>
  <c r="F69" i="35"/>
  <c r="H69" i="35" s="1"/>
  <c r="F69" i="37"/>
  <c r="H69" i="37" s="1"/>
  <c r="F98" i="33"/>
  <c r="G98" i="33" s="1"/>
  <c r="R66" i="37"/>
  <c r="T66" i="37" s="1"/>
  <c r="F98" i="37"/>
  <c r="H98" i="37" s="1"/>
  <c r="F66" i="32"/>
  <c r="R98" i="18"/>
  <c r="T98" i="18" s="1"/>
  <c r="F72" i="32"/>
  <c r="F92" i="36"/>
  <c r="F53" i="33"/>
  <c r="H50" i="33"/>
  <c r="R46" i="37"/>
  <c r="S46" i="37" s="1"/>
  <c r="R39" i="33"/>
  <c r="T39" i="33" s="1"/>
  <c r="F85" i="18"/>
  <c r="H85" i="18" s="1"/>
  <c r="F87" i="32"/>
  <c r="R43" i="37"/>
  <c r="R43" i="31"/>
  <c r="T43" i="31" s="1"/>
  <c r="H61" i="34"/>
  <c r="R89" i="31"/>
  <c r="S89" i="31" s="1"/>
  <c r="R93" i="18"/>
  <c r="S93" i="18" s="1"/>
  <c r="T80" i="33"/>
  <c r="T96" i="37"/>
  <c r="R67" i="31"/>
  <c r="T67" i="31" s="1"/>
  <c r="F91" i="35"/>
  <c r="H91" i="35" s="1"/>
  <c r="F65" i="31"/>
  <c r="G65" i="31" s="1"/>
  <c r="S40" i="18"/>
  <c r="T89" i="33"/>
  <c r="G82" i="35"/>
  <c r="T97" i="31"/>
  <c r="S62" i="33"/>
  <c r="S94" i="31"/>
  <c r="S45" i="37"/>
  <c r="S51" i="37"/>
  <c r="F81" i="32"/>
  <c r="F71" i="34"/>
  <c r="H71" i="34" s="1"/>
  <c r="G22" i="36"/>
  <c r="H82" i="31"/>
  <c r="G52" i="37"/>
  <c r="H50" i="18"/>
  <c r="G50" i="18"/>
  <c r="T88" i="31"/>
  <c r="T51" i="33"/>
  <c r="S86" i="33"/>
  <c r="T69" i="18"/>
  <c r="S54" i="31"/>
  <c r="G97" i="39"/>
  <c r="M80" i="39"/>
  <c r="M89" i="39"/>
  <c r="E83" i="38" s="1"/>
  <c r="S53" i="35"/>
  <c r="H51" i="31"/>
  <c r="F45" i="18"/>
  <c r="G45" i="18" s="1"/>
  <c r="S55" i="37"/>
  <c r="F98" i="36"/>
  <c r="H98" i="36" s="1"/>
  <c r="F84" i="36"/>
  <c r="H84" i="36" s="1"/>
  <c r="L88" i="39"/>
  <c r="D82" i="38" s="1"/>
  <c r="F50" i="39"/>
  <c r="L23" i="39"/>
  <c r="F65" i="18"/>
  <c r="G65" i="18" s="1"/>
  <c r="F97" i="37"/>
  <c r="G97" i="37" s="1"/>
  <c r="D49" i="39"/>
  <c r="F60" i="37"/>
  <c r="H60" i="37" s="1"/>
  <c r="F54" i="33"/>
  <c r="H54" i="33" s="1"/>
  <c r="F50" i="40"/>
  <c r="L49" i="39"/>
  <c r="D43" i="38" s="1"/>
  <c r="F80" i="40"/>
  <c r="L79" i="39"/>
  <c r="D73" i="38" s="1"/>
  <c r="F64" i="33"/>
  <c r="S78" i="33"/>
  <c r="M79" i="39"/>
  <c r="E73" i="38" s="1"/>
  <c r="H62" i="35"/>
  <c r="T93" i="37"/>
  <c r="F48" i="36"/>
  <c r="H48" i="36" s="1"/>
  <c r="F45" i="36"/>
  <c r="G45" i="36" s="1"/>
  <c r="F94" i="18"/>
  <c r="G94" i="18" s="1"/>
  <c r="F50" i="35"/>
  <c r="G50" i="35" s="1"/>
  <c r="H83" i="34"/>
  <c r="F92" i="18"/>
  <c r="H92" i="18" s="1"/>
  <c r="R98" i="31"/>
  <c r="T98" i="31" s="1"/>
  <c r="F72" i="35"/>
  <c r="H72" i="35" s="1"/>
  <c r="F62" i="33"/>
  <c r="H61" i="39"/>
  <c r="G55" i="39"/>
  <c r="E49" i="38" s="1"/>
  <c r="M88" i="39"/>
  <c r="T71" i="35"/>
  <c r="M23" i="39"/>
  <c r="M50" i="39"/>
  <c r="E44" i="38" s="1"/>
  <c r="G85" i="39"/>
  <c r="S97" i="36"/>
  <c r="F56" i="36"/>
  <c r="H56" i="36" s="1"/>
  <c r="F84" i="37"/>
  <c r="H84" i="37" s="1"/>
  <c r="F51" i="37"/>
  <c r="H51" i="37" s="1"/>
  <c r="F63" i="37"/>
  <c r="G63" i="37" s="1"/>
  <c r="L50" i="39"/>
  <c r="L24" i="39"/>
  <c r="F67" i="18"/>
  <c r="G67" i="18" s="1"/>
  <c r="I61" i="39"/>
  <c r="F84" i="33"/>
  <c r="G84" i="33" s="1"/>
  <c r="R80" i="37"/>
  <c r="T80" i="37" s="1"/>
  <c r="R99" i="31"/>
  <c r="T99" i="31" s="1"/>
  <c r="F40" i="37"/>
  <c r="H40" i="37" s="1"/>
  <c r="G56" i="34"/>
  <c r="F98" i="35"/>
  <c r="H98" i="35" s="1"/>
  <c r="F90" i="33"/>
  <c r="F58" i="33"/>
  <c r="S70" i="37"/>
  <c r="T70" i="37"/>
  <c r="F98" i="39"/>
  <c r="F99" i="31"/>
  <c r="H99" i="31" s="1"/>
  <c r="F58" i="39"/>
  <c r="F59" i="31"/>
  <c r="F81" i="34"/>
  <c r="G81" i="34" s="1"/>
  <c r="G80" i="39"/>
  <c r="H62" i="39"/>
  <c r="F63" i="33"/>
  <c r="G63" i="33" s="1"/>
  <c r="F73" i="40"/>
  <c r="M72" i="39"/>
  <c r="F85" i="31"/>
  <c r="G85" i="31" s="1"/>
  <c r="F84" i="39"/>
  <c r="D78" i="38" s="1"/>
  <c r="F94" i="35"/>
  <c r="I93" i="39"/>
  <c r="F51" i="39"/>
  <c r="F52" i="31"/>
  <c r="G52" i="31" s="1"/>
  <c r="F84" i="35"/>
  <c r="I83" i="39"/>
  <c r="J65" i="39"/>
  <c r="F66" i="36"/>
  <c r="J39" i="39"/>
  <c r="F40" i="36"/>
  <c r="H40" i="36" s="1"/>
  <c r="S83" i="33"/>
  <c r="G78" i="39"/>
  <c r="F90" i="39"/>
  <c r="L80" i="39"/>
  <c r="T50" i="37"/>
  <c r="D54" i="39"/>
  <c r="F55" i="18"/>
  <c r="H55" i="18" s="1"/>
  <c r="D76" i="39"/>
  <c r="F77" i="18"/>
  <c r="G77" i="18" s="1"/>
  <c r="D92" i="39"/>
  <c r="F93" i="18"/>
  <c r="G93" i="18" s="1"/>
  <c r="G87" i="35"/>
  <c r="H87" i="35"/>
  <c r="F87" i="34"/>
  <c r="G87" i="34" s="1"/>
  <c r="G86" i="39"/>
  <c r="E80" i="38" s="1"/>
  <c r="F47" i="40"/>
  <c r="M46" i="39"/>
  <c r="F47" i="34"/>
  <c r="G47" i="34" s="1"/>
  <c r="G46" i="39"/>
  <c r="F41" i="34"/>
  <c r="G41" i="34" s="1"/>
  <c r="G40" i="39"/>
  <c r="F95" i="34"/>
  <c r="G95" i="34" s="1"/>
  <c r="G94" i="39"/>
  <c r="E88" i="38" s="1"/>
  <c r="J94" i="39"/>
  <c r="F95" i="36"/>
  <c r="G95" i="36" s="1"/>
  <c r="F69" i="39"/>
  <c r="F70" i="31"/>
  <c r="G70" i="31" s="1"/>
  <c r="S92" i="35"/>
  <c r="T92" i="35"/>
  <c r="F66" i="33"/>
  <c r="G96" i="34"/>
  <c r="H96" i="34"/>
  <c r="F66" i="37"/>
  <c r="H66" i="37" s="1"/>
  <c r="C65" i="39"/>
  <c r="T69" i="35"/>
  <c r="F40" i="31"/>
  <c r="H40" i="31" s="1"/>
  <c r="F74" i="18"/>
  <c r="G74" i="18" s="1"/>
  <c r="F60" i="32"/>
  <c r="F19" i="40"/>
  <c r="K18" i="39"/>
  <c r="H62" i="37"/>
  <c r="H83" i="31"/>
  <c r="M18" i="39"/>
  <c r="G91" i="39"/>
  <c r="M62" i="39"/>
  <c r="M48" i="39"/>
  <c r="F44" i="37"/>
  <c r="H44" i="37" s="1"/>
  <c r="F39" i="31"/>
  <c r="H39" i="31" s="1"/>
  <c r="F25" i="36"/>
  <c r="G25" i="36" s="1"/>
  <c r="F46" i="36"/>
  <c r="H46" i="36" s="1"/>
  <c r="F38" i="36"/>
  <c r="H38" i="36" s="1"/>
  <c r="F54" i="36"/>
  <c r="F67" i="37"/>
  <c r="F45" i="31"/>
  <c r="G45" i="31" s="1"/>
  <c r="F55" i="39"/>
  <c r="F74" i="37"/>
  <c r="G74" i="37" s="1"/>
  <c r="F65" i="34"/>
  <c r="H65" i="34" s="1"/>
  <c r="R70" i="33"/>
  <c r="S70" i="33" s="1"/>
  <c r="R62" i="37"/>
  <c r="T62" i="37" s="1"/>
  <c r="R74" i="18"/>
  <c r="T74" i="18" s="1"/>
  <c r="H70" i="34"/>
  <c r="F60" i="35"/>
  <c r="H60" i="35" s="1"/>
  <c r="F99" i="32"/>
  <c r="F78" i="32"/>
  <c r="F84" i="40"/>
  <c r="L83" i="39"/>
  <c r="D77" i="38" s="1"/>
  <c r="D76" i="38"/>
  <c r="L62" i="39"/>
  <c r="D56" i="38" s="1"/>
  <c r="I56" i="39"/>
  <c r="F73" i="31"/>
  <c r="H73" i="31" s="1"/>
  <c r="R87" i="33"/>
  <c r="F41" i="37"/>
  <c r="H41" i="37" s="1"/>
  <c r="R92" i="18"/>
  <c r="T92" i="18" s="1"/>
  <c r="F56" i="33"/>
  <c r="F74" i="35"/>
  <c r="R56" i="31"/>
  <c r="F69" i="33"/>
  <c r="R60" i="31"/>
  <c r="S60" i="31" s="1"/>
  <c r="F78" i="34"/>
  <c r="G78" i="34" s="1"/>
  <c r="R60" i="37"/>
  <c r="F66" i="34"/>
  <c r="G66" i="34" s="1"/>
  <c r="T68" i="35"/>
  <c r="S68" i="35"/>
  <c r="S90" i="37"/>
  <c r="T90" i="37"/>
  <c r="H94" i="31"/>
  <c r="J84" i="39"/>
  <c r="F85" i="36"/>
  <c r="H85" i="36" s="1"/>
  <c r="T86" i="37"/>
  <c r="S86" i="37"/>
  <c r="C85" i="39"/>
  <c r="F86" i="37"/>
  <c r="G86" i="37" s="1"/>
  <c r="S94" i="37"/>
  <c r="T94" i="37"/>
  <c r="L87" i="39"/>
  <c r="D81" i="38" s="1"/>
  <c r="F88" i="40"/>
  <c r="G88" i="34"/>
  <c r="H88" i="34"/>
  <c r="G99" i="37"/>
  <c r="S63" i="35"/>
  <c r="M87" i="39"/>
  <c r="C78" i="39"/>
  <c r="F79" i="37"/>
  <c r="H79" i="37" s="1"/>
  <c r="F75" i="40"/>
  <c r="L74" i="39"/>
  <c r="J56" i="39"/>
  <c r="F57" i="36"/>
  <c r="H57" i="36" s="1"/>
  <c r="D72" i="39"/>
  <c r="F73" i="18"/>
  <c r="H73" i="18" s="1"/>
  <c r="D53" i="39"/>
  <c r="F54" i="18"/>
  <c r="G54" i="18" s="1"/>
  <c r="F86" i="35"/>
  <c r="I85" i="39"/>
  <c r="S88" i="37"/>
  <c r="T88" i="37"/>
  <c r="H94" i="37"/>
  <c r="G66" i="39"/>
  <c r="G72" i="39"/>
  <c r="F57" i="31"/>
  <c r="F90" i="37"/>
  <c r="L85" i="39"/>
  <c r="F39" i="18"/>
  <c r="G39" i="18" s="1"/>
  <c r="I43" i="39"/>
  <c r="I47" i="39"/>
  <c r="F59" i="35"/>
  <c r="G59" i="35" s="1"/>
  <c r="I58" i="39"/>
  <c r="D78" i="39"/>
  <c r="F79" i="18"/>
  <c r="G79" i="18" s="1"/>
  <c r="F87" i="40"/>
  <c r="L86" i="39"/>
  <c r="D80" i="38" s="1"/>
  <c r="D90" i="39"/>
  <c r="F91" i="18"/>
  <c r="G91" i="18" s="1"/>
  <c r="J42" i="39"/>
  <c r="F43" i="36"/>
  <c r="H43" i="36" s="1"/>
  <c r="J70" i="39"/>
  <c r="F71" i="36"/>
  <c r="G71" i="36" s="1"/>
  <c r="F28" i="40"/>
  <c r="L27" i="39"/>
  <c r="F54" i="40"/>
  <c r="L53" i="39"/>
  <c r="D47" i="38" s="1"/>
  <c r="H59" i="39"/>
  <c r="F60" i="33"/>
  <c r="F78" i="40"/>
  <c r="L77" i="39"/>
  <c r="H52" i="33"/>
  <c r="G52" i="33"/>
  <c r="C87" i="39"/>
  <c r="F88" i="37"/>
  <c r="H88" i="37" s="1"/>
  <c r="T85" i="37"/>
  <c r="R75" i="31"/>
  <c r="T75" i="31" s="1"/>
  <c r="F91" i="40"/>
  <c r="L90" i="39"/>
  <c r="J64" i="39"/>
  <c r="F65" i="36"/>
  <c r="G65" i="36" s="1"/>
  <c r="J46" i="39"/>
  <c r="F47" i="36"/>
  <c r="G47" i="36" s="1"/>
  <c r="F45" i="35"/>
  <c r="H45" i="35" s="1"/>
  <c r="I44" i="39"/>
  <c r="H42" i="39"/>
  <c r="F43" i="33"/>
  <c r="F95" i="40"/>
  <c r="L94" i="39"/>
  <c r="D88" i="38" s="1"/>
  <c r="F37" i="40"/>
  <c r="L36" i="39"/>
  <c r="F55" i="31"/>
  <c r="G55" i="31" s="1"/>
  <c r="F54" i="39"/>
  <c r="D48" i="38" s="1"/>
  <c r="F71" i="40"/>
  <c r="L70" i="39"/>
  <c r="D64" i="38" s="1"/>
  <c r="F77" i="35"/>
  <c r="G77" i="35" s="1"/>
  <c r="I76" i="39"/>
  <c r="J76" i="39"/>
  <c r="F77" i="36"/>
  <c r="G77" i="36" s="1"/>
  <c r="F88" i="18"/>
  <c r="F94" i="34"/>
  <c r="J69" i="39"/>
  <c r="F70" i="36"/>
  <c r="H70" i="36" s="1"/>
  <c r="F74" i="40"/>
  <c r="L73" i="39"/>
  <c r="D67" i="38" s="1"/>
  <c r="F60" i="31"/>
  <c r="H60" i="31" s="1"/>
  <c r="F59" i="39"/>
  <c r="D53" i="38" s="1"/>
  <c r="F78" i="35"/>
  <c r="I77" i="39"/>
  <c r="F56" i="40"/>
  <c r="L55" i="39"/>
  <c r="F70" i="18"/>
  <c r="H70" i="18" s="1"/>
  <c r="F75" i="34"/>
  <c r="H75" i="34" s="1"/>
  <c r="R87" i="37"/>
  <c r="T87" i="37" s="1"/>
  <c r="R85" i="31"/>
  <c r="S85" i="31" s="1"/>
  <c r="R85" i="18"/>
  <c r="T85" i="18" s="1"/>
  <c r="F40" i="35"/>
  <c r="H40" i="35" s="1"/>
  <c r="F92" i="35"/>
  <c r="G92" i="35" s="1"/>
  <c r="R74" i="33"/>
  <c r="T74" i="33" s="1"/>
  <c r="F60" i="34"/>
  <c r="G60" i="34" s="1"/>
  <c r="F43" i="37"/>
  <c r="G43" i="37" s="1"/>
  <c r="F89" i="18"/>
  <c r="H89" i="18" s="1"/>
  <c r="F70" i="35"/>
  <c r="F74" i="31"/>
  <c r="H87" i="39"/>
  <c r="F88" i="33"/>
  <c r="R94" i="18"/>
  <c r="S94" i="18" s="1"/>
  <c r="F87" i="37"/>
  <c r="G87" i="37" s="1"/>
  <c r="F77" i="34"/>
  <c r="G77" i="34" s="1"/>
  <c r="R56" i="33"/>
  <c r="R93" i="31"/>
  <c r="S93" i="31" s="1"/>
  <c r="R92" i="31"/>
  <c r="T92" i="31" s="1"/>
  <c r="F49" i="37"/>
  <c r="H49" i="37" s="1"/>
  <c r="F56" i="18"/>
  <c r="G56" i="18" s="1"/>
  <c r="R47" i="32"/>
  <c r="F46" i="18"/>
  <c r="G46" i="18" s="1"/>
  <c r="H77" i="39"/>
  <c r="F78" i="33"/>
  <c r="F92" i="33"/>
  <c r="F94" i="33"/>
  <c r="H93" i="39"/>
  <c r="T90" i="34"/>
  <c r="S90" i="34"/>
  <c r="S54" i="33"/>
  <c r="T54" i="33"/>
  <c r="C58" i="39"/>
  <c r="F59" i="37"/>
  <c r="F67" i="40"/>
  <c r="L66" i="39"/>
  <c r="D60" i="38" s="1"/>
  <c r="T79" i="33"/>
  <c r="S79" i="33"/>
  <c r="J74" i="39"/>
  <c r="F75" i="36"/>
  <c r="G75" i="36" s="1"/>
  <c r="F57" i="40"/>
  <c r="M56" i="39"/>
  <c r="J41" i="39"/>
  <c r="F42" i="36"/>
  <c r="G42" i="36" s="1"/>
  <c r="H42" i="35"/>
  <c r="G42" i="35"/>
  <c r="F21" i="40"/>
  <c r="L20" i="39"/>
  <c r="F87" i="18"/>
  <c r="G87" i="18" s="1"/>
  <c r="D86" i="39"/>
  <c r="D46" i="39"/>
  <c r="F47" i="18"/>
  <c r="H47" i="18" s="1"/>
  <c r="F45" i="40"/>
  <c r="M44" i="39"/>
  <c r="E38" i="38" s="1"/>
  <c r="F43" i="35"/>
  <c r="I42" i="39"/>
  <c r="F41" i="40"/>
  <c r="L40" i="39"/>
  <c r="M40" i="39"/>
  <c r="J40" i="39"/>
  <c r="F41" i="36"/>
  <c r="H41" i="36" s="1"/>
  <c r="H54" i="39"/>
  <c r="F55" i="33"/>
  <c r="F55" i="34"/>
  <c r="H55" i="34" s="1"/>
  <c r="G54" i="39"/>
  <c r="J54" i="39"/>
  <c r="F55" i="36"/>
  <c r="G55" i="36" s="1"/>
  <c r="F71" i="35"/>
  <c r="H71" i="35" s="1"/>
  <c r="I70" i="39"/>
  <c r="F77" i="40"/>
  <c r="M76" i="39"/>
  <c r="E70" i="38" s="1"/>
  <c r="T44" i="18"/>
  <c r="T65" i="33"/>
  <c r="T75" i="35"/>
  <c r="G56" i="39"/>
  <c r="E39" i="38"/>
  <c r="S70" i="35"/>
  <c r="T77" i="37"/>
  <c r="S29" i="36"/>
  <c r="F37" i="36"/>
  <c r="G37" i="36" s="1"/>
  <c r="F49" i="36"/>
  <c r="H49" i="36" s="1"/>
  <c r="S59" i="37"/>
  <c r="T59" i="37"/>
  <c r="F80" i="39"/>
  <c r="F81" i="31"/>
  <c r="F73" i="35"/>
  <c r="F67" i="35"/>
  <c r="G67" i="35" s="1"/>
  <c r="F79" i="40"/>
  <c r="L78" i="39"/>
  <c r="D72" i="38" s="1"/>
  <c r="T57" i="37"/>
  <c r="S57" i="37"/>
  <c r="D47" i="39"/>
  <c r="F48" i="18"/>
  <c r="G48" i="18" s="1"/>
  <c r="F44" i="34"/>
  <c r="H44" i="34" s="1"/>
  <c r="G43" i="39"/>
  <c r="D41" i="39"/>
  <c r="F42" i="18"/>
  <c r="H42" i="18" s="1"/>
  <c r="F39" i="35"/>
  <c r="H39" i="35" s="1"/>
  <c r="I38" i="39"/>
  <c r="F23" i="40"/>
  <c r="M22" i="39"/>
  <c r="F95" i="18"/>
  <c r="H95" i="18" s="1"/>
  <c r="F97" i="40"/>
  <c r="L96" i="39"/>
  <c r="D90" i="38" s="1"/>
  <c r="F97" i="35"/>
  <c r="G97" i="35" s="1"/>
  <c r="I96" i="39"/>
  <c r="J96" i="39"/>
  <c r="F97" i="36"/>
  <c r="G97" i="36" s="1"/>
  <c r="F29" i="40"/>
  <c r="L28" i="39"/>
  <c r="M28" i="39"/>
  <c r="J62" i="39"/>
  <c r="F63" i="36"/>
  <c r="G63" i="36" s="1"/>
  <c r="J72" i="39"/>
  <c r="F73" i="36"/>
  <c r="H73" i="36" s="1"/>
  <c r="J32" i="39"/>
  <c r="F33" i="36"/>
  <c r="H33" i="36" s="1"/>
  <c r="R87" i="31"/>
  <c r="S87" i="31" s="1"/>
  <c r="F63" i="31"/>
  <c r="H63" i="31" s="1"/>
  <c r="C90" i="39"/>
  <c r="F91" i="37"/>
  <c r="H91" i="37" s="1"/>
  <c r="J90" i="39"/>
  <c r="F91" i="36"/>
  <c r="G91" i="36" s="1"/>
  <c r="F65" i="40"/>
  <c r="L64" i="39"/>
  <c r="D58" i="38" s="1"/>
  <c r="M64" i="39"/>
  <c r="E58" i="38" s="1"/>
  <c r="F43" i="40"/>
  <c r="L42" i="39"/>
  <c r="D36" i="38" s="1"/>
  <c r="F79" i="31"/>
  <c r="H79" i="31" s="1"/>
  <c r="C54" i="39"/>
  <c r="F55" i="37"/>
  <c r="H55" i="37" s="1"/>
  <c r="J88" i="39"/>
  <c r="F89" i="36"/>
  <c r="G89" i="36" s="1"/>
  <c r="C76" i="39"/>
  <c r="F77" i="37"/>
  <c r="F93" i="40"/>
  <c r="M92" i="39"/>
  <c r="L92" i="39"/>
  <c r="F93" i="35"/>
  <c r="H93" i="35" s="1"/>
  <c r="I92" i="39"/>
  <c r="J92" i="39"/>
  <c r="F93" i="36"/>
  <c r="H93" i="36" s="1"/>
  <c r="R91" i="31"/>
  <c r="T91" i="31" s="1"/>
  <c r="R49" i="31"/>
  <c r="S49" i="31" s="1"/>
  <c r="R95" i="31"/>
  <c r="T95" i="31" s="1"/>
  <c r="C53" i="39"/>
  <c r="F54" i="37"/>
  <c r="H86" i="34"/>
  <c r="G86" i="34"/>
  <c r="F86" i="33"/>
  <c r="H85" i="39"/>
  <c r="T55" i="33"/>
  <c r="T45" i="35"/>
  <c r="G90" i="34"/>
  <c r="T39" i="36"/>
  <c r="S46" i="35"/>
  <c r="M30" i="39"/>
  <c r="M66" i="39"/>
  <c r="M42" i="39"/>
  <c r="E36" i="38" s="1"/>
  <c r="M78" i="39"/>
  <c r="G88" i="39"/>
  <c r="F23" i="36"/>
  <c r="G23" i="36" s="1"/>
  <c r="F29" i="36"/>
  <c r="G29" i="36" s="1"/>
  <c r="L30" i="39"/>
  <c r="I54" i="39"/>
  <c r="F91" i="34"/>
  <c r="G91" i="34" s="1"/>
  <c r="F54" i="32"/>
  <c r="R51" i="31"/>
  <c r="T51" i="31" s="1"/>
  <c r="F47" i="31"/>
  <c r="F71" i="18"/>
  <c r="G71" i="18" s="1"/>
  <c r="F46" i="31"/>
  <c r="G46" i="31" s="1"/>
  <c r="F54" i="35"/>
  <c r="S66" i="35"/>
  <c r="T66" i="35"/>
  <c r="J27" i="39"/>
  <c r="F28" i="36"/>
  <c r="F85" i="39"/>
  <c r="F86" i="31"/>
  <c r="C80" i="39"/>
  <c r="F81" i="37"/>
  <c r="G81" i="37" s="1"/>
  <c r="J80" i="39"/>
  <c r="F81" i="36"/>
  <c r="G81" i="36" s="1"/>
  <c r="J66" i="39"/>
  <c r="F67" i="36"/>
  <c r="G67" i="36" s="1"/>
  <c r="C56" i="39"/>
  <c r="F57" i="37"/>
  <c r="F73" i="37"/>
  <c r="D89" i="38"/>
  <c r="L44" i="39"/>
  <c r="D38" i="38" s="1"/>
  <c r="L56" i="39"/>
  <c r="D50" i="38" s="1"/>
  <c r="I41" i="39"/>
  <c r="I90" i="39"/>
  <c r="G92" i="39"/>
  <c r="F21" i="36"/>
  <c r="G21" i="36" s="1"/>
  <c r="F85" i="37"/>
  <c r="T81" i="35"/>
  <c r="S81" i="35"/>
  <c r="F46" i="37"/>
  <c r="H46" i="37" s="1"/>
  <c r="L22" i="39"/>
  <c r="F40" i="39"/>
  <c r="H72" i="34"/>
  <c r="F85" i="40"/>
  <c r="M84" i="39"/>
  <c r="E78" i="38" s="1"/>
  <c r="F75" i="37"/>
  <c r="G75" i="37" s="1"/>
  <c r="F85" i="35"/>
  <c r="G85" i="35" s="1"/>
  <c r="R63" i="37"/>
  <c r="T63" i="37" s="1"/>
  <c r="R95" i="18"/>
  <c r="S95" i="18" s="1"/>
  <c r="F65" i="32"/>
  <c r="R65" i="18"/>
  <c r="S65" i="18" s="1"/>
  <c r="F90" i="35"/>
  <c r="G90" i="35" s="1"/>
  <c r="F54" i="34"/>
  <c r="G54" i="34" s="1"/>
  <c r="R49" i="18"/>
  <c r="T49" i="18" s="1"/>
  <c r="R47" i="31"/>
  <c r="T47" i="31" s="1"/>
  <c r="R41" i="18"/>
  <c r="S41" i="18" s="1"/>
  <c r="R63" i="18"/>
  <c r="T63" i="18" s="1"/>
  <c r="F57" i="18"/>
  <c r="H57" i="18" s="1"/>
  <c r="R65" i="31"/>
  <c r="S65" i="31" s="1"/>
  <c r="F77" i="32"/>
  <c r="F95" i="37"/>
  <c r="F95" i="31"/>
  <c r="H95" i="31" s="1"/>
  <c r="D51" i="38"/>
  <c r="F43" i="31"/>
  <c r="G43" i="31" s="1"/>
  <c r="F51" i="32"/>
  <c r="F46" i="32"/>
  <c r="F97" i="34"/>
  <c r="G97" i="34" s="1"/>
  <c r="F51" i="34"/>
  <c r="H51" i="34" s="1"/>
  <c r="T54" i="35"/>
  <c r="S93" i="35"/>
  <c r="S83" i="35"/>
  <c r="T58" i="35"/>
  <c r="S87" i="35"/>
  <c r="S44" i="35"/>
  <c r="S47" i="35"/>
  <c r="T62" i="35"/>
  <c r="T59" i="33"/>
  <c r="G70" i="33"/>
  <c r="R95" i="33"/>
  <c r="S95" i="33" s="1"/>
  <c r="R71" i="33"/>
  <c r="H68" i="31"/>
  <c r="G44" i="31"/>
  <c r="G41" i="31"/>
  <c r="F49" i="35"/>
  <c r="F47" i="35"/>
  <c r="G47" i="35" s="1"/>
  <c r="S64" i="31"/>
  <c r="G62" i="31"/>
  <c r="H84" i="31"/>
  <c r="F49" i="31"/>
  <c r="F89" i="31"/>
  <c r="F95" i="35"/>
  <c r="G95" i="35" s="1"/>
  <c r="G76" i="18"/>
  <c r="T48" i="33"/>
  <c r="S48" i="33"/>
  <c r="G69" i="34"/>
  <c r="T45" i="33"/>
  <c r="T73" i="33"/>
  <c r="T79" i="37"/>
  <c r="S79" i="37"/>
  <c r="R46" i="18"/>
  <c r="T46" i="18" s="1"/>
  <c r="T81" i="33"/>
  <c r="S70" i="34"/>
  <c r="T67" i="35"/>
  <c r="H68" i="37"/>
  <c r="G68" i="37"/>
  <c r="T97" i="37"/>
  <c r="S41" i="37"/>
  <c r="G56" i="31"/>
  <c r="H56" i="31"/>
  <c r="T43" i="33"/>
  <c r="T67" i="37"/>
  <c r="R75" i="18"/>
  <c r="S75" i="18" s="1"/>
  <c r="S41" i="35"/>
  <c r="T78" i="35"/>
  <c r="G96" i="31"/>
  <c r="S81" i="37"/>
  <c r="S73" i="37"/>
  <c r="G72" i="18"/>
  <c r="H72" i="18"/>
  <c r="R91" i="33"/>
  <c r="F71" i="31"/>
  <c r="G96" i="35"/>
  <c r="H96" i="35"/>
  <c r="F81" i="35"/>
  <c r="H81" i="35" s="1"/>
  <c r="F46" i="34"/>
  <c r="H46" i="34" s="1"/>
  <c r="R49" i="37"/>
  <c r="R43" i="18"/>
  <c r="S43" i="18" s="1"/>
  <c r="R95" i="37"/>
  <c r="F89" i="35"/>
  <c r="G64" i="34"/>
  <c r="H64" i="34"/>
  <c r="H87" i="31"/>
  <c r="S61" i="35"/>
  <c r="S77" i="35"/>
  <c r="F46" i="35"/>
  <c r="R42" i="37"/>
  <c r="R39" i="18"/>
  <c r="F51" i="35"/>
  <c r="H51" i="35" s="1"/>
  <c r="R47" i="18"/>
  <c r="R71" i="18"/>
  <c r="S71" i="18" s="1"/>
  <c r="R71" i="31"/>
  <c r="R89" i="37"/>
  <c r="S72" i="37"/>
  <c r="G58" i="31"/>
  <c r="G36" i="36"/>
  <c r="G96" i="37"/>
  <c r="T57" i="31"/>
  <c r="S57" i="31"/>
  <c r="G93" i="34"/>
  <c r="H93" i="34"/>
  <c r="T59" i="31"/>
  <c r="S59" i="31"/>
  <c r="S81" i="31"/>
  <c r="T81" i="31"/>
  <c r="H48" i="35"/>
  <c r="G48" i="35"/>
  <c r="H85" i="34"/>
  <c r="G85" i="34"/>
  <c r="S41" i="31"/>
  <c r="T41" i="31"/>
  <c r="S86" i="31"/>
  <c r="T78" i="31"/>
  <c r="R63" i="32"/>
  <c r="R93" i="32"/>
  <c r="R74" i="32"/>
  <c r="T56" i="36"/>
  <c r="S78" i="36"/>
  <c r="S64" i="36"/>
  <c r="S34" i="36"/>
  <c r="T46" i="36"/>
  <c r="R96" i="32"/>
  <c r="R90" i="32"/>
  <c r="R68" i="32"/>
  <c r="R85" i="32"/>
  <c r="R49" i="32"/>
  <c r="T32" i="36"/>
  <c r="T50" i="36"/>
  <c r="S89" i="36"/>
  <c r="L58" i="39"/>
  <c r="F59" i="40"/>
  <c r="D58" i="39"/>
  <c r="F59" i="18"/>
  <c r="F81" i="33"/>
  <c r="H80" i="39"/>
  <c r="H67" i="34"/>
  <c r="G67" i="34"/>
  <c r="F79" i="33"/>
  <c r="H78" i="39"/>
  <c r="D74" i="39"/>
  <c r="F75" i="18"/>
  <c r="S48" i="37"/>
  <c r="T48" i="37"/>
  <c r="H42" i="34"/>
  <c r="G42" i="34"/>
  <c r="F42" i="37"/>
  <c r="C41" i="39"/>
  <c r="F42" i="33"/>
  <c r="H41" i="39"/>
  <c r="R46" i="33"/>
  <c r="F97" i="18"/>
  <c r="R97" i="33"/>
  <c r="G58" i="34"/>
  <c r="H58" i="34"/>
  <c r="F75" i="35"/>
  <c r="R75" i="33"/>
  <c r="R67" i="33"/>
  <c r="R57" i="18"/>
  <c r="H50" i="39"/>
  <c r="F51" i="33"/>
  <c r="D50" i="39"/>
  <c r="F51" i="18"/>
  <c r="H51" i="18" s="1"/>
  <c r="R85" i="33"/>
  <c r="F49" i="33"/>
  <c r="H48" i="39"/>
  <c r="F45" i="33"/>
  <c r="H44" i="39"/>
  <c r="H45" i="34"/>
  <c r="G45" i="34"/>
  <c r="D42" i="39"/>
  <c r="F43" i="18"/>
  <c r="G43" i="18" s="1"/>
  <c r="F41" i="33"/>
  <c r="H40" i="39"/>
  <c r="D40" i="39"/>
  <c r="F41" i="18"/>
  <c r="G41" i="18" s="1"/>
  <c r="H94" i="39"/>
  <c r="F95" i="33"/>
  <c r="G89" i="34"/>
  <c r="H89" i="34"/>
  <c r="F77" i="33"/>
  <c r="H76" i="39"/>
  <c r="H92" i="39"/>
  <c r="F93" i="33"/>
  <c r="D66" i="38"/>
  <c r="D54" i="38"/>
  <c r="T38" i="36"/>
  <c r="S82" i="36"/>
  <c r="T29" i="36"/>
  <c r="H58" i="39"/>
  <c r="F59" i="33"/>
  <c r="H79" i="34"/>
  <c r="G79" i="34"/>
  <c r="G57" i="34"/>
  <c r="H57" i="34"/>
  <c r="F57" i="33"/>
  <c r="H56" i="39"/>
  <c r="F48" i="37"/>
  <c r="C47" i="39"/>
  <c r="F48" i="33"/>
  <c r="H47" i="39"/>
  <c r="L45" i="39"/>
  <c r="D39" i="38" s="1"/>
  <c r="F46" i="40"/>
  <c r="H43" i="39"/>
  <c r="F44" i="33"/>
  <c r="F42" i="40"/>
  <c r="L41" i="39"/>
  <c r="D35" i="38" s="1"/>
  <c r="H39" i="34"/>
  <c r="G39" i="34"/>
  <c r="F39" i="33"/>
  <c r="F46" i="33"/>
  <c r="G63" i="34"/>
  <c r="H63" i="34"/>
  <c r="H72" i="39"/>
  <c r="F73" i="33"/>
  <c r="F97" i="33"/>
  <c r="F75" i="33"/>
  <c r="F59" i="32"/>
  <c r="F59" i="34"/>
  <c r="F67" i="33"/>
  <c r="F81" i="18"/>
  <c r="F85" i="33"/>
  <c r="F63" i="35"/>
  <c r="H90" i="39"/>
  <c r="F91" i="33"/>
  <c r="C64" i="39"/>
  <c r="F65" i="37"/>
  <c r="F65" i="33"/>
  <c r="H64" i="39"/>
  <c r="D48" i="39"/>
  <c r="F49" i="18"/>
  <c r="F47" i="33"/>
  <c r="H46" i="39"/>
  <c r="F79" i="35"/>
  <c r="F65" i="35"/>
  <c r="H55" i="35"/>
  <c r="G55" i="35"/>
  <c r="H70" i="39"/>
  <c r="F71" i="33"/>
  <c r="C70" i="39"/>
  <c r="F71" i="37"/>
  <c r="H88" i="39"/>
  <c r="F89" i="33"/>
  <c r="S98" i="35"/>
  <c r="T98" i="35"/>
  <c r="T83" i="31"/>
  <c r="S83" i="31"/>
  <c r="S61" i="31"/>
  <c r="T61" i="31"/>
  <c r="T63" i="31"/>
  <c r="S63" i="31"/>
  <c r="H87" i="36"/>
  <c r="G87" i="36"/>
  <c r="H44" i="36"/>
  <c r="G35" i="36"/>
  <c r="H35" i="36"/>
  <c r="G58" i="36"/>
  <c r="H58" i="36"/>
  <c r="G61" i="36"/>
  <c r="H61" i="36"/>
  <c r="T96" i="35"/>
  <c r="S96" i="35"/>
  <c r="T42" i="35"/>
  <c r="S42" i="35"/>
  <c r="S90" i="35"/>
  <c r="T90" i="35"/>
  <c r="K10" i="32"/>
  <c r="K9" i="32"/>
  <c r="K12" i="32"/>
  <c r="S55" i="31"/>
  <c r="T55" i="31"/>
  <c r="T76" i="31"/>
  <c r="S76" i="31"/>
  <c r="T60" i="18"/>
  <c r="S59" i="18"/>
  <c r="T89" i="18"/>
  <c r="T59" i="18"/>
  <c r="S86" i="18"/>
  <c r="T55" i="18"/>
  <c r="T86" i="18"/>
  <c r="S97" i="18"/>
  <c r="S55" i="18"/>
  <c r="G48" i="36"/>
  <c r="G59" i="36"/>
  <c r="H19" i="36"/>
  <c r="J19" i="36" s="1"/>
  <c r="K19" i="36" s="1"/>
  <c r="I17" i="17" s="1"/>
  <c r="S43" i="35"/>
  <c r="T43" i="35"/>
  <c r="T97" i="35"/>
  <c r="S97" i="35"/>
  <c r="T40" i="35"/>
  <c r="S40" i="35"/>
  <c r="G52" i="18"/>
  <c r="H52" i="18"/>
  <c r="G66" i="18"/>
  <c r="H66" i="18"/>
  <c r="S77" i="31"/>
  <c r="T77" i="31"/>
  <c r="S84" i="31"/>
  <c r="T82" i="31"/>
  <c r="S82" i="31"/>
  <c r="R65" i="32"/>
  <c r="R42" i="32"/>
  <c r="R66" i="32"/>
  <c r="R48" i="32"/>
  <c r="R69" i="32"/>
  <c r="R73" i="32"/>
  <c r="R67" i="32"/>
  <c r="R84" i="32"/>
  <c r="R95" i="32"/>
  <c r="R59" i="32"/>
  <c r="R89" i="32"/>
  <c r="R77" i="32"/>
  <c r="R99" i="32"/>
  <c r="R39" i="32"/>
  <c r="R60" i="32"/>
  <c r="R45" i="32"/>
  <c r="R40" i="32"/>
  <c r="R41" i="32"/>
  <c r="R79" i="32"/>
  <c r="R54" i="32"/>
  <c r="R87" i="32"/>
  <c r="R94" i="32"/>
  <c r="R56" i="32"/>
  <c r="R46" i="32"/>
  <c r="R86" i="32"/>
  <c r="R53" i="32"/>
  <c r="R83" i="32"/>
  <c r="R51" i="32"/>
  <c r="R64" i="32"/>
  <c r="R61" i="32"/>
  <c r="R55" i="32"/>
  <c r="R58" i="32"/>
  <c r="R75" i="32"/>
  <c r="R98" i="32"/>
  <c r="R82" i="32"/>
  <c r="R80" i="32"/>
  <c r="R43" i="32"/>
  <c r="R88" i="32"/>
  <c r="R71" i="32"/>
  <c r="R97" i="32"/>
  <c r="R70" i="32"/>
  <c r="R92" i="32"/>
  <c r="R50" i="32"/>
  <c r="R44" i="32"/>
  <c r="R62" i="32"/>
  <c r="R57" i="32"/>
  <c r="R91" i="32"/>
  <c r="R52" i="32"/>
  <c r="R78" i="32"/>
  <c r="G78" i="36"/>
  <c r="H24" i="36"/>
  <c r="G83" i="36"/>
  <c r="G53" i="36"/>
  <c r="H69" i="36"/>
  <c r="G69" i="36"/>
  <c r="T84" i="35"/>
  <c r="S84" i="35"/>
  <c r="T72" i="35"/>
  <c r="S72" i="35"/>
  <c r="S57" i="35"/>
  <c r="T57" i="35"/>
  <c r="T85" i="35"/>
  <c r="S85" i="35"/>
  <c r="G82" i="18"/>
  <c r="H82" i="18"/>
  <c r="G60" i="18"/>
  <c r="S91" i="35"/>
  <c r="S76" i="35"/>
  <c r="T73" i="35"/>
  <c r="S59" i="35"/>
  <c r="D40" i="38"/>
  <c r="H82" i="37"/>
  <c r="S79" i="18"/>
  <c r="T67" i="18"/>
  <c r="T73" i="18"/>
  <c r="T87" i="18"/>
  <c r="S76" i="18"/>
  <c r="T96" i="18"/>
  <c r="T81" i="18"/>
  <c r="S82" i="18"/>
  <c r="G64" i="37"/>
  <c r="S54" i="18"/>
  <c r="T52" i="18"/>
  <c r="T56" i="35"/>
  <c r="G80" i="31"/>
  <c r="T88" i="18"/>
  <c r="T68" i="18"/>
  <c r="G54" i="31"/>
  <c r="G76" i="31"/>
  <c r="E90" i="38"/>
  <c r="E45" i="38"/>
  <c r="T49" i="35"/>
  <c r="S50" i="35"/>
  <c r="S51" i="18"/>
  <c r="S56" i="36"/>
  <c r="T78" i="36"/>
  <c r="T64" i="36"/>
  <c r="T34" i="36"/>
  <c r="T74" i="36"/>
  <c r="T33" i="36"/>
  <c r="D70" i="38"/>
  <c r="S38" i="36"/>
  <c r="S50" i="36"/>
  <c r="T89" i="36"/>
  <c r="T74" i="35"/>
  <c r="S74" i="35"/>
  <c r="S69" i="31"/>
  <c r="T69" i="31"/>
  <c r="G96" i="36"/>
  <c r="H96" i="36"/>
  <c r="H94" i="36"/>
  <c r="G99" i="36"/>
  <c r="H99" i="36"/>
  <c r="T82" i="35"/>
  <c r="S82" i="35"/>
  <c r="S65" i="35"/>
  <c r="T65" i="35"/>
  <c r="T39" i="35"/>
  <c r="S39" i="35"/>
  <c r="G84" i="37"/>
  <c r="W10" i="40"/>
  <c r="W12" i="40"/>
  <c r="T24" i="40" s="1"/>
  <c r="W9" i="40"/>
  <c r="T58" i="31"/>
  <c r="S58" i="31"/>
  <c r="E90" i="39"/>
  <c r="C84" i="38" s="1"/>
  <c r="E78" i="39"/>
  <c r="C72" i="38" s="1"/>
  <c r="E68" i="39"/>
  <c r="C62" i="38" s="1"/>
  <c r="E58" i="39"/>
  <c r="C52" i="38" s="1"/>
  <c r="E46" i="39"/>
  <c r="C40" i="38" s="1"/>
  <c r="E43" i="39"/>
  <c r="C37" i="38" s="1"/>
  <c r="E92" i="39"/>
  <c r="C86" i="38" s="1"/>
  <c r="E82" i="39"/>
  <c r="C76" i="38" s="1"/>
  <c r="E70" i="39"/>
  <c r="C64" i="38" s="1"/>
  <c r="E60" i="39"/>
  <c r="C54" i="38" s="1"/>
  <c r="E50" i="39"/>
  <c r="C44" i="38" s="1"/>
  <c r="E38" i="39"/>
  <c r="C32" i="38" s="1"/>
  <c r="E47" i="39"/>
  <c r="C41" i="38" s="1"/>
  <c r="E57" i="39"/>
  <c r="C51" i="38" s="1"/>
  <c r="E75" i="39"/>
  <c r="C69" i="38" s="1"/>
  <c r="E86" i="39"/>
  <c r="C80" i="38" s="1"/>
  <c r="E66" i="39"/>
  <c r="C60" i="38" s="1"/>
  <c r="E44" i="39"/>
  <c r="C38" i="38" s="1"/>
  <c r="E49" i="39"/>
  <c r="C43" i="38" s="1"/>
  <c r="E69" i="39"/>
  <c r="C63" i="38" s="1"/>
  <c r="E93" i="39"/>
  <c r="C87" i="38" s="1"/>
  <c r="E71" i="39"/>
  <c r="C65" i="38" s="1"/>
  <c r="E91" i="39"/>
  <c r="C85" i="38" s="1"/>
  <c r="E94" i="39"/>
  <c r="C88" i="38" s="1"/>
  <c r="E74" i="39"/>
  <c r="C68" i="38" s="1"/>
  <c r="E52" i="39"/>
  <c r="C46" i="38" s="1"/>
  <c r="E95" i="39"/>
  <c r="C89" i="38" s="1"/>
  <c r="E65" i="39"/>
  <c r="C59" i="38" s="1"/>
  <c r="E89" i="39"/>
  <c r="C83" i="38" s="1"/>
  <c r="E67" i="39"/>
  <c r="C61" i="38" s="1"/>
  <c r="E62" i="39"/>
  <c r="C56" i="38" s="1"/>
  <c r="E79" i="39"/>
  <c r="C73" i="38" s="1"/>
  <c r="E97" i="39"/>
  <c r="C91" i="38" s="1"/>
  <c r="E59" i="39"/>
  <c r="C53" i="38" s="1"/>
  <c r="E76" i="39"/>
  <c r="C70" i="38" s="1"/>
  <c r="E85" i="39"/>
  <c r="C79" i="38" s="1"/>
  <c r="E55" i="39"/>
  <c r="C49" i="38" s="1"/>
  <c r="E42" i="39"/>
  <c r="C36" i="38" s="1"/>
  <c r="E87" i="39"/>
  <c r="C81" i="38" s="1"/>
  <c r="E84" i="39"/>
  <c r="C78" i="38" s="1"/>
  <c r="E53" i="39"/>
  <c r="C47" i="38" s="1"/>
  <c r="E54" i="39"/>
  <c r="C48" i="38" s="1"/>
  <c r="E98" i="39"/>
  <c r="C92" i="38" s="1"/>
  <c r="E83" i="39"/>
  <c r="C77" i="38" s="1"/>
  <c r="E41" i="39"/>
  <c r="C35" i="38" s="1"/>
  <c r="E73" i="39"/>
  <c r="C67" i="38" s="1"/>
  <c r="E63" i="39"/>
  <c r="E88" i="39"/>
  <c r="E56" i="39"/>
  <c r="E40" i="39"/>
  <c r="C34" i="38" s="1"/>
  <c r="E77" i="39"/>
  <c r="E48" i="39"/>
  <c r="E81" i="39"/>
  <c r="C75" i="38" s="1"/>
  <c r="E51" i="39"/>
  <c r="E96" i="39"/>
  <c r="C90" i="38" s="1"/>
  <c r="E64" i="39"/>
  <c r="E61" i="39"/>
  <c r="E39" i="39"/>
  <c r="C33" i="38" s="1"/>
  <c r="E72" i="39"/>
  <c r="C66" i="38" s="1"/>
  <c r="E80" i="39"/>
  <c r="E45" i="39"/>
  <c r="G30" i="36"/>
  <c r="H30" i="36"/>
  <c r="G34" i="36"/>
  <c r="G84" i="36"/>
  <c r="S55" i="35"/>
  <c r="T55" i="35"/>
  <c r="G60" i="37"/>
  <c r="S98" i="40"/>
  <c r="S93" i="40"/>
  <c r="T95" i="40"/>
  <c r="T99" i="40"/>
  <c r="G70" i="18"/>
  <c r="H65" i="18"/>
  <c r="T86" i="35"/>
  <c r="S86" i="35"/>
  <c r="S70" i="31"/>
  <c r="T70" i="31"/>
  <c r="S48" i="31"/>
  <c r="T48" i="31"/>
  <c r="S90" i="31"/>
  <c r="T39" i="31"/>
  <c r="S39" i="31"/>
  <c r="S42" i="31"/>
  <c r="T42" i="31"/>
  <c r="S37" i="36"/>
  <c r="S79" i="36"/>
  <c r="T67" i="36"/>
  <c r="S77" i="36"/>
  <c r="T42" i="36"/>
  <c r="S31" i="36"/>
  <c r="S40" i="36"/>
  <c r="T52" i="36"/>
  <c r="S55" i="36"/>
  <c r="T51" i="36"/>
  <c r="S67" i="36"/>
  <c r="T77" i="36"/>
  <c r="T40" i="36"/>
  <c r="T55" i="36"/>
  <c r="S24" i="36"/>
  <c r="S65" i="36"/>
  <c r="S28" i="36"/>
  <c r="S21" i="36"/>
  <c r="T73" i="36"/>
  <c r="T98" i="36"/>
  <c r="T60" i="36"/>
  <c r="T59" i="36"/>
  <c r="S51" i="36"/>
  <c r="S25" i="36"/>
  <c r="T68" i="36"/>
  <c r="T24" i="36"/>
  <c r="T65" i="36"/>
  <c r="T28" i="36"/>
  <c r="S72" i="36"/>
  <c r="S60" i="36"/>
  <c r="S59" i="36"/>
  <c r="T48" i="36"/>
  <c r="S88" i="36"/>
  <c r="T31" i="36"/>
  <c r="T22" i="36"/>
  <c r="S73" i="36"/>
  <c r="S86" i="36"/>
  <c r="T37" i="36"/>
  <c r="S95" i="36"/>
  <c r="S52" i="36"/>
  <c r="S62" i="36"/>
  <c r="S49" i="36"/>
  <c r="T21" i="36"/>
  <c r="S98" i="36"/>
  <c r="S42" i="36"/>
  <c r="T27" i="36"/>
  <c r="T62" i="36"/>
  <c r="S76" i="36"/>
  <c r="T66" i="36"/>
  <c r="T79" i="36"/>
  <c r="S22" i="36"/>
  <c r="T86" i="36"/>
  <c r="T88" i="36"/>
  <c r="T72" i="36"/>
  <c r="T25" i="36"/>
  <c r="T95" i="36"/>
  <c r="T49" i="36"/>
  <c r="T43" i="36"/>
  <c r="S48" i="36"/>
  <c r="T70" i="36"/>
  <c r="T47" i="36"/>
  <c r="T57" i="36"/>
  <c r="T30" i="36"/>
  <c r="S96" i="36"/>
  <c r="T35" i="36"/>
  <c r="T53" i="36"/>
  <c r="T90" i="36"/>
  <c r="T44" i="36"/>
  <c r="T71" i="36"/>
  <c r="S27" i="36"/>
  <c r="S99" i="36"/>
  <c r="T61" i="36"/>
  <c r="S75" i="36"/>
  <c r="T63" i="36"/>
  <c r="S33" i="36"/>
  <c r="S58" i="36"/>
  <c r="T91" i="36"/>
  <c r="T23" i="36"/>
  <c r="S81" i="36"/>
  <c r="T93" i="36"/>
  <c r="T99" i="36"/>
  <c r="S68" i="36"/>
  <c r="S30" i="36"/>
  <c r="T96" i="36"/>
  <c r="S35" i="36"/>
  <c r="S53" i="36"/>
  <c r="S90" i="36"/>
  <c r="S44" i="36"/>
  <c r="S19" i="36"/>
  <c r="U19" i="36" s="1"/>
  <c r="S26" i="36"/>
  <c r="S43" i="36"/>
  <c r="S70" i="36"/>
  <c r="S91" i="36"/>
  <c r="T75" i="36"/>
  <c r="S83" i="36"/>
  <c r="T19" i="36"/>
  <c r="V19" i="36" s="1"/>
  <c r="W19" i="36" s="1"/>
  <c r="Z17" i="17" s="1"/>
  <c r="S20" i="36"/>
  <c r="T36" i="36"/>
  <c r="T81" i="36"/>
  <c r="S93" i="36"/>
  <c r="S92" i="36"/>
  <c r="S47" i="36"/>
  <c r="T26" i="36"/>
  <c r="S57" i="36"/>
  <c r="S66" i="36"/>
  <c r="T83" i="36"/>
  <c r="T20" i="36"/>
  <c r="S36" i="36"/>
  <c r="T92" i="36"/>
  <c r="S71" i="36"/>
  <c r="T76" i="36"/>
  <c r="T58" i="36"/>
  <c r="S61" i="36"/>
  <c r="S23" i="36"/>
  <c r="S63" i="36"/>
  <c r="H82" i="36"/>
  <c r="G82" i="36"/>
  <c r="G32" i="36"/>
  <c r="H32" i="36"/>
  <c r="G64" i="36"/>
  <c r="H64" i="36"/>
  <c r="H81" i="36"/>
  <c r="T51" i="35"/>
  <c r="S51" i="35"/>
  <c r="S94" i="35"/>
  <c r="T94" i="35"/>
  <c r="T52" i="35"/>
  <c r="S52" i="35"/>
  <c r="S60" i="35"/>
  <c r="T60" i="35"/>
  <c r="T89" i="35"/>
  <c r="S89" i="35"/>
  <c r="S79" i="35"/>
  <c r="T79" i="35"/>
  <c r="S82" i="40"/>
  <c r="S76" i="40"/>
  <c r="S37" i="40"/>
  <c r="T51" i="40"/>
  <c r="T38" i="40"/>
  <c r="S60" i="40"/>
  <c r="T42" i="40"/>
  <c r="T66" i="40"/>
  <c r="W12" i="32"/>
  <c r="W9" i="32"/>
  <c r="W10" i="32"/>
  <c r="H96" i="18"/>
  <c r="G96" i="18"/>
  <c r="H99" i="18"/>
  <c r="G99" i="18"/>
  <c r="K9" i="40"/>
  <c r="K12" i="40"/>
  <c r="K10" i="40"/>
  <c r="G72" i="31"/>
  <c r="S89" i="18"/>
  <c r="T79" i="18"/>
  <c r="S67" i="18"/>
  <c r="S73" i="18"/>
  <c r="S87" i="18"/>
  <c r="T76" i="18"/>
  <c r="S53" i="18"/>
  <c r="T54" i="18"/>
  <c r="S52" i="18"/>
  <c r="S77" i="18"/>
  <c r="S80" i="18"/>
  <c r="H75" i="31"/>
  <c r="E71" i="38"/>
  <c r="T51" i="18"/>
  <c r="T80" i="36"/>
  <c r="T87" i="36"/>
  <c r="S94" i="36"/>
  <c r="S45" i="36"/>
  <c r="S74" i="36"/>
  <c r="S32" i="36"/>
  <c r="T82" i="36"/>
  <c r="T84" i="31"/>
  <c r="T50" i="34"/>
  <c r="S50" i="34"/>
  <c r="S56" i="34"/>
  <c r="T56" i="34"/>
  <c r="S58" i="34"/>
  <c r="T58" i="34"/>
  <c r="T81" i="34"/>
  <c r="S81" i="34"/>
  <c r="T91" i="34"/>
  <c r="S91" i="34"/>
  <c r="S67" i="34"/>
  <c r="T67" i="34"/>
  <c r="T57" i="34"/>
  <c r="S57" i="34"/>
  <c r="T46" i="34"/>
  <c r="S46" i="34"/>
  <c r="S51" i="34"/>
  <c r="T51" i="34"/>
  <c r="S43" i="34"/>
  <c r="T43" i="34"/>
  <c r="S62" i="34"/>
  <c r="T62" i="34"/>
  <c r="S39" i="34"/>
  <c r="T39" i="34"/>
  <c r="T44" i="34"/>
  <c r="S44" i="34"/>
  <c r="T42" i="34"/>
  <c r="S42" i="34"/>
  <c r="S80" i="34"/>
  <c r="T80" i="34"/>
  <c r="T96" i="34"/>
  <c r="S96" i="34"/>
  <c r="S71" i="34"/>
  <c r="T71" i="34"/>
  <c r="T87" i="34"/>
  <c r="S87" i="34"/>
  <c r="S94" i="34"/>
  <c r="T94" i="34"/>
  <c r="S98" i="34"/>
  <c r="T98" i="34"/>
  <c r="T54" i="34"/>
  <c r="S54" i="34"/>
  <c r="E89" i="38"/>
  <c r="E47" i="38"/>
  <c r="E67" i="38"/>
  <c r="E61" i="38"/>
  <c r="E52" i="38"/>
  <c r="E65" i="38"/>
  <c r="T65" i="34"/>
  <c r="S65" i="34"/>
  <c r="S61" i="34"/>
  <c r="T61" i="34"/>
  <c r="T86" i="34"/>
  <c r="S86" i="34"/>
  <c r="T79" i="34"/>
  <c r="S79" i="34"/>
  <c r="S52" i="34"/>
  <c r="T52" i="34"/>
  <c r="S95" i="34"/>
  <c r="T95" i="34"/>
  <c r="T48" i="34"/>
  <c r="S48" i="34"/>
  <c r="T99" i="34"/>
  <c r="S99" i="34"/>
  <c r="T69" i="34"/>
  <c r="S69" i="34"/>
  <c r="S85" i="34"/>
  <c r="T85" i="34"/>
  <c r="S83" i="34"/>
  <c r="T83" i="34"/>
  <c r="T73" i="34"/>
  <c r="S73" i="34"/>
  <c r="T41" i="34"/>
  <c r="S41" i="34"/>
  <c r="S55" i="34"/>
  <c r="T55" i="34"/>
  <c r="T93" i="34"/>
  <c r="S93" i="34"/>
  <c r="S66" i="34"/>
  <c r="T66" i="34"/>
  <c r="T53" i="34"/>
  <c r="S53" i="34"/>
  <c r="T84" i="34"/>
  <c r="S84" i="34"/>
  <c r="S76" i="34"/>
  <c r="T76" i="34"/>
  <c r="E76" i="38"/>
  <c r="E53" i="38"/>
  <c r="E77" i="38"/>
  <c r="E43" i="38"/>
  <c r="S72" i="34"/>
  <c r="T72" i="34"/>
  <c r="S77" i="34"/>
  <c r="T77" i="34"/>
  <c r="S49" i="34"/>
  <c r="T49" i="34"/>
  <c r="S75" i="34"/>
  <c r="T75" i="34"/>
  <c r="T97" i="34"/>
  <c r="S97" i="34"/>
  <c r="T89" i="34"/>
  <c r="S89" i="34"/>
  <c r="T88" i="34"/>
  <c r="S88" i="34"/>
  <c r="E68" i="38"/>
  <c r="T47" i="34"/>
  <c r="S47" i="34"/>
  <c r="S40" i="34"/>
  <c r="T40" i="34"/>
  <c r="T92" i="34"/>
  <c r="S92" i="34"/>
  <c r="S63" i="34"/>
  <c r="T63" i="34"/>
  <c r="S59" i="34"/>
  <c r="T59" i="34"/>
  <c r="T74" i="34"/>
  <c r="S74" i="34"/>
  <c r="T60" i="34"/>
  <c r="S60" i="34"/>
  <c r="S82" i="34"/>
  <c r="T82" i="34"/>
  <c r="T78" i="34"/>
  <c r="S78" i="34"/>
  <c r="T45" i="34"/>
  <c r="S45" i="34"/>
  <c r="T68" i="34"/>
  <c r="S68" i="34"/>
  <c r="S64" i="34"/>
  <c r="T64" i="34"/>
  <c r="E64" i="38"/>
  <c r="E69" i="38"/>
  <c r="E84" i="38"/>
  <c r="H86" i="36" l="1"/>
  <c r="H51" i="36"/>
  <c r="H84" i="34"/>
  <c r="H52" i="31"/>
  <c r="H44" i="35"/>
  <c r="H90" i="36"/>
  <c r="H37" i="36"/>
  <c r="G73" i="34"/>
  <c r="H99" i="34"/>
  <c r="G66" i="35"/>
  <c r="H66" i="31"/>
  <c r="G86" i="18"/>
  <c r="H92" i="37"/>
  <c r="G58" i="37"/>
  <c r="H53" i="37"/>
  <c r="G98" i="18"/>
  <c r="S53" i="31"/>
  <c r="S98" i="18"/>
  <c r="H69" i="18"/>
  <c r="T61" i="18"/>
  <c r="S72" i="18"/>
  <c r="H67" i="31"/>
  <c r="G50" i="34"/>
  <c r="T63" i="33"/>
  <c r="G53" i="31"/>
  <c r="H63" i="18"/>
  <c r="H61" i="18"/>
  <c r="H69" i="31"/>
  <c r="D59" i="38"/>
  <c r="H48" i="34"/>
  <c r="S40" i="37"/>
  <c r="S42" i="18"/>
  <c r="T44" i="33"/>
  <c r="T46" i="31"/>
  <c r="T41" i="33"/>
  <c r="S48" i="18"/>
  <c r="T49" i="33"/>
  <c r="S45" i="18"/>
  <c r="S44" i="31"/>
  <c r="E41" i="38"/>
  <c r="G40" i="18"/>
  <c r="S44" i="37"/>
  <c r="G45" i="35"/>
  <c r="B23" i="35"/>
  <c r="O23" i="31"/>
  <c r="B23" i="40"/>
  <c r="O23" i="35"/>
  <c r="B23" i="34"/>
  <c r="B23" i="33"/>
  <c r="O23" i="37"/>
  <c r="B23" i="32"/>
  <c r="B23" i="37"/>
  <c r="O23" i="40"/>
  <c r="B19" i="7"/>
  <c r="O23" i="18"/>
  <c r="O23" i="34"/>
  <c r="O23" i="33"/>
  <c r="B23" i="18"/>
  <c r="O23" i="32"/>
  <c r="O23" i="36"/>
  <c r="B23" i="36"/>
  <c r="B23" i="31"/>
  <c r="G48" i="31"/>
  <c r="G42" i="31"/>
  <c r="T47" i="33"/>
  <c r="G43" i="34"/>
  <c r="S45" i="31"/>
  <c r="T47" i="37"/>
  <c r="S42" i="33"/>
  <c r="D79" i="38"/>
  <c r="S91" i="18"/>
  <c r="G57" i="35"/>
  <c r="H81" i="34"/>
  <c r="G55" i="18"/>
  <c r="H58" i="18"/>
  <c r="G83" i="18"/>
  <c r="G96" i="33"/>
  <c r="S57" i="33"/>
  <c r="G98" i="34"/>
  <c r="S84" i="18"/>
  <c r="T79" i="31"/>
  <c r="G64" i="35"/>
  <c r="S71" i="37"/>
  <c r="T69" i="37"/>
  <c r="H40" i="34"/>
  <c r="T74" i="32"/>
  <c r="E46" i="38"/>
  <c r="S61" i="37"/>
  <c r="T61" i="37"/>
  <c r="T49" i="32"/>
  <c r="T96" i="32"/>
  <c r="T85" i="32"/>
  <c r="S83" i="37"/>
  <c r="T83" i="37"/>
  <c r="H98" i="33"/>
  <c r="S65" i="37"/>
  <c r="T91" i="37"/>
  <c r="H61" i="31"/>
  <c r="T92" i="37"/>
  <c r="T99" i="18"/>
  <c r="T93" i="31"/>
  <c r="T93" i="18"/>
  <c r="G49" i="34"/>
  <c r="S92" i="18"/>
  <c r="T72" i="32"/>
  <c r="H80" i="36"/>
  <c r="G64" i="18"/>
  <c r="G53" i="18"/>
  <c r="H60" i="34"/>
  <c r="H50" i="31"/>
  <c r="G74" i="33"/>
  <c r="G97" i="31"/>
  <c r="S60" i="33"/>
  <c r="H20" i="36"/>
  <c r="D92" i="38"/>
  <c r="E91" i="38"/>
  <c r="G31" i="36"/>
  <c r="G57" i="18"/>
  <c r="S58" i="18"/>
  <c r="H54" i="18"/>
  <c r="S92" i="31"/>
  <c r="G39" i="36"/>
  <c r="H78" i="34"/>
  <c r="T50" i="31"/>
  <c r="E48" i="38"/>
  <c r="I20" i="36"/>
  <c r="T85" i="31"/>
  <c r="H93" i="18"/>
  <c r="H94" i="18"/>
  <c r="H60" i="36"/>
  <c r="G80" i="34"/>
  <c r="H76" i="35"/>
  <c r="E32" i="38"/>
  <c r="H39" i="18"/>
  <c r="G50" i="36"/>
  <c r="G76" i="34"/>
  <c r="G50" i="37"/>
  <c r="G56" i="37"/>
  <c r="G69" i="35"/>
  <c r="H93" i="31"/>
  <c r="S50" i="18"/>
  <c r="D34" i="38"/>
  <c r="E86" i="38"/>
  <c r="T70" i="33"/>
  <c r="D63" i="38"/>
  <c r="E74" i="38"/>
  <c r="H83" i="33"/>
  <c r="H47" i="36"/>
  <c r="H77" i="36"/>
  <c r="H85" i="31"/>
  <c r="S66" i="31"/>
  <c r="S75" i="37"/>
  <c r="E81" i="38"/>
  <c r="G78" i="31"/>
  <c r="G80" i="37"/>
  <c r="H72" i="36"/>
  <c r="G90" i="31"/>
  <c r="D91" i="38"/>
  <c r="H84" i="18"/>
  <c r="H42" i="36"/>
  <c r="H63" i="36"/>
  <c r="H65" i="36"/>
  <c r="G56" i="36"/>
  <c r="H88" i="36"/>
  <c r="H80" i="35"/>
  <c r="S40" i="31"/>
  <c r="H67" i="35"/>
  <c r="G44" i="37"/>
  <c r="T64" i="37"/>
  <c r="H78" i="37"/>
  <c r="S74" i="37"/>
  <c r="S98" i="37"/>
  <c r="E56" i="38"/>
  <c r="G41" i="35"/>
  <c r="G52" i="35"/>
  <c r="G80" i="33"/>
  <c r="H61" i="37"/>
  <c r="G61" i="37"/>
  <c r="G85" i="18"/>
  <c r="H23" i="36"/>
  <c r="G73" i="18"/>
  <c r="G44" i="18"/>
  <c r="S75" i="31"/>
  <c r="H45" i="36"/>
  <c r="G98" i="31"/>
  <c r="H87" i="33"/>
  <c r="G56" i="35"/>
  <c r="G60" i="31"/>
  <c r="T68" i="33"/>
  <c r="D71" i="38"/>
  <c r="D45" i="38"/>
  <c r="E66" i="38"/>
  <c r="D86" i="38"/>
  <c r="E55" i="38"/>
  <c r="E42" i="38"/>
  <c r="H74" i="34"/>
  <c r="G74" i="34"/>
  <c r="S66" i="33"/>
  <c r="T66" i="33"/>
  <c r="H70" i="37"/>
  <c r="G74" i="36"/>
  <c r="H84" i="33"/>
  <c r="H89" i="37"/>
  <c r="E82" i="38"/>
  <c r="N75" i="39"/>
  <c r="S73" i="31"/>
  <c r="H27" i="36"/>
  <c r="S56" i="18"/>
  <c r="H52" i="36"/>
  <c r="H80" i="18"/>
  <c r="G72" i="37"/>
  <c r="S70" i="18"/>
  <c r="G63" i="31"/>
  <c r="E85" i="38"/>
  <c r="H26" i="36"/>
  <c r="H77" i="18"/>
  <c r="G46" i="36"/>
  <c r="G85" i="36"/>
  <c r="H46" i="18"/>
  <c r="G41" i="36"/>
  <c r="S66" i="18"/>
  <c r="G40" i="37"/>
  <c r="H50" i="35"/>
  <c r="T99" i="33"/>
  <c r="G91" i="35"/>
  <c r="E37" i="38"/>
  <c r="G40" i="33"/>
  <c r="D68" i="38"/>
  <c r="G93" i="37"/>
  <c r="H58" i="35"/>
  <c r="E79" i="38"/>
  <c r="G83" i="35"/>
  <c r="H83" i="35"/>
  <c r="G64" i="31"/>
  <c r="H64" i="31"/>
  <c r="G76" i="33"/>
  <c r="H76" i="33"/>
  <c r="S74" i="18"/>
  <c r="G39" i="37"/>
  <c r="S67" i="31"/>
  <c r="G71" i="34"/>
  <c r="G77" i="31"/>
  <c r="H45" i="18"/>
  <c r="G71" i="35"/>
  <c r="S72" i="31"/>
  <c r="D44" i="38"/>
  <c r="S66" i="37"/>
  <c r="H68" i="33"/>
  <c r="T98" i="33"/>
  <c r="S98" i="33"/>
  <c r="T60" i="31"/>
  <c r="G62" i="18"/>
  <c r="G79" i="36"/>
  <c r="H97" i="37"/>
  <c r="G47" i="18"/>
  <c r="G62" i="36"/>
  <c r="G44" i="34"/>
  <c r="G90" i="18"/>
  <c r="H99" i="35"/>
  <c r="D84" i="38"/>
  <c r="H99" i="33"/>
  <c r="G99" i="33"/>
  <c r="T56" i="37"/>
  <c r="S56" i="37"/>
  <c r="G95" i="18"/>
  <c r="H47" i="37"/>
  <c r="S99" i="37"/>
  <c r="H65" i="31"/>
  <c r="G78" i="18"/>
  <c r="H45" i="37"/>
  <c r="H53" i="33"/>
  <c r="G53" i="33"/>
  <c r="H92" i="36"/>
  <c r="G92" i="36"/>
  <c r="H74" i="37"/>
  <c r="H89" i="36"/>
  <c r="H91" i="36"/>
  <c r="H70" i="31"/>
  <c r="T69" i="33"/>
  <c r="S69" i="33"/>
  <c r="N66" i="39"/>
  <c r="H91" i="18"/>
  <c r="G38" i="36"/>
  <c r="S43" i="31"/>
  <c r="S99" i="31"/>
  <c r="H71" i="18"/>
  <c r="T65" i="18"/>
  <c r="T94" i="18"/>
  <c r="H41" i="34"/>
  <c r="D52" i="38"/>
  <c r="G92" i="31"/>
  <c r="G98" i="37"/>
  <c r="G89" i="18"/>
  <c r="G73" i="31"/>
  <c r="D74" i="38"/>
  <c r="T64" i="18"/>
  <c r="E34" i="38"/>
  <c r="E40" i="38"/>
  <c r="S98" i="31"/>
  <c r="G69" i="37"/>
  <c r="H74" i="18"/>
  <c r="H77" i="34"/>
  <c r="H95" i="34"/>
  <c r="H87" i="34"/>
  <c r="H59" i="35"/>
  <c r="G49" i="37"/>
  <c r="G51" i="37"/>
  <c r="S80" i="37"/>
  <c r="S49" i="18"/>
  <c r="T49" i="31"/>
  <c r="H43" i="37"/>
  <c r="G79" i="37"/>
  <c r="S95" i="31"/>
  <c r="G79" i="31"/>
  <c r="T65" i="31"/>
  <c r="G75" i="34"/>
  <c r="T89" i="31"/>
  <c r="H47" i="34"/>
  <c r="H77" i="35"/>
  <c r="S39" i="33"/>
  <c r="G72" i="35"/>
  <c r="S62" i="37"/>
  <c r="T46" i="37"/>
  <c r="H46" i="31"/>
  <c r="G60" i="35"/>
  <c r="S43" i="37"/>
  <c r="T43" i="37"/>
  <c r="H67" i="36"/>
  <c r="G40" i="36"/>
  <c r="H67" i="18"/>
  <c r="G93" i="36"/>
  <c r="H75" i="36"/>
  <c r="G70" i="36"/>
  <c r="H79" i="18"/>
  <c r="H85" i="35"/>
  <c r="G40" i="35"/>
  <c r="H45" i="31"/>
  <c r="H97" i="36"/>
  <c r="G55" i="34"/>
  <c r="H55" i="31"/>
  <c r="G54" i="33"/>
  <c r="I21" i="36"/>
  <c r="I22" i="36" s="1"/>
  <c r="J23" i="36" s="1"/>
  <c r="K23" i="36" s="1"/>
  <c r="I21" i="17" s="1"/>
  <c r="H64" i="33"/>
  <c r="G64" i="33"/>
  <c r="H56" i="18"/>
  <c r="H21" i="36"/>
  <c r="G98" i="36"/>
  <c r="G40" i="31"/>
  <c r="G55" i="37"/>
  <c r="G98" i="35"/>
  <c r="N78" i="39"/>
  <c r="E60" i="38"/>
  <c r="G62" i="33"/>
  <c r="H62" i="33"/>
  <c r="H25" i="36"/>
  <c r="H95" i="36"/>
  <c r="G43" i="36"/>
  <c r="G88" i="37"/>
  <c r="S91" i="31"/>
  <c r="G92" i="18"/>
  <c r="H29" i="36"/>
  <c r="G65" i="34"/>
  <c r="G39" i="35"/>
  <c r="H63" i="33"/>
  <c r="H92" i="35"/>
  <c r="T87" i="31"/>
  <c r="E72" i="38"/>
  <c r="G58" i="33"/>
  <c r="H58" i="33"/>
  <c r="G66" i="37"/>
  <c r="H63" i="37"/>
  <c r="G90" i="33"/>
  <c r="H90" i="33"/>
  <c r="T41" i="18"/>
  <c r="H69" i="33"/>
  <c r="G69" i="33"/>
  <c r="H54" i="36"/>
  <c r="G54" i="36"/>
  <c r="H84" i="35"/>
  <c r="G84" i="35"/>
  <c r="H94" i="35"/>
  <c r="G94" i="35"/>
  <c r="N84" i="39"/>
  <c r="N85" i="39"/>
  <c r="N65" i="39"/>
  <c r="N82" i="39"/>
  <c r="N68" i="39"/>
  <c r="N62" i="39"/>
  <c r="S85" i="18"/>
  <c r="H54" i="34"/>
  <c r="G46" i="37"/>
  <c r="G93" i="35"/>
  <c r="G39" i="31"/>
  <c r="S74" i="33"/>
  <c r="S60" i="37"/>
  <c r="T60" i="37"/>
  <c r="S56" i="31"/>
  <c r="T56" i="31"/>
  <c r="G56" i="33"/>
  <c r="H56" i="33"/>
  <c r="G66" i="36"/>
  <c r="H66" i="36"/>
  <c r="G59" i="31"/>
  <c r="H59" i="31"/>
  <c r="N69" i="39"/>
  <c r="N98" i="39"/>
  <c r="N59" i="39"/>
  <c r="S47" i="31"/>
  <c r="T75" i="18"/>
  <c r="T95" i="18"/>
  <c r="S51" i="31"/>
  <c r="G51" i="34"/>
  <c r="G91" i="37"/>
  <c r="G41" i="37"/>
  <c r="G95" i="31"/>
  <c r="H43" i="31"/>
  <c r="H66" i="34"/>
  <c r="G99" i="31"/>
  <c r="G74" i="35"/>
  <c r="H74" i="35"/>
  <c r="T87" i="33"/>
  <c r="S87" i="33"/>
  <c r="H66" i="33"/>
  <c r="G66" i="33"/>
  <c r="D49" i="38"/>
  <c r="G67" i="37"/>
  <c r="H67" i="37"/>
  <c r="N39" i="39"/>
  <c r="S49" i="32"/>
  <c r="H78" i="33"/>
  <c r="G78" i="33"/>
  <c r="H74" i="31"/>
  <c r="G74" i="31"/>
  <c r="G78" i="35"/>
  <c r="H78" i="35"/>
  <c r="G94" i="34"/>
  <c r="H94" i="34"/>
  <c r="G90" i="37"/>
  <c r="H90" i="37"/>
  <c r="N91" i="39"/>
  <c r="H55" i="36"/>
  <c r="H71" i="36"/>
  <c r="H87" i="18"/>
  <c r="H87" i="37"/>
  <c r="S63" i="18"/>
  <c r="G57" i="36"/>
  <c r="H81" i="37"/>
  <c r="T56" i="33"/>
  <c r="S56" i="33"/>
  <c r="H70" i="35"/>
  <c r="G70" i="35"/>
  <c r="H88" i="18"/>
  <c r="G88" i="18"/>
  <c r="G60" i="33"/>
  <c r="H60" i="33"/>
  <c r="G57" i="31"/>
  <c r="H57" i="31"/>
  <c r="N44" i="39"/>
  <c r="N87" i="39"/>
  <c r="H75" i="37"/>
  <c r="H47" i="35"/>
  <c r="H86" i="37"/>
  <c r="S87" i="37"/>
  <c r="E50" i="38"/>
  <c r="H94" i="33"/>
  <c r="G94" i="33"/>
  <c r="H88" i="33"/>
  <c r="G88" i="33"/>
  <c r="H43" i="33"/>
  <c r="G43" i="33"/>
  <c r="H92" i="33"/>
  <c r="G92" i="33"/>
  <c r="G86" i="35"/>
  <c r="H86" i="35"/>
  <c r="G85" i="37"/>
  <c r="H85" i="37"/>
  <c r="G33" i="36"/>
  <c r="H48" i="18"/>
  <c r="G49" i="36"/>
  <c r="G73" i="36"/>
  <c r="T43" i="18"/>
  <c r="H91" i="34"/>
  <c r="G81" i="35"/>
  <c r="G95" i="37"/>
  <c r="H95" i="37"/>
  <c r="H57" i="37"/>
  <c r="G57" i="37"/>
  <c r="H86" i="33"/>
  <c r="G86" i="33"/>
  <c r="H73" i="35"/>
  <c r="G73" i="35"/>
  <c r="H59" i="37"/>
  <c r="G59" i="37"/>
  <c r="H81" i="31"/>
  <c r="G81" i="31"/>
  <c r="G42" i="18"/>
  <c r="H97" i="35"/>
  <c r="H90" i="35"/>
  <c r="S63" i="37"/>
  <c r="H86" i="31"/>
  <c r="G86" i="31"/>
  <c r="H28" i="36"/>
  <c r="G28" i="36"/>
  <c r="H54" i="35"/>
  <c r="G54" i="35"/>
  <c r="H47" i="31"/>
  <c r="G47" i="31"/>
  <c r="N40" i="39"/>
  <c r="H73" i="37"/>
  <c r="G73" i="37"/>
  <c r="G54" i="37"/>
  <c r="H54" i="37"/>
  <c r="G77" i="37"/>
  <c r="H77" i="37"/>
  <c r="H55" i="33"/>
  <c r="G55" i="33"/>
  <c r="H43" i="35"/>
  <c r="G43" i="35"/>
  <c r="N90" i="39"/>
  <c r="S96" i="32"/>
  <c r="H97" i="34"/>
  <c r="N74" i="39"/>
  <c r="G46" i="34"/>
  <c r="N72" i="39"/>
  <c r="T95" i="33"/>
  <c r="T71" i="33"/>
  <c r="S71" i="33"/>
  <c r="H95" i="35"/>
  <c r="G49" i="35"/>
  <c r="H49" i="35"/>
  <c r="H49" i="31"/>
  <c r="G49" i="31"/>
  <c r="G51" i="35"/>
  <c r="G89" i="31"/>
  <c r="H89" i="31"/>
  <c r="T71" i="18"/>
  <c r="S42" i="37"/>
  <c r="T42" i="37"/>
  <c r="N89" i="39"/>
  <c r="N76" i="39"/>
  <c r="N83" i="39"/>
  <c r="N55" i="39"/>
  <c r="G51" i="18"/>
  <c r="S39" i="18"/>
  <c r="T39" i="18"/>
  <c r="T49" i="37"/>
  <c r="S49" i="37"/>
  <c r="G71" i="31"/>
  <c r="H71" i="31"/>
  <c r="T47" i="18"/>
  <c r="S47" i="18"/>
  <c r="G89" i="35"/>
  <c r="H89" i="35"/>
  <c r="N96" i="39"/>
  <c r="S46" i="18"/>
  <c r="T89" i="37"/>
  <c r="S89" i="37"/>
  <c r="H46" i="35"/>
  <c r="G46" i="35"/>
  <c r="S95" i="37"/>
  <c r="T95" i="37"/>
  <c r="N93" i="39"/>
  <c r="N94" i="39"/>
  <c r="T71" i="31"/>
  <c r="S71" i="31"/>
  <c r="T91" i="33"/>
  <c r="S91" i="33"/>
  <c r="N38" i="39"/>
  <c r="G79" i="35"/>
  <c r="H79" i="35"/>
  <c r="G47" i="33"/>
  <c r="H47" i="33"/>
  <c r="H65" i="33"/>
  <c r="G65" i="33"/>
  <c r="H85" i="33"/>
  <c r="G85" i="33"/>
  <c r="G67" i="33"/>
  <c r="H67" i="33"/>
  <c r="H97" i="33"/>
  <c r="G97" i="33"/>
  <c r="G39" i="33"/>
  <c r="H39" i="33"/>
  <c r="G48" i="33"/>
  <c r="H48" i="33"/>
  <c r="H48" i="37"/>
  <c r="G48" i="37"/>
  <c r="G57" i="33"/>
  <c r="H57" i="33"/>
  <c r="H93" i="33"/>
  <c r="G93" i="33"/>
  <c r="G95" i="33"/>
  <c r="H95" i="33"/>
  <c r="T85" i="33"/>
  <c r="S85" i="33"/>
  <c r="T67" i="33"/>
  <c r="S67" i="33"/>
  <c r="H75" i="35"/>
  <c r="G75" i="35"/>
  <c r="G97" i="18"/>
  <c r="H97" i="18"/>
  <c r="H75" i="18"/>
  <c r="G75" i="18"/>
  <c r="H59" i="18"/>
  <c r="G59" i="18"/>
  <c r="V20" i="36"/>
  <c r="W20" i="36" s="1"/>
  <c r="Z18" i="17" s="1"/>
  <c r="N43" i="39"/>
  <c r="N70" i="39"/>
  <c r="N52" i="39"/>
  <c r="N49" i="39"/>
  <c r="N58" i="39"/>
  <c r="N67" i="39"/>
  <c r="N73" i="39"/>
  <c r="N53" i="39"/>
  <c r="N95" i="39"/>
  <c r="H43" i="18"/>
  <c r="S72" i="32"/>
  <c r="T90" i="32"/>
  <c r="H41" i="18"/>
  <c r="S90" i="32"/>
  <c r="H89" i="33"/>
  <c r="G89" i="33"/>
  <c r="G71" i="37"/>
  <c r="H71" i="37"/>
  <c r="G71" i="33"/>
  <c r="H71" i="33"/>
  <c r="H65" i="35"/>
  <c r="G65" i="35"/>
  <c r="H49" i="18"/>
  <c r="G49" i="18"/>
  <c r="G65" i="37"/>
  <c r="H65" i="37"/>
  <c r="G91" i="33"/>
  <c r="H91" i="33"/>
  <c r="H63" i="35"/>
  <c r="G63" i="35"/>
  <c r="G81" i="18"/>
  <c r="H81" i="18"/>
  <c r="H59" i="34"/>
  <c r="G59" i="34"/>
  <c r="H75" i="33"/>
  <c r="G75" i="33"/>
  <c r="H73" i="33"/>
  <c r="G73" i="33"/>
  <c r="H46" i="33"/>
  <c r="G46" i="33"/>
  <c r="H44" i="33"/>
  <c r="G44" i="33"/>
  <c r="G59" i="33"/>
  <c r="H59" i="33"/>
  <c r="G77" i="33"/>
  <c r="H77" i="33"/>
  <c r="G41" i="33"/>
  <c r="H41" i="33"/>
  <c r="H45" i="33"/>
  <c r="G45" i="33"/>
  <c r="G49" i="33"/>
  <c r="H49" i="33"/>
  <c r="G51" i="33"/>
  <c r="H51" i="33"/>
  <c r="S57" i="18"/>
  <c r="T57" i="18"/>
  <c r="S75" i="33"/>
  <c r="T75" i="33"/>
  <c r="S97" i="33"/>
  <c r="T97" i="33"/>
  <c r="T46" i="33"/>
  <c r="S46" i="33"/>
  <c r="H42" i="33"/>
  <c r="G42" i="33"/>
  <c r="H42" i="37"/>
  <c r="G42" i="37"/>
  <c r="H79" i="33"/>
  <c r="G79" i="33"/>
  <c r="G81" i="33"/>
  <c r="H81" i="33"/>
  <c r="C39" i="38"/>
  <c r="N45" i="39"/>
  <c r="C58" i="38"/>
  <c r="N64" i="39"/>
  <c r="C50" i="38"/>
  <c r="N56" i="39"/>
  <c r="T78" i="32"/>
  <c r="S78" i="32"/>
  <c r="T70" i="32"/>
  <c r="S70" i="32"/>
  <c r="S98" i="32"/>
  <c r="T98" i="32"/>
  <c r="S64" i="32"/>
  <c r="T64" i="32"/>
  <c r="S56" i="32"/>
  <c r="T56" i="32"/>
  <c r="S41" i="32"/>
  <c r="T41" i="32"/>
  <c r="S67" i="32"/>
  <c r="T67" i="32"/>
  <c r="T92" i="32"/>
  <c r="S92" i="32"/>
  <c r="T82" i="32"/>
  <c r="S82" i="32"/>
  <c r="T61" i="32"/>
  <c r="S61" i="32"/>
  <c r="T46" i="32"/>
  <c r="S46" i="32"/>
  <c r="T79" i="32"/>
  <c r="S79" i="32"/>
  <c r="T99" i="32"/>
  <c r="S99" i="32"/>
  <c r="S84" i="32"/>
  <c r="T84" i="32"/>
  <c r="S48" i="32"/>
  <c r="T48" i="32"/>
  <c r="S47" i="32"/>
  <c r="T93" i="32"/>
  <c r="S81" i="32"/>
  <c r="T47" i="32"/>
  <c r="S93" i="32"/>
  <c r="T63" i="32"/>
  <c r="T81" i="32"/>
  <c r="S74" i="32"/>
  <c r="T76" i="32"/>
  <c r="S85" i="32"/>
  <c r="S68" i="32"/>
  <c r="C55" i="38"/>
  <c r="N61" i="39"/>
  <c r="C45" i="38"/>
  <c r="N51" i="39"/>
  <c r="C57" i="38"/>
  <c r="N63" i="39"/>
  <c r="T91" i="32"/>
  <c r="S91" i="32"/>
  <c r="T50" i="32"/>
  <c r="S50" i="32"/>
  <c r="T80" i="32"/>
  <c r="S80" i="32"/>
  <c r="S75" i="32"/>
  <c r="T75" i="32"/>
  <c r="T86" i="32"/>
  <c r="S86" i="32"/>
  <c r="T54" i="32"/>
  <c r="S54" i="32"/>
  <c r="T45" i="32"/>
  <c r="S45" i="32"/>
  <c r="T39" i="32"/>
  <c r="S39" i="32"/>
  <c r="S95" i="32"/>
  <c r="T95" i="32"/>
  <c r="S69" i="32"/>
  <c r="T69" i="32"/>
  <c r="T42" i="32"/>
  <c r="S42" i="32"/>
  <c r="G54" i="32"/>
  <c r="H71" i="32"/>
  <c r="G75" i="32"/>
  <c r="H74" i="32"/>
  <c r="H89" i="32"/>
  <c r="H75" i="32"/>
  <c r="G74" i="32"/>
  <c r="G89" i="32"/>
  <c r="G71" i="32"/>
  <c r="G96" i="32"/>
  <c r="H54" i="32"/>
  <c r="G61" i="32"/>
  <c r="H55" i="32"/>
  <c r="G87" i="32"/>
  <c r="G99" i="32"/>
  <c r="H62" i="32"/>
  <c r="G48" i="32"/>
  <c r="G93" i="32"/>
  <c r="G68" i="32"/>
  <c r="H82" i="32"/>
  <c r="G97" i="32"/>
  <c r="G77" i="32"/>
  <c r="H96" i="32"/>
  <c r="G82" i="32"/>
  <c r="H99" i="32"/>
  <c r="G47" i="32"/>
  <c r="H79" i="32"/>
  <c r="G65" i="32"/>
  <c r="G76" i="32"/>
  <c r="H61" i="32"/>
  <c r="G55" i="32"/>
  <c r="H97" i="32"/>
  <c r="G62" i="32"/>
  <c r="G43" i="32"/>
  <c r="H48" i="32"/>
  <c r="H65" i="32"/>
  <c r="H76" i="32"/>
  <c r="H80" i="32"/>
  <c r="H47" i="32"/>
  <c r="H43" i="32"/>
  <c r="G79" i="32"/>
  <c r="H68" i="32"/>
  <c r="H91" i="32"/>
  <c r="H87" i="32"/>
  <c r="H77" i="32"/>
  <c r="G80" i="32"/>
  <c r="G39" i="32"/>
  <c r="G51" i="32"/>
  <c r="H58" i="32"/>
  <c r="G95" i="32"/>
  <c r="G66" i="32"/>
  <c r="G90" i="32"/>
  <c r="H93" i="32"/>
  <c r="G45" i="32"/>
  <c r="H59" i="32"/>
  <c r="G94" i="32"/>
  <c r="H98" i="32"/>
  <c r="G84" i="32"/>
  <c r="H64" i="32"/>
  <c r="G53" i="32"/>
  <c r="H46" i="32"/>
  <c r="G86" i="32"/>
  <c r="G72" i="32"/>
  <c r="G50" i="32"/>
  <c r="G88" i="32"/>
  <c r="G85" i="32"/>
  <c r="G78" i="32"/>
  <c r="G52" i="32"/>
  <c r="G57" i="32"/>
  <c r="H41" i="32"/>
  <c r="H92" i="32"/>
  <c r="H63" i="32"/>
  <c r="H70" i="32"/>
  <c r="H39" i="32"/>
  <c r="H95" i="32"/>
  <c r="H73" i="32"/>
  <c r="H56" i="32"/>
  <c r="G59" i="32"/>
  <c r="G92" i="32"/>
  <c r="G64" i="32"/>
  <c r="H53" i="32"/>
  <c r="H86" i="32"/>
  <c r="H50" i="32"/>
  <c r="H88" i="32"/>
  <c r="G49" i="32"/>
  <c r="G91" i="32"/>
  <c r="G73" i="32"/>
  <c r="H67" i="32"/>
  <c r="H57" i="32"/>
  <c r="H69" i="32"/>
  <c r="H49" i="32"/>
  <c r="H45" i="32"/>
  <c r="G41" i="32"/>
  <c r="G60" i="32"/>
  <c r="G98" i="32"/>
  <c r="G42" i="32"/>
  <c r="G81" i="32"/>
  <c r="H40" i="32"/>
  <c r="H44" i="32"/>
  <c r="G63" i="32"/>
  <c r="G83" i="32"/>
  <c r="G70" i="32"/>
  <c r="H78" i="32"/>
  <c r="G67" i="32"/>
  <c r="G69" i="32"/>
  <c r="G56" i="32"/>
  <c r="H60" i="32"/>
  <c r="H42" i="32"/>
  <c r="H81" i="32"/>
  <c r="G40" i="32"/>
  <c r="G44" i="32"/>
  <c r="H83" i="32"/>
  <c r="H90" i="32"/>
  <c r="H51" i="32"/>
  <c r="G58" i="32"/>
  <c r="H66" i="32"/>
  <c r="H94" i="32"/>
  <c r="H84" i="32"/>
  <c r="G46" i="32"/>
  <c r="H72" i="32"/>
  <c r="H85" i="32"/>
  <c r="H52" i="32"/>
  <c r="T69" i="40"/>
  <c r="S29" i="40"/>
  <c r="T74" i="40"/>
  <c r="T70" i="40"/>
  <c r="T33" i="40"/>
  <c r="S35" i="40"/>
  <c r="T55" i="40"/>
  <c r="T54" i="40"/>
  <c r="S80" i="40"/>
  <c r="N79" i="39"/>
  <c r="N41" i="39"/>
  <c r="S42" i="40"/>
  <c r="S38" i="40"/>
  <c r="T37" i="40"/>
  <c r="T82" i="40"/>
  <c r="T22" i="40"/>
  <c r="S79" i="40"/>
  <c r="S46" i="40"/>
  <c r="S88" i="40"/>
  <c r="S84" i="40"/>
  <c r="S25" i="40"/>
  <c r="S28" i="40"/>
  <c r="S31" i="40"/>
  <c r="T72" i="40"/>
  <c r="T59" i="40"/>
  <c r="T87" i="40"/>
  <c r="S57" i="40"/>
  <c r="T62" i="40"/>
  <c r="S54" i="40"/>
  <c r="T80" i="40"/>
  <c r="S20" i="40"/>
  <c r="N46" i="39"/>
  <c r="N54" i="39"/>
  <c r="N86" i="39"/>
  <c r="N81" i="39"/>
  <c r="N71" i="39"/>
  <c r="J20" i="36"/>
  <c r="K20" i="36" s="1"/>
  <c r="I18" i="17" s="1"/>
  <c r="S67" i="40"/>
  <c r="S94" i="40"/>
  <c r="S63" i="40"/>
  <c r="T86" i="40"/>
  <c r="S64" i="40"/>
  <c r="S50" i="40"/>
  <c r="T71" i="40"/>
  <c r="T56" i="40"/>
  <c r="S23" i="40"/>
  <c r="S22" i="40"/>
  <c r="T30" i="40"/>
  <c r="S65" i="40"/>
  <c r="T91" i="40"/>
  <c r="T83" i="40"/>
  <c r="T79" i="40"/>
  <c r="T78" i="40"/>
  <c r="T46" i="40"/>
  <c r="S44" i="40"/>
  <c r="S19" i="40"/>
  <c r="U19" i="40" s="1"/>
  <c r="T40" i="40"/>
  <c r="T34" i="40"/>
  <c r="S48" i="40"/>
  <c r="T36" i="40"/>
  <c r="T27" i="40"/>
  <c r="S96" i="40"/>
  <c r="T97" i="40"/>
  <c r="S72" i="40"/>
  <c r="S59" i="40"/>
  <c r="S87" i="40"/>
  <c r="T57" i="40"/>
  <c r="T47" i="40"/>
  <c r="T43" i="40"/>
  <c r="S92" i="40"/>
  <c r="S76" i="32"/>
  <c r="T68" i="32"/>
  <c r="G93" i="40"/>
  <c r="G54" i="40"/>
  <c r="H27" i="40"/>
  <c r="G74" i="40"/>
  <c r="H54" i="40"/>
  <c r="G95" i="40"/>
  <c r="H45" i="40"/>
  <c r="G37" i="40"/>
  <c r="G36" i="40"/>
  <c r="H86" i="40"/>
  <c r="H30" i="40"/>
  <c r="H36" i="40"/>
  <c r="H93" i="40"/>
  <c r="H95" i="40"/>
  <c r="G29" i="40"/>
  <c r="H70" i="40"/>
  <c r="G70" i="40"/>
  <c r="G30" i="40"/>
  <c r="H64" i="40"/>
  <c r="H37" i="40"/>
  <c r="G86" i="40"/>
  <c r="H85" i="40"/>
  <c r="H60" i="40"/>
  <c r="G27" i="40"/>
  <c r="G56" i="40"/>
  <c r="H35" i="40"/>
  <c r="H74" i="40"/>
  <c r="H55" i="40"/>
  <c r="H58" i="40"/>
  <c r="H57" i="40"/>
  <c r="H65" i="40"/>
  <c r="G19" i="40"/>
  <c r="I19" i="40" s="1"/>
  <c r="G99" i="40"/>
  <c r="G77" i="40"/>
  <c r="G66" i="40"/>
  <c r="G92" i="40"/>
  <c r="G61" i="40"/>
  <c r="G57" i="40"/>
  <c r="G83" i="40"/>
  <c r="H97" i="40"/>
  <c r="H79" i="40"/>
  <c r="H92" i="40"/>
  <c r="H43" i="40"/>
  <c r="G98" i="40"/>
  <c r="H34" i="40"/>
  <c r="H19" i="40"/>
  <c r="J19" i="40" s="1"/>
  <c r="K19" i="40" s="1"/>
  <c r="K17" i="17" s="1"/>
  <c r="G96" i="40"/>
  <c r="G45" i="40"/>
  <c r="G23" i="40"/>
  <c r="G85" i="40"/>
  <c r="H56" i="40"/>
  <c r="G41" i="40"/>
  <c r="H26" i="40"/>
  <c r="G40" i="40"/>
  <c r="G81" i="40"/>
  <c r="G64" i="40"/>
  <c r="H66" i="40"/>
  <c r="H81" i="40"/>
  <c r="H33" i="40"/>
  <c r="H29" i="40"/>
  <c r="G58" i="40"/>
  <c r="H72" i="40"/>
  <c r="G33" i="40"/>
  <c r="H41" i="40"/>
  <c r="H94" i="40"/>
  <c r="G82" i="40"/>
  <c r="H99" i="40"/>
  <c r="G60" i="40"/>
  <c r="G72" i="40"/>
  <c r="G34" i="40"/>
  <c r="H48" i="40"/>
  <c r="H87" i="40"/>
  <c r="H83" i="40"/>
  <c r="G32" i="40"/>
  <c r="G55" i="40"/>
  <c r="G65" i="40"/>
  <c r="G35" i="40"/>
  <c r="H96" i="40"/>
  <c r="G28" i="40"/>
  <c r="H78" i="40"/>
  <c r="G47" i="40"/>
  <c r="H23" i="40"/>
  <c r="G90" i="40"/>
  <c r="H40" i="40"/>
  <c r="G97" i="40"/>
  <c r="G49" i="40"/>
  <c r="G21" i="40"/>
  <c r="H75" i="40"/>
  <c r="H91" i="40"/>
  <c r="H69" i="40"/>
  <c r="H61" i="40"/>
  <c r="G20" i="40"/>
  <c r="G94" i="40"/>
  <c r="H84" i="40"/>
  <c r="H76" i="40"/>
  <c r="G63" i="40"/>
  <c r="G38" i="40"/>
  <c r="G80" i="40"/>
  <c r="H88" i="40"/>
  <c r="H62" i="40"/>
  <c r="H20" i="40"/>
  <c r="G89" i="40"/>
  <c r="H32" i="40"/>
  <c r="H68" i="40"/>
  <c r="G71" i="40"/>
  <c r="G46" i="40"/>
  <c r="G59" i="40"/>
  <c r="H50" i="40"/>
  <c r="G31" i="40"/>
  <c r="H28" i="40"/>
  <c r="G78" i="40"/>
  <c r="H47" i="40"/>
  <c r="G87" i="40"/>
  <c r="G79" i="40"/>
  <c r="H53" i="40"/>
  <c r="H21" i="40"/>
  <c r="G69" i="40"/>
  <c r="G68" i="40"/>
  <c r="H63" i="40"/>
  <c r="H44" i="40"/>
  <c r="G51" i="40"/>
  <c r="G39" i="40"/>
  <c r="G73" i="40"/>
  <c r="H52" i="40"/>
  <c r="H31" i="40"/>
  <c r="H82" i="40"/>
  <c r="H49" i="40"/>
  <c r="H89" i="40"/>
  <c r="G24" i="40"/>
  <c r="G48" i="40"/>
  <c r="H90" i="40"/>
  <c r="G43" i="40"/>
  <c r="H98" i="40"/>
  <c r="H77" i="40"/>
  <c r="G84" i="40"/>
  <c r="H71" i="40"/>
  <c r="G67" i="40"/>
  <c r="H46" i="40"/>
  <c r="H38" i="40"/>
  <c r="H80" i="40"/>
  <c r="H25" i="40"/>
  <c r="G22" i="40"/>
  <c r="H59" i="40"/>
  <c r="G88" i="40"/>
  <c r="G62" i="40"/>
  <c r="G44" i="40"/>
  <c r="H51" i="40"/>
  <c r="H39" i="40"/>
  <c r="H73" i="40"/>
  <c r="G52" i="40"/>
  <c r="G53" i="40"/>
  <c r="H24" i="40"/>
  <c r="H67" i="40"/>
  <c r="H42" i="40"/>
  <c r="G25" i="40"/>
  <c r="H22" i="40"/>
  <c r="G26" i="40"/>
  <c r="G75" i="40"/>
  <c r="G91" i="40"/>
  <c r="G76" i="40"/>
  <c r="G42" i="40"/>
  <c r="G50" i="40"/>
  <c r="N48" i="39"/>
  <c r="C42" i="38"/>
  <c r="T81" i="40"/>
  <c r="S81" i="40"/>
  <c r="T53" i="40"/>
  <c r="S26" i="40"/>
  <c r="S73" i="40"/>
  <c r="S52" i="40"/>
  <c r="S32" i="40"/>
  <c r="T21" i="40"/>
  <c r="T68" i="40"/>
  <c r="S49" i="40"/>
  <c r="T90" i="40"/>
  <c r="T77" i="40"/>
  <c r="S85" i="40"/>
  <c r="T26" i="40"/>
  <c r="S77" i="40"/>
  <c r="S21" i="40"/>
  <c r="S68" i="40"/>
  <c r="S41" i="40"/>
  <c r="T49" i="40"/>
  <c r="S90" i="40"/>
  <c r="T52" i="40"/>
  <c r="T32" i="40"/>
  <c r="T45" i="40"/>
  <c r="T85" i="40"/>
  <c r="T41" i="40"/>
  <c r="T58" i="40"/>
  <c r="S45" i="40"/>
  <c r="S53" i="40"/>
  <c r="T73" i="40"/>
  <c r="S58" i="40"/>
  <c r="T62" i="32"/>
  <c r="S62" i="32"/>
  <c r="T88" i="32"/>
  <c r="S88" i="32"/>
  <c r="T55" i="32"/>
  <c r="S55" i="32"/>
  <c r="S53" i="32"/>
  <c r="T53" i="32"/>
  <c r="S87" i="32"/>
  <c r="T87" i="32"/>
  <c r="S59" i="32"/>
  <c r="T59" i="32"/>
  <c r="T66" i="32"/>
  <c r="S66" i="32"/>
  <c r="S57" i="32"/>
  <c r="T57" i="32"/>
  <c r="T71" i="32"/>
  <c r="S71" i="32"/>
  <c r="S58" i="32"/>
  <c r="T58" i="32"/>
  <c r="S83" i="32"/>
  <c r="T83" i="32"/>
  <c r="T94" i="32"/>
  <c r="S94" i="32"/>
  <c r="T60" i="32"/>
  <c r="S60" i="32"/>
  <c r="S89" i="32"/>
  <c r="T89" i="32"/>
  <c r="C74" i="38"/>
  <c r="N80" i="39"/>
  <c r="C71" i="38"/>
  <c r="N77" i="39"/>
  <c r="C82" i="38"/>
  <c r="N88" i="39"/>
  <c r="S52" i="32"/>
  <c r="T52" i="32"/>
  <c r="S44" i="32"/>
  <c r="T44" i="32"/>
  <c r="S97" i="32"/>
  <c r="T97" i="32"/>
  <c r="S43" i="32"/>
  <c r="T43" i="32"/>
  <c r="T51" i="32"/>
  <c r="S51" i="32"/>
  <c r="S40" i="32"/>
  <c r="T40" i="32"/>
  <c r="S77" i="32"/>
  <c r="T77" i="32"/>
  <c r="T73" i="32"/>
  <c r="S73" i="32"/>
  <c r="S65" i="32"/>
  <c r="T65" i="32"/>
  <c r="S89" i="40"/>
  <c r="T61" i="40"/>
  <c r="T88" i="40"/>
  <c r="T84" i="40"/>
  <c r="T25" i="40"/>
  <c r="T28" i="40"/>
  <c r="T31" i="40"/>
  <c r="S39" i="40"/>
  <c r="T75" i="40"/>
  <c r="S62" i="40"/>
  <c r="T20" i="40"/>
  <c r="N60" i="39"/>
  <c r="S66" i="40"/>
  <c r="T60" i="40"/>
  <c r="S51" i="40"/>
  <c r="T76" i="40"/>
  <c r="U20" i="36"/>
  <c r="T23" i="40"/>
  <c r="S30" i="40"/>
  <c r="T65" i="40"/>
  <c r="S91" i="40"/>
  <c r="S83" i="40"/>
  <c r="S78" i="40"/>
  <c r="S74" i="40"/>
  <c r="S70" i="40"/>
  <c r="S33" i="40"/>
  <c r="N47" i="39"/>
  <c r="N42" i="39"/>
  <c r="N57" i="39"/>
  <c r="N97" i="39"/>
  <c r="N50" i="39"/>
  <c r="N92" i="39"/>
  <c r="T67" i="40"/>
  <c r="T94" i="40"/>
  <c r="T63" i="40"/>
  <c r="S86" i="40"/>
  <c r="T64" i="40"/>
  <c r="T50" i="40"/>
  <c r="S71" i="40"/>
  <c r="S56" i="40"/>
  <c r="S99" i="40"/>
  <c r="S95" i="40"/>
  <c r="T93" i="40"/>
  <c r="T98" i="40"/>
  <c r="T89" i="40"/>
  <c r="S69" i="40"/>
  <c r="S61" i="40"/>
  <c r="T29" i="40"/>
  <c r="T44" i="40"/>
  <c r="T19" i="40"/>
  <c r="V19" i="40" s="1"/>
  <c r="W19" i="40" s="1"/>
  <c r="AB17" i="17" s="1"/>
  <c r="S40" i="40"/>
  <c r="S34" i="40"/>
  <c r="T48" i="40"/>
  <c r="S36" i="40"/>
  <c r="S27" i="40"/>
  <c r="T96" i="40"/>
  <c r="S97" i="40"/>
  <c r="T39" i="40"/>
  <c r="T35" i="40"/>
  <c r="S75" i="40"/>
  <c r="S55" i="40"/>
  <c r="S47" i="40"/>
  <c r="S43" i="40"/>
  <c r="T92" i="40"/>
  <c r="S24" i="40"/>
  <c r="S63" i="32"/>
  <c r="I20" i="40" l="1"/>
  <c r="I21" i="40" s="1"/>
  <c r="J22" i="40" s="1"/>
  <c r="K22" i="40" s="1"/>
  <c r="K20" i="17" s="1"/>
  <c r="J21" i="36"/>
  <c r="K21" i="36" s="1"/>
  <c r="I19" i="17" s="1"/>
  <c r="B24" i="35"/>
  <c r="B24" i="32"/>
  <c r="O24" i="31"/>
  <c r="B24" i="36"/>
  <c r="B24" i="40"/>
  <c r="B24" i="18"/>
  <c r="O24" i="37"/>
  <c r="O24" i="35"/>
  <c r="O24" i="40"/>
  <c r="B24" i="31"/>
  <c r="O24" i="36"/>
  <c r="O24" i="34"/>
  <c r="B24" i="37"/>
  <c r="O24" i="18"/>
  <c r="B24" i="33"/>
  <c r="O24" i="32"/>
  <c r="B24" i="34"/>
  <c r="O24" i="33"/>
  <c r="B20" i="7"/>
  <c r="J22" i="36"/>
  <c r="K22" i="36" s="1"/>
  <c r="I20" i="17" s="1"/>
  <c r="I23" i="36"/>
  <c r="J24" i="36" s="1"/>
  <c r="K24" i="36" s="1"/>
  <c r="I22" i="17" s="1"/>
  <c r="J20" i="40"/>
  <c r="K20" i="40" s="1"/>
  <c r="K18" i="17" s="1"/>
  <c r="J21" i="40"/>
  <c r="K21" i="40" s="1"/>
  <c r="K19" i="17" s="1"/>
  <c r="U20" i="40"/>
  <c r="V21" i="40" s="1"/>
  <c r="W21" i="40" s="1"/>
  <c r="AB19" i="17" s="1"/>
  <c r="U21" i="36"/>
  <c r="V21" i="36"/>
  <c r="W21" i="36" s="1"/>
  <c r="Z19" i="17" s="1"/>
  <c r="V20" i="40"/>
  <c r="W20" i="40" s="1"/>
  <c r="AB18" i="17" s="1"/>
  <c r="B25" i="33" l="1"/>
  <c r="B25" i="40"/>
  <c r="O25" i="32"/>
  <c r="B21" i="7"/>
  <c r="B25" i="31"/>
  <c r="B25" i="32"/>
  <c r="B25" i="37"/>
  <c r="O25" i="37"/>
  <c r="O25" i="34"/>
  <c r="B25" i="34"/>
  <c r="B25" i="35"/>
  <c r="O25" i="33"/>
  <c r="O25" i="31"/>
  <c r="O25" i="35"/>
  <c r="B25" i="36"/>
  <c r="O25" i="40"/>
  <c r="O25" i="18"/>
  <c r="O25" i="36"/>
  <c r="B25" i="18"/>
  <c r="I24" i="36"/>
  <c r="J25" i="36" s="1"/>
  <c r="K25" i="36" s="1"/>
  <c r="I23" i="17" s="1"/>
  <c r="U21" i="40"/>
  <c r="V22" i="40" s="1"/>
  <c r="W22" i="40" s="1"/>
  <c r="AB20" i="17" s="1"/>
  <c r="V22" i="36"/>
  <c r="W22" i="36" s="1"/>
  <c r="Z20" i="17" s="1"/>
  <c r="U22" i="36"/>
  <c r="I22" i="40"/>
  <c r="O26" i="40" l="1"/>
  <c r="O26" i="33"/>
  <c r="B26" i="31"/>
  <c r="O26" i="18"/>
  <c r="B26" i="18"/>
  <c r="B26" i="34"/>
  <c r="B26" i="32"/>
  <c r="B22" i="7"/>
  <c r="B26" i="36"/>
  <c r="O26" i="37"/>
  <c r="O26" i="34"/>
  <c r="O26" i="35"/>
  <c r="O26" i="31"/>
  <c r="O26" i="36"/>
  <c r="B26" i="37"/>
  <c r="B26" i="33"/>
  <c r="O26" i="32"/>
  <c r="B26" i="40"/>
  <c r="B26" i="35"/>
  <c r="U22" i="40"/>
  <c r="U23" i="40" s="1"/>
  <c r="I25" i="36"/>
  <c r="J26" i="36" s="1"/>
  <c r="K26" i="36" s="1"/>
  <c r="I24" i="17" s="1"/>
  <c r="U23" i="36"/>
  <c r="V23" i="36"/>
  <c r="W23" i="36" s="1"/>
  <c r="Z21" i="17" s="1"/>
  <c r="I23" i="40"/>
  <c r="J23" i="40"/>
  <c r="K23" i="40" s="1"/>
  <c r="K21" i="17" s="1"/>
  <c r="O27" i="18" l="1"/>
  <c r="O27" i="37"/>
  <c r="B27" i="37"/>
  <c r="O27" i="32"/>
  <c r="B27" i="36"/>
  <c r="O27" i="35"/>
  <c r="B27" i="18"/>
  <c r="O27" i="31"/>
  <c r="B27" i="40"/>
  <c r="O27" i="34"/>
  <c r="B27" i="35"/>
  <c r="B27" i="34"/>
  <c r="B27" i="33"/>
  <c r="B27" i="32"/>
  <c r="O27" i="40"/>
  <c r="B23" i="7"/>
  <c r="O27" i="33"/>
  <c r="O27" i="36"/>
  <c r="B27" i="31"/>
  <c r="V23" i="40"/>
  <c r="W23" i="40" s="1"/>
  <c r="AB21" i="17" s="1"/>
  <c r="I26" i="36"/>
  <c r="J27" i="36" s="1"/>
  <c r="K27" i="36" s="1"/>
  <c r="I25" i="17" s="1"/>
  <c r="V24" i="40"/>
  <c r="W24" i="40" s="1"/>
  <c r="AB22" i="17" s="1"/>
  <c r="U24" i="40"/>
  <c r="I24" i="40"/>
  <c r="J24" i="40"/>
  <c r="K24" i="40" s="1"/>
  <c r="K22" i="17" s="1"/>
  <c r="V24" i="36"/>
  <c r="W24" i="36" s="1"/>
  <c r="Z22" i="17" s="1"/>
  <c r="U24" i="36"/>
  <c r="O28" i="37" l="1"/>
  <c r="B28" i="32"/>
  <c r="B28" i="35"/>
  <c r="B28" i="36"/>
  <c r="O28" i="18"/>
  <c r="B28" i="33"/>
  <c r="B28" i="18"/>
  <c r="B28" i="34"/>
  <c r="O28" i="31"/>
  <c r="B24" i="7"/>
  <c r="O28" i="40"/>
  <c r="O28" i="36"/>
  <c r="B28" i="40"/>
  <c r="O28" i="33"/>
  <c r="O28" i="34"/>
  <c r="B28" i="31"/>
  <c r="O28" i="32"/>
  <c r="B28" i="37"/>
  <c r="O28" i="35"/>
  <c r="I27" i="36"/>
  <c r="J28" i="36" s="1"/>
  <c r="K28" i="36" s="1"/>
  <c r="I26" i="17" s="1"/>
  <c r="V25" i="36"/>
  <c r="W25" i="36" s="1"/>
  <c r="Z23" i="17" s="1"/>
  <c r="U25" i="36"/>
  <c r="V25" i="40"/>
  <c r="W25" i="40" s="1"/>
  <c r="AB23" i="17" s="1"/>
  <c r="U25" i="40"/>
  <c r="I25" i="40"/>
  <c r="J25" i="40"/>
  <c r="K25" i="40" s="1"/>
  <c r="K23" i="17" s="1"/>
  <c r="B25" i="7" l="1"/>
  <c r="B29" i="37"/>
  <c r="O29" i="18"/>
  <c r="B29" i="40"/>
  <c r="O29" i="33"/>
  <c r="O29" i="40"/>
  <c r="B29" i="33"/>
  <c r="O29" i="31"/>
  <c r="B29" i="36"/>
  <c r="B29" i="32"/>
  <c r="O29" i="34"/>
  <c r="B29" i="35"/>
  <c r="B29" i="18"/>
  <c r="O29" i="32"/>
  <c r="B29" i="31"/>
  <c r="O29" i="35"/>
  <c r="O29" i="37"/>
  <c r="B29" i="34"/>
  <c r="O29" i="36"/>
  <c r="I28" i="36"/>
  <c r="I29" i="36" s="1"/>
  <c r="J26" i="40"/>
  <c r="K26" i="40" s="1"/>
  <c r="K24" i="17" s="1"/>
  <c r="I26" i="40"/>
  <c r="U26" i="40"/>
  <c r="V26" i="40"/>
  <c r="W26" i="40" s="1"/>
  <c r="AB24" i="17" s="1"/>
  <c r="U26" i="36"/>
  <c r="V26" i="36"/>
  <c r="W26" i="36" s="1"/>
  <c r="Z24" i="17" s="1"/>
  <c r="J29" i="36"/>
  <c r="K29" i="36" s="1"/>
  <c r="I27" i="17" s="1"/>
  <c r="B30" i="35" l="1"/>
  <c r="O30" i="40"/>
  <c r="B30" i="33"/>
  <c r="B30" i="34"/>
  <c r="O30" i="31"/>
  <c r="O30" i="36"/>
  <c r="B26" i="7"/>
  <c r="B30" i="18"/>
  <c r="O30" i="18"/>
  <c r="B30" i="40"/>
  <c r="O30" i="33"/>
  <c r="O30" i="32"/>
  <c r="B30" i="37"/>
  <c r="B30" i="32"/>
  <c r="O30" i="35"/>
  <c r="B30" i="31"/>
  <c r="O30" i="37"/>
  <c r="O30" i="34"/>
  <c r="B30" i="36"/>
  <c r="U27" i="36"/>
  <c r="V27" i="36"/>
  <c r="W27" i="36" s="1"/>
  <c r="Z25" i="17" s="1"/>
  <c r="J27" i="40"/>
  <c r="K27" i="40" s="1"/>
  <c r="K25" i="17" s="1"/>
  <c r="I27" i="40"/>
  <c r="U27" i="40"/>
  <c r="V27" i="40"/>
  <c r="W27" i="40" s="1"/>
  <c r="AB25" i="17" s="1"/>
  <c r="I30" i="36"/>
  <c r="J30" i="36"/>
  <c r="K30" i="36" s="1"/>
  <c r="I28" i="17" s="1"/>
  <c r="O31" i="40" l="1"/>
  <c r="B31" i="31"/>
  <c r="O31" i="36"/>
  <c r="O31" i="31"/>
  <c r="O31" i="34"/>
  <c r="O31" i="37"/>
  <c r="B31" i="32"/>
  <c r="O31" i="33"/>
  <c r="B27" i="7"/>
  <c r="B31" i="40"/>
  <c r="O31" i="35"/>
  <c r="B31" i="18"/>
  <c r="O31" i="32"/>
  <c r="B31" i="34"/>
  <c r="B31" i="36"/>
  <c r="B31" i="35"/>
  <c r="B31" i="37"/>
  <c r="O31" i="18"/>
  <c r="B31" i="33"/>
  <c r="U28" i="40"/>
  <c r="V28" i="40"/>
  <c r="W28" i="40" s="1"/>
  <c r="AB26" i="17" s="1"/>
  <c r="U28" i="36"/>
  <c r="V28" i="36"/>
  <c r="W28" i="36" s="1"/>
  <c r="Z26" i="17" s="1"/>
  <c r="I28" i="40"/>
  <c r="J28" i="40"/>
  <c r="K28" i="40" s="1"/>
  <c r="K26" i="17" s="1"/>
  <c r="J31" i="36"/>
  <c r="K31" i="36" s="1"/>
  <c r="I29" i="17" s="1"/>
  <c r="I31" i="36"/>
  <c r="B32" i="40" l="1"/>
  <c r="O32" i="18"/>
  <c r="B32" i="31"/>
  <c r="O32" i="37"/>
  <c r="B32" i="34"/>
  <c r="O32" i="35"/>
  <c r="B32" i="36"/>
  <c r="B32" i="32"/>
  <c r="B32" i="18"/>
  <c r="O32" i="33"/>
  <c r="B32" i="37"/>
  <c r="B28" i="7"/>
  <c r="O32" i="36"/>
  <c r="B32" i="35"/>
  <c r="O32" i="40"/>
  <c r="O32" i="32"/>
  <c r="B32" i="33"/>
  <c r="O32" i="34"/>
  <c r="O32" i="31"/>
  <c r="I29" i="40"/>
  <c r="J29" i="40"/>
  <c r="K29" i="40" s="1"/>
  <c r="K27" i="17" s="1"/>
  <c r="U29" i="36"/>
  <c r="V29" i="36"/>
  <c r="W29" i="36" s="1"/>
  <c r="Z27" i="17" s="1"/>
  <c r="V29" i="40"/>
  <c r="W29" i="40" s="1"/>
  <c r="AB27" i="17" s="1"/>
  <c r="U29" i="40"/>
  <c r="J32" i="36"/>
  <c r="K32" i="36" s="1"/>
  <c r="I30" i="17" s="1"/>
  <c r="I32" i="36"/>
  <c r="O33" i="18" l="1"/>
  <c r="B29" i="7"/>
  <c r="B33" i="35"/>
  <c r="O33" i="32"/>
  <c r="B33" i="36"/>
  <c r="B33" i="18"/>
  <c r="O33" i="34"/>
  <c r="O33" i="33"/>
  <c r="O33" i="31"/>
  <c r="O33" i="35"/>
  <c r="B33" i="31"/>
  <c r="B33" i="34"/>
  <c r="O33" i="37"/>
  <c r="B33" i="37"/>
  <c r="B33" i="33"/>
  <c r="O33" i="40"/>
  <c r="B33" i="32"/>
  <c r="O33" i="36"/>
  <c r="B33" i="40"/>
  <c r="J30" i="40"/>
  <c r="K30" i="40" s="1"/>
  <c r="K28" i="17" s="1"/>
  <c r="I30" i="40"/>
  <c r="U30" i="40"/>
  <c r="V30" i="40"/>
  <c r="W30" i="40" s="1"/>
  <c r="AB28" i="17" s="1"/>
  <c r="U30" i="36"/>
  <c r="V30" i="36"/>
  <c r="W30" i="36" s="1"/>
  <c r="Z28" i="17" s="1"/>
  <c r="J33" i="36"/>
  <c r="K33" i="36" s="1"/>
  <c r="I31" i="17" s="1"/>
  <c r="I33" i="36"/>
  <c r="O34" i="40" l="1"/>
  <c r="B34" i="34"/>
  <c r="O34" i="37"/>
  <c r="B34" i="31"/>
  <c r="B34" i="18"/>
  <c r="O34" i="36"/>
  <c r="O34" i="33"/>
  <c r="B34" i="32"/>
  <c r="B30" i="7"/>
  <c r="B34" i="37"/>
  <c r="O34" i="18"/>
  <c r="B34" i="35"/>
  <c r="O34" i="34"/>
  <c r="B34" i="36"/>
  <c r="O34" i="31"/>
  <c r="O34" i="32"/>
  <c r="B34" i="40"/>
  <c r="B34" i="33"/>
  <c r="O34" i="35"/>
  <c r="V31" i="36"/>
  <c r="W31" i="36" s="1"/>
  <c r="Z29" i="17" s="1"/>
  <c r="U31" i="36"/>
  <c r="V31" i="40"/>
  <c r="W31" i="40" s="1"/>
  <c r="AB29" i="17" s="1"/>
  <c r="U31" i="40"/>
  <c r="I31" i="40"/>
  <c r="J31" i="40"/>
  <c r="K31" i="40" s="1"/>
  <c r="K29" i="17" s="1"/>
  <c r="J34" i="36"/>
  <c r="K34" i="36" s="1"/>
  <c r="I32" i="17" s="1"/>
  <c r="I34" i="36"/>
  <c r="B35" i="40" l="1"/>
  <c r="O35" i="34"/>
  <c r="O35" i="31"/>
  <c r="B35" i="34"/>
  <c r="B35" i="36"/>
  <c r="O35" i="33"/>
  <c r="O35" i="32"/>
  <c r="O35" i="36"/>
  <c r="O35" i="18"/>
  <c r="B35" i="18"/>
  <c r="B35" i="31"/>
  <c r="B31" i="7"/>
  <c r="B35" i="33"/>
  <c r="O35" i="40"/>
  <c r="O35" i="35"/>
  <c r="B35" i="35"/>
  <c r="B35" i="37"/>
  <c r="B35" i="32"/>
  <c r="O35" i="37"/>
  <c r="J32" i="40"/>
  <c r="K32" i="40" s="1"/>
  <c r="K30" i="17" s="1"/>
  <c r="I32" i="40"/>
  <c r="V32" i="40"/>
  <c r="W32" i="40" s="1"/>
  <c r="AB30" i="17" s="1"/>
  <c r="U32" i="40"/>
  <c r="U32" i="36"/>
  <c r="V32" i="36"/>
  <c r="W32" i="36" s="1"/>
  <c r="Z30" i="17" s="1"/>
  <c r="J35" i="36"/>
  <c r="K35" i="36" s="1"/>
  <c r="I33" i="17" s="1"/>
  <c r="I35" i="36"/>
  <c r="O36" i="37" l="1"/>
  <c r="B36" i="33"/>
  <c r="B36" i="32"/>
  <c r="O36" i="18"/>
  <c r="O36" i="40"/>
  <c r="O36" i="36"/>
  <c r="O36" i="31"/>
  <c r="O36" i="34"/>
  <c r="B36" i="40"/>
  <c r="B36" i="31"/>
  <c r="B36" i="36"/>
  <c r="B36" i="18"/>
  <c r="B36" i="35"/>
  <c r="B32" i="7"/>
  <c r="O36" i="32"/>
  <c r="O36" i="33"/>
  <c r="B36" i="37"/>
  <c r="B36" i="34"/>
  <c r="O36" i="35"/>
  <c r="U33" i="36"/>
  <c r="V33" i="36"/>
  <c r="W33" i="36" s="1"/>
  <c r="Z31" i="17" s="1"/>
  <c r="V33" i="40"/>
  <c r="W33" i="40" s="1"/>
  <c r="AB31" i="17" s="1"/>
  <c r="U33" i="40"/>
  <c r="J33" i="40"/>
  <c r="K33" i="40" s="1"/>
  <c r="K31" i="17" s="1"/>
  <c r="I33" i="40"/>
  <c r="J36" i="36"/>
  <c r="K36" i="36" s="1"/>
  <c r="I34" i="17" s="1"/>
  <c r="I36" i="36"/>
  <c r="B37" i="37" l="1"/>
  <c r="B37" i="40"/>
  <c r="B37" i="35"/>
  <c r="O37" i="31"/>
  <c r="O37" i="33"/>
  <c r="B37" i="32"/>
  <c r="B37" i="34"/>
  <c r="O37" i="18"/>
  <c r="B33" i="7"/>
  <c r="B37" i="31"/>
  <c r="B37" i="33"/>
  <c r="O37" i="34"/>
  <c r="B37" i="18"/>
  <c r="O37" i="35"/>
  <c r="B37" i="36"/>
  <c r="O37" i="37"/>
  <c r="O37" i="32"/>
  <c r="O37" i="40"/>
  <c r="O37" i="36"/>
  <c r="J34" i="40"/>
  <c r="K34" i="40" s="1"/>
  <c r="K32" i="17" s="1"/>
  <c r="I34" i="40"/>
  <c r="U34" i="40"/>
  <c r="V34" i="40"/>
  <c r="W34" i="40" s="1"/>
  <c r="AB32" i="17" s="1"/>
  <c r="V34" i="36"/>
  <c r="W34" i="36" s="1"/>
  <c r="Z32" i="17" s="1"/>
  <c r="U34" i="36"/>
  <c r="J37" i="36"/>
  <c r="K37" i="36" s="1"/>
  <c r="I35" i="17" s="1"/>
  <c r="I37" i="36"/>
  <c r="O38" i="33" l="1"/>
  <c r="O38" i="34"/>
  <c r="B38" i="32"/>
  <c r="B38" i="33"/>
  <c r="O38" i="32"/>
  <c r="O38" i="37"/>
  <c r="B38" i="37"/>
  <c r="B38" i="18"/>
  <c r="B38" i="36"/>
  <c r="B38" i="34"/>
  <c r="O38" i="36"/>
  <c r="O38" i="40"/>
  <c r="B38" i="40"/>
  <c r="O38" i="18"/>
  <c r="B34" i="7"/>
  <c r="O38" i="31"/>
  <c r="O38" i="35"/>
  <c r="B38" i="31"/>
  <c r="B38" i="35"/>
  <c r="U35" i="40"/>
  <c r="V35" i="40"/>
  <c r="W35" i="40" s="1"/>
  <c r="AB33" i="17" s="1"/>
  <c r="I35" i="40"/>
  <c r="J35" i="40"/>
  <c r="K35" i="40" s="1"/>
  <c r="K33" i="17" s="1"/>
  <c r="U35" i="36"/>
  <c r="V35" i="36"/>
  <c r="W35" i="36" s="1"/>
  <c r="Z33" i="17" s="1"/>
  <c r="J38" i="36"/>
  <c r="K38" i="36" s="1"/>
  <c r="I36" i="17" s="1"/>
  <c r="I38" i="36"/>
  <c r="O39" i="18" l="1"/>
  <c r="B39" i="34"/>
  <c r="B39" i="35"/>
  <c r="B39" i="36"/>
  <c r="O39" i="34"/>
  <c r="B39" i="31"/>
  <c r="O39" i="35"/>
  <c r="B35" i="7"/>
  <c r="B39" i="18"/>
  <c r="O39" i="31"/>
  <c r="B39" i="37"/>
  <c r="B39" i="40"/>
  <c r="O39" i="33"/>
  <c r="B39" i="32"/>
  <c r="B39" i="33"/>
  <c r="O39" i="37"/>
  <c r="O39" i="40"/>
  <c r="O39" i="36"/>
  <c r="O39" i="32"/>
  <c r="J36" i="40"/>
  <c r="K36" i="40" s="1"/>
  <c r="K34" i="17" s="1"/>
  <c r="I36" i="40"/>
  <c r="U36" i="40"/>
  <c r="V36" i="40"/>
  <c r="W36" i="40" s="1"/>
  <c r="AB34" i="17" s="1"/>
  <c r="V36" i="36"/>
  <c r="W36" i="36" s="1"/>
  <c r="Z34" i="17" s="1"/>
  <c r="U36" i="36"/>
  <c r="J39" i="36"/>
  <c r="K39" i="36" s="1"/>
  <c r="I37" i="17" s="1"/>
  <c r="I39" i="36"/>
  <c r="O40" i="35" l="1"/>
  <c r="B40" i="34"/>
  <c r="O40" i="36"/>
  <c r="B40" i="33"/>
  <c r="B40" i="32"/>
  <c r="O40" i="37"/>
  <c r="O40" i="32"/>
  <c r="O40" i="18"/>
  <c r="O40" i="34"/>
  <c r="B40" i="36"/>
  <c r="O40" i="31"/>
  <c r="B40" i="37"/>
  <c r="B40" i="35"/>
  <c r="O40" i="40"/>
  <c r="B40" i="40"/>
  <c r="B36" i="7"/>
  <c r="B40" i="31"/>
  <c r="O40" i="33"/>
  <c r="B40" i="18"/>
  <c r="I37" i="40"/>
  <c r="J37" i="40"/>
  <c r="K37" i="40" s="1"/>
  <c r="K35" i="17" s="1"/>
  <c r="U37" i="40"/>
  <c r="V37" i="40"/>
  <c r="W37" i="40" s="1"/>
  <c r="AB35" i="17" s="1"/>
  <c r="V37" i="36"/>
  <c r="W37" i="36" s="1"/>
  <c r="Z35" i="17" s="1"/>
  <c r="U37" i="36"/>
  <c r="I40" i="36"/>
  <c r="J40" i="36"/>
  <c r="K40" i="36" s="1"/>
  <c r="I38" i="17" s="1"/>
  <c r="O41" i="31" l="1"/>
  <c r="B41" i="40"/>
  <c r="B41" i="36"/>
  <c r="O41" i="40"/>
  <c r="O41" i="37"/>
  <c r="B41" i="37"/>
  <c r="B41" i="32"/>
  <c r="O41" i="35"/>
  <c r="B41" i="31"/>
  <c r="B41" i="18"/>
  <c r="O41" i="34"/>
  <c r="O41" i="32"/>
  <c r="O41" i="33"/>
  <c r="B41" i="34"/>
  <c r="B41" i="33"/>
  <c r="B37" i="7"/>
  <c r="O41" i="36"/>
  <c r="O41" i="18"/>
  <c r="B41" i="35"/>
  <c r="V38" i="40"/>
  <c r="W38" i="40" s="1"/>
  <c r="AB36" i="17" s="1"/>
  <c r="U38" i="40"/>
  <c r="I38" i="40"/>
  <c r="J38" i="40"/>
  <c r="K38" i="40" s="1"/>
  <c r="K36" i="17" s="1"/>
  <c r="U38" i="36"/>
  <c r="V38" i="36"/>
  <c r="W38" i="36" s="1"/>
  <c r="Z36" i="17" s="1"/>
  <c r="J41" i="36"/>
  <c r="K41" i="36" s="1"/>
  <c r="I39" i="17" s="1"/>
  <c r="I41" i="36"/>
  <c r="B42" i="18" l="1"/>
  <c r="O42" i="35"/>
  <c r="O42" i="37"/>
  <c r="B42" i="34"/>
  <c r="O42" i="18"/>
  <c r="O42" i="40"/>
  <c r="B42" i="32"/>
  <c r="B42" i="31"/>
  <c r="O42" i="31"/>
  <c r="O42" i="34"/>
  <c r="B42" i="40"/>
  <c r="B38" i="7"/>
  <c r="B42" i="33"/>
  <c r="B42" i="35"/>
  <c r="B42" i="36"/>
  <c r="O42" i="32"/>
  <c r="O42" i="36"/>
  <c r="O42" i="33"/>
  <c r="B42" i="37"/>
  <c r="I39" i="40"/>
  <c r="J39" i="40"/>
  <c r="K39" i="40" s="1"/>
  <c r="K37" i="17" s="1"/>
  <c r="V39" i="36"/>
  <c r="W39" i="36" s="1"/>
  <c r="Z37" i="17" s="1"/>
  <c r="U39" i="36"/>
  <c r="V39" i="40"/>
  <c r="W39" i="40" s="1"/>
  <c r="AB37" i="17" s="1"/>
  <c r="U39" i="40"/>
  <c r="J42" i="36"/>
  <c r="K42" i="36" s="1"/>
  <c r="I40" i="17" s="1"/>
  <c r="I42" i="36"/>
  <c r="B43" i="35" l="1"/>
  <c r="O43" i="31"/>
  <c r="O43" i="37"/>
  <c r="O43" i="32"/>
  <c r="O43" i="34"/>
  <c r="O43" i="40"/>
  <c r="B39" i="7"/>
  <c r="O43" i="33"/>
  <c r="O43" i="35"/>
  <c r="B43" i="36"/>
  <c r="B43" i="33"/>
  <c r="B43" i="18"/>
  <c r="B43" i="40"/>
  <c r="B43" i="31"/>
  <c r="B43" i="34"/>
  <c r="B43" i="32"/>
  <c r="O43" i="36"/>
  <c r="B43" i="37"/>
  <c r="O43" i="18"/>
  <c r="I40" i="40"/>
  <c r="J40" i="40"/>
  <c r="K40" i="40" s="1"/>
  <c r="K38" i="17" s="1"/>
  <c r="U40" i="40"/>
  <c r="V40" i="40"/>
  <c r="W40" i="40" s="1"/>
  <c r="AB38" i="17" s="1"/>
  <c r="U40" i="36"/>
  <c r="V40" i="36"/>
  <c r="W40" i="36" s="1"/>
  <c r="Z38" i="17" s="1"/>
  <c r="J43" i="36"/>
  <c r="K43" i="36" s="1"/>
  <c r="I41" i="17" s="1"/>
  <c r="I43" i="36"/>
  <c r="B44" i="34" l="1"/>
  <c r="O44" i="40"/>
  <c r="O44" i="33"/>
  <c r="O44" i="35"/>
  <c r="O44" i="32"/>
  <c r="B44" i="31"/>
  <c r="O44" i="31"/>
  <c r="O44" i="34"/>
  <c r="B44" i="33"/>
  <c r="B44" i="32"/>
  <c r="B40" i="7"/>
  <c r="B44" i="18"/>
  <c r="B44" i="37"/>
  <c r="O44" i="36"/>
  <c r="O44" i="18"/>
  <c r="O44" i="37"/>
  <c r="B44" i="36"/>
  <c r="B44" i="40"/>
  <c r="B44" i="35"/>
  <c r="U41" i="36"/>
  <c r="V41" i="36"/>
  <c r="W41" i="36" s="1"/>
  <c r="Z39" i="17" s="1"/>
  <c r="J41" i="40"/>
  <c r="K41" i="40" s="1"/>
  <c r="K39" i="17" s="1"/>
  <c r="I41" i="40"/>
  <c r="U41" i="40"/>
  <c r="V41" i="40"/>
  <c r="W41" i="40" s="1"/>
  <c r="AB39" i="17" s="1"/>
  <c r="J44" i="36"/>
  <c r="K44" i="36" s="1"/>
  <c r="I42" i="17" s="1"/>
  <c r="I44" i="36"/>
  <c r="O45" i="40" l="1"/>
  <c r="O45" i="31"/>
  <c r="O45" i="18"/>
  <c r="O45" i="35"/>
  <c r="B41" i="7"/>
  <c r="B45" i="32"/>
  <c r="O45" i="36"/>
  <c r="B45" i="40"/>
  <c r="O45" i="32"/>
  <c r="B45" i="35"/>
  <c r="B45" i="18"/>
  <c r="O45" i="34"/>
  <c r="B45" i="34"/>
  <c r="B45" i="31"/>
  <c r="B45" i="37"/>
  <c r="O45" i="37"/>
  <c r="B45" i="36"/>
  <c r="B45" i="33"/>
  <c r="O45" i="33"/>
  <c r="U42" i="36"/>
  <c r="V42" i="36"/>
  <c r="W42" i="36" s="1"/>
  <c r="Z40" i="17" s="1"/>
  <c r="V42" i="40"/>
  <c r="W42" i="40" s="1"/>
  <c r="AB40" i="17" s="1"/>
  <c r="U42" i="40"/>
  <c r="I42" i="40"/>
  <c r="J42" i="40"/>
  <c r="K42" i="40" s="1"/>
  <c r="K40" i="17" s="1"/>
  <c r="J45" i="36"/>
  <c r="K45" i="36" s="1"/>
  <c r="I43" i="17" s="1"/>
  <c r="I45" i="36"/>
  <c r="B46" i="35" l="1"/>
  <c r="O46" i="31"/>
  <c r="O46" i="32"/>
  <c r="B46" i="31"/>
  <c r="O46" i="34"/>
  <c r="B46" i="18"/>
  <c r="O46" i="33"/>
  <c r="O46" i="40"/>
  <c r="O46" i="35"/>
  <c r="B46" i="32"/>
  <c r="B42" i="7"/>
  <c r="B46" i="34"/>
  <c r="B46" i="40"/>
  <c r="O46" i="37"/>
  <c r="B46" i="33"/>
  <c r="B46" i="36"/>
  <c r="O46" i="36"/>
  <c r="B46" i="37"/>
  <c r="O46" i="18"/>
  <c r="V43" i="36"/>
  <c r="W43" i="36" s="1"/>
  <c r="Z41" i="17" s="1"/>
  <c r="U43" i="36"/>
  <c r="J43" i="40"/>
  <c r="K43" i="40" s="1"/>
  <c r="K41" i="17" s="1"/>
  <c r="I43" i="40"/>
  <c r="U43" i="40"/>
  <c r="V43" i="40"/>
  <c r="W43" i="40" s="1"/>
  <c r="AB41" i="17" s="1"/>
  <c r="J46" i="36"/>
  <c r="K46" i="36" s="1"/>
  <c r="I44" i="17" s="1"/>
  <c r="I46" i="36"/>
  <c r="B47" i="35" l="1"/>
  <c r="O47" i="18"/>
  <c r="B47" i="32"/>
  <c r="B47" i="18"/>
  <c r="B43" i="7"/>
  <c r="O47" i="33"/>
  <c r="O47" i="34"/>
  <c r="B47" i="36"/>
  <c r="B47" i="40"/>
  <c r="B47" i="31"/>
  <c r="B47" i="37"/>
  <c r="O47" i="31"/>
  <c r="O47" i="36"/>
  <c r="O47" i="35"/>
  <c r="B47" i="34"/>
  <c r="O47" i="32"/>
  <c r="B47" i="33"/>
  <c r="O47" i="37"/>
  <c r="O47" i="40"/>
  <c r="J44" i="40"/>
  <c r="K44" i="40" s="1"/>
  <c r="K42" i="17" s="1"/>
  <c r="I44" i="40"/>
  <c r="V44" i="40"/>
  <c r="W44" i="40" s="1"/>
  <c r="AB42" i="17" s="1"/>
  <c r="U44" i="40"/>
  <c r="V44" i="36"/>
  <c r="W44" i="36" s="1"/>
  <c r="Z42" i="17" s="1"/>
  <c r="U44" i="36"/>
  <c r="J47" i="36"/>
  <c r="K47" i="36" s="1"/>
  <c r="I45" i="17" s="1"/>
  <c r="I47" i="36"/>
  <c r="O48" i="18" l="1"/>
  <c r="B48" i="40"/>
  <c r="O48" i="36"/>
  <c r="B48" i="33"/>
  <c r="O48" i="33"/>
  <c r="B48" i="36"/>
  <c r="O48" i="40"/>
  <c r="B48" i="34"/>
  <c r="B44" i="7"/>
  <c r="O48" i="35"/>
  <c r="O48" i="34"/>
  <c r="B48" i="31"/>
  <c r="B48" i="37"/>
  <c r="O48" i="31"/>
  <c r="O48" i="32"/>
  <c r="B48" i="32"/>
  <c r="B48" i="18"/>
  <c r="O48" i="37"/>
  <c r="B48" i="35"/>
  <c r="V45" i="40"/>
  <c r="W45" i="40" s="1"/>
  <c r="AB43" i="17" s="1"/>
  <c r="U45" i="40"/>
  <c r="U45" i="36"/>
  <c r="V45" i="36"/>
  <c r="W45" i="36" s="1"/>
  <c r="Z43" i="17" s="1"/>
  <c r="I45" i="40"/>
  <c r="J45" i="40"/>
  <c r="K45" i="40" s="1"/>
  <c r="K43" i="17" s="1"/>
  <c r="J48" i="36"/>
  <c r="K48" i="36" s="1"/>
  <c r="I46" i="17" s="1"/>
  <c r="I48" i="36"/>
  <c r="O49" i="31" l="1"/>
  <c r="O49" i="34"/>
  <c r="B49" i="37"/>
  <c r="B45" i="7"/>
  <c r="O49" i="37"/>
  <c r="B49" i="34"/>
  <c r="O49" i="18"/>
  <c r="O49" i="36"/>
  <c r="O49" i="33"/>
  <c r="O49" i="40"/>
  <c r="B49" i="18"/>
  <c r="O49" i="35"/>
  <c r="B49" i="35"/>
  <c r="B49" i="31"/>
  <c r="B49" i="36"/>
  <c r="O49" i="32"/>
  <c r="B49" i="32"/>
  <c r="B49" i="40"/>
  <c r="B49" i="33"/>
  <c r="U46" i="36"/>
  <c r="V46" i="36"/>
  <c r="W46" i="36" s="1"/>
  <c r="Z44" i="17" s="1"/>
  <c r="J46" i="40"/>
  <c r="K46" i="40" s="1"/>
  <c r="K44" i="17" s="1"/>
  <c r="I46" i="40"/>
  <c r="V46" i="40"/>
  <c r="W46" i="40" s="1"/>
  <c r="AB44" i="17" s="1"/>
  <c r="U46" i="40"/>
  <c r="I49" i="36"/>
  <c r="J49" i="36"/>
  <c r="K49" i="36" s="1"/>
  <c r="I47" i="17" s="1"/>
  <c r="B50" i="37" l="1"/>
  <c r="B50" i="18"/>
  <c r="B50" i="33"/>
  <c r="O50" i="36"/>
  <c r="B50" i="36"/>
  <c r="O50" i="32"/>
  <c r="O50" i="37"/>
  <c r="O50" i="40"/>
  <c r="B46" i="7"/>
  <c r="O50" i="33"/>
  <c r="B50" i="35"/>
  <c r="B50" i="34"/>
  <c r="O50" i="18"/>
  <c r="B50" i="31"/>
  <c r="B50" i="40"/>
  <c r="B50" i="32"/>
  <c r="O50" i="34"/>
  <c r="O50" i="31"/>
  <c r="O50" i="35"/>
  <c r="V47" i="36"/>
  <c r="W47" i="36" s="1"/>
  <c r="Z45" i="17" s="1"/>
  <c r="U47" i="36"/>
  <c r="V47" i="40"/>
  <c r="W47" i="40" s="1"/>
  <c r="AB45" i="17" s="1"/>
  <c r="U47" i="40"/>
  <c r="I47" i="40"/>
  <c r="J47" i="40"/>
  <c r="K47" i="40" s="1"/>
  <c r="K45" i="17" s="1"/>
  <c r="J50" i="36"/>
  <c r="K50" i="36" s="1"/>
  <c r="I48" i="17" s="1"/>
  <c r="I50" i="36"/>
  <c r="O51" i="18" l="1"/>
  <c r="O51" i="35"/>
  <c r="O51" i="33"/>
  <c r="O51" i="37"/>
  <c r="O51" i="31"/>
  <c r="B51" i="18"/>
  <c r="B51" i="37"/>
  <c r="B51" i="35"/>
  <c r="B51" i="31"/>
  <c r="B51" i="34"/>
  <c r="B51" i="33"/>
  <c r="B51" i="36"/>
  <c r="B51" i="32"/>
  <c r="O51" i="36"/>
  <c r="B51" i="40"/>
  <c r="O51" i="40"/>
  <c r="O51" i="32"/>
  <c r="O51" i="34"/>
  <c r="B47" i="7"/>
  <c r="J48" i="40"/>
  <c r="K48" i="40" s="1"/>
  <c r="K46" i="17" s="1"/>
  <c r="I48" i="40"/>
  <c r="V48" i="40"/>
  <c r="W48" i="40" s="1"/>
  <c r="AB46" i="17" s="1"/>
  <c r="U48" i="40"/>
  <c r="U48" i="36"/>
  <c r="V48" i="36"/>
  <c r="W48" i="36" s="1"/>
  <c r="Z46" i="17" s="1"/>
  <c r="I51" i="36"/>
  <c r="J51" i="36"/>
  <c r="K51" i="36" s="1"/>
  <c r="I49" i="17" s="1"/>
  <c r="O52" i="32" l="1"/>
  <c r="B52" i="18"/>
  <c r="O52" i="35"/>
  <c r="O52" i="31"/>
  <c r="B52" i="31"/>
  <c r="O52" i="18"/>
  <c r="B52" i="36"/>
  <c r="O52" i="36"/>
  <c r="B52" i="34"/>
  <c r="B48" i="7"/>
  <c r="O52" i="37"/>
  <c r="O52" i="33"/>
  <c r="B52" i="33"/>
  <c r="O52" i="34"/>
  <c r="B52" i="37"/>
  <c r="B52" i="35"/>
  <c r="O52" i="40"/>
  <c r="B52" i="40"/>
  <c r="B52" i="32"/>
  <c r="V49" i="36"/>
  <c r="W49" i="36" s="1"/>
  <c r="Z47" i="17" s="1"/>
  <c r="U49" i="36"/>
  <c r="V49" i="40"/>
  <c r="W49" i="40" s="1"/>
  <c r="AB47" i="17" s="1"/>
  <c r="U49" i="40"/>
  <c r="I49" i="40"/>
  <c r="J49" i="40"/>
  <c r="K49" i="40" s="1"/>
  <c r="K47" i="17" s="1"/>
  <c r="I52" i="36"/>
  <c r="J52" i="36"/>
  <c r="K52" i="36" s="1"/>
  <c r="I50" i="17" s="1"/>
  <c r="O53" i="33" l="1"/>
  <c r="B53" i="35"/>
  <c r="B53" i="33"/>
  <c r="O53" i="34"/>
  <c r="B53" i="36"/>
  <c r="B53" i="32"/>
  <c r="O53" i="18"/>
  <c r="B53" i="40"/>
  <c r="O53" i="36"/>
  <c r="O53" i="35"/>
  <c r="O53" i="32"/>
  <c r="B53" i="37"/>
  <c r="O53" i="31"/>
  <c r="B53" i="18"/>
  <c r="B49" i="7"/>
  <c r="B53" i="31"/>
  <c r="O53" i="40"/>
  <c r="B53" i="34"/>
  <c r="O53" i="37"/>
  <c r="V50" i="40"/>
  <c r="W50" i="40" s="1"/>
  <c r="AB48" i="17" s="1"/>
  <c r="U50" i="40"/>
  <c r="I50" i="40"/>
  <c r="J50" i="40"/>
  <c r="K50" i="40" s="1"/>
  <c r="K48" i="17" s="1"/>
  <c r="V50" i="36"/>
  <c r="W50" i="36" s="1"/>
  <c r="Z48" i="17" s="1"/>
  <c r="U50" i="36"/>
  <c r="J53" i="36"/>
  <c r="K53" i="36" s="1"/>
  <c r="I51" i="17" s="1"/>
  <c r="I53" i="36"/>
  <c r="B54" i="32" l="1"/>
  <c r="O54" i="18"/>
  <c r="B54" i="18"/>
  <c r="B50" i="7"/>
  <c r="B54" i="36"/>
  <c r="B54" i="34"/>
  <c r="O54" i="32"/>
  <c r="O54" i="35"/>
  <c r="B54" i="40"/>
  <c r="O54" i="40"/>
  <c r="B54" i="33"/>
  <c r="O54" i="34"/>
  <c r="B54" i="35"/>
  <c r="O54" i="37"/>
  <c r="B54" i="37"/>
  <c r="B54" i="31"/>
  <c r="O54" i="36"/>
  <c r="O54" i="31"/>
  <c r="O54" i="33"/>
  <c r="J51" i="40"/>
  <c r="K51" i="40" s="1"/>
  <c r="K49" i="17" s="1"/>
  <c r="I51" i="40"/>
  <c r="V51" i="36"/>
  <c r="W51" i="36" s="1"/>
  <c r="Z49" i="17" s="1"/>
  <c r="U51" i="36"/>
  <c r="V51" i="40"/>
  <c r="W51" i="40" s="1"/>
  <c r="AB49" i="17" s="1"/>
  <c r="U51" i="40"/>
  <c r="J54" i="36"/>
  <c r="K54" i="36" s="1"/>
  <c r="I52" i="17" s="1"/>
  <c r="I54" i="36"/>
  <c r="B55" i="31" l="1"/>
  <c r="B55" i="33"/>
  <c r="O55" i="32"/>
  <c r="B51" i="7"/>
  <c r="B55" i="40"/>
  <c r="B55" i="18"/>
  <c r="O55" i="36"/>
  <c r="B55" i="32"/>
  <c r="B55" i="35"/>
  <c r="B55" i="34"/>
  <c r="B55" i="37"/>
  <c r="B55" i="36"/>
  <c r="O55" i="31"/>
  <c r="O55" i="33"/>
  <c r="O55" i="40"/>
  <c r="O55" i="18"/>
  <c r="O55" i="34"/>
  <c r="O55" i="35"/>
  <c r="O55" i="37"/>
  <c r="I52" i="40"/>
  <c r="J52" i="40"/>
  <c r="K52" i="40" s="1"/>
  <c r="K50" i="17" s="1"/>
  <c r="V52" i="40"/>
  <c r="W52" i="40" s="1"/>
  <c r="AB50" i="17" s="1"/>
  <c r="U52" i="40"/>
  <c r="U52" i="36"/>
  <c r="V52" i="36"/>
  <c r="W52" i="36" s="1"/>
  <c r="Z50" i="17" s="1"/>
  <c r="I55" i="36"/>
  <c r="J55" i="36"/>
  <c r="K55" i="36" s="1"/>
  <c r="I53" i="17" s="1"/>
  <c r="O56" i="35" l="1"/>
  <c r="B56" i="18"/>
  <c r="O56" i="32"/>
  <c r="B56" i="33"/>
  <c r="B56" i="40"/>
  <c r="O56" i="40"/>
  <c r="O56" i="34"/>
  <c r="B56" i="31"/>
  <c r="B52" i="7"/>
  <c r="B56" i="36"/>
  <c r="B56" i="37"/>
  <c r="B56" i="35"/>
  <c r="B56" i="34"/>
  <c r="O56" i="33"/>
  <c r="B56" i="32"/>
  <c r="O56" i="18"/>
  <c r="O56" i="37"/>
  <c r="O56" i="31"/>
  <c r="O56" i="36"/>
  <c r="U53" i="36"/>
  <c r="V53" i="36"/>
  <c r="W53" i="36" s="1"/>
  <c r="Z51" i="17" s="1"/>
  <c r="I53" i="40"/>
  <c r="J53" i="40"/>
  <c r="K53" i="40" s="1"/>
  <c r="K51" i="17" s="1"/>
  <c r="V53" i="40"/>
  <c r="W53" i="40" s="1"/>
  <c r="AB51" i="17" s="1"/>
  <c r="U53" i="40"/>
  <c r="J56" i="36"/>
  <c r="K56" i="36" s="1"/>
  <c r="I54" i="17" s="1"/>
  <c r="I56" i="36"/>
  <c r="O57" i="32" l="1"/>
  <c r="O57" i="37"/>
  <c r="O57" i="40"/>
  <c r="B57" i="18"/>
  <c r="O57" i="31"/>
  <c r="O57" i="18"/>
  <c r="B57" i="33"/>
  <c r="O57" i="34"/>
  <c r="O57" i="33"/>
  <c r="B57" i="37"/>
  <c r="O57" i="36"/>
  <c r="B57" i="40"/>
  <c r="B57" i="32"/>
  <c r="B57" i="31"/>
  <c r="O57" i="35"/>
  <c r="B57" i="35"/>
  <c r="B57" i="36"/>
  <c r="B53" i="7"/>
  <c r="B57" i="34"/>
  <c r="U54" i="36"/>
  <c r="V54" i="36"/>
  <c r="W54" i="36" s="1"/>
  <c r="Z52" i="17" s="1"/>
  <c r="V54" i="40"/>
  <c r="W54" i="40" s="1"/>
  <c r="AB52" i="17" s="1"/>
  <c r="U54" i="40"/>
  <c r="I54" i="40"/>
  <c r="J54" i="40"/>
  <c r="K54" i="40" s="1"/>
  <c r="K52" i="17" s="1"/>
  <c r="I57" i="36"/>
  <c r="J57" i="36"/>
  <c r="K57" i="36" s="1"/>
  <c r="I55" i="17" s="1"/>
  <c r="B58" i="33" l="1"/>
  <c r="B58" i="37"/>
  <c r="O58" i="33"/>
  <c r="O58" i="34"/>
  <c r="B58" i="31"/>
  <c r="B58" i="18"/>
  <c r="O58" i="32"/>
  <c r="B58" i="36"/>
  <c r="O58" i="35"/>
  <c r="B58" i="40"/>
  <c r="O58" i="40"/>
  <c r="B58" i="35"/>
  <c r="O58" i="31"/>
  <c r="O58" i="37"/>
  <c r="B58" i="32"/>
  <c r="O58" i="36"/>
  <c r="B58" i="34"/>
  <c r="O58" i="18"/>
  <c r="B54" i="7"/>
  <c r="I55" i="40"/>
  <c r="J55" i="40"/>
  <c r="K55" i="40" s="1"/>
  <c r="K53" i="17" s="1"/>
  <c r="U55" i="36"/>
  <c r="V55" i="36"/>
  <c r="W55" i="36" s="1"/>
  <c r="Z53" i="17" s="1"/>
  <c r="U55" i="40"/>
  <c r="V55" i="40"/>
  <c r="W55" i="40" s="1"/>
  <c r="AB53" i="17" s="1"/>
  <c r="J58" i="36"/>
  <c r="K58" i="36" s="1"/>
  <c r="I56" i="17" s="1"/>
  <c r="I58" i="36"/>
  <c r="B59" i="32" l="1"/>
  <c r="B55" i="7"/>
  <c r="O59" i="35"/>
  <c r="O59" i="31"/>
  <c r="B59" i="18"/>
  <c r="O59" i="18"/>
  <c r="B59" i="36"/>
  <c r="O59" i="33"/>
  <c r="O59" i="36"/>
  <c r="B59" i="37"/>
  <c r="O59" i="32"/>
  <c r="O59" i="40"/>
  <c r="O59" i="37"/>
  <c r="O59" i="34"/>
  <c r="B59" i="40"/>
  <c r="B59" i="35"/>
  <c r="B59" i="34"/>
  <c r="B59" i="31"/>
  <c r="B59" i="33"/>
  <c r="U56" i="40"/>
  <c r="V56" i="40"/>
  <c r="W56" i="40" s="1"/>
  <c r="AB54" i="17" s="1"/>
  <c r="J56" i="40"/>
  <c r="K56" i="40" s="1"/>
  <c r="K54" i="17" s="1"/>
  <c r="I56" i="40"/>
  <c r="U56" i="36"/>
  <c r="V56" i="36"/>
  <c r="W56" i="36" s="1"/>
  <c r="Z54" i="17" s="1"/>
  <c r="J59" i="36"/>
  <c r="K59" i="36" s="1"/>
  <c r="I57" i="17" s="1"/>
  <c r="I59" i="36"/>
  <c r="B60" i="34" l="1"/>
  <c r="B60" i="37"/>
  <c r="B60" i="32"/>
  <c r="O60" i="40"/>
  <c r="O60" i="35"/>
  <c r="O60" i="34"/>
  <c r="O60" i="37"/>
  <c r="O60" i="31"/>
  <c r="B56" i="7"/>
  <c r="B60" i="40"/>
  <c r="B60" i="35"/>
  <c r="B60" i="18"/>
  <c r="O60" i="36"/>
  <c r="B60" i="31"/>
  <c r="B60" i="33"/>
  <c r="O60" i="18"/>
  <c r="O60" i="32"/>
  <c r="B60" i="36"/>
  <c r="O60" i="33"/>
  <c r="I57" i="40"/>
  <c r="J57" i="40"/>
  <c r="K57" i="40" s="1"/>
  <c r="K55" i="17" s="1"/>
  <c r="V57" i="36"/>
  <c r="W57" i="36" s="1"/>
  <c r="Z55" i="17" s="1"/>
  <c r="U57" i="36"/>
  <c r="V57" i="40"/>
  <c r="W57" i="40" s="1"/>
  <c r="AB55" i="17" s="1"/>
  <c r="U57" i="40"/>
  <c r="J60" i="36"/>
  <c r="K60" i="36" s="1"/>
  <c r="I58" i="17" s="1"/>
  <c r="I60" i="36"/>
  <c r="B61" i="33" l="1"/>
  <c r="O61" i="34"/>
  <c r="B61" i="36"/>
  <c r="O61" i="35"/>
  <c r="B61" i="31"/>
  <c r="B61" i="35"/>
  <c r="B61" i="18"/>
  <c r="O61" i="31"/>
  <c r="B57" i="7"/>
  <c r="O61" i="37"/>
  <c r="O61" i="18"/>
  <c r="B61" i="37"/>
  <c r="B61" i="34"/>
  <c r="O61" i="40"/>
  <c r="O61" i="32"/>
  <c r="O61" i="36"/>
  <c r="B61" i="32"/>
  <c r="O61" i="33"/>
  <c r="B61" i="40"/>
  <c r="U58" i="36"/>
  <c r="V58" i="36"/>
  <c r="W58" i="36" s="1"/>
  <c r="Z56" i="17" s="1"/>
  <c r="U58" i="40"/>
  <c r="V58" i="40"/>
  <c r="W58" i="40" s="1"/>
  <c r="AB56" i="17" s="1"/>
  <c r="J58" i="40"/>
  <c r="K58" i="40" s="1"/>
  <c r="K56" i="17" s="1"/>
  <c r="I58" i="40"/>
  <c r="J61" i="36"/>
  <c r="K61" i="36" s="1"/>
  <c r="I59" i="17" s="1"/>
  <c r="I61" i="36"/>
  <c r="O62" i="35" l="1"/>
  <c r="B62" i="37"/>
  <c r="O62" i="34"/>
  <c r="B58" i="7"/>
  <c r="B62" i="18"/>
  <c r="B62" i="35"/>
  <c r="B62" i="40"/>
  <c r="O62" i="33"/>
  <c r="B62" i="32"/>
  <c r="O62" i="40"/>
  <c r="B62" i="33"/>
  <c r="B62" i="31"/>
  <c r="O62" i="32"/>
  <c r="O62" i="36"/>
  <c r="O62" i="31"/>
  <c r="B62" i="34"/>
  <c r="B62" i="36"/>
  <c r="O62" i="37"/>
  <c r="O62" i="18"/>
  <c r="J59" i="40"/>
  <c r="K59" i="40" s="1"/>
  <c r="K57" i="17" s="1"/>
  <c r="I59" i="40"/>
  <c r="U59" i="40"/>
  <c r="V59" i="40"/>
  <c r="W59" i="40" s="1"/>
  <c r="AB57" i="17" s="1"/>
  <c r="U59" i="36"/>
  <c r="V59" i="36"/>
  <c r="W59" i="36" s="1"/>
  <c r="Z57" i="17" s="1"/>
  <c r="J62" i="36"/>
  <c r="K62" i="36" s="1"/>
  <c r="I60" i="17" s="1"/>
  <c r="I62" i="36"/>
  <c r="B63" i="40" l="1"/>
  <c r="B63" i="34"/>
  <c r="B63" i="36"/>
  <c r="B63" i="35"/>
  <c r="O63" i="35"/>
  <c r="B63" i="18"/>
  <c r="O63" i="18"/>
  <c r="O63" i="33"/>
  <c r="B63" i="33"/>
  <c r="O63" i="36"/>
  <c r="O63" i="40"/>
  <c r="O63" i="34"/>
  <c r="B63" i="37"/>
  <c r="O63" i="31"/>
  <c r="B63" i="31"/>
  <c r="B63" i="32"/>
  <c r="B59" i="7"/>
  <c r="O63" i="37"/>
  <c r="O63" i="32"/>
  <c r="V60" i="40"/>
  <c r="W60" i="40" s="1"/>
  <c r="AB58" i="17" s="1"/>
  <c r="U60" i="40"/>
  <c r="U60" i="36"/>
  <c r="V60" i="36"/>
  <c r="W60" i="36" s="1"/>
  <c r="Z58" i="17" s="1"/>
  <c r="I60" i="40"/>
  <c r="J60" i="40"/>
  <c r="K60" i="40" s="1"/>
  <c r="K58" i="17" s="1"/>
  <c r="I63" i="36"/>
  <c r="J63" i="36"/>
  <c r="K63" i="36" s="1"/>
  <c r="I61" i="17" s="1"/>
  <c r="B64" i="35" l="1"/>
  <c r="O64" i="32"/>
  <c r="O64" i="33"/>
  <c r="O64" i="34"/>
  <c r="B64" i="31"/>
  <c r="O64" i="40"/>
  <c r="B64" i="32"/>
  <c r="O64" i="31"/>
  <c r="O64" i="18"/>
  <c r="B64" i="34"/>
  <c r="B64" i="40"/>
  <c r="B60" i="7"/>
  <c r="B64" i="36"/>
  <c r="B64" i="18"/>
  <c r="O64" i="36"/>
  <c r="O64" i="37"/>
  <c r="O64" i="35"/>
  <c r="B64" i="37"/>
  <c r="B64" i="33"/>
  <c r="I61" i="40"/>
  <c r="J61" i="40"/>
  <c r="K61" i="40" s="1"/>
  <c r="K59" i="17" s="1"/>
  <c r="U61" i="36"/>
  <c r="V61" i="36"/>
  <c r="W61" i="36" s="1"/>
  <c r="Z59" i="17" s="1"/>
  <c r="U61" i="40"/>
  <c r="V61" i="40"/>
  <c r="W61" i="40" s="1"/>
  <c r="AB59" i="17" s="1"/>
  <c r="J64" i="36"/>
  <c r="K64" i="36" s="1"/>
  <c r="I62" i="17" s="1"/>
  <c r="I64" i="36"/>
  <c r="O65" i="37" l="1"/>
  <c r="O65" i="33"/>
  <c r="O65" i="18"/>
  <c r="B65" i="33"/>
  <c r="B65" i="31"/>
  <c r="O65" i="34"/>
  <c r="B65" i="40"/>
  <c r="O65" i="32"/>
  <c r="B65" i="36"/>
  <c r="O65" i="36"/>
  <c r="B65" i="34"/>
  <c r="B65" i="37"/>
  <c r="B61" i="7"/>
  <c r="O65" i="35"/>
  <c r="B65" i="35"/>
  <c r="B65" i="18"/>
  <c r="B65" i="32"/>
  <c r="O65" i="40"/>
  <c r="O65" i="31"/>
  <c r="J62" i="40"/>
  <c r="K62" i="40" s="1"/>
  <c r="K60" i="17" s="1"/>
  <c r="I62" i="40"/>
  <c r="U62" i="40"/>
  <c r="V62" i="40"/>
  <c r="W62" i="40" s="1"/>
  <c r="AB60" i="17" s="1"/>
  <c r="V62" i="36"/>
  <c r="W62" i="36" s="1"/>
  <c r="Z60" i="17" s="1"/>
  <c r="U62" i="36"/>
  <c r="J65" i="36"/>
  <c r="K65" i="36" s="1"/>
  <c r="I63" i="17" s="1"/>
  <c r="I65" i="36"/>
  <c r="B66" i="37" l="1"/>
  <c r="O66" i="34"/>
  <c r="B66" i="32"/>
  <c r="B66" i="36"/>
  <c r="B66" i="34"/>
  <c r="B66" i="18"/>
  <c r="O66" i="32"/>
  <c r="O66" i="33"/>
  <c r="O66" i="31"/>
  <c r="O66" i="18"/>
  <c r="O66" i="36"/>
  <c r="B66" i="33"/>
  <c r="B66" i="31"/>
  <c r="B66" i="40"/>
  <c r="B66" i="35"/>
  <c r="O66" i="37"/>
  <c r="B62" i="7"/>
  <c r="O66" i="35"/>
  <c r="O66" i="40"/>
  <c r="U63" i="36"/>
  <c r="V63" i="36"/>
  <c r="W63" i="36" s="1"/>
  <c r="Z61" i="17" s="1"/>
  <c r="U63" i="40"/>
  <c r="V63" i="40"/>
  <c r="W63" i="40" s="1"/>
  <c r="AB61" i="17" s="1"/>
  <c r="J63" i="40"/>
  <c r="K63" i="40" s="1"/>
  <c r="K61" i="17" s="1"/>
  <c r="I63" i="40"/>
  <c r="J66" i="36"/>
  <c r="K66" i="36" s="1"/>
  <c r="I64" i="17" s="1"/>
  <c r="I66" i="36"/>
  <c r="O67" i="40" l="1"/>
  <c r="B67" i="36"/>
  <c r="O67" i="34"/>
  <c r="B67" i="31"/>
  <c r="B67" i="33"/>
  <c r="O67" i="31"/>
  <c r="B67" i="35"/>
  <c r="B67" i="37"/>
  <c r="B67" i="40"/>
  <c r="O67" i="32"/>
  <c r="B67" i="18"/>
  <c r="O67" i="33"/>
  <c r="B63" i="7"/>
  <c r="O67" i="37"/>
  <c r="O67" i="18"/>
  <c r="O67" i="36"/>
  <c r="B67" i="34"/>
  <c r="O67" i="35"/>
  <c r="B67" i="32"/>
  <c r="I64" i="40"/>
  <c r="J64" i="40"/>
  <c r="K64" i="40" s="1"/>
  <c r="K62" i="17" s="1"/>
  <c r="U64" i="40"/>
  <c r="V64" i="40"/>
  <c r="W64" i="40" s="1"/>
  <c r="AB62" i="17" s="1"/>
  <c r="U64" i="36"/>
  <c r="V64" i="36"/>
  <c r="W64" i="36" s="1"/>
  <c r="Z62" i="17" s="1"/>
  <c r="J67" i="36"/>
  <c r="K67" i="36" s="1"/>
  <c r="I65" i="17" s="1"/>
  <c r="I67" i="36"/>
  <c r="O68" i="31" l="1"/>
  <c r="O68" i="37"/>
  <c r="B68" i="18"/>
  <c r="B68" i="37"/>
  <c r="B68" i="35"/>
  <c r="O68" i="18"/>
  <c r="O68" i="34"/>
  <c r="B64" i="7"/>
  <c r="B68" i="31"/>
  <c r="O68" i="32"/>
  <c r="O68" i="33"/>
  <c r="O68" i="35"/>
  <c r="B68" i="40"/>
  <c r="O68" i="40"/>
  <c r="B68" i="33"/>
  <c r="B68" i="34"/>
  <c r="B68" i="32"/>
  <c r="O68" i="36"/>
  <c r="B68" i="36"/>
  <c r="V65" i="36"/>
  <c r="W65" i="36" s="1"/>
  <c r="Z63" i="17" s="1"/>
  <c r="U65" i="36"/>
  <c r="V65" i="40"/>
  <c r="W65" i="40" s="1"/>
  <c r="AB63" i="17" s="1"/>
  <c r="U65" i="40"/>
  <c r="I65" i="40"/>
  <c r="J65" i="40"/>
  <c r="K65" i="40" s="1"/>
  <c r="K63" i="17" s="1"/>
  <c r="J68" i="36"/>
  <c r="K68" i="36" s="1"/>
  <c r="I66" i="17" s="1"/>
  <c r="I68" i="36"/>
  <c r="O69" i="18" l="1"/>
  <c r="O69" i="35"/>
  <c r="B69" i="33"/>
  <c r="O69" i="33"/>
  <c r="B69" i="36"/>
  <c r="O69" i="37"/>
  <c r="B69" i="35"/>
  <c r="O69" i="34"/>
  <c r="B69" i="37"/>
  <c r="O69" i="32"/>
  <c r="B69" i="18"/>
  <c r="B69" i="40"/>
  <c r="O69" i="31"/>
  <c r="B69" i="32"/>
  <c r="B65" i="7"/>
  <c r="B69" i="31"/>
  <c r="O69" i="36"/>
  <c r="O69" i="40"/>
  <c r="B69" i="34"/>
  <c r="V66" i="40"/>
  <c r="W66" i="40" s="1"/>
  <c r="AB64" i="17" s="1"/>
  <c r="U66" i="40"/>
  <c r="I66" i="40"/>
  <c r="J66" i="40"/>
  <c r="K66" i="40" s="1"/>
  <c r="K64" i="17" s="1"/>
  <c r="V66" i="36"/>
  <c r="W66" i="36" s="1"/>
  <c r="Z64" i="17" s="1"/>
  <c r="U66" i="36"/>
  <c r="J69" i="36"/>
  <c r="K69" i="36" s="1"/>
  <c r="I67" i="17" s="1"/>
  <c r="I69" i="36"/>
  <c r="O70" i="33" l="1"/>
  <c r="O70" i="34"/>
  <c r="O70" i="31"/>
  <c r="O70" i="36"/>
  <c r="B70" i="35"/>
  <c r="O70" i="40"/>
  <c r="O70" i="32"/>
  <c r="B70" i="33"/>
  <c r="B70" i="34"/>
  <c r="B70" i="36"/>
  <c r="B70" i="40"/>
  <c r="B70" i="32"/>
  <c r="B70" i="18"/>
  <c r="B70" i="37"/>
  <c r="B66" i="7"/>
  <c r="B70" i="31"/>
  <c r="O70" i="37"/>
  <c r="O70" i="18"/>
  <c r="O70" i="35"/>
  <c r="J67" i="40"/>
  <c r="K67" i="40" s="1"/>
  <c r="K65" i="17" s="1"/>
  <c r="I67" i="40"/>
  <c r="U67" i="36"/>
  <c r="V67" i="36"/>
  <c r="W67" i="36" s="1"/>
  <c r="Z65" i="17" s="1"/>
  <c r="V67" i="40"/>
  <c r="W67" i="40" s="1"/>
  <c r="AB65" i="17" s="1"/>
  <c r="U67" i="40"/>
  <c r="J70" i="36"/>
  <c r="K70" i="36" s="1"/>
  <c r="I68" i="17" s="1"/>
  <c r="I70" i="36"/>
  <c r="B71" i="35" l="1"/>
  <c r="B71" i="32"/>
  <c r="B71" i="33"/>
  <c r="O71" i="18"/>
  <c r="B71" i="37"/>
  <c r="O71" i="32"/>
  <c r="B71" i="18"/>
  <c r="O71" i="37"/>
  <c r="B71" i="36"/>
  <c r="O71" i="31"/>
  <c r="O71" i="33"/>
  <c r="O71" i="35"/>
  <c r="B67" i="7"/>
  <c r="O71" i="36"/>
  <c r="B71" i="31"/>
  <c r="B71" i="40"/>
  <c r="B71" i="34"/>
  <c r="O71" i="34"/>
  <c r="O71" i="40"/>
  <c r="V68" i="36"/>
  <c r="W68" i="36" s="1"/>
  <c r="Z66" i="17" s="1"/>
  <c r="U68" i="36"/>
  <c r="J68" i="40"/>
  <c r="K68" i="40" s="1"/>
  <c r="K66" i="17" s="1"/>
  <c r="I68" i="40"/>
  <c r="U68" i="40"/>
  <c r="V68" i="40"/>
  <c r="W68" i="40" s="1"/>
  <c r="AB66" i="17" s="1"/>
  <c r="J71" i="36"/>
  <c r="K71" i="36" s="1"/>
  <c r="I69" i="17" s="1"/>
  <c r="I71" i="36"/>
  <c r="O72" i="40" l="1"/>
  <c r="O72" i="34"/>
  <c r="B72" i="35"/>
  <c r="B72" i="36"/>
  <c r="O72" i="35"/>
  <c r="O72" i="32"/>
  <c r="B72" i="32"/>
  <c r="B72" i="33"/>
  <c r="O72" i="33"/>
  <c r="B72" i="40"/>
  <c r="O72" i="36"/>
  <c r="O72" i="37"/>
  <c r="B72" i="34"/>
  <c r="B72" i="18"/>
  <c r="B72" i="37"/>
  <c r="B68" i="7"/>
  <c r="O72" i="31"/>
  <c r="O72" i="18"/>
  <c r="B72" i="31"/>
  <c r="J69" i="40"/>
  <c r="K69" i="40" s="1"/>
  <c r="K67" i="17" s="1"/>
  <c r="I69" i="40"/>
  <c r="U69" i="36"/>
  <c r="V69" i="36"/>
  <c r="W69" i="36" s="1"/>
  <c r="Z67" i="17" s="1"/>
  <c r="U69" i="40"/>
  <c r="V69" i="40"/>
  <c r="W69" i="40" s="1"/>
  <c r="AB67" i="17" s="1"/>
  <c r="J72" i="36"/>
  <c r="K72" i="36" s="1"/>
  <c r="I70" i="17" s="1"/>
  <c r="I72" i="36"/>
  <c r="O73" i="31" l="1"/>
  <c r="O73" i="34"/>
  <c r="B73" i="37"/>
  <c r="O73" i="18"/>
  <c r="B73" i="31"/>
  <c r="O73" i="37"/>
  <c r="B73" i="40"/>
  <c r="B73" i="18"/>
  <c r="B69" i="7"/>
  <c r="O73" i="36"/>
  <c r="O73" i="32"/>
  <c r="B73" i="33"/>
  <c r="B73" i="34"/>
  <c r="B73" i="32"/>
  <c r="B73" i="36"/>
  <c r="O73" i="40"/>
  <c r="B73" i="35"/>
  <c r="O73" i="33"/>
  <c r="O73" i="35"/>
  <c r="J70" i="40"/>
  <c r="K70" i="40" s="1"/>
  <c r="K68" i="17" s="1"/>
  <c r="I70" i="40"/>
  <c r="V70" i="40"/>
  <c r="W70" i="40" s="1"/>
  <c r="AB68" i="17" s="1"/>
  <c r="U70" i="40"/>
  <c r="V70" i="36"/>
  <c r="W70" i="36" s="1"/>
  <c r="Z68" i="17" s="1"/>
  <c r="U70" i="36"/>
  <c r="J73" i="36"/>
  <c r="K73" i="36" s="1"/>
  <c r="I71" i="17" s="1"/>
  <c r="I73" i="36"/>
  <c r="O74" i="18" l="1"/>
  <c r="O74" i="40"/>
  <c r="B74" i="40"/>
  <c r="O74" i="32"/>
  <c r="B74" i="18"/>
  <c r="B74" i="32"/>
  <c r="B74" i="36"/>
  <c r="O74" i="34"/>
  <c r="B74" i="33"/>
  <c r="B74" i="34"/>
  <c r="B70" i="7"/>
  <c r="O74" i="35"/>
  <c r="O74" i="37"/>
  <c r="O74" i="36"/>
  <c r="O74" i="31"/>
  <c r="B74" i="37"/>
  <c r="B74" i="35"/>
  <c r="B74" i="31"/>
  <c r="O74" i="33"/>
  <c r="J71" i="40"/>
  <c r="K71" i="40" s="1"/>
  <c r="K69" i="17" s="1"/>
  <c r="I71" i="40"/>
  <c r="U71" i="36"/>
  <c r="V71" i="36"/>
  <c r="W71" i="36" s="1"/>
  <c r="Z69" i="17" s="1"/>
  <c r="V71" i="40"/>
  <c r="W71" i="40" s="1"/>
  <c r="AB69" i="17" s="1"/>
  <c r="U71" i="40"/>
  <c r="J74" i="36"/>
  <c r="K74" i="36" s="1"/>
  <c r="I72" i="17" s="1"/>
  <c r="I74" i="36"/>
  <c r="B75" i="32" l="1"/>
  <c r="O75" i="18"/>
  <c r="B75" i="37"/>
  <c r="O75" i="33"/>
  <c r="B75" i="36"/>
  <c r="B75" i="35"/>
  <c r="O75" i="32"/>
  <c r="O75" i="31"/>
  <c r="B71" i="7"/>
  <c r="O75" i="35"/>
  <c r="B75" i="40"/>
  <c r="O75" i="40"/>
  <c r="O75" i="34"/>
  <c r="O75" i="37"/>
  <c r="B75" i="33"/>
  <c r="B75" i="34"/>
  <c r="B75" i="31"/>
  <c r="O75" i="36"/>
  <c r="B75" i="18"/>
  <c r="V72" i="36"/>
  <c r="W72" i="36" s="1"/>
  <c r="Z70" i="17" s="1"/>
  <c r="U72" i="36"/>
  <c r="U72" i="40"/>
  <c r="V72" i="40"/>
  <c r="W72" i="40" s="1"/>
  <c r="AB70" i="17" s="1"/>
  <c r="I72" i="40"/>
  <c r="J72" i="40"/>
  <c r="K72" i="40" s="1"/>
  <c r="K70" i="17" s="1"/>
  <c r="J75" i="36"/>
  <c r="K75" i="36" s="1"/>
  <c r="I73" i="17" s="1"/>
  <c r="I75" i="36"/>
  <c r="O76" i="32" l="1"/>
  <c r="B76" i="40"/>
  <c r="B76" i="31"/>
  <c r="B76" i="37"/>
  <c r="O76" i="18"/>
  <c r="B76" i="32"/>
  <c r="B72" i="7"/>
  <c r="O76" i="40"/>
  <c r="O76" i="31"/>
  <c r="O76" i="35"/>
  <c r="B76" i="34"/>
  <c r="B76" i="35"/>
  <c r="O76" i="33"/>
  <c r="O76" i="36"/>
  <c r="B76" i="36"/>
  <c r="B76" i="18"/>
  <c r="O76" i="34"/>
  <c r="O76" i="37"/>
  <c r="B76" i="33"/>
  <c r="J73" i="40"/>
  <c r="K73" i="40" s="1"/>
  <c r="K71" i="17" s="1"/>
  <c r="I73" i="40"/>
  <c r="U73" i="40"/>
  <c r="V73" i="40"/>
  <c r="W73" i="40" s="1"/>
  <c r="AB71" i="17" s="1"/>
  <c r="U73" i="36"/>
  <c r="V73" i="36"/>
  <c r="W73" i="36" s="1"/>
  <c r="Z71" i="17" s="1"/>
  <c r="J76" i="36"/>
  <c r="K76" i="36" s="1"/>
  <c r="I74" i="17" s="1"/>
  <c r="I76" i="36"/>
  <c r="O77" i="37" l="1"/>
  <c r="O77" i="40"/>
  <c r="B77" i="40"/>
  <c r="B77" i="31"/>
  <c r="B77" i="35"/>
  <c r="O77" i="33"/>
  <c r="B73" i="7"/>
  <c r="O77" i="34"/>
  <c r="O77" i="35"/>
  <c r="B77" i="37"/>
  <c r="B77" i="36"/>
  <c r="O77" i="36"/>
  <c r="B77" i="34"/>
  <c r="B77" i="32"/>
  <c r="O77" i="31"/>
  <c r="O77" i="18"/>
  <c r="O77" i="32"/>
  <c r="B77" i="18"/>
  <c r="B77" i="33"/>
  <c r="V74" i="40"/>
  <c r="W74" i="40" s="1"/>
  <c r="AB72" i="17" s="1"/>
  <c r="U74" i="40"/>
  <c r="U74" i="36"/>
  <c r="V74" i="36"/>
  <c r="W74" i="36" s="1"/>
  <c r="Z72" i="17" s="1"/>
  <c r="J74" i="40"/>
  <c r="K74" i="40" s="1"/>
  <c r="K72" i="17" s="1"/>
  <c r="I74" i="40"/>
  <c r="J77" i="36"/>
  <c r="K77" i="36" s="1"/>
  <c r="I75" i="17" s="1"/>
  <c r="I77" i="36"/>
  <c r="B78" i="34" l="1"/>
  <c r="B78" i="36"/>
  <c r="B78" i="35"/>
  <c r="O78" i="34"/>
  <c r="O78" i="40"/>
  <c r="B78" i="31"/>
  <c r="B78" i="33"/>
  <c r="B78" i="18"/>
  <c r="O78" i="37"/>
  <c r="O78" i="31"/>
  <c r="O78" i="33"/>
  <c r="O78" i="32"/>
  <c r="B78" i="37"/>
  <c r="O78" i="18"/>
  <c r="B78" i="32"/>
  <c r="B74" i="7"/>
  <c r="B78" i="40"/>
  <c r="O78" i="36"/>
  <c r="O78" i="35"/>
  <c r="J75" i="40"/>
  <c r="K75" i="40" s="1"/>
  <c r="K73" i="17" s="1"/>
  <c r="I75" i="40"/>
  <c r="U75" i="36"/>
  <c r="V75" i="36"/>
  <c r="W75" i="36" s="1"/>
  <c r="Z73" i="17" s="1"/>
  <c r="U75" i="40"/>
  <c r="V75" i="40"/>
  <c r="W75" i="40" s="1"/>
  <c r="AB73" i="17" s="1"/>
  <c r="J78" i="36"/>
  <c r="K78" i="36" s="1"/>
  <c r="I76" i="17" s="1"/>
  <c r="I78" i="36"/>
  <c r="O79" i="37" l="1"/>
  <c r="O79" i="18"/>
  <c r="B79" i="36"/>
  <c r="B79" i="35"/>
  <c r="O79" i="36"/>
  <c r="O79" i="35"/>
  <c r="B79" i="31"/>
  <c r="B79" i="37"/>
  <c r="B79" i="40"/>
  <c r="O79" i="34"/>
  <c r="O79" i="33"/>
  <c r="B75" i="7"/>
  <c r="B79" i="33"/>
  <c r="O79" i="31"/>
  <c r="O79" i="40"/>
  <c r="B79" i="18"/>
  <c r="O79" i="32"/>
  <c r="B79" i="32"/>
  <c r="B79" i="34"/>
  <c r="I76" i="40"/>
  <c r="J76" i="40"/>
  <c r="K76" i="40" s="1"/>
  <c r="K74" i="17" s="1"/>
  <c r="U76" i="40"/>
  <c r="V76" i="40"/>
  <c r="W76" i="40" s="1"/>
  <c r="AB74" i="17" s="1"/>
  <c r="V76" i="36"/>
  <c r="W76" i="36" s="1"/>
  <c r="Z74" i="17" s="1"/>
  <c r="U76" i="36"/>
  <c r="J79" i="36"/>
  <c r="K79" i="36" s="1"/>
  <c r="I77" i="17" s="1"/>
  <c r="I79" i="36"/>
  <c r="B80" i="37" l="1"/>
  <c r="B80" i="18"/>
  <c r="O80" i="34"/>
  <c r="B80" i="35"/>
  <c r="B80" i="31"/>
  <c r="O80" i="36"/>
  <c r="B80" i="40"/>
  <c r="B80" i="36"/>
  <c r="B80" i="32"/>
  <c r="O80" i="40"/>
  <c r="B80" i="34"/>
  <c r="O80" i="37"/>
  <c r="B80" i="33"/>
  <c r="O80" i="32"/>
  <c r="B76" i="7"/>
  <c r="O80" i="31"/>
  <c r="O80" i="35"/>
  <c r="O80" i="33"/>
  <c r="O80" i="18"/>
  <c r="I77" i="40"/>
  <c r="J77" i="40"/>
  <c r="K77" i="40" s="1"/>
  <c r="K75" i="17" s="1"/>
  <c r="V77" i="40"/>
  <c r="W77" i="40" s="1"/>
  <c r="AB75" i="17" s="1"/>
  <c r="U77" i="40"/>
  <c r="V77" i="36"/>
  <c r="W77" i="36" s="1"/>
  <c r="Z75" i="17" s="1"/>
  <c r="U77" i="36"/>
  <c r="I80" i="36"/>
  <c r="J80" i="36"/>
  <c r="K80" i="36" s="1"/>
  <c r="I78" i="17" s="1"/>
  <c r="O81" i="18" l="1"/>
  <c r="B81" i="31"/>
  <c r="B77" i="7"/>
  <c r="O81" i="36"/>
  <c r="O81" i="35"/>
  <c r="O81" i="37"/>
  <c r="B81" i="37"/>
  <c r="B81" i="33"/>
  <c r="O81" i="31"/>
  <c r="B81" i="34"/>
  <c r="B81" i="18"/>
  <c r="B81" i="32"/>
  <c r="B81" i="36"/>
  <c r="B81" i="40"/>
  <c r="O81" i="40"/>
  <c r="O81" i="33"/>
  <c r="O81" i="34"/>
  <c r="O81" i="32"/>
  <c r="B81" i="35"/>
  <c r="V78" i="36"/>
  <c r="W78" i="36" s="1"/>
  <c r="Z76" i="17" s="1"/>
  <c r="U78" i="36"/>
  <c r="U78" i="40"/>
  <c r="V78" i="40"/>
  <c r="W78" i="40" s="1"/>
  <c r="AB76" i="17" s="1"/>
  <c r="I78" i="40"/>
  <c r="J78" i="40"/>
  <c r="K78" i="40" s="1"/>
  <c r="K76" i="17" s="1"/>
  <c r="J81" i="36"/>
  <c r="K81" i="36" s="1"/>
  <c r="I79" i="17" s="1"/>
  <c r="I81" i="36"/>
  <c r="B82" i="37" l="1"/>
  <c r="O82" i="33"/>
  <c r="O82" i="18"/>
  <c r="B82" i="31"/>
  <c r="O82" i="31"/>
  <c r="O82" i="40"/>
  <c r="B82" i="36"/>
  <c r="O82" i="36"/>
  <c r="B82" i="34"/>
  <c r="B78" i="7"/>
  <c r="B82" i="33"/>
  <c r="O82" i="34"/>
  <c r="B82" i="18"/>
  <c r="B82" i="40"/>
  <c r="O82" i="35"/>
  <c r="B82" i="32"/>
  <c r="O82" i="37"/>
  <c r="O82" i="32"/>
  <c r="B82" i="35"/>
  <c r="U79" i="36"/>
  <c r="V79" i="36"/>
  <c r="W79" i="36" s="1"/>
  <c r="Z77" i="17" s="1"/>
  <c r="I79" i="40"/>
  <c r="J79" i="40"/>
  <c r="K79" i="40" s="1"/>
  <c r="K77" i="17" s="1"/>
  <c r="U79" i="40"/>
  <c r="V79" i="40"/>
  <c r="W79" i="40" s="1"/>
  <c r="AB77" i="17" s="1"/>
  <c r="J82" i="36"/>
  <c r="K82" i="36" s="1"/>
  <c r="I80" i="17" s="1"/>
  <c r="I82" i="36"/>
  <c r="B79" i="7" l="1"/>
  <c r="O83" i="31"/>
  <c r="O83" i="36"/>
  <c r="O83" i="35"/>
  <c r="B83" i="18"/>
  <c r="B83" i="36"/>
  <c r="O83" i="32"/>
  <c r="O83" i="40"/>
  <c r="B83" i="40"/>
  <c r="B83" i="31"/>
  <c r="B83" i="37"/>
  <c r="O83" i="18"/>
  <c r="B83" i="34"/>
  <c r="O83" i="34"/>
  <c r="O83" i="33"/>
  <c r="O83" i="37"/>
  <c r="B83" i="32"/>
  <c r="B83" i="33"/>
  <c r="B83" i="35"/>
  <c r="U80" i="40"/>
  <c r="V80" i="40"/>
  <c r="W80" i="40" s="1"/>
  <c r="AB78" i="17" s="1"/>
  <c r="V80" i="36"/>
  <c r="W80" i="36" s="1"/>
  <c r="Z78" i="17" s="1"/>
  <c r="U80" i="36"/>
  <c r="J80" i="40"/>
  <c r="K80" i="40" s="1"/>
  <c r="K78" i="17" s="1"/>
  <c r="I80" i="40"/>
  <c r="J83" i="36"/>
  <c r="K83" i="36" s="1"/>
  <c r="I81" i="17" s="1"/>
  <c r="I83" i="36"/>
  <c r="B84" i="32" l="1"/>
  <c r="B84" i="18"/>
  <c r="O84" i="32"/>
  <c r="O84" i="18"/>
  <c r="O84" i="34"/>
  <c r="O84" i="31"/>
  <c r="B84" i="36"/>
  <c r="O84" i="35"/>
  <c r="B84" i="34"/>
  <c r="B84" i="37"/>
  <c r="O84" i="40"/>
  <c r="B80" i="7"/>
  <c r="O84" i="33"/>
  <c r="B84" i="35"/>
  <c r="B84" i="40"/>
  <c r="B84" i="31"/>
  <c r="O84" i="37"/>
  <c r="O84" i="36"/>
  <c r="B84" i="33"/>
  <c r="V81" i="36"/>
  <c r="W81" i="36" s="1"/>
  <c r="Z79" i="17" s="1"/>
  <c r="U81" i="36"/>
  <c r="V81" i="40"/>
  <c r="W81" i="40" s="1"/>
  <c r="AB79" i="17" s="1"/>
  <c r="U81" i="40"/>
  <c r="I81" i="40"/>
  <c r="J81" i="40"/>
  <c r="K81" i="40" s="1"/>
  <c r="K79" i="17" s="1"/>
  <c r="J84" i="36"/>
  <c r="K84" i="36" s="1"/>
  <c r="I82" i="17" s="1"/>
  <c r="I84" i="36"/>
  <c r="B81" i="7" l="1"/>
  <c r="B85" i="35"/>
  <c r="O85" i="35"/>
  <c r="B85" i="40"/>
  <c r="O85" i="36"/>
  <c r="O85" i="37"/>
  <c r="O85" i="33"/>
  <c r="B85" i="31"/>
  <c r="B85" i="37"/>
  <c r="O85" i="31"/>
  <c r="O85" i="18"/>
  <c r="O85" i="40"/>
  <c r="B85" i="33"/>
  <c r="B85" i="32"/>
  <c r="B85" i="36"/>
  <c r="O85" i="34"/>
  <c r="B85" i="18"/>
  <c r="O85" i="32"/>
  <c r="B85" i="34"/>
  <c r="U82" i="40"/>
  <c r="V82" i="40"/>
  <c r="W82" i="40" s="1"/>
  <c r="AB80" i="17" s="1"/>
  <c r="U82" i="36"/>
  <c r="V82" i="36"/>
  <c r="W82" i="36" s="1"/>
  <c r="Z80" i="17" s="1"/>
  <c r="J82" i="40"/>
  <c r="K82" i="40" s="1"/>
  <c r="K80" i="17" s="1"/>
  <c r="I82" i="40"/>
  <c r="I85" i="36"/>
  <c r="J85" i="36"/>
  <c r="K85" i="36" s="1"/>
  <c r="I83" i="17" s="1"/>
  <c r="O86" i="18" l="1"/>
  <c r="B86" i="34"/>
  <c r="B86" i="31"/>
  <c r="O86" i="31"/>
  <c r="O86" i="37"/>
  <c r="B86" i="35"/>
  <c r="B86" i="32"/>
  <c r="B86" i="33"/>
  <c r="O86" i="32"/>
  <c r="O86" i="33"/>
  <c r="B86" i="40"/>
  <c r="B82" i="7"/>
  <c r="B86" i="18"/>
  <c r="B86" i="37"/>
  <c r="O86" i="40"/>
  <c r="O86" i="35"/>
  <c r="B86" i="36"/>
  <c r="O86" i="36"/>
  <c r="O86" i="34"/>
  <c r="U83" i="36"/>
  <c r="V83" i="36"/>
  <c r="W83" i="36" s="1"/>
  <c r="Z81" i="17" s="1"/>
  <c r="V83" i="40"/>
  <c r="W83" i="40" s="1"/>
  <c r="AB81" i="17" s="1"/>
  <c r="U83" i="40"/>
  <c r="J83" i="40"/>
  <c r="K83" i="40" s="1"/>
  <c r="K81" i="17" s="1"/>
  <c r="I83" i="40"/>
  <c r="J86" i="36"/>
  <c r="K86" i="36" s="1"/>
  <c r="I84" i="17" s="1"/>
  <c r="I86" i="36"/>
  <c r="B87" i="18" l="1"/>
  <c r="B87" i="33"/>
  <c r="O87" i="34"/>
  <c r="O87" i="35"/>
  <c r="B87" i="34"/>
  <c r="O87" i="31"/>
  <c r="O87" i="40"/>
  <c r="B83" i="7"/>
  <c r="O87" i="33"/>
  <c r="B87" i="35"/>
  <c r="O87" i="32"/>
  <c r="O87" i="18"/>
  <c r="B87" i="36"/>
  <c r="B87" i="31"/>
  <c r="B87" i="32"/>
  <c r="O87" i="36"/>
  <c r="O87" i="37"/>
  <c r="B87" i="40"/>
  <c r="B87" i="37"/>
  <c r="V84" i="40"/>
  <c r="W84" i="40" s="1"/>
  <c r="AB82" i="17" s="1"/>
  <c r="U84" i="40"/>
  <c r="U84" i="36"/>
  <c r="V84" i="36"/>
  <c r="W84" i="36" s="1"/>
  <c r="Z82" i="17" s="1"/>
  <c r="I84" i="40"/>
  <c r="J84" i="40"/>
  <c r="K84" i="40" s="1"/>
  <c r="K82" i="17" s="1"/>
  <c r="I87" i="36"/>
  <c r="J87" i="36"/>
  <c r="K87" i="36" s="1"/>
  <c r="I85" i="17" s="1"/>
  <c r="O88" i="36" l="1"/>
  <c r="O88" i="34"/>
  <c r="B88" i="35"/>
  <c r="O88" i="18"/>
  <c r="O88" i="33"/>
  <c r="O88" i="31"/>
  <c r="O88" i="37"/>
  <c r="B88" i="40"/>
  <c r="B88" i="33"/>
  <c r="B88" i="36"/>
  <c r="B88" i="18"/>
  <c r="B88" i="32"/>
  <c r="O88" i="35"/>
  <c r="B88" i="31"/>
  <c r="B84" i="7"/>
  <c r="O88" i="40"/>
  <c r="O88" i="32"/>
  <c r="B88" i="34"/>
  <c r="B88" i="37"/>
  <c r="V85" i="36"/>
  <c r="W85" i="36" s="1"/>
  <c r="Z83" i="17" s="1"/>
  <c r="U85" i="36"/>
  <c r="I85" i="40"/>
  <c r="J85" i="40"/>
  <c r="K85" i="40" s="1"/>
  <c r="K83" i="17" s="1"/>
  <c r="U85" i="40"/>
  <c r="V85" i="40"/>
  <c r="W85" i="40" s="1"/>
  <c r="AB83" i="17" s="1"/>
  <c r="I88" i="36"/>
  <c r="J88" i="36"/>
  <c r="K88" i="36" s="1"/>
  <c r="I86" i="17" s="1"/>
  <c r="B89" i="40" l="1"/>
  <c r="B89" i="36"/>
  <c r="O89" i="33"/>
  <c r="O89" i="31"/>
  <c r="B89" i="32"/>
  <c r="O89" i="36"/>
  <c r="O89" i="40"/>
  <c r="B89" i="37"/>
  <c r="B85" i="7"/>
  <c r="B89" i="33"/>
  <c r="O89" i="32"/>
  <c r="B89" i="34"/>
  <c r="O89" i="34"/>
  <c r="B89" i="35"/>
  <c r="O89" i="35"/>
  <c r="O89" i="18"/>
  <c r="B89" i="31"/>
  <c r="O89" i="37"/>
  <c r="B89" i="18"/>
  <c r="U86" i="40"/>
  <c r="V86" i="40"/>
  <c r="W86" i="40" s="1"/>
  <c r="AB84" i="17" s="1"/>
  <c r="I86" i="40"/>
  <c r="J86" i="40"/>
  <c r="K86" i="40" s="1"/>
  <c r="K84" i="17" s="1"/>
  <c r="U86" i="36"/>
  <c r="V86" i="36"/>
  <c r="W86" i="36" s="1"/>
  <c r="Z84" i="17" s="1"/>
  <c r="I89" i="36"/>
  <c r="J89" i="36"/>
  <c r="K89" i="36" s="1"/>
  <c r="I87" i="17" s="1"/>
  <c r="O90" i="37" l="1"/>
  <c r="O90" i="32"/>
  <c r="O90" i="35"/>
  <c r="O90" i="36"/>
  <c r="B90" i="18"/>
  <c r="O90" i="34"/>
  <c r="B90" i="34"/>
  <c r="B90" i="37"/>
  <c r="O90" i="31"/>
  <c r="O90" i="40"/>
  <c r="B90" i="36"/>
  <c r="B90" i="32"/>
  <c r="B90" i="33"/>
  <c r="O90" i="33"/>
  <c r="B90" i="40"/>
  <c r="B86" i="7"/>
  <c r="B90" i="35"/>
  <c r="B90" i="31"/>
  <c r="O90" i="18"/>
  <c r="U87" i="36"/>
  <c r="V87" i="36"/>
  <c r="W87" i="36" s="1"/>
  <c r="Z85" i="17" s="1"/>
  <c r="J87" i="40"/>
  <c r="K87" i="40" s="1"/>
  <c r="K85" i="17" s="1"/>
  <c r="I87" i="40"/>
  <c r="U87" i="40"/>
  <c r="V87" i="40"/>
  <c r="W87" i="40" s="1"/>
  <c r="AB85" i="17" s="1"/>
  <c r="I90" i="36"/>
  <c r="J90" i="36"/>
  <c r="K90" i="36" s="1"/>
  <c r="I88" i="17" s="1"/>
  <c r="B91" i="40" l="1"/>
  <c r="O91" i="32"/>
  <c r="O91" i="18"/>
  <c r="B91" i="18"/>
  <c r="B91" i="34"/>
  <c r="B91" i="35"/>
  <c r="B87" i="7"/>
  <c r="O91" i="36"/>
  <c r="B91" i="33"/>
  <c r="B91" i="31"/>
  <c r="O91" i="34"/>
  <c r="O91" i="31"/>
  <c r="B91" i="32"/>
  <c r="B91" i="36"/>
  <c r="O91" i="33"/>
  <c r="O91" i="40"/>
  <c r="O91" i="35"/>
  <c r="O91" i="37"/>
  <c r="B91" i="37"/>
  <c r="U88" i="36"/>
  <c r="V88" i="36"/>
  <c r="W88" i="36" s="1"/>
  <c r="Z86" i="17" s="1"/>
  <c r="U88" i="40"/>
  <c r="V88" i="40"/>
  <c r="W88" i="40" s="1"/>
  <c r="AB86" i="17" s="1"/>
  <c r="J88" i="40"/>
  <c r="K88" i="40" s="1"/>
  <c r="K86" i="17" s="1"/>
  <c r="I88" i="40"/>
  <c r="J91" i="36"/>
  <c r="K91" i="36" s="1"/>
  <c r="I89" i="17" s="1"/>
  <c r="I91" i="36"/>
  <c r="B88" i="7" l="1"/>
  <c r="O92" i="32"/>
  <c r="B92" i="33"/>
  <c r="B92" i="34"/>
  <c r="B92" i="35"/>
  <c r="B92" i="31"/>
  <c r="B92" i="32"/>
  <c r="O92" i="36"/>
  <c r="O92" i="37"/>
  <c r="O92" i="34"/>
  <c r="O92" i="33"/>
  <c r="B92" i="37"/>
  <c r="O92" i="18"/>
  <c r="B92" i="36"/>
  <c r="O92" i="40"/>
  <c r="B92" i="18"/>
  <c r="O92" i="31"/>
  <c r="O92" i="35"/>
  <c r="B92" i="40"/>
  <c r="V89" i="36"/>
  <c r="W89" i="36" s="1"/>
  <c r="Z87" i="17" s="1"/>
  <c r="U89" i="36"/>
  <c r="V89" i="40"/>
  <c r="W89" i="40" s="1"/>
  <c r="AB87" i="17" s="1"/>
  <c r="U89" i="40"/>
  <c r="J89" i="40"/>
  <c r="K89" i="40" s="1"/>
  <c r="K87" i="17" s="1"/>
  <c r="I89" i="40"/>
  <c r="J92" i="36"/>
  <c r="K92" i="36" s="1"/>
  <c r="I90" i="17" s="1"/>
  <c r="I92" i="36"/>
  <c r="O93" i="18" l="1"/>
  <c r="B93" i="32"/>
  <c r="B93" i="31"/>
  <c r="O93" i="32"/>
  <c r="B89" i="7"/>
  <c r="O93" i="35"/>
  <c r="B93" i="36"/>
  <c r="B93" i="18"/>
  <c r="B93" i="37"/>
  <c r="B93" i="33"/>
  <c r="O93" i="40"/>
  <c r="B93" i="40"/>
  <c r="B93" i="34"/>
  <c r="O93" i="33"/>
  <c r="B93" i="35"/>
  <c r="O93" i="37"/>
  <c r="O93" i="31"/>
  <c r="O93" i="34"/>
  <c r="O93" i="36"/>
  <c r="J90" i="40"/>
  <c r="K90" i="40" s="1"/>
  <c r="K88" i="17" s="1"/>
  <c r="I90" i="40"/>
  <c r="U90" i="40"/>
  <c r="V90" i="40"/>
  <c r="W90" i="40" s="1"/>
  <c r="AB88" i="17" s="1"/>
  <c r="V90" i="36"/>
  <c r="W90" i="36" s="1"/>
  <c r="Z88" i="17" s="1"/>
  <c r="U90" i="36"/>
  <c r="J93" i="36"/>
  <c r="K93" i="36" s="1"/>
  <c r="I91" i="17" s="1"/>
  <c r="I93" i="36"/>
  <c r="B94" i="36" l="1"/>
  <c r="O94" i="36"/>
  <c r="O94" i="35"/>
  <c r="O94" i="40"/>
  <c r="B90" i="7"/>
  <c r="O94" i="31"/>
  <c r="B94" i="40"/>
  <c r="B94" i="18"/>
  <c r="B94" i="34"/>
  <c r="B94" i="33"/>
  <c r="B94" i="35"/>
  <c r="O94" i="37"/>
  <c r="O94" i="32"/>
  <c r="B94" i="37"/>
  <c r="B94" i="31"/>
  <c r="B94" i="32"/>
  <c r="O94" i="18"/>
  <c r="O94" i="34"/>
  <c r="O94" i="33"/>
  <c r="U91" i="40"/>
  <c r="V91" i="40"/>
  <c r="W91" i="40" s="1"/>
  <c r="AB89" i="17" s="1"/>
  <c r="U91" i="36"/>
  <c r="V91" i="36"/>
  <c r="W91" i="36" s="1"/>
  <c r="Z89" i="17" s="1"/>
  <c r="J91" i="40"/>
  <c r="K91" i="40" s="1"/>
  <c r="K89" i="17" s="1"/>
  <c r="I91" i="40"/>
  <c r="J94" i="36"/>
  <c r="K94" i="36" s="1"/>
  <c r="I92" i="17" s="1"/>
  <c r="I94" i="36"/>
  <c r="O95" i="40" l="1"/>
  <c r="B95" i="37"/>
  <c r="B95" i="31"/>
  <c r="O95" i="35"/>
  <c r="B95" i="33"/>
  <c r="O95" i="32"/>
  <c r="B91" i="7"/>
  <c r="O95" i="34"/>
  <c r="B95" i="32"/>
  <c r="B95" i="18"/>
  <c r="O95" i="36"/>
  <c r="O95" i="33"/>
  <c r="O95" i="31"/>
  <c r="O95" i="18"/>
  <c r="B95" i="35"/>
  <c r="B95" i="36"/>
  <c r="B95" i="40"/>
  <c r="B95" i="34"/>
  <c r="O95" i="37"/>
  <c r="U92" i="40"/>
  <c r="V92" i="40"/>
  <c r="W92" i="40" s="1"/>
  <c r="AB90" i="17" s="1"/>
  <c r="U92" i="36"/>
  <c r="V92" i="36"/>
  <c r="W92" i="36" s="1"/>
  <c r="Z90" i="17" s="1"/>
  <c r="J92" i="40"/>
  <c r="K92" i="40" s="1"/>
  <c r="K90" i="17" s="1"/>
  <c r="I92" i="40"/>
  <c r="I95" i="36"/>
  <c r="J95" i="36"/>
  <c r="K95" i="36" s="1"/>
  <c r="I93" i="17" s="1"/>
  <c r="B92" i="7" l="1"/>
  <c r="B96" i="35"/>
  <c r="B96" i="37"/>
  <c r="O96" i="36"/>
  <c r="O96" i="40"/>
  <c r="B96" i="40"/>
  <c r="B96" i="31"/>
  <c r="O96" i="31"/>
  <c r="B96" i="36"/>
  <c r="O96" i="32"/>
  <c r="O96" i="35"/>
  <c r="O96" i="18"/>
  <c r="O96" i="34"/>
  <c r="B96" i="34"/>
  <c r="B96" i="33"/>
  <c r="O96" i="37"/>
  <c r="B96" i="32"/>
  <c r="O96" i="33"/>
  <c r="B96" i="18"/>
  <c r="J93" i="40"/>
  <c r="K93" i="40" s="1"/>
  <c r="K91" i="17" s="1"/>
  <c r="I93" i="40"/>
  <c r="U93" i="36"/>
  <c r="V93" i="36"/>
  <c r="W93" i="36" s="1"/>
  <c r="Z91" i="17" s="1"/>
  <c r="U93" i="40"/>
  <c r="V93" i="40"/>
  <c r="W93" i="40" s="1"/>
  <c r="AB91" i="17" s="1"/>
  <c r="J96" i="36"/>
  <c r="K96" i="36" s="1"/>
  <c r="I94" i="17" s="1"/>
  <c r="I96" i="36"/>
  <c r="B97" i="32" l="1"/>
  <c r="O97" i="31"/>
  <c r="O97" i="18"/>
  <c r="B97" i="37"/>
  <c r="B97" i="18"/>
  <c r="O97" i="34"/>
  <c r="O97" i="40"/>
  <c r="O97" i="33"/>
  <c r="O97" i="35"/>
  <c r="O97" i="37"/>
  <c r="B93" i="7"/>
  <c r="B97" i="33"/>
  <c r="B97" i="34"/>
  <c r="B97" i="40"/>
  <c r="O97" i="36"/>
  <c r="B97" i="31"/>
  <c r="O97" i="32"/>
  <c r="B97" i="35"/>
  <c r="B97" i="36"/>
  <c r="J94" i="40"/>
  <c r="K94" i="40" s="1"/>
  <c r="K92" i="17" s="1"/>
  <c r="I94" i="40"/>
  <c r="U94" i="40"/>
  <c r="V94" i="40"/>
  <c r="W94" i="40" s="1"/>
  <c r="AB92" i="17" s="1"/>
  <c r="U94" i="36"/>
  <c r="V94" i="36"/>
  <c r="W94" i="36" s="1"/>
  <c r="Z92" i="17" s="1"/>
  <c r="I97" i="36"/>
  <c r="J97" i="36"/>
  <c r="K97" i="36" s="1"/>
  <c r="I95" i="17" s="1"/>
  <c r="B98" i="18" l="1"/>
  <c r="B98" i="40"/>
  <c r="O98" i="31"/>
  <c r="B98" i="33"/>
  <c r="B98" i="35"/>
  <c r="B98" i="34"/>
  <c r="B94" i="7"/>
  <c r="O98" i="40"/>
  <c r="O98" i="18"/>
  <c r="O98" i="37"/>
  <c r="B98" i="31"/>
  <c r="O98" i="35"/>
  <c r="O98" i="34"/>
  <c r="B98" i="32"/>
  <c r="B98" i="36"/>
  <c r="O98" i="33"/>
  <c r="O98" i="36"/>
  <c r="B98" i="37"/>
  <c r="O98" i="32"/>
  <c r="V95" i="36"/>
  <c r="W95" i="36" s="1"/>
  <c r="Z93" i="17" s="1"/>
  <c r="U95" i="36"/>
  <c r="J95" i="40"/>
  <c r="K95" i="40" s="1"/>
  <c r="K93" i="17" s="1"/>
  <c r="I95" i="40"/>
  <c r="V95" i="40"/>
  <c r="W95" i="40" s="1"/>
  <c r="AB93" i="17" s="1"/>
  <c r="U95" i="40"/>
  <c r="I98" i="36"/>
  <c r="J98" i="36"/>
  <c r="K98" i="36" s="1"/>
  <c r="I96" i="17" s="1"/>
  <c r="B99" i="33" l="1"/>
  <c r="B99" i="18"/>
  <c r="O99" i="31"/>
  <c r="O99" i="18"/>
  <c r="B99" i="32"/>
  <c r="B99" i="40"/>
  <c r="B99" i="31"/>
  <c r="B99" i="37"/>
  <c r="O99" i="36"/>
  <c r="B99" i="36"/>
  <c r="O99" i="40"/>
  <c r="O99" i="33"/>
  <c r="O99" i="34"/>
  <c r="O99" i="32"/>
  <c r="B99" i="35"/>
  <c r="O99" i="35"/>
  <c r="B99" i="34"/>
  <c r="O99" i="37"/>
  <c r="V96" i="40"/>
  <c r="W96" i="40" s="1"/>
  <c r="AB94" i="17" s="1"/>
  <c r="U96" i="40"/>
  <c r="U96" i="36"/>
  <c r="V96" i="36"/>
  <c r="W96" i="36" s="1"/>
  <c r="Z94" i="17" s="1"/>
  <c r="I96" i="40"/>
  <c r="J96" i="40"/>
  <c r="K96" i="40" s="1"/>
  <c r="K94" i="17" s="1"/>
  <c r="I99" i="36"/>
  <c r="J99" i="36"/>
  <c r="K99" i="36" s="1"/>
  <c r="I97" i="17" s="1"/>
  <c r="J97" i="40" l="1"/>
  <c r="K97" i="40" s="1"/>
  <c r="K95" i="17" s="1"/>
  <c r="I97" i="40"/>
  <c r="U97" i="40"/>
  <c r="V97" i="40"/>
  <c r="W97" i="40" s="1"/>
  <c r="AB95" i="17" s="1"/>
  <c r="U97" i="36"/>
  <c r="V97" i="36"/>
  <c r="W97" i="36" s="1"/>
  <c r="Z95" i="17" s="1"/>
  <c r="V98" i="40" l="1"/>
  <c r="W98" i="40" s="1"/>
  <c r="AB96" i="17" s="1"/>
  <c r="U98" i="40"/>
  <c r="U98" i="36"/>
  <c r="V98" i="36"/>
  <c r="W98" i="36" s="1"/>
  <c r="Z96" i="17" s="1"/>
  <c r="J98" i="40"/>
  <c r="K98" i="40" s="1"/>
  <c r="K96" i="17" s="1"/>
  <c r="I98" i="40"/>
  <c r="J99" i="40" l="1"/>
  <c r="K99" i="40" s="1"/>
  <c r="K97" i="17" s="1"/>
  <c r="I99" i="40"/>
  <c r="U99" i="40"/>
  <c r="V99" i="40"/>
  <c r="W99" i="40" s="1"/>
  <c r="AB97" i="17" s="1"/>
  <c r="U99" i="36"/>
  <c r="V99" i="36"/>
  <c r="W99" i="36" s="1"/>
  <c r="Z97" i="17" s="1"/>
  <c r="F30" i="7" l="1"/>
  <c r="L30" i="7"/>
  <c r="G30" i="7"/>
  <c r="I30" i="7"/>
  <c r="E30" i="7"/>
  <c r="O30" i="7"/>
  <c r="D30" i="7"/>
  <c r="C30" i="7"/>
  <c r="J30" i="7"/>
  <c r="H30" i="7"/>
  <c r="K30" i="7"/>
  <c r="M30" i="7"/>
  <c r="G28" i="7"/>
  <c r="K28" i="7"/>
  <c r="E28" i="7"/>
  <c r="O28" i="7"/>
  <c r="F28" i="7"/>
  <c r="D28" i="7"/>
  <c r="I28" i="7"/>
  <c r="L28" i="7"/>
  <c r="H28" i="7"/>
  <c r="C28" i="7"/>
  <c r="J28" i="7"/>
  <c r="M28" i="7"/>
  <c r="E26" i="7"/>
  <c r="L26" i="7"/>
  <c r="G26" i="7"/>
  <c r="F26" i="7"/>
  <c r="H26" i="7"/>
  <c r="D26" i="7"/>
  <c r="O26" i="7"/>
  <c r="I26" i="7"/>
  <c r="C26" i="7"/>
  <c r="J26" i="7"/>
  <c r="K26" i="7"/>
  <c r="M26" i="7"/>
  <c r="I25" i="7"/>
  <c r="F25" i="7"/>
  <c r="M25" i="7"/>
  <c r="G25" i="7"/>
  <c r="H25" i="7"/>
  <c r="O25" i="7"/>
  <c r="J25" i="7"/>
  <c r="L25" i="7"/>
  <c r="C25" i="7"/>
  <c r="E25" i="7"/>
  <c r="K25" i="7"/>
  <c r="D25" i="7"/>
  <c r="C31" i="7"/>
  <c r="F31" i="7"/>
  <c r="E31" i="7"/>
  <c r="G31" i="7"/>
  <c r="K31" i="7"/>
  <c r="J31" i="7"/>
  <c r="H31" i="7"/>
  <c r="D31" i="7"/>
  <c r="O31" i="7"/>
  <c r="I31" i="7"/>
  <c r="L31" i="7"/>
  <c r="M31" i="7"/>
  <c r="D32" i="7"/>
  <c r="L32" i="7"/>
  <c r="E32" i="7"/>
  <c r="I32" i="7"/>
  <c r="G32" i="7"/>
  <c r="H32" i="7"/>
  <c r="J32" i="7"/>
  <c r="C32" i="7"/>
  <c r="F32" i="7"/>
  <c r="O32" i="7"/>
  <c r="K32" i="7"/>
  <c r="M32" i="7"/>
  <c r="F27" i="7"/>
  <c r="I27" i="7"/>
  <c r="L27" i="7"/>
  <c r="G27" i="7"/>
  <c r="J27" i="7"/>
  <c r="D27" i="7"/>
  <c r="H27" i="7"/>
  <c r="C27" i="7"/>
  <c r="K27" i="7"/>
  <c r="O27" i="7"/>
  <c r="E27" i="7"/>
  <c r="M27" i="7"/>
  <c r="P37" i="18" l="1"/>
  <c r="R37" i="18" s="1"/>
  <c r="C37" i="18"/>
  <c r="F37" i="18" s="1"/>
  <c r="D36" i="39"/>
  <c r="P30" i="35"/>
  <c r="R30" i="35" s="1"/>
  <c r="I29" i="39"/>
  <c r="C31" i="31"/>
  <c r="F31" i="31" s="1"/>
  <c r="P31" i="31"/>
  <c r="R31" i="31" s="1"/>
  <c r="C31" i="35"/>
  <c r="F31" i="35" s="1"/>
  <c r="F30" i="39"/>
  <c r="D24" i="38" s="1"/>
  <c r="C33" i="18"/>
  <c r="F33" i="18" s="1"/>
  <c r="P33" i="18"/>
  <c r="R33" i="18" s="1"/>
  <c r="D32" i="39"/>
  <c r="C34" i="39"/>
  <c r="P35" i="37"/>
  <c r="R35" i="37" s="1"/>
  <c r="C35" i="37"/>
  <c r="F35" i="37" s="1"/>
  <c r="P32" i="35"/>
  <c r="R32" i="35" s="1"/>
  <c r="I31" i="39"/>
  <c r="C30" i="18"/>
  <c r="F30" i="18" s="1"/>
  <c r="P30" i="18"/>
  <c r="R30" i="18" s="1"/>
  <c r="D29" i="39"/>
  <c r="C33" i="33"/>
  <c r="F33" i="33" s="1"/>
  <c r="P33" i="33"/>
  <c r="R33" i="33" s="1"/>
  <c r="H32" i="39"/>
  <c r="P33" i="34"/>
  <c r="R33" i="34" s="1"/>
  <c r="G32" i="39"/>
  <c r="E26" i="38" s="1"/>
  <c r="P35" i="35"/>
  <c r="R35" i="35" s="1"/>
  <c r="I34" i="39"/>
  <c r="C32" i="37"/>
  <c r="F32" i="37" s="1"/>
  <c r="P32" i="37"/>
  <c r="R32" i="37" s="1"/>
  <c r="C31" i="39"/>
  <c r="P37" i="33"/>
  <c r="R37" i="33" s="1"/>
  <c r="C37" i="33"/>
  <c r="F37" i="33" s="1"/>
  <c r="H36" i="39"/>
  <c r="P36" i="34"/>
  <c r="R36" i="34" s="1"/>
  <c r="G35" i="39"/>
  <c r="E29" i="38" s="1"/>
  <c r="C31" i="32"/>
  <c r="F31" i="32" s="1"/>
  <c r="C31" i="34"/>
  <c r="F31" i="34" s="1"/>
  <c r="P31" i="32"/>
  <c r="R31" i="32" s="1"/>
  <c r="E30" i="39"/>
  <c r="C24" i="38" s="1"/>
  <c r="L33" i="7"/>
  <c r="C33" i="7"/>
  <c r="F33" i="7"/>
  <c r="G33" i="7"/>
  <c r="I33" i="7"/>
  <c r="J33" i="7"/>
  <c r="D33" i="7"/>
  <c r="H33" i="7"/>
  <c r="E33" i="7"/>
  <c r="K33" i="7"/>
  <c r="O33" i="7"/>
  <c r="M33" i="7"/>
  <c r="C30" i="34"/>
  <c r="F30" i="34" s="1"/>
  <c r="P30" i="32"/>
  <c r="R30" i="32" s="1"/>
  <c r="C30" i="32"/>
  <c r="F30" i="32" s="1"/>
  <c r="E29" i="39"/>
  <c r="C23" i="38" s="1"/>
  <c r="P31" i="33"/>
  <c r="R31" i="33" s="1"/>
  <c r="C31" i="33"/>
  <c r="F31" i="33" s="1"/>
  <c r="H30" i="39"/>
  <c r="C32" i="32"/>
  <c r="F32" i="32" s="1"/>
  <c r="C32" i="34"/>
  <c r="F32" i="34" s="1"/>
  <c r="P32" i="32"/>
  <c r="R32" i="32" s="1"/>
  <c r="E31" i="39"/>
  <c r="C25" i="38" s="1"/>
  <c r="P37" i="34"/>
  <c r="R37" i="34" s="1"/>
  <c r="G36" i="39"/>
  <c r="E30" i="38" s="1"/>
  <c r="P36" i="35"/>
  <c r="R36" i="35" s="1"/>
  <c r="I35" i="39"/>
  <c r="P31" i="34"/>
  <c r="R31" i="34" s="1"/>
  <c r="G30" i="39"/>
  <c r="E24" i="38" s="1"/>
  <c r="P35" i="34"/>
  <c r="R35" i="34" s="1"/>
  <c r="G34" i="39"/>
  <c r="E28" i="38" s="1"/>
  <c r="P32" i="18"/>
  <c r="R32" i="18" s="1"/>
  <c r="C32" i="18"/>
  <c r="F32" i="18" s="1"/>
  <c r="D31" i="39"/>
  <c r="C30" i="37"/>
  <c r="F30" i="37" s="1"/>
  <c r="P30" i="37"/>
  <c r="R30" i="37" s="1"/>
  <c r="C29" i="39"/>
  <c r="C33" i="35"/>
  <c r="F33" i="35" s="1"/>
  <c r="P33" i="31"/>
  <c r="R33" i="31" s="1"/>
  <c r="C33" i="31"/>
  <c r="F33" i="31" s="1"/>
  <c r="F32" i="39"/>
  <c r="D26" i="38" s="1"/>
  <c r="P31" i="18"/>
  <c r="R31" i="18" s="1"/>
  <c r="C31" i="18"/>
  <c r="F31" i="18" s="1"/>
  <c r="D30" i="39"/>
  <c r="P32" i="31"/>
  <c r="R32" i="31" s="1"/>
  <c r="C32" i="35"/>
  <c r="F32" i="35" s="1"/>
  <c r="C32" i="31"/>
  <c r="F32" i="31" s="1"/>
  <c r="F31" i="39"/>
  <c r="D25" i="38" s="1"/>
  <c r="C37" i="37"/>
  <c r="F37" i="37" s="1"/>
  <c r="P37" i="37"/>
  <c r="R37" i="37" s="1"/>
  <c r="C36" i="39"/>
  <c r="P36" i="31"/>
  <c r="R36" i="31" s="1"/>
  <c r="C36" i="35"/>
  <c r="F36" i="35" s="1"/>
  <c r="C36" i="31"/>
  <c r="F36" i="31" s="1"/>
  <c r="F35" i="39"/>
  <c r="D29" i="38" s="1"/>
  <c r="C30" i="35"/>
  <c r="F30" i="35" s="1"/>
  <c r="C30" i="31"/>
  <c r="F30" i="31" s="1"/>
  <c r="P30" i="31"/>
  <c r="R30" i="31" s="1"/>
  <c r="F29" i="39"/>
  <c r="D23" i="38" s="1"/>
  <c r="P30" i="34"/>
  <c r="R30" i="34" s="1"/>
  <c r="G29" i="39"/>
  <c r="E23" i="38" s="1"/>
  <c r="P33" i="37"/>
  <c r="R33" i="37" s="1"/>
  <c r="C33" i="37"/>
  <c r="F33" i="37" s="1"/>
  <c r="C32" i="39"/>
  <c r="P35" i="18"/>
  <c r="R35" i="18" s="1"/>
  <c r="C35" i="18"/>
  <c r="F35" i="18" s="1"/>
  <c r="D34" i="39"/>
  <c r="F29" i="7"/>
  <c r="C29" i="7"/>
  <c r="I29" i="7"/>
  <c r="J29" i="7"/>
  <c r="K29" i="7"/>
  <c r="H29" i="7"/>
  <c r="L29" i="7"/>
  <c r="G29" i="7"/>
  <c r="E29" i="7"/>
  <c r="O29" i="7"/>
  <c r="D29" i="7"/>
  <c r="M29" i="7"/>
  <c r="P32" i="34"/>
  <c r="R32" i="34" s="1"/>
  <c r="G31" i="39"/>
  <c r="E25" i="38" s="1"/>
  <c r="P36" i="32"/>
  <c r="R36" i="32" s="1"/>
  <c r="C36" i="34"/>
  <c r="F36" i="34" s="1"/>
  <c r="C36" i="32"/>
  <c r="F36" i="32" s="1"/>
  <c r="E35" i="39"/>
  <c r="C29" i="38" s="1"/>
  <c r="P35" i="33"/>
  <c r="R35" i="33" s="1"/>
  <c r="H34" i="39"/>
  <c r="C35" i="33"/>
  <c r="F35" i="33" s="1"/>
  <c r="C32" i="33"/>
  <c r="F32" i="33" s="1"/>
  <c r="H31" i="39"/>
  <c r="P32" i="33"/>
  <c r="R32" i="33" s="1"/>
  <c r="P37" i="35"/>
  <c r="R37" i="35" s="1"/>
  <c r="I36" i="39"/>
  <c r="P36" i="37"/>
  <c r="R36" i="37" s="1"/>
  <c r="C36" i="37"/>
  <c r="F36" i="37" s="1"/>
  <c r="C35" i="39"/>
  <c r="P36" i="18"/>
  <c r="R36" i="18" s="1"/>
  <c r="C36" i="18"/>
  <c r="F36" i="18" s="1"/>
  <c r="D35" i="39"/>
  <c r="P30" i="33"/>
  <c r="R30" i="33" s="1"/>
  <c r="C30" i="33"/>
  <c r="F30" i="33" s="1"/>
  <c r="H29" i="39"/>
  <c r="P31" i="35"/>
  <c r="R31" i="35" s="1"/>
  <c r="I30" i="39"/>
  <c r="P33" i="32"/>
  <c r="R33" i="32" s="1"/>
  <c r="C33" i="32"/>
  <c r="F33" i="32" s="1"/>
  <c r="C33" i="34"/>
  <c r="F33" i="34" s="1"/>
  <c r="E32" i="39"/>
  <c r="C26" i="38" s="1"/>
  <c r="P35" i="32"/>
  <c r="R35" i="32" s="1"/>
  <c r="C35" i="32"/>
  <c r="F35" i="32" s="1"/>
  <c r="C35" i="34"/>
  <c r="F35" i="34" s="1"/>
  <c r="E34" i="39"/>
  <c r="C28" i="38" s="1"/>
  <c r="P37" i="32"/>
  <c r="R37" i="32" s="1"/>
  <c r="C37" i="34"/>
  <c r="F37" i="34" s="1"/>
  <c r="C37" i="32"/>
  <c r="F37" i="32" s="1"/>
  <c r="E36" i="39"/>
  <c r="C30" i="38" s="1"/>
  <c r="C37" i="35"/>
  <c r="F37" i="35" s="1"/>
  <c r="C37" i="31"/>
  <c r="F37" i="31" s="1"/>
  <c r="P37" i="31"/>
  <c r="R37" i="31" s="1"/>
  <c r="F36" i="39"/>
  <c r="D30" i="38" s="1"/>
  <c r="C36" i="33"/>
  <c r="F36" i="33" s="1"/>
  <c r="P36" i="33"/>
  <c r="R36" i="33" s="1"/>
  <c r="H35" i="39"/>
  <c r="C31" i="37"/>
  <c r="F31" i="37" s="1"/>
  <c r="P31" i="37"/>
  <c r="R31" i="37" s="1"/>
  <c r="C30" i="39"/>
  <c r="P33" i="35"/>
  <c r="R33" i="35" s="1"/>
  <c r="I32" i="39"/>
  <c r="P35" i="31"/>
  <c r="R35" i="31" s="1"/>
  <c r="C35" i="31"/>
  <c r="F35" i="31" s="1"/>
  <c r="C35" i="35"/>
  <c r="F35" i="35" s="1"/>
  <c r="F34" i="39"/>
  <c r="D28" i="38" s="1"/>
  <c r="H36" i="33" l="1"/>
  <c r="G36" i="33"/>
  <c r="S36" i="18"/>
  <c r="T36" i="18"/>
  <c r="C34" i="33"/>
  <c r="F34" i="33" s="1"/>
  <c r="P34" i="33"/>
  <c r="R34" i="33" s="1"/>
  <c r="H33" i="39"/>
  <c r="H30" i="31"/>
  <c r="G30" i="31"/>
  <c r="G32" i="18"/>
  <c r="H32" i="18"/>
  <c r="T31" i="33"/>
  <c r="S31" i="33"/>
  <c r="P38" i="35"/>
  <c r="R38" i="35" s="1"/>
  <c r="I37" i="39"/>
  <c r="S33" i="34"/>
  <c r="T33" i="34"/>
  <c r="G31" i="35"/>
  <c r="H31" i="35"/>
  <c r="S32" i="34"/>
  <c r="T32" i="34"/>
  <c r="G30" i="35"/>
  <c r="H30" i="35"/>
  <c r="T32" i="18"/>
  <c r="S32" i="18"/>
  <c r="H37" i="39"/>
  <c r="P38" i="33"/>
  <c r="R38" i="33" s="1"/>
  <c r="C38" i="33"/>
  <c r="F38" i="33" s="1"/>
  <c r="H35" i="37"/>
  <c r="G35" i="37"/>
  <c r="S33" i="35"/>
  <c r="T33" i="35"/>
  <c r="T37" i="31"/>
  <c r="S37" i="31"/>
  <c r="H35" i="34"/>
  <c r="G35" i="34"/>
  <c r="T31" i="35"/>
  <c r="S31" i="35"/>
  <c r="G36" i="37"/>
  <c r="H36" i="37"/>
  <c r="G33" i="37"/>
  <c r="H33" i="37"/>
  <c r="G32" i="31"/>
  <c r="H32" i="31"/>
  <c r="S33" i="31"/>
  <c r="T33" i="31"/>
  <c r="G30" i="32"/>
  <c r="H30" i="32"/>
  <c r="C38" i="35"/>
  <c r="F38" i="35" s="1"/>
  <c r="P38" i="31"/>
  <c r="R38" i="31" s="1"/>
  <c r="C38" i="31"/>
  <c r="F38" i="31" s="1"/>
  <c r="F37" i="39"/>
  <c r="D31" i="38" s="1"/>
  <c r="S31" i="32"/>
  <c r="T31" i="32"/>
  <c r="T33" i="33"/>
  <c r="S33" i="33"/>
  <c r="T35" i="37"/>
  <c r="S35" i="37"/>
  <c r="H31" i="31"/>
  <c r="G31" i="31"/>
  <c r="S35" i="31"/>
  <c r="T35" i="31"/>
  <c r="T37" i="32"/>
  <c r="S37" i="32"/>
  <c r="T33" i="32"/>
  <c r="S33" i="32"/>
  <c r="G32" i="33"/>
  <c r="H32" i="33"/>
  <c r="S35" i="18"/>
  <c r="T35" i="18"/>
  <c r="H37" i="37"/>
  <c r="G37" i="37"/>
  <c r="G37" i="33"/>
  <c r="H37" i="33"/>
  <c r="S32" i="35"/>
  <c r="T32" i="35"/>
  <c r="H35" i="33"/>
  <c r="G35" i="33"/>
  <c r="G33" i="31"/>
  <c r="H33" i="31"/>
  <c r="S37" i="34"/>
  <c r="T37" i="34"/>
  <c r="S37" i="33"/>
  <c r="T37" i="33"/>
  <c r="T31" i="31"/>
  <c r="S31" i="31"/>
  <c r="F14" i="7"/>
  <c r="O14" i="7"/>
  <c r="E14" i="7"/>
  <c r="G14" i="7"/>
  <c r="C14" i="7"/>
  <c r="L14" i="7"/>
  <c r="J14" i="7"/>
  <c r="D14" i="7"/>
  <c r="K14" i="7"/>
  <c r="I14" i="7"/>
  <c r="H14" i="7"/>
  <c r="M14" i="7"/>
  <c r="G37" i="31"/>
  <c r="H37" i="31"/>
  <c r="G35" i="32"/>
  <c r="H35" i="32"/>
  <c r="T36" i="37"/>
  <c r="S36" i="37"/>
  <c r="S35" i="33"/>
  <c r="T35" i="33"/>
  <c r="C34" i="35"/>
  <c r="F34" i="35" s="1"/>
  <c r="P34" i="31"/>
  <c r="R34" i="31" s="1"/>
  <c r="C34" i="31"/>
  <c r="F34" i="31" s="1"/>
  <c r="F33" i="39"/>
  <c r="D27" i="38" s="1"/>
  <c r="T33" i="37"/>
  <c r="S33" i="37"/>
  <c r="G36" i="31"/>
  <c r="H36" i="31"/>
  <c r="H32" i="35"/>
  <c r="G32" i="35"/>
  <c r="H33" i="35"/>
  <c r="G33" i="35"/>
  <c r="S35" i="34"/>
  <c r="T35" i="34"/>
  <c r="T32" i="32"/>
  <c r="S32" i="32"/>
  <c r="S30" i="32"/>
  <c r="T30" i="32"/>
  <c r="H31" i="34"/>
  <c r="G31" i="34"/>
  <c r="T32" i="37"/>
  <c r="S32" i="37"/>
  <c r="G33" i="33"/>
  <c r="H33" i="33"/>
  <c r="S31" i="37"/>
  <c r="T31" i="37"/>
  <c r="S35" i="32"/>
  <c r="T35" i="32"/>
  <c r="T32" i="31"/>
  <c r="S32" i="31"/>
  <c r="H32" i="34"/>
  <c r="G32" i="34"/>
  <c r="G32" i="37"/>
  <c r="H32" i="37"/>
  <c r="N32" i="39"/>
  <c r="S37" i="35"/>
  <c r="T37" i="35"/>
  <c r="P34" i="35"/>
  <c r="R34" i="35" s="1"/>
  <c r="I33" i="39"/>
  <c r="S30" i="34"/>
  <c r="T30" i="34"/>
  <c r="S36" i="31"/>
  <c r="T36" i="31"/>
  <c r="T30" i="37"/>
  <c r="S30" i="37"/>
  <c r="H32" i="32"/>
  <c r="G32" i="32"/>
  <c r="P38" i="34"/>
  <c r="R38" i="34" s="1"/>
  <c r="G37" i="39"/>
  <c r="E31" i="38" s="1"/>
  <c r="N36" i="39"/>
  <c r="G35" i="35"/>
  <c r="H35" i="35"/>
  <c r="G37" i="32"/>
  <c r="H37" i="32"/>
  <c r="G33" i="34"/>
  <c r="H33" i="34"/>
  <c r="N35" i="39"/>
  <c r="T32" i="33"/>
  <c r="S32" i="33"/>
  <c r="G36" i="34"/>
  <c r="H36" i="34"/>
  <c r="P34" i="34"/>
  <c r="R34" i="34" s="1"/>
  <c r="G33" i="39"/>
  <c r="E27" i="38" s="1"/>
  <c r="N34" i="39"/>
  <c r="G31" i="18"/>
  <c r="H31" i="18"/>
  <c r="H30" i="37"/>
  <c r="G30" i="37"/>
  <c r="P38" i="37"/>
  <c r="R38" i="37" s="1"/>
  <c r="C38" i="37"/>
  <c r="F38" i="37" s="1"/>
  <c r="C37" i="39"/>
  <c r="C38" i="34"/>
  <c r="F38" i="34" s="1"/>
  <c r="P38" i="32"/>
  <c r="R38" i="32" s="1"/>
  <c r="C38" i="32"/>
  <c r="F38" i="32" s="1"/>
  <c r="E37" i="39"/>
  <c r="C31" i="38" s="1"/>
  <c r="T36" i="34"/>
  <c r="S36" i="34"/>
  <c r="S35" i="35"/>
  <c r="T35" i="35"/>
  <c r="G30" i="18"/>
  <c r="H30" i="18"/>
  <c r="G33" i="18"/>
  <c r="H33" i="18"/>
  <c r="H37" i="18"/>
  <c r="G37" i="18"/>
  <c r="G37" i="35"/>
  <c r="H37" i="35"/>
  <c r="H30" i="33"/>
  <c r="G30" i="33"/>
  <c r="P34" i="37"/>
  <c r="R34" i="37" s="1"/>
  <c r="C34" i="37"/>
  <c r="F34" i="37" s="1"/>
  <c r="C33" i="39"/>
  <c r="C34" i="18"/>
  <c r="F34" i="18" s="1"/>
  <c r="P34" i="18"/>
  <c r="R34" i="18" s="1"/>
  <c r="D33" i="39"/>
  <c r="H36" i="35"/>
  <c r="G36" i="35"/>
  <c r="G30" i="34"/>
  <c r="H30" i="34"/>
  <c r="H31" i="32"/>
  <c r="G31" i="32"/>
  <c r="N29" i="39"/>
  <c r="S30" i="35"/>
  <c r="T30" i="35"/>
  <c r="G31" i="37"/>
  <c r="H31" i="37"/>
  <c r="S30" i="33"/>
  <c r="T30" i="33"/>
  <c r="G36" i="32"/>
  <c r="H36" i="32"/>
  <c r="P34" i="32"/>
  <c r="R34" i="32" s="1"/>
  <c r="C34" i="34"/>
  <c r="F34" i="34" s="1"/>
  <c r="C34" i="32"/>
  <c r="F34" i="32" s="1"/>
  <c r="E33" i="39"/>
  <c r="C27" i="38" s="1"/>
  <c r="N30" i="39"/>
  <c r="S31" i="34"/>
  <c r="T31" i="34"/>
  <c r="T30" i="18"/>
  <c r="S30" i="18"/>
  <c r="T33" i="18"/>
  <c r="S33" i="18"/>
  <c r="G35" i="31"/>
  <c r="H35" i="31"/>
  <c r="S36" i="33"/>
  <c r="T36" i="33"/>
  <c r="H37" i="34"/>
  <c r="G37" i="34"/>
  <c r="G33" i="32"/>
  <c r="H33" i="32"/>
  <c r="G36" i="18"/>
  <c r="H36" i="18"/>
  <c r="T36" i="32"/>
  <c r="S36" i="32"/>
  <c r="H35" i="18"/>
  <c r="G35" i="18"/>
  <c r="T30" i="31"/>
  <c r="S30" i="31"/>
  <c r="T37" i="37"/>
  <c r="S37" i="37"/>
  <c r="S31" i="18"/>
  <c r="T31" i="18"/>
  <c r="N31" i="39"/>
  <c r="T36" i="35"/>
  <c r="S36" i="35"/>
  <c r="G31" i="33"/>
  <c r="H31" i="33"/>
  <c r="P38" i="18"/>
  <c r="R38" i="18" s="1"/>
  <c r="C38" i="18"/>
  <c r="F38" i="18" s="1"/>
  <c r="D37" i="39"/>
  <c r="T37" i="18"/>
  <c r="S37" i="18"/>
  <c r="H34" i="32" l="1"/>
  <c r="G34" i="32"/>
  <c r="S34" i="18"/>
  <c r="T34" i="18"/>
  <c r="G38" i="37"/>
  <c r="H38" i="37"/>
  <c r="T34" i="34"/>
  <c r="S34" i="34"/>
  <c r="S34" i="35"/>
  <c r="T34" i="35"/>
  <c r="P19" i="37"/>
  <c r="R19" i="37" s="1"/>
  <c r="C19" i="37"/>
  <c r="F19" i="37" s="1"/>
  <c r="C18" i="39"/>
  <c r="L18" i="7"/>
  <c r="O18" i="7"/>
  <c r="H18" i="7"/>
  <c r="J18" i="7"/>
  <c r="K18" i="7"/>
  <c r="I18" i="7"/>
  <c r="F18" i="7"/>
  <c r="G18" i="7"/>
  <c r="E18" i="7"/>
  <c r="C18" i="7"/>
  <c r="D18" i="7"/>
  <c r="M18" i="7"/>
  <c r="N37" i="39"/>
  <c r="G34" i="18"/>
  <c r="H34" i="18"/>
  <c r="T38" i="37"/>
  <c r="S38" i="37"/>
  <c r="C19" i="34"/>
  <c r="F19" i="34" s="1"/>
  <c r="P19" i="32"/>
  <c r="R19" i="32" s="1"/>
  <c r="C19" i="32"/>
  <c r="F19" i="32" s="1"/>
  <c r="E18" i="39"/>
  <c r="C12" i="38" s="1"/>
  <c r="F12" i="38" s="1"/>
  <c r="H38" i="18"/>
  <c r="G38" i="18"/>
  <c r="P19" i="31"/>
  <c r="R19" i="31" s="1"/>
  <c r="C19" i="35"/>
  <c r="F19" i="35" s="1"/>
  <c r="C19" i="31"/>
  <c r="F19" i="31" s="1"/>
  <c r="F18" i="39"/>
  <c r="D12" i="38" s="1"/>
  <c r="G12" i="38" s="1"/>
  <c r="T38" i="35"/>
  <c r="S38" i="35"/>
  <c r="S34" i="33"/>
  <c r="T34" i="33"/>
  <c r="H34" i="33"/>
  <c r="G34" i="33"/>
  <c r="J17" i="7"/>
  <c r="H17" i="7"/>
  <c r="K17" i="7"/>
  <c r="D17" i="7"/>
  <c r="C17" i="7"/>
  <c r="L17" i="7"/>
  <c r="F17" i="7"/>
  <c r="E17" i="7"/>
  <c r="I17" i="7"/>
  <c r="O17" i="7"/>
  <c r="G17" i="7"/>
  <c r="M17" i="7"/>
  <c r="J15" i="7"/>
  <c r="I15" i="7"/>
  <c r="L15" i="7"/>
  <c r="E15" i="7"/>
  <c r="H15" i="7"/>
  <c r="O15" i="7"/>
  <c r="G15" i="7"/>
  <c r="K15" i="7"/>
  <c r="C15" i="7"/>
  <c r="D15" i="7"/>
  <c r="F15" i="7"/>
  <c r="M15" i="7"/>
  <c r="S38" i="18"/>
  <c r="T38" i="18"/>
  <c r="H34" i="37"/>
  <c r="G34" i="37"/>
  <c r="H34" i="31"/>
  <c r="G34" i="31"/>
  <c r="T34" i="37"/>
  <c r="S34" i="37"/>
  <c r="G38" i="32"/>
  <c r="H38" i="32"/>
  <c r="T34" i="31"/>
  <c r="S34" i="31"/>
  <c r="H38" i="33"/>
  <c r="G38" i="33"/>
  <c r="T38" i="32"/>
  <c r="S38" i="32"/>
  <c r="H34" i="35"/>
  <c r="G34" i="35"/>
  <c r="C19" i="18"/>
  <c r="F19" i="18" s="1"/>
  <c r="P19" i="18"/>
  <c r="R19" i="18" s="1"/>
  <c r="D18" i="39"/>
  <c r="H38" i="31"/>
  <c r="G38" i="31"/>
  <c r="S38" i="33"/>
  <c r="T38" i="33"/>
  <c r="H34" i="34"/>
  <c r="G34" i="34"/>
  <c r="G38" i="34"/>
  <c r="H38" i="34"/>
  <c r="T38" i="34"/>
  <c r="S38" i="34"/>
  <c r="P19" i="34"/>
  <c r="R19" i="34" s="1"/>
  <c r="G18" i="39"/>
  <c r="E12" i="38" s="1"/>
  <c r="H12" i="38" s="1"/>
  <c r="T38" i="31"/>
  <c r="S38" i="31"/>
  <c r="S34" i="32"/>
  <c r="T34" i="32"/>
  <c r="N33" i="39"/>
  <c r="C19" i="33"/>
  <c r="F19" i="33" s="1"/>
  <c r="P19" i="33"/>
  <c r="R19" i="33" s="1"/>
  <c r="H18" i="39"/>
  <c r="P19" i="35"/>
  <c r="R19" i="35" s="1"/>
  <c r="I18" i="39"/>
  <c r="H38" i="35"/>
  <c r="G38" i="35"/>
  <c r="N18" i="39" l="1"/>
  <c r="O18" i="39" s="1"/>
  <c r="H19" i="33"/>
  <c r="J19" i="33" s="1"/>
  <c r="K19" i="33" s="1"/>
  <c r="H17" i="17" s="1"/>
  <c r="G19" i="33"/>
  <c r="I19" i="33" s="1"/>
  <c r="P20" i="37"/>
  <c r="R20" i="37" s="1"/>
  <c r="C20" i="37"/>
  <c r="F20" i="37" s="1"/>
  <c r="C19" i="39"/>
  <c r="P22" i="33"/>
  <c r="R22" i="33" s="1"/>
  <c r="C22" i="33"/>
  <c r="F22" i="33" s="1"/>
  <c r="H21" i="39"/>
  <c r="C20" i="33"/>
  <c r="F20" i="33" s="1"/>
  <c r="P20" i="33"/>
  <c r="R20" i="33" s="1"/>
  <c r="H19" i="39"/>
  <c r="G19" i="35"/>
  <c r="I19" i="35" s="1"/>
  <c r="H19" i="35"/>
  <c r="J19" i="35" s="1"/>
  <c r="K19" i="35" s="1"/>
  <c r="E17" i="17" s="1"/>
  <c r="L20" i="7"/>
  <c r="E20" i="7"/>
  <c r="J20" i="7"/>
  <c r="D20" i="7"/>
  <c r="I20" i="7"/>
  <c r="C20" i="7"/>
  <c r="F20" i="7"/>
  <c r="H20" i="7"/>
  <c r="G20" i="7"/>
  <c r="K20" i="7"/>
  <c r="O20" i="7"/>
  <c r="M20" i="7"/>
  <c r="S19" i="35"/>
  <c r="U19" i="35" s="1"/>
  <c r="T19" i="35"/>
  <c r="V19" i="35" s="1"/>
  <c r="W19" i="35" s="1"/>
  <c r="V17" i="17" s="1"/>
  <c r="P20" i="35"/>
  <c r="R20" i="35" s="1"/>
  <c r="I19" i="39"/>
  <c r="P22" i="35"/>
  <c r="R22" i="35" s="1"/>
  <c r="I21" i="39"/>
  <c r="T19" i="31"/>
  <c r="V19" i="31" s="1"/>
  <c r="W19" i="31" s="1"/>
  <c r="U17" i="17" s="1"/>
  <c r="S19" i="31"/>
  <c r="U19" i="31" s="1"/>
  <c r="D19" i="7"/>
  <c r="C19" i="7"/>
  <c r="K19" i="7"/>
  <c r="E19" i="7"/>
  <c r="L19" i="7"/>
  <c r="I19" i="7"/>
  <c r="O19" i="7"/>
  <c r="H19" i="7"/>
  <c r="J19" i="7"/>
  <c r="F19" i="7"/>
  <c r="G19" i="7"/>
  <c r="M19" i="7"/>
  <c r="C22" i="37"/>
  <c r="F22" i="37" s="1"/>
  <c r="P22" i="37"/>
  <c r="R22" i="37" s="1"/>
  <c r="C21" i="39"/>
  <c r="G19" i="31"/>
  <c r="I19" i="31" s="1"/>
  <c r="H19" i="31"/>
  <c r="J19" i="31" s="1"/>
  <c r="C23" i="32"/>
  <c r="F23" i="32" s="1"/>
  <c r="P23" i="32"/>
  <c r="R23" i="32" s="1"/>
  <c r="C23" i="34"/>
  <c r="F23" i="34" s="1"/>
  <c r="E22" i="39"/>
  <c r="C16" i="38" s="1"/>
  <c r="O21" i="7"/>
  <c r="G21" i="7"/>
  <c r="L21" i="7"/>
  <c r="I21" i="7"/>
  <c r="K21" i="7"/>
  <c r="E21" i="7"/>
  <c r="J21" i="7"/>
  <c r="H21" i="7"/>
  <c r="C21" i="7"/>
  <c r="D21" i="7"/>
  <c r="F21" i="7"/>
  <c r="M21" i="7"/>
  <c r="D24" i="7"/>
  <c r="L24" i="7"/>
  <c r="F24" i="7"/>
  <c r="K24" i="7"/>
  <c r="E24" i="7"/>
  <c r="G24" i="7"/>
  <c r="C24" i="7"/>
  <c r="O24" i="7"/>
  <c r="J24" i="7"/>
  <c r="I24" i="7"/>
  <c r="H24" i="7"/>
  <c r="M24" i="7"/>
  <c r="C20" i="34"/>
  <c r="F20" i="34" s="1"/>
  <c r="C20" i="32"/>
  <c r="F20" i="32" s="1"/>
  <c r="P20" i="32"/>
  <c r="R20" i="32" s="1"/>
  <c r="E19" i="39"/>
  <c r="C13" i="38" s="1"/>
  <c r="F13" i="38" s="1"/>
  <c r="P22" i="32"/>
  <c r="R22" i="32" s="1"/>
  <c r="C22" i="32"/>
  <c r="F22" i="32" s="1"/>
  <c r="C22" i="34"/>
  <c r="F22" i="34" s="1"/>
  <c r="E21" i="39"/>
  <c r="C15" i="38" s="1"/>
  <c r="G19" i="32"/>
  <c r="I19" i="32" s="1"/>
  <c r="H19" i="32"/>
  <c r="J19" i="32" s="1"/>
  <c r="T19" i="33"/>
  <c r="V19" i="33" s="1"/>
  <c r="W19" i="33" s="1"/>
  <c r="Y17" i="17" s="1"/>
  <c r="S19" i="33"/>
  <c r="U19" i="33" s="1"/>
  <c r="P20" i="31"/>
  <c r="R20" i="31" s="1"/>
  <c r="C20" i="31"/>
  <c r="F20" i="31" s="1"/>
  <c r="F19" i="39"/>
  <c r="D13" i="38" s="1"/>
  <c r="G13" i="38" s="1"/>
  <c r="C20" i="35"/>
  <c r="F20" i="35" s="1"/>
  <c r="S19" i="32"/>
  <c r="U19" i="32" s="1"/>
  <c r="T19" i="32"/>
  <c r="V19" i="32" s="1"/>
  <c r="W19" i="32" s="1"/>
  <c r="W17" i="17" s="1"/>
  <c r="C23" i="31"/>
  <c r="F23" i="31" s="1"/>
  <c r="C23" i="35"/>
  <c r="F23" i="35" s="1"/>
  <c r="P23" i="31"/>
  <c r="R23" i="31" s="1"/>
  <c r="F22" i="39"/>
  <c r="D16" i="38" s="1"/>
  <c r="P23" i="33"/>
  <c r="R23" i="33" s="1"/>
  <c r="C23" i="33"/>
  <c r="F23" i="33" s="1"/>
  <c r="H22" i="39"/>
  <c r="H19" i="37"/>
  <c r="J19" i="37" s="1"/>
  <c r="K19" i="37" s="1"/>
  <c r="J17" i="17" s="1"/>
  <c r="G19" i="37"/>
  <c r="I19" i="37" s="1"/>
  <c r="G16" i="7"/>
  <c r="L16" i="7"/>
  <c r="J16" i="7"/>
  <c r="H16" i="7"/>
  <c r="D16" i="7"/>
  <c r="K16" i="7"/>
  <c r="E16" i="7"/>
  <c r="C16" i="7"/>
  <c r="O16" i="7"/>
  <c r="I16" i="7"/>
  <c r="F16" i="7"/>
  <c r="M16" i="7"/>
  <c r="S19" i="34"/>
  <c r="U19" i="34" s="1"/>
  <c r="T19" i="34"/>
  <c r="V19" i="34" s="1"/>
  <c r="W19" i="34" s="1"/>
  <c r="X17" i="17" s="1"/>
  <c r="C20" i="18"/>
  <c r="F20" i="18" s="1"/>
  <c r="P20" i="18"/>
  <c r="R20" i="18" s="1"/>
  <c r="D19" i="39"/>
  <c r="C22" i="18"/>
  <c r="F22" i="18" s="1"/>
  <c r="P22" i="18"/>
  <c r="R22" i="18" s="1"/>
  <c r="D21" i="39"/>
  <c r="H19" i="34"/>
  <c r="J19" i="34" s="1"/>
  <c r="G19" i="34"/>
  <c r="I19" i="34" s="1"/>
  <c r="P23" i="18"/>
  <c r="R23" i="18" s="1"/>
  <c r="C23" i="18"/>
  <c r="F23" i="18" s="1"/>
  <c r="D22" i="39"/>
  <c r="C23" i="37"/>
  <c r="F23" i="37" s="1"/>
  <c r="P23" i="37"/>
  <c r="R23" i="37" s="1"/>
  <c r="C22" i="39"/>
  <c r="T19" i="37"/>
  <c r="V19" i="37" s="1"/>
  <c r="W19" i="37" s="1"/>
  <c r="AA17" i="17" s="1"/>
  <c r="S19" i="37"/>
  <c r="U19" i="37" s="1"/>
  <c r="O23" i="7"/>
  <c r="D23" i="7"/>
  <c r="L23" i="7"/>
  <c r="H23" i="7"/>
  <c r="J23" i="7"/>
  <c r="K23" i="7"/>
  <c r="C23" i="7"/>
  <c r="I23" i="7"/>
  <c r="G23" i="7"/>
  <c r="F23" i="7"/>
  <c r="E23" i="7"/>
  <c r="M23" i="7"/>
  <c r="T19" i="18"/>
  <c r="V19" i="18" s="1"/>
  <c r="W19" i="18" s="1"/>
  <c r="T17" i="17" s="1"/>
  <c r="S19" i="18"/>
  <c r="U19" i="18" s="1"/>
  <c r="C22" i="31"/>
  <c r="F22" i="31" s="1"/>
  <c r="P22" i="31"/>
  <c r="R22" i="31" s="1"/>
  <c r="C22" i="35"/>
  <c r="F22" i="35" s="1"/>
  <c r="F21" i="39"/>
  <c r="D15" i="38" s="1"/>
  <c r="P23" i="35"/>
  <c r="R23" i="35" s="1"/>
  <c r="I22" i="39"/>
  <c r="G22" i="7"/>
  <c r="K22" i="7"/>
  <c r="D22" i="7"/>
  <c r="L22" i="7"/>
  <c r="J22" i="7"/>
  <c r="C22" i="7"/>
  <c r="I22" i="7"/>
  <c r="F22" i="7"/>
  <c r="O22" i="7"/>
  <c r="H22" i="7"/>
  <c r="M22" i="7"/>
  <c r="E22" i="7"/>
  <c r="H19" i="18"/>
  <c r="J19" i="18" s="1"/>
  <c r="K19" i="18" s="1"/>
  <c r="C17" i="17" s="1"/>
  <c r="G19" i="18"/>
  <c r="I19" i="18" s="1"/>
  <c r="P20" i="34"/>
  <c r="R20" i="34" s="1"/>
  <c r="G19" i="39"/>
  <c r="E13" i="38" s="1"/>
  <c r="H13" i="38" s="1"/>
  <c r="P22" i="34"/>
  <c r="R22" i="34" s="1"/>
  <c r="G21" i="39"/>
  <c r="E15" i="38" s="1"/>
  <c r="P23" i="34"/>
  <c r="R23" i="34" s="1"/>
  <c r="G22" i="39"/>
  <c r="E16" i="38" s="1"/>
  <c r="N22" i="39" l="1"/>
  <c r="P28" i="35"/>
  <c r="R28" i="35" s="1"/>
  <c r="I27" i="39"/>
  <c r="G22" i="18"/>
  <c r="H22" i="18"/>
  <c r="P29" i="33"/>
  <c r="R29" i="33" s="1"/>
  <c r="C29" i="33"/>
  <c r="F29" i="33" s="1"/>
  <c r="H28" i="39"/>
  <c r="H23" i="34"/>
  <c r="G23" i="34"/>
  <c r="P24" i="37"/>
  <c r="R24" i="37" s="1"/>
  <c r="C24" i="37"/>
  <c r="F24" i="37" s="1"/>
  <c r="C23" i="39"/>
  <c r="C25" i="18"/>
  <c r="F25" i="18" s="1"/>
  <c r="P25" i="18"/>
  <c r="R25" i="18" s="1"/>
  <c r="D24" i="39"/>
  <c r="S20" i="34"/>
  <c r="U20" i="34" s="1"/>
  <c r="T20" i="34"/>
  <c r="V20" i="34" s="1"/>
  <c r="W20" i="34" s="1"/>
  <c r="X18" i="17" s="1"/>
  <c r="P27" i="34"/>
  <c r="R27" i="34" s="1"/>
  <c r="G26" i="39"/>
  <c r="E20" i="38" s="1"/>
  <c r="P28" i="31"/>
  <c r="R28" i="31" s="1"/>
  <c r="C28" i="31"/>
  <c r="F28" i="31" s="1"/>
  <c r="C28" i="35"/>
  <c r="F28" i="35" s="1"/>
  <c r="F27" i="39"/>
  <c r="D21" i="38" s="1"/>
  <c r="N19" i="39"/>
  <c r="O19" i="39" s="1"/>
  <c r="G20" i="31"/>
  <c r="I20" i="31" s="1"/>
  <c r="H20" i="31"/>
  <c r="J20" i="31" s="1"/>
  <c r="K19" i="32"/>
  <c r="F17" i="17" s="1"/>
  <c r="J12" i="38"/>
  <c r="P26" i="35"/>
  <c r="R26" i="35" s="1"/>
  <c r="I25" i="39"/>
  <c r="S23" i="32"/>
  <c r="T23" i="32"/>
  <c r="T22" i="33"/>
  <c r="S22" i="33"/>
  <c r="C27" i="34"/>
  <c r="F27" i="34" s="1"/>
  <c r="C27" i="32"/>
  <c r="F27" i="32" s="1"/>
  <c r="P27" i="32"/>
  <c r="R27" i="32" s="1"/>
  <c r="E26" i="39"/>
  <c r="C20" i="38" s="1"/>
  <c r="P28" i="34"/>
  <c r="R28" i="34" s="1"/>
  <c r="G27" i="39"/>
  <c r="E21" i="38" s="1"/>
  <c r="P28" i="37"/>
  <c r="R28" i="37" s="1"/>
  <c r="C28" i="37"/>
  <c r="F28" i="37" s="1"/>
  <c r="C27" i="39"/>
  <c r="H23" i="18"/>
  <c r="G23" i="18"/>
  <c r="S20" i="18"/>
  <c r="U20" i="18" s="1"/>
  <c r="T20" i="18"/>
  <c r="V20" i="18" s="1"/>
  <c r="W20" i="18" s="1"/>
  <c r="T18" i="17" s="1"/>
  <c r="C21" i="37"/>
  <c r="F21" i="37" s="1"/>
  <c r="P21" i="37"/>
  <c r="R21" i="37" s="1"/>
  <c r="C20" i="39"/>
  <c r="P21" i="34"/>
  <c r="R21" i="34" s="1"/>
  <c r="G20" i="39"/>
  <c r="E14" i="38" s="1"/>
  <c r="H14" i="38" s="1"/>
  <c r="H15" i="38" s="1"/>
  <c r="H16" i="38" s="1"/>
  <c r="T23" i="31"/>
  <c r="S23" i="31"/>
  <c r="T20" i="31"/>
  <c r="V20" i="31" s="1"/>
  <c r="W20" i="31" s="1"/>
  <c r="U18" i="17" s="1"/>
  <c r="S20" i="31"/>
  <c r="U20" i="31" s="1"/>
  <c r="T20" i="32"/>
  <c r="V20" i="32" s="1"/>
  <c r="W20" i="32" s="1"/>
  <c r="W18" i="17" s="1"/>
  <c r="S20" i="32"/>
  <c r="U20" i="32" s="1"/>
  <c r="P29" i="31"/>
  <c r="R29" i="31" s="1"/>
  <c r="C29" i="31"/>
  <c r="F29" i="31" s="1"/>
  <c r="C29" i="35"/>
  <c r="F29" i="35" s="1"/>
  <c r="F28" i="39"/>
  <c r="D22" i="38" s="1"/>
  <c r="G23" i="32"/>
  <c r="H23" i="32"/>
  <c r="C25" i="35"/>
  <c r="F25" i="35" s="1"/>
  <c r="C25" i="31"/>
  <c r="F25" i="31" s="1"/>
  <c r="P25" i="31"/>
  <c r="R25" i="31" s="1"/>
  <c r="F24" i="39"/>
  <c r="D18" i="38" s="1"/>
  <c r="S20" i="33"/>
  <c r="U20" i="33" s="1"/>
  <c r="T20" i="33"/>
  <c r="V20" i="33" s="1"/>
  <c r="W20" i="33" s="1"/>
  <c r="Y18" i="17" s="1"/>
  <c r="K19" i="34"/>
  <c r="G17" i="17" s="1"/>
  <c r="L12" i="38"/>
  <c r="C27" i="33"/>
  <c r="F27" i="33" s="1"/>
  <c r="P27" i="33"/>
  <c r="R27" i="33" s="1"/>
  <c r="H26" i="39"/>
  <c r="G22" i="31"/>
  <c r="H22" i="31"/>
  <c r="H23" i="37"/>
  <c r="G23" i="37"/>
  <c r="C21" i="32"/>
  <c r="F21" i="32" s="1"/>
  <c r="C21" i="34"/>
  <c r="F21" i="34" s="1"/>
  <c r="P21" i="32"/>
  <c r="R21" i="32" s="1"/>
  <c r="E20" i="39"/>
  <c r="C14" i="38" s="1"/>
  <c r="F14" i="38" s="1"/>
  <c r="F15" i="38" s="1"/>
  <c r="F16" i="38" s="1"/>
  <c r="S23" i="33"/>
  <c r="T23" i="33"/>
  <c r="S22" i="32"/>
  <c r="T22" i="32"/>
  <c r="P29" i="32"/>
  <c r="R29" i="32" s="1"/>
  <c r="C29" i="32"/>
  <c r="F29" i="32" s="1"/>
  <c r="C29" i="34"/>
  <c r="F29" i="34" s="1"/>
  <c r="E28" i="39"/>
  <c r="C22" i="38" s="1"/>
  <c r="H22" i="33"/>
  <c r="G22" i="33"/>
  <c r="P27" i="37"/>
  <c r="R27" i="37" s="1"/>
  <c r="C27" i="37"/>
  <c r="F27" i="37" s="1"/>
  <c r="C26" i="39"/>
  <c r="C28" i="34"/>
  <c r="F28" i="34" s="1"/>
  <c r="P28" i="32"/>
  <c r="R28" i="32" s="1"/>
  <c r="C28" i="32"/>
  <c r="F28" i="32" s="1"/>
  <c r="E27" i="39"/>
  <c r="C21" i="38" s="1"/>
  <c r="T23" i="34"/>
  <c r="S23" i="34"/>
  <c r="S23" i="35"/>
  <c r="T23" i="35"/>
  <c r="AC17" i="17"/>
  <c r="AF17" i="17" s="1"/>
  <c r="T23" i="18"/>
  <c r="S23" i="18"/>
  <c r="H20" i="18"/>
  <c r="J20" i="18" s="1"/>
  <c r="K20" i="18" s="1"/>
  <c r="C18" i="17" s="1"/>
  <c r="G20" i="18"/>
  <c r="I20" i="18" s="1"/>
  <c r="C21" i="18"/>
  <c r="F21" i="18" s="1"/>
  <c r="P21" i="18"/>
  <c r="R21" i="18" s="1"/>
  <c r="D20" i="39"/>
  <c r="H23" i="35"/>
  <c r="G23" i="35"/>
  <c r="G20" i="32"/>
  <c r="I20" i="32" s="1"/>
  <c r="H20" i="32"/>
  <c r="J20" i="32" s="1"/>
  <c r="P29" i="37"/>
  <c r="R29" i="37" s="1"/>
  <c r="C29" i="37"/>
  <c r="F29" i="37" s="1"/>
  <c r="C28" i="39"/>
  <c r="K12" i="38"/>
  <c r="K19" i="31"/>
  <c r="D17" i="17" s="1"/>
  <c r="P24" i="35"/>
  <c r="R24" i="35" s="1"/>
  <c r="I23" i="39"/>
  <c r="C25" i="37"/>
  <c r="F25" i="37" s="1"/>
  <c r="P25" i="37"/>
  <c r="R25" i="37" s="1"/>
  <c r="C24" i="39"/>
  <c r="G20" i="33"/>
  <c r="I20" i="33" s="1"/>
  <c r="H20" i="33"/>
  <c r="J20" i="33" s="1"/>
  <c r="K20" i="33" s="1"/>
  <c r="H18" i="17" s="1"/>
  <c r="H20" i="37"/>
  <c r="J20" i="37" s="1"/>
  <c r="K20" i="37" s="1"/>
  <c r="J18" i="17" s="1"/>
  <c r="G20" i="37"/>
  <c r="I20" i="37" s="1"/>
  <c r="P27" i="18"/>
  <c r="R27" i="18" s="1"/>
  <c r="C27" i="18"/>
  <c r="F27" i="18" s="1"/>
  <c r="D26" i="39"/>
  <c r="C28" i="18"/>
  <c r="F28" i="18" s="1"/>
  <c r="P28" i="18"/>
  <c r="R28" i="18" s="1"/>
  <c r="D27" i="39"/>
  <c r="P21" i="35"/>
  <c r="R21" i="35" s="1"/>
  <c r="I20" i="39"/>
  <c r="G23" i="31"/>
  <c r="H23" i="31"/>
  <c r="H20" i="34"/>
  <c r="J20" i="34" s="1"/>
  <c r="G20" i="34"/>
  <c r="I20" i="34" s="1"/>
  <c r="P29" i="18"/>
  <c r="R29" i="18" s="1"/>
  <c r="C29" i="18"/>
  <c r="F29" i="18" s="1"/>
  <c r="D28" i="39"/>
  <c r="C26" i="34"/>
  <c r="F26" i="34" s="1"/>
  <c r="P26" i="32"/>
  <c r="R26" i="32" s="1"/>
  <c r="C26" i="32"/>
  <c r="F26" i="32" s="1"/>
  <c r="E25" i="39"/>
  <c r="C19" i="38" s="1"/>
  <c r="P24" i="34"/>
  <c r="R24" i="34" s="1"/>
  <c r="G23" i="39"/>
  <c r="E17" i="38" s="1"/>
  <c r="S22" i="35"/>
  <c r="T22" i="35"/>
  <c r="P25" i="35"/>
  <c r="R25" i="35" s="1"/>
  <c r="I24" i="39"/>
  <c r="T20" i="37"/>
  <c r="V20" i="37" s="1"/>
  <c r="W20" i="37" s="1"/>
  <c r="AA18" i="17" s="1"/>
  <c r="S20" i="37"/>
  <c r="U20" i="37" s="1"/>
  <c r="P29" i="34"/>
  <c r="R29" i="34" s="1"/>
  <c r="G28" i="39"/>
  <c r="E22" i="38" s="1"/>
  <c r="C26" i="35"/>
  <c r="F26" i="35" s="1"/>
  <c r="P26" i="31"/>
  <c r="R26" i="31" s="1"/>
  <c r="C26" i="31"/>
  <c r="F26" i="31" s="1"/>
  <c r="F25" i="39"/>
  <c r="D19" i="38" s="1"/>
  <c r="P26" i="34"/>
  <c r="R26" i="34" s="1"/>
  <c r="G25" i="39"/>
  <c r="E19" i="38" s="1"/>
  <c r="P24" i="32"/>
  <c r="R24" i="32" s="1"/>
  <c r="C24" i="32"/>
  <c r="F24" i="32" s="1"/>
  <c r="C24" i="34"/>
  <c r="F24" i="34" s="1"/>
  <c r="E23" i="39"/>
  <c r="C17" i="38" s="1"/>
  <c r="C24" i="18"/>
  <c r="F24" i="18" s="1"/>
  <c r="P24" i="18"/>
  <c r="R24" i="18" s="1"/>
  <c r="D23" i="39"/>
  <c r="P25" i="34"/>
  <c r="R25" i="34" s="1"/>
  <c r="G24" i="39"/>
  <c r="E18" i="38" s="1"/>
  <c r="P27" i="35"/>
  <c r="R27" i="35" s="1"/>
  <c r="I26" i="39"/>
  <c r="H22" i="35"/>
  <c r="G22" i="35"/>
  <c r="N21" i="39"/>
  <c r="C21" i="35"/>
  <c r="F21" i="35" s="1"/>
  <c r="C21" i="31"/>
  <c r="F21" i="31" s="1"/>
  <c r="P21" i="31"/>
  <c r="R21" i="31" s="1"/>
  <c r="F20" i="39"/>
  <c r="D14" i="38" s="1"/>
  <c r="G14" i="38" s="1"/>
  <c r="G15" i="38" s="1"/>
  <c r="G16" i="38" s="1"/>
  <c r="G22" i="34"/>
  <c r="H22" i="34"/>
  <c r="P29" i="35"/>
  <c r="R29" i="35" s="1"/>
  <c r="I28" i="39"/>
  <c r="P26" i="18"/>
  <c r="R26" i="18" s="1"/>
  <c r="C26" i="18"/>
  <c r="F26" i="18" s="1"/>
  <c r="D25" i="39"/>
  <c r="C26" i="37"/>
  <c r="F26" i="37" s="1"/>
  <c r="P26" i="37"/>
  <c r="R26" i="37" s="1"/>
  <c r="C25" i="39"/>
  <c r="S22" i="37"/>
  <c r="T22" i="37"/>
  <c r="C24" i="35"/>
  <c r="F24" i="35" s="1"/>
  <c r="P24" i="31"/>
  <c r="R24" i="31" s="1"/>
  <c r="C24" i="31"/>
  <c r="F24" i="31" s="1"/>
  <c r="F23" i="39"/>
  <c r="D17" i="38" s="1"/>
  <c r="S20" i="35"/>
  <c r="U20" i="35" s="1"/>
  <c r="T20" i="35"/>
  <c r="V20" i="35" s="1"/>
  <c r="W20" i="35" s="1"/>
  <c r="V18" i="17" s="1"/>
  <c r="P25" i="33"/>
  <c r="R25" i="33" s="1"/>
  <c r="C25" i="33"/>
  <c r="F25" i="33" s="1"/>
  <c r="H24" i="39"/>
  <c r="T22" i="34"/>
  <c r="S22" i="34"/>
  <c r="P27" i="31"/>
  <c r="R27" i="31" s="1"/>
  <c r="C27" i="35"/>
  <c r="F27" i="35" s="1"/>
  <c r="C27" i="31"/>
  <c r="F27" i="31" s="1"/>
  <c r="F26" i="39"/>
  <c r="D20" i="38" s="1"/>
  <c r="T22" i="31"/>
  <c r="S22" i="31"/>
  <c r="P28" i="33"/>
  <c r="R28" i="33" s="1"/>
  <c r="C28" i="33"/>
  <c r="F28" i="33" s="1"/>
  <c r="H27" i="39"/>
  <c r="S23" i="37"/>
  <c r="T23" i="37"/>
  <c r="S22" i="18"/>
  <c r="T22" i="18"/>
  <c r="P21" i="33"/>
  <c r="R21" i="33" s="1"/>
  <c r="C21" i="33"/>
  <c r="F21" i="33" s="1"/>
  <c r="H20" i="39"/>
  <c r="H23" i="33"/>
  <c r="G23" i="33"/>
  <c r="G20" i="35"/>
  <c r="I20" i="35" s="1"/>
  <c r="H20" i="35"/>
  <c r="J20" i="35" s="1"/>
  <c r="K20" i="35" s="1"/>
  <c r="E18" i="17" s="1"/>
  <c r="G22" i="32"/>
  <c r="H22" i="32"/>
  <c r="C26" i="33"/>
  <c r="F26" i="33" s="1"/>
  <c r="P26" i="33"/>
  <c r="R26" i="33" s="1"/>
  <c r="H25" i="39"/>
  <c r="G22" i="37"/>
  <c r="H22" i="37"/>
  <c r="P24" i="33"/>
  <c r="R24" i="33" s="1"/>
  <c r="C24" i="33"/>
  <c r="F24" i="33" s="1"/>
  <c r="H23" i="39"/>
  <c r="C25" i="32"/>
  <c r="F25" i="32" s="1"/>
  <c r="P25" i="32"/>
  <c r="R25" i="32" s="1"/>
  <c r="C25" i="34"/>
  <c r="F25" i="34" s="1"/>
  <c r="E24" i="39"/>
  <c r="C18" i="38" s="1"/>
  <c r="G17" i="38" l="1"/>
  <c r="G18" i="38" s="1"/>
  <c r="G19" i="38" s="1"/>
  <c r="G20" i="38" s="1"/>
  <c r="G21" i="38" s="1"/>
  <c r="G22" i="38" s="1"/>
  <c r="G23" i="38" s="1"/>
  <c r="G24" i="38" s="1"/>
  <c r="G25" i="38" s="1"/>
  <c r="G26" i="38" s="1"/>
  <c r="G27" i="38" s="1"/>
  <c r="G28" i="38" s="1"/>
  <c r="G29" i="38" s="1"/>
  <c r="G30" i="38" s="1"/>
  <c r="G31" i="38" s="1"/>
  <c r="G32" i="38" s="1"/>
  <c r="G33" i="38" s="1"/>
  <c r="G34" i="38" s="1"/>
  <c r="G35" i="38" s="1"/>
  <c r="G36" i="38" s="1"/>
  <c r="G37" i="38" s="1"/>
  <c r="G38" i="38" s="1"/>
  <c r="G39" i="38" s="1"/>
  <c r="G40" i="38" s="1"/>
  <c r="G41" i="38" s="1"/>
  <c r="G42" i="38" s="1"/>
  <c r="G43" i="38" s="1"/>
  <c r="G44" i="38" s="1"/>
  <c r="G45" i="38" s="1"/>
  <c r="G46" i="38" s="1"/>
  <c r="G47" i="38" s="1"/>
  <c r="G48" i="38" s="1"/>
  <c r="G49" i="38" s="1"/>
  <c r="G50" i="38" s="1"/>
  <c r="G51" i="38" s="1"/>
  <c r="G52" i="38" s="1"/>
  <c r="G53" i="38" s="1"/>
  <c r="G54" i="38" s="1"/>
  <c r="G55" i="38" s="1"/>
  <c r="G56" i="38" s="1"/>
  <c r="G57" i="38" s="1"/>
  <c r="G58" i="38" s="1"/>
  <c r="G59" i="38" s="1"/>
  <c r="G60" i="38" s="1"/>
  <c r="G61" i="38" s="1"/>
  <c r="G62" i="38" s="1"/>
  <c r="G63" i="38" s="1"/>
  <c r="G64" i="38" s="1"/>
  <c r="G65" i="38" s="1"/>
  <c r="G66" i="38" s="1"/>
  <c r="G67" i="38" s="1"/>
  <c r="G68" i="38" s="1"/>
  <c r="G69" i="38" s="1"/>
  <c r="G70" i="38" s="1"/>
  <c r="G71" i="38" s="1"/>
  <c r="G72" i="38" s="1"/>
  <c r="G73" i="38" s="1"/>
  <c r="G74" i="38" s="1"/>
  <c r="G75" i="38" s="1"/>
  <c r="G76" i="38" s="1"/>
  <c r="G77" i="38" s="1"/>
  <c r="G78" i="38" s="1"/>
  <c r="G79" i="38" s="1"/>
  <c r="G80" i="38" s="1"/>
  <c r="G81" i="38" s="1"/>
  <c r="G82" i="38" s="1"/>
  <c r="G83" i="38" s="1"/>
  <c r="G84" i="38" s="1"/>
  <c r="G85" i="38" s="1"/>
  <c r="G86" i="38" s="1"/>
  <c r="G87" i="38" s="1"/>
  <c r="G88" i="38" s="1"/>
  <c r="G89" i="38" s="1"/>
  <c r="G90" i="38" s="1"/>
  <c r="G91" i="38" s="1"/>
  <c r="G92" i="38" s="1"/>
  <c r="L17" i="17"/>
  <c r="O17" i="17" s="1"/>
  <c r="N27" i="39"/>
  <c r="N26" i="39"/>
  <c r="J13" i="38"/>
  <c r="K20" i="32"/>
  <c r="F18" i="17" s="1"/>
  <c r="AC18" i="17"/>
  <c r="AF18" i="17" s="1"/>
  <c r="L13" i="38"/>
  <c r="K20" i="34"/>
  <c r="G18" i="17" s="1"/>
  <c r="H29" i="32"/>
  <c r="G29" i="32"/>
  <c r="S27" i="32"/>
  <c r="T27" i="32"/>
  <c r="G26" i="33"/>
  <c r="H26" i="33"/>
  <c r="G24" i="31"/>
  <c r="H24" i="31"/>
  <c r="T27" i="35"/>
  <c r="S27" i="35"/>
  <c r="G26" i="34"/>
  <c r="H26" i="34"/>
  <c r="S27" i="37"/>
  <c r="T27" i="37"/>
  <c r="T28" i="31"/>
  <c r="S28" i="31"/>
  <c r="G26" i="18"/>
  <c r="H26" i="18"/>
  <c r="S25" i="37"/>
  <c r="T25" i="37"/>
  <c r="G24" i="33"/>
  <c r="H24" i="33"/>
  <c r="H24" i="35"/>
  <c r="G24" i="35"/>
  <c r="S26" i="18"/>
  <c r="T26" i="18"/>
  <c r="G21" i="31"/>
  <c r="I21" i="31" s="1"/>
  <c r="J22" i="31" s="1"/>
  <c r="H21" i="31"/>
  <c r="J21" i="31" s="1"/>
  <c r="T25" i="34"/>
  <c r="S25" i="34"/>
  <c r="S24" i="34"/>
  <c r="T24" i="34"/>
  <c r="G29" i="18"/>
  <c r="H29" i="18"/>
  <c r="T21" i="35"/>
  <c r="V21" i="35" s="1"/>
  <c r="W21" i="35" s="1"/>
  <c r="V19" i="17" s="1"/>
  <c r="S21" i="35"/>
  <c r="U21" i="35" s="1"/>
  <c r="V22" i="35" s="1"/>
  <c r="W22" i="35" s="1"/>
  <c r="V20" i="17" s="1"/>
  <c r="S27" i="18"/>
  <c r="T27" i="18"/>
  <c r="H25" i="37"/>
  <c r="G25" i="37"/>
  <c r="G29" i="35"/>
  <c r="H29" i="35"/>
  <c r="T27" i="34"/>
  <c r="S27" i="34"/>
  <c r="H24" i="37"/>
  <c r="G24" i="37"/>
  <c r="G21" i="34"/>
  <c r="I21" i="34" s="1"/>
  <c r="H21" i="34"/>
  <c r="J21" i="34" s="1"/>
  <c r="H25" i="31"/>
  <c r="G25" i="31"/>
  <c r="H21" i="33"/>
  <c r="J21" i="33" s="1"/>
  <c r="K21" i="33" s="1"/>
  <c r="H19" i="17" s="1"/>
  <c r="G21" i="33"/>
  <c r="I21" i="33" s="1"/>
  <c r="G29" i="37"/>
  <c r="H29" i="37"/>
  <c r="S29" i="33"/>
  <c r="T29" i="33"/>
  <c r="S21" i="33"/>
  <c r="U21" i="33" s="1"/>
  <c r="V22" i="33" s="1"/>
  <c r="W22" i="33" s="1"/>
  <c r="Y20" i="17" s="1"/>
  <c r="T21" i="33"/>
  <c r="V21" i="33" s="1"/>
  <c r="W21" i="33" s="1"/>
  <c r="Y19" i="17" s="1"/>
  <c r="T24" i="32"/>
  <c r="S24" i="32"/>
  <c r="T29" i="34"/>
  <c r="S29" i="34"/>
  <c r="T29" i="37"/>
  <c r="S29" i="37"/>
  <c r="T24" i="33"/>
  <c r="S24" i="33"/>
  <c r="G21" i="35"/>
  <c r="I21" i="35" s="1"/>
  <c r="J22" i="35" s="1"/>
  <c r="K22" i="35" s="1"/>
  <c r="E20" i="17" s="1"/>
  <c r="H21" i="35"/>
  <c r="J21" i="35" s="1"/>
  <c r="K21" i="35" s="1"/>
  <c r="E19" i="17" s="1"/>
  <c r="N23" i="39"/>
  <c r="S26" i="34"/>
  <c r="T26" i="34"/>
  <c r="K13" i="38"/>
  <c r="K20" i="31"/>
  <c r="D18" i="17" s="1"/>
  <c r="S29" i="18"/>
  <c r="T29" i="18"/>
  <c r="H28" i="32"/>
  <c r="G28" i="32"/>
  <c r="H29" i="31"/>
  <c r="G29" i="31"/>
  <c r="S24" i="37"/>
  <c r="T24" i="37"/>
  <c r="G27" i="35"/>
  <c r="H27" i="35"/>
  <c r="H26" i="31"/>
  <c r="G26" i="31"/>
  <c r="H27" i="33"/>
  <c r="G27" i="33"/>
  <c r="N24" i="39"/>
  <c r="H25" i="34"/>
  <c r="G25" i="34"/>
  <c r="H25" i="32"/>
  <c r="G25" i="32"/>
  <c r="S28" i="33"/>
  <c r="T28" i="33"/>
  <c r="N25" i="39"/>
  <c r="G24" i="32"/>
  <c r="H24" i="32"/>
  <c r="H21" i="18"/>
  <c r="J21" i="18" s="1"/>
  <c r="K21" i="18" s="1"/>
  <c r="C19" i="17" s="1"/>
  <c r="G21" i="18"/>
  <c r="I21" i="18" s="1"/>
  <c r="J22" i="18" s="1"/>
  <c r="K22" i="18" s="1"/>
  <c r="C20" i="17" s="1"/>
  <c r="G21" i="37"/>
  <c r="I21" i="37" s="1"/>
  <c r="H21" i="37"/>
  <c r="J21" i="37" s="1"/>
  <c r="K21" i="37" s="1"/>
  <c r="J19" i="17" s="1"/>
  <c r="F17" i="38"/>
  <c r="F18" i="38" s="1"/>
  <c r="F19" i="38" s="1"/>
  <c r="F20" i="38" s="1"/>
  <c r="F21" i="38" s="1"/>
  <c r="F22" i="38" s="1"/>
  <c r="F23" i="38" s="1"/>
  <c r="F24" i="38" s="1"/>
  <c r="F25" i="38" s="1"/>
  <c r="F26" i="38" s="1"/>
  <c r="F27" i="38" s="1"/>
  <c r="F28" i="38" s="1"/>
  <c r="F29" i="38" s="1"/>
  <c r="F30" i="38" s="1"/>
  <c r="F31" i="38" s="1"/>
  <c r="F32" i="38" s="1"/>
  <c r="F33" i="38" s="1"/>
  <c r="F34" i="38" s="1"/>
  <c r="F35" i="38" s="1"/>
  <c r="F36" i="38" s="1"/>
  <c r="F37" i="38" s="1"/>
  <c r="F38" i="38" s="1"/>
  <c r="F39" i="38" s="1"/>
  <c r="F40" i="38" s="1"/>
  <c r="F41" i="38" s="1"/>
  <c r="F42" i="38" s="1"/>
  <c r="F43" i="38" s="1"/>
  <c r="F44" i="38" s="1"/>
  <c r="F45" i="38" s="1"/>
  <c r="F46" i="38" s="1"/>
  <c r="F47" i="38" s="1"/>
  <c r="F48" i="38" s="1"/>
  <c r="F49" i="38" s="1"/>
  <c r="F50" i="38" s="1"/>
  <c r="F51" i="38" s="1"/>
  <c r="F52" i="38" s="1"/>
  <c r="F53" i="38" s="1"/>
  <c r="F54" i="38" s="1"/>
  <c r="F55" i="38" s="1"/>
  <c r="F56" i="38" s="1"/>
  <c r="F57" i="38" s="1"/>
  <c r="F58" i="38" s="1"/>
  <c r="F59" i="38" s="1"/>
  <c r="F60" i="38" s="1"/>
  <c r="F61" i="38" s="1"/>
  <c r="F62" i="38" s="1"/>
  <c r="F63" i="38" s="1"/>
  <c r="F64" i="38" s="1"/>
  <c r="F65" i="38" s="1"/>
  <c r="F66" i="38" s="1"/>
  <c r="F67" i="38" s="1"/>
  <c r="F68" i="38" s="1"/>
  <c r="F69" i="38" s="1"/>
  <c r="F70" i="38" s="1"/>
  <c r="F71" i="38" s="1"/>
  <c r="F72" i="38" s="1"/>
  <c r="F73" i="38" s="1"/>
  <c r="F74" i="38" s="1"/>
  <c r="F75" i="38" s="1"/>
  <c r="F76" i="38" s="1"/>
  <c r="F77" i="38" s="1"/>
  <c r="F78" i="38" s="1"/>
  <c r="F79" i="38" s="1"/>
  <c r="F80" i="38" s="1"/>
  <c r="F81" i="38" s="1"/>
  <c r="F82" i="38" s="1"/>
  <c r="F83" i="38" s="1"/>
  <c r="F84" i="38" s="1"/>
  <c r="F85" i="38" s="1"/>
  <c r="F86" i="38" s="1"/>
  <c r="F87" i="38" s="1"/>
  <c r="F88" i="38" s="1"/>
  <c r="F89" i="38" s="1"/>
  <c r="F90" i="38" s="1"/>
  <c r="F91" i="38" s="1"/>
  <c r="F92" i="38" s="1"/>
  <c r="S24" i="31"/>
  <c r="T24" i="31"/>
  <c r="T21" i="31"/>
  <c r="V21" i="31" s="1"/>
  <c r="W21" i="31" s="1"/>
  <c r="U19" i="17" s="1"/>
  <c r="S21" i="31"/>
  <c r="U21" i="31" s="1"/>
  <c r="N28" i="39"/>
  <c r="G27" i="18"/>
  <c r="H27" i="18"/>
  <c r="S28" i="34"/>
  <c r="T28" i="34"/>
  <c r="H25" i="33"/>
  <c r="G25" i="33"/>
  <c r="G27" i="31"/>
  <c r="H27" i="31"/>
  <c r="T25" i="33"/>
  <c r="S25" i="33"/>
  <c r="S29" i="35"/>
  <c r="T29" i="35"/>
  <c r="S24" i="18"/>
  <c r="T24" i="18"/>
  <c r="S24" i="35"/>
  <c r="T24" i="35"/>
  <c r="T28" i="32"/>
  <c r="S28" i="32"/>
  <c r="G29" i="34"/>
  <c r="H29" i="34"/>
  <c r="S21" i="32"/>
  <c r="U21" i="32" s="1"/>
  <c r="V22" i="32" s="1"/>
  <c r="W22" i="32" s="1"/>
  <c r="W20" i="17" s="1"/>
  <c r="T21" i="32"/>
  <c r="V21" i="32" s="1"/>
  <c r="W21" i="32" s="1"/>
  <c r="W19" i="17" s="1"/>
  <c r="S27" i="33"/>
  <c r="T27" i="33"/>
  <c r="S25" i="31"/>
  <c r="T25" i="31"/>
  <c r="T29" i="31"/>
  <c r="S29" i="31"/>
  <c r="S28" i="35"/>
  <c r="T28" i="35"/>
  <c r="H24" i="18"/>
  <c r="G24" i="18"/>
  <c r="H28" i="34"/>
  <c r="G28" i="34"/>
  <c r="S21" i="34"/>
  <c r="U21" i="34" s="1"/>
  <c r="V22" i="34" s="1"/>
  <c r="W22" i="34" s="1"/>
  <c r="X20" i="17" s="1"/>
  <c r="T21" i="34"/>
  <c r="V21" i="34" s="1"/>
  <c r="W21" i="34" s="1"/>
  <c r="X19" i="17" s="1"/>
  <c r="S27" i="31"/>
  <c r="T27" i="31"/>
  <c r="T26" i="37"/>
  <c r="S26" i="37"/>
  <c r="T26" i="31"/>
  <c r="S26" i="31"/>
  <c r="S25" i="35"/>
  <c r="T25" i="35"/>
  <c r="G26" i="32"/>
  <c r="H26" i="32"/>
  <c r="T28" i="18"/>
  <c r="S28" i="18"/>
  <c r="N20" i="39"/>
  <c r="O20" i="39" s="1"/>
  <c r="O21" i="39" s="1"/>
  <c r="O22" i="39" s="1"/>
  <c r="T29" i="32"/>
  <c r="S29" i="32"/>
  <c r="G21" i="32"/>
  <c r="I21" i="32" s="1"/>
  <c r="J22" i="32" s="1"/>
  <c r="H21" i="32"/>
  <c r="J21" i="32" s="1"/>
  <c r="H25" i="35"/>
  <c r="G25" i="35"/>
  <c r="G28" i="37"/>
  <c r="H28" i="37"/>
  <c r="H27" i="32"/>
  <c r="G27" i="32"/>
  <c r="G28" i="35"/>
  <c r="H28" i="35"/>
  <c r="S25" i="18"/>
  <c r="T25" i="18"/>
  <c r="H17" i="38"/>
  <c r="H18" i="38" s="1"/>
  <c r="H19" i="38" s="1"/>
  <c r="H20" i="38" s="1"/>
  <c r="H21" i="38" s="1"/>
  <c r="H22" i="38" s="1"/>
  <c r="H23" i="38" s="1"/>
  <c r="H24" i="38" s="1"/>
  <c r="H25" i="38" s="1"/>
  <c r="H26" i="38" s="1"/>
  <c r="H27" i="38" s="1"/>
  <c r="H28" i="38" s="1"/>
  <c r="H29" i="38" s="1"/>
  <c r="H30" i="38" s="1"/>
  <c r="H31" i="38" s="1"/>
  <c r="H32" i="38" s="1"/>
  <c r="H33" i="38" s="1"/>
  <c r="H34" i="38" s="1"/>
  <c r="H35" i="38" s="1"/>
  <c r="H36" i="38" s="1"/>
  <c r="H37" i="38" s="1"/>
  <c r="H38" i="38" s="1"/>
  <c r="H39" i="38" s="1"/>
  <c r="H40" i="38" s="1"/>
  <c r="H41" i="38" s="1"/>
  <c r="H42" i="38" s="1"/>
  <c r="H43" i="38" s="1"/>
  <c r="H44" i="38" s="1"/>
  <c r="H45" i="38" s="1"/>
  <c r="H46" i="38" s="1"/>
  <c r="H47" i="38" s="1"/>
  <c r="H48" i="38" s="1"/>
  <c r="H49" i="38" s="1"/>
  <c r="H50" i="38" s="1"/>
  <c r="H51" i="38" s="1"/>
  <c r="H52" i="38" s="1"/>
  <c r="H53" i="38" s="1"/>
  <c r="H54" i="38" s="1"/>
  <c r="H55" i="38" s="1"/>
  <c r="H56" i="38" s="1"/>
  <c r="H57" i="38" s="1"/>
  <c r="H58" i="38" s="1"/>
  <c r="H59" i="38" s="1"/>
  <c r="H60" i="38" s="1"/>
  <c r="H61" i="38" s="1"/>
  <c r="H62" i="38" s="1"/>
  <c r="H63" i="38" s="1"/>
  <c r="H64" i="38" s="1"/>
  <c r="H65" i="38" s="1"/>
  <c r="H66" i="38" s="1"/>
  <c r="H67" i="38" s="1"/>
  <c r="H68" i="38" s="1"/>
  <c r="H69" i="38" s="1"/>
  <c r="H70" i="38" s="1"/>
  <c r="H71" i="38" s="1"/>
  <c r="H72" i="38" s="1"/>
  <c r="H73" i="38" s="1"/>
  <c r="H74" i="38" s="1"/>
  <c r="H75" i="38" s="1"/>
  <c r="H76" i="38" s="1"/>
  <c r="H77" i="38" s="1"/>
  <c r="H78" i="38" s="1"/>
  <c r="H79" i="38" s="1"/>
  <c r="H80" i="38" s="1"/>
  <c r="H81" i="38" s="1"/>
  <c r="H82" i="38" s="1"/>
  <c r="H83" i="38" s="1"/>
  <c r="H84" i="38" s="1"/>
  <c r="H85" i="38" s="1"/>
  <c r="H86" i="38" s="1"/>
  <c r="H87" i="38" s="1"/>
  <c r="H88" i="38" s="1"/>
  <c r="H89" i="38" s="1"/>
  <c r="H90" i="38" s="1"/>
  <c r="H91" i="38" s="1"/>
  <c r="H92" i="38" s="1"/>
  <c r="T25" i="32"/>
  <c r="S25" i="32"/>
  <c r="T26" i="33"/>
  <c r="S26" i="33"/>
  <c r="H28" i="33"/>
  <c r="G28" i="33"/>
  <c r="G26" i="37"/>
  <c r="H26" i="37"/>
  <c r="H24" i="34"/>
  <c r="G24" i="34"/>
  <c r="H26" i="35"/>
  <c r="G26" i="35"/>
  <c r="S26" i="32"/>
  <c r="T26" i="32"/>
  <c r="H28" i="18"/>
  <c r="G28" i="18"/>
  <c r="T21" i="18"/>
  <c r="V21" i="18" s="1"/>
  <c r="W21" i="18" s="1"/>
  <c r="T19" i="17" s="1"/>
  <c r="S21" i="18"/>
  <c r="U21" i="18" s="1"/>
  <c r="H27" i="37"/>
  <c r="G27" i="37"/>
  <c r="S21" i="37"/>
  <c r="U21" i="37" s="1"/>
  <c r="T21" i="37"/>
  <c r="V21" i="37" s="1"/>
  <c r="W21" i="37" s="1"/>
  <c r="AA19" i="17" s="1"/>
  <c r="S28" i="37"/>
  <c r="T28" i="37"/>
  <c r="H27" i="34"/>
  <c r="G27" i="34"/>
  <c r="S26" i="35"/>
  <c r="T26" i="35"/>
  <c r="H28" i="31"/>
  <c r="G28" i="31"/>
  <c r="H25" i="18"/>
  <c r="G25" i="18"/>
  <c r="H29" i="33"/>
  <c r="G29" i="33"/>
  <c r="I22" i="32" l="1"/>
  <c r="J23" i="32" s="1"/>
  <c r="J16" i="38" s="1"/>
  <c r="U22" i="35"/>
  <c r="V23" i="35" s="1"/>
  <c r="W23" i="35" s="1"/>
  <c r="V21" i="17" s="1"/>
  <c r="U22" i="34"/>
  <c r="U23" i="34" s="1"/>
  <c r="V24" i="34" s="1"/>
  <c r="W24" i="34" s="1"/>
  <c r="X22" i="17" s="1"/>
  <c r="I22" i="18"/>
  <c r="V22" i="37"/>
  <c r="W22" i="37" s="1"/>
  <c r="AA20" i="17" s="1"/>
  <c r="U22" i="37"/>
  <c r="E12" i="28"/>
  <c r="O12" i="38" s="1"/>
  <c r="U22" i="32"/>
  <c r="V23" i="32" s="1"/>
  <c r="W23" i="32" s="1"/>
  <c r="W21" i="17" s="1"/>
  <c r="O23" i="39"/>
  <c r="O24" i="39" s="1"/>
  <c r="O25" i="39" s="1"/>
  <c r="O26" i="39" s="1"/>
  <c r="O27" i="39" s="1"/>
  <c r="O28" i="39" s="1"/>
  <c r="O29" i="39" s="1"/>
  <c r="O30" i="39" s="1"/>
  <c r="O31" i="39" s="1"/>
  <c r="O32" i="39" s="1"/>
  <c r="O33" i="39" s="1"/>
  <c r="O34" i="39" s="1"/>
  <c r="O35" i="39" s="1"/>
  <c r="O36" i="39" s="1"/>
  <c r="O37" i="39" s="1"/>
  <c r="O38" i="39" s="1"/>
  <c r="O39" i="39" s="1"/>
  <c r="O40" i="39" s="1"/>
  <c r="O41" i="39" s="1"/>
  <c r="O42" i="39" s="1"/>
  <c r="O43" i="39" s="1"/>
  <c r="O44" i="39" s="1"/>
  <c r="O45" i="39" s="1"/>
  <c r="O46" i="39" s="1"/>
  <c r="O47" i="39" s="1"/>
  <c r="O48" i="39" s="1"/>
  <c r="O49" i="39" s="1"/>
  <c r="O50" i="39" s="1"/>
  <c r="O51" i="39" s="1"/>
  <c r="O52" i="39" s="1"/>
  <c r="O53" i="39" s="1"/>
  <c r="O54" i="39" s="1"/>
  <c r="O55" i="39" s="1"/>
  <c r="O56" i="39" s="1"/>
  <c r="O57" i="39" s="1"/>
  <c r="O58" i="39" s="1"/>
  <c r="O59" i="39" s="1"/>
  <c r="O60" i="39" s="1"/>
  <c r="O61" i="39" s="1"/>
  <c r="O62" i="39" s="1"/>
  <c r="O63" i="39" s="1"/>
  <c r="O64" i="39" s="1"/>
  <c r="O65" i="39" s="1"/>
  <c r="O66" i="39" s="1"/>
  <c r="O67" i="39" s="1"/>
  <c r="O68" i="39" s="1"/>
  <c r="O69" i="39" s="1"/>
  <c r="O70" i="39" s="1"/>
  <c r="O71" i="39" s="1"/>
  <c r="O72" i="39" s="1"/>
  <c r="O73" i="39" s="1"/>
  <c r="O74" i="39" s="1"/>
  <c r="O75" i="39" s="1"/>
  <c r="O76" i="39" s="1"/>
  <c r="O77" i="39" s="1"/>
  <c r="O78" i="39" s="1"/>
  <c r="O79" i="39" s="1"/>
  <c r="O80" i="39" s="1"/>
  <c r="O81" i="39" s="1"/>
  <c r="O82" i="39" s="1"/>
  <c r="O83" i="39" s="1"/>
  <c r="O84" i="39" s="1"/>
  <c r="O85" i="39" s="1"/>
  <c r="O86" i="39" s="1"/>
  <c r="O87" i="39" s="1"/>
  <c r="O88" i="39" s="1"/>
  <c r="O89" i="39" s="1"/>
  <c r="O90" i="39" s="1"/>
  <c r="O91" i="39" s="1"/>
  <c r="O92" i="39" s="1"/>
  <c r="O93" i="39" s="1"/>
  <c r="O94" i="39" s="1"/>
  <c r="O95" i="39" s="1"/>
  <c r="O96" i="39" s="1"/>
  <c r="O97" i="39" s="1"/>
  <c r="O98" i="39" s="1"/>
  <c r="V22" i="31"/>
  <c r="W22" i="31" s="1"/>
  <c r="U20" i="17" s="1"/>
  <c r="U22" i="31"/>
  <c r="J22" i="34"/>
  <c r="I22" i="34"/>
  <c r="J22" i="33"/>
  <c r="K22" i="33" s="1"/>
  <c r="H20" i="17" s="1"/>
  <c r="I22" i="33"/>
  <c r="AC19" i="17"/>
  <c r="AF19" i="17" s="1"/>
  <c r="K21" i="32"/>
  <c r="F19" i="17" s="1"/>
  <c r="J14" i="38"/>
  <c r="L14" i="38"/>
  <c r="K21" i="34"/>
  <c r="G19" i="17" s="1"/>
  <c r="K15" i="38"/>
  <c r="K22" i="31"/>
  <c r="D20" i="17" s="1"/>
  <c r="I22" i="31"/>
  <c r="U23" i="32"/>
  <c r="V24" i="32" s="1"/>
  <c r="W24" i="32" s="1"/>
  <c r="W22" i="17" s="1"/>
  <c r="U22" i="18"/>
  <c r="V22" i="18"/>
  <c r="W22" i="18" s="1"/>
  <c r="T20" i="17" s="1"/>
  <c r="I22" i="37"/>
  <c r="J22" i="37"/>
  <c r="K22" i="37" s="1"/>
  <c r="J20" i="17" s="1"/>
  <c r="K22" i="32"/>
  <c r="F20" i="17" s="1"/>
  <c r="J15" i="38"/>
  <c r="U22" i="33"/>
  <c r="L18" i="17"/>
  <c r="I22" i="35"/>
  <c r="K14" i="38"/>
  <c r="K21" i="31"/>
  <c r="D19" i="17" s="1"/>
  <c r="V23" i="34" l="1"/>
  <c r="W23" i="34" s="1"/>
  <c r="X21" i="17" s="1"/>
  <c r="I23" i="32"/>
  <c r="J24" i="32" s="1"/>
  <c r="J17" i="38" s="1"/>
  <c r="K23" i="32"/>
  <c r="F21" i="17" s="1"/>
  <c r="U23" i="35"/>
  <c r="U24" i="35" s="1"/>
  <c r="V25" i="35" s="1"/>
  <c r="W25" i="35" s="1"/>
  <c r="V23" i="17" s="1"/>
  <c r="U24" i="34"/>
  <c r="V25" i="34" s="1"/>
  <c r="W25" i="34" s="1"/>
  <c r="X23" i="17" s="1"/>
  <c r="L19" i="17"/>
  <c r="E14" i="28" s="1"/>
  <c r="M14" i="38" s="1"/>
  <c r="J23" i="18"/>
  <c r="K23" i="18" s="1"/>
  <c r="C21" i="17" s="1"/>
  <c r="I23" i="18"/>
  <c r="AC20" i="17"/>
  <c r="AF20" i="17" s="1"/>
  <c r="M12" i="38"/>
  <c r="N12" i="38"/>
  <c r="V23" i="37"/>
  <c r="W23" i="37" s="1"/>
  <c r="AA21" i="17" s="1"/>
  <c r="U23" i="37"/>
  <c r="J23" i="33"/>
  <c r="K23" i="33" s="1"/>
  <c r="H21" i="17" s="1"/>
  <c r="I23" i="33"/>
  <c r="V23" i="18"/>
  <c r="W23" i="18" s="1"/>
  <c r="T21" i="17" s="1"/>
  <c r="U23" i="18"/>
  <c r="U24" i="32"/>
  <c r="J23" i="35"/>
  <c r="K23" i="35" s="1"/>
  <c r="E21" i="17" s="1"/>
  <c r="I23" i="35"/>
  <c r="V23" i="33"/>
  <c r="W23" i="33" s="1"/>
  <c r="Y21" i="17" s="1"/>
  <c r="U23" i="33"/>
  <c r="J23" i="37"/>
  <c r="K23" i="37" s="1"/>
  <c r="J21" i="17" s="1"/>
  <c r="I23" i="37"/>
  <c r="J23" i="34"/>
  <c r="I23" i="34"/>
  <c r="L15" i="38"/>
  <c r="K22" i="34"/>
  <c r="G20" i="17" s="1"/>
  <c r="L20" i="17" s="1"/>
  <c r="V23" i="31"/>
  <c r="W23" i="31" s="1"/>
  <c r="U21" i="17" s="1"/>
  <c r="U23" i="31"/>
  <c r="E13" i="28"/>
  <c r="O18" i="17"/>
  <c r="J23" i="31"/>
  <c r="I23" i="31"/>
  <c r="K24" i="32" l="1"/>
  <c r="F22" i="17" s="1"/>
  <c r="I24" i="32"/>
  <c r="J25" i="32" s="1"/>
  <c r="U25" i="34"/>
  <c r="V26" i="34" s="1"/>
  <c r="W26" i="34" s="1"/>
  <c r="X24" i="17" s="1"/>
  <c r="U25" i="35"/>
  <c r="V26" i="35" s="1"/>
  <c r="W26" i="35" s="1"/>
  <c r="V24" i="17" s="1"/>
  <c r="V24" i="35"/>
  <c r="W24" i="35" s="1"/>
  <c r="V22" i="17" s="1"/>
  <c r="O19" i="17"/>
  <c r="J24" i="18"/>
  <c r="K24" i="18" s="1"/>
  <c r="C22" i="17" s="1"/>
  <c r="I24" i="18"/>
  <c r="AC21" i="17"/>
  <c r="AF21" i="17" s="1"/>
  <c r="O14" i="38"/>
  <c r="V24" i="37"/>
  <c r="W24" i="37" s="1"/>
  <c r="AA22" i="17" s="1"/>
  <c r="U24" i="37"/>
  <c r="V24" i="33"/>
  <c r="W24" i="33" s="1"/>
  <c r="Y22" i="17" s="1"/>
  <c r="U24" i="33"/>
  <c r="K16" i="38"/>
  <c r="K23" i="31"/>
  <c r="D21" i="17" s="1"/>
  <c r="V25" i="32"/>
  <c r="W25" i="32" s="1"/>
  <c r="W23" i="17" s="1"/>
  <c r="U25" i="32"/>
  <c r="V24" i="31"/>
  <c r="W24" i="31" s="1"/>
  <c r="U22" i="17" s="1"/>
  <c r="U24" i="31"/>
  <c r="E15" i="28"/>
  <c r="O15" i="38" s="1"/>
  <c r="O20" i="17"/>
  <c r="L16" i="38"/>
  <c r="K23" i="34"/>
  <c r="G21" i="17" s="1"/>
  <c r="J24" i="37"/>
  <c r="K24" i="37" s="1"/>
  <c r="J22" i="17" s="1"/>
  <c r="I24" i="37"/>
  <c r="I24" i="33"/>
  <c r="J24" i="33"/>
  <c r="K24" i="33" s="1"/>
  <c r="H22" i="17" s="1"/>
  <c r="M13" i="38"/>
  <c r="O13" i="38"/>
  <c r="N13" i="38"/>
  <c r="N14" i="38"/>
  <c r="J24" i="31"/>
  <c r="I24" i="31"/>
  <c r="J24" i="34"/>
  <c r="I24" i="34"/>
  <c r="J24" i="35"/>
  <c r="K24" i="35" s="1"/>
  <c r="E22" i="17" s="1"/>
  <c r="I24" i="35"/>
  <c r="V24" i="18"/>
  <c r="W24" i="18" s="1"/>
  <c r="T22" i="17" s="1"/>
  <c r="U24" i="18"/>
  <c r="I25" i="32" l="1"/>
  <c r="J26" i="32" s="1"/>
  <c r="U26" i="35"/>
  <c r="V27" i="35" s="1"/>
  <c r="W27" i="35" s="1"/>
  <c r="V25" i="17" s="1"/>
  <c r="U26" i="34"/>
  <c r="V27" i="34" s="1"/>
  <c r="W27" i="34" s="1"/>
  <c r="X25" i="17" s="1"/>
  <c r="J25" i="18"/>
  <c r="K25" i="18" s="1"/>
  <c r="C23" i="17" s="1"/>
  <c r="I25" i="18"/>
  <c r="K25" i="32"/>
  <c r="F23" i="17" s="1"/>
  <c r="J18" i="38"/>
  <c r="AC22" i="17"/>
  <c r="AF22" i="17" s="1"/>
  <c r="V25" i="37"/>
  <c r="W25" i="37" s="1"/>
  <c r="AA23" i="17" s="1"/>
  <c r="U25" i="37"/>
  <c r="L21" i="17"/>
  <c r="O21" i="17" s="1"/>
  <c r="J25" i="31"/>
  <c r="I25" i="31"/>
  <c r="J25" i="37"/>
  <c r="K25" i="37" s="1"/>
  <c r="J23" i="17" s="1"/>
  <c r="I25" i="37"/>
  <c r="K17" i="38"/>
  <c r="K24" i="31"/>
  <c r="D22" i="17" s="1"/>
  <c r="L17" i="38"/>
  <c r="K24" i="34"/>
  <c r="G22" i="17" s="1"/>
  <c r="M15" i="38"/>
  <c r="N15" i="38"/>
  <c r="V25" i="31"/>
  <c r="W25" i="31" s="1"/>
  <c r="U23" i="17" s="1"/>
  <c r="U25" i="31"/>
  <c r="V25" i="18"/>
  <c r="W25" i="18" s="1"/>
  <c r="T23" i="17" s="1"/>
  <c r="U25" i="18"/>
  <c r="J25" i="34"/>
  <c r="I25" i="34"/>
  <c r="J25" i="33"/>
  <c r="K25" i="33" s="1"/>
  <c r="H23" i="17" s="1"/>
  <c r="I25" i="33"/>
  <c r="V25" i="33"/>
  <c r="W25" i="33" s="1"/>
  <c r="Y23" i="17" s="1"/>
  <c r="U25" i="33"/>
  <c r="J25" i="35"/>
  <c r="K25" i="35" s="1"/>
  <c r="E23" i="17" s="1"/>
  <c r="I25" i="35"/>
  <c r="V26" i="32"/>
  <c r="W26" i="32" s="1"/>
  <c r="W24" i="17" s="1"/>
  <c r="U26" i="32"/>
  <c r="I26" i="32" l="1"/>
  <c r="I27" i="32" s="1"/>
  <c r="U27" i="35"/>
  <c r="V28" i="35" s="1"/>
  <c r="W28" i="35" s="1"/>
  <c r="V26" i="17" s="1"/>
  <c r="U27" i="34"/>
  <c r="V28" i="34" s="1"/>
  <c r="W28" i="34" s="1"/>
  <c r="X26" i="17" s="1"/>
  <c r="L22" i="17"/>
  <c r="E17" i="28" s="1"/>
  <c r="M17" i="38" s="1"/>
  <c r="E16" i="28"/>
  <c r="M16" i="38" s="1"/>
  <c r="J26" i="18"/>
  <c r="K26" i="18" s="1"/>
  <c r="C24" i="17" s="1"/>
  <c r="I26" i="18"/>
  <c r="U26" i="37"/>
  <c r="V26" i="37"/>
  <c r="W26" i="37" s="1"/>
  <c r="AA24" i="17" s="1"/>
  <c r="K26" i="32"/>
  <c r="F24" i="17" s="1"/>
  <c r="J19" i="38"/>
  <c r="K25" i="34"/>
  <c r="G23" i="17" s="1"/>
  <c r="L18" i="38"/>
  <c r="V27" i="32"/>
  <c r="W27" i="32" s="1"/>
  <c r="W25" i="17" s="1"/>
  <c r="U27" i="32"/>
  <c r="V26" i="18"/>
  <c r="W26" i="18" s="1"/>
  <c r="T24" i="17" s="1"/>
  <c r="U26" i="18"/>
  <c r="AC23" i="17"/>
  <c r="AF23" i="17" s="1"/>
  <c r="J26" i="33"/>
  <c r="K26" i="33" s="1"/>
  <c r="H24" i="17" s="1"/>
  <c r="I26" i="33"/>
  <c r="J26" i="35"/>
  <c r="K26" i="35" s="1"/>
  <c r="E24" i="17" s="1"/>
  <c r="I26" i="35"/>
  <c r="V26" i="31"/>
  <c r="W26" i="31" s="1"/>
  <c r="U24" i="17" s="1"/>
  <c r="U26" i="31"/>
  <c r="V26" i="33"/>
  <c r="W26" i="33" s="1"/>
  <c r="Y24" i="17" s="1"/>
  <c r="U26" i="33"/>
  <c r="I26" i="34"/>
  <c r="J26" i="34"/>
  <c r="J26" i="37"/>
  <c r="K26" i="37" s="1"/>
  <c r="J24" i="17" s="1"/>
  <c r="I26" i="37"/>
  <c r="J26" i="31"/>
  <c r="I26" i="31"/>
  <c r="K18" i="38"/>
  <c r="K25" i="31"/>
  <c r="D23" i="17" s="1"/>
  <c r="L23" i="17" s="1"/>
  <c r="U28" i="34" l="1"/>
  <c r="J27" i="32"/>
  <c r="J20" i="38" s="1"/>
  <c r="U28" i="35"/>
  <c r="O22" i="17"/>
  <c r="N16" i="38"/>
  <c r="O16" i="38"/>
  <c r="I27" i="18"/>
  <c r="J27" i="18"/>
  <c r="K27" i="18" s="1"/>
  <c r="C25" i="17" s="1"/>
  <c r="J28" i="32"/>
  <c r="I28" i="32"/>
  <c r="K27" i="32"/>
  <c r="F25" i="17" s="1"/>
  <c r="N17" i="38"/>
  <c r="O17" i="38"/>
  <c r="V27" i="37"/>
  <c r="W27" i="37" s="1"/>
  <c r="AA25" i="17" s="1"/>
  <c r="U27" i="37"/>
  <c r="J27" i="31"/>
  <c r="I27" i="31"/>
  <c r="AC24" i="17"/>
  <c r="AF24" i="17" s="1"/>
  <c r="V28" i="32"/>
  <c r="W28" i="32" s="1"/>
  <c r="W26" i="17" s="1"/>
  <c r="U28" i="32"/>
  <c r="V27" i="18"/>
  <c r="W27" i="18" s="1"/>
  <c r="T25" i="17" s="1"/>
  <c r="U27" i="18"/>
  <c r="K19" i="38"/>
  <c r="K26" i="31"/>
  <c r="D24" i="17" s="1"/>
  <c r="J27" i="35"/>
  <c r="K27" i="35" s="1"/>
  <c r="E25" i="17" s="1"/>
  <c r="I27" i="35"/>
  <c r="K26" i="34"/>
  <c r="G24" i="17" s="1"/>
  <c r="L19" i="38"/>
  <c r="J27" i="33"/>
  <c r="K27" i="33" s="1"/>
  <c r="H25" i="17" s="1"/>
  <c r="I27" i="33"/>
  <c r="J27" i="37"/>
  <c r="K27" i="37" s="1"/>
  <c r="J25" i="17" s="1"/>
  <c r="I27" i="37"/>
  <c r="J27" i="34"/>
  <c r="I27" i="34"/>
  <c r="V29" i="34"/>
  <c r="W29" i="34" s="1"/>
  <c r="X27" i="17" s="1"/>
  <c r="U29" i="34"/>
  <c r="V27" i="33"/>
  <c r="W27" i="33" s="1"/>
  <c r="Y25" i="17" s="1"/>
  <c r="U27" i="33"/>
  <c r="V27" i="31"/>
  <c r="W27" i="31" s="1"/>
  <c r="U25" i="17" s="1"/>
  <c r="U27" i="31"/>
  <c r="O23" i="17"/>
  <c r="E18" i="28"/>
  <c r="M18" i="38" s="1"/>
  <c r="V29" i="35"/>
  <c r="W29" i="35" s="1"/>
  <c r="V27" i="17" s="1"/>
  <c r="U29" i="35"/>
  <c r="L24" i="17" l="1"/>
  <c r="O24" i="17" s="1"/>
  <c r="J28" i="18"/>
  <c r="K28" i="18" s="1"/>
  <c r="C26" i="17" s="1"/>
  <c r="I28" i="18"/>
  <c r="V28" i="37"/>
  <c r="W28" i="37" s="1"/>
  <c r="AA26" i="17" s="1"/>
  <c r="U28" i="37"/>
  <c r="J29" i="32"/>
  <c r="I29" i="32"/>
  <c r="J21" i="38"/>
  <c r="K28" i="32"/>
  <c r="F26" i="17" s="1"/>
  <c r="V30" i="34"/>
  <c r="W30" i="34" s="1"/>
  <c r="X28" i="17" s="1"/>
  <c r="U30" i="34"/>
  <c r="V28" i="31"/>
  <c r="W28" i="31" s="1"/>
  <c r="U26" i="17" s="1"/>
  <c r="U28" i="31"/>
  <c r="K27" i="34"/>
  <c r="G25" i="17" s="1"/>
  <c r="L20" i="38"/>
  <c r="J28" i="33"/>
  <c r="K28" i="33" s="1"/>
  <c r="H26" i="17" s="1"/>
  <c r="I28" i="33"/>
  <c r="V29" i="32"/>
  <c r="W29" i="32" s="1"/>
  <c r="W27" i="17" s="1"/>
  <c r="U29" i="32"/>
  <c r="N18" i="38"/>
  <c r="AC25" i="17"/>
  <c r="AF25" i="17" s="1"/>
  <c r="J28" i="31"/>
  <c r="I28" i="31"/>
  <c r="O18" i="38"/>
  <c r="J28" i="34"/>
  <c r="I28" i="34"/>
  <c r="V28" i="18"/>
  <c r="W28" i="18" s="1"/>
  <c r="T26" i="17" s="1"/>
  <c r="U28" i="18"/>
  <c r="V28" i="33"/>
  <c r="W28" i="33" s="1"/>
  <c r="Y26" i="17" s="1"/>
  <c r="U28" i="33"/>
  <c r="V30" i="35"/>
  <c r="W30" i="35" s="1"/>
  <c r="V28" i="17" s="1"/>
  <c r="U30" i="35"/>
  <c r="J28" i="37"/>
  <c r="K28" i="37" s="1"/>
  <c r="J26" i="17" s="1"/>
  <c r="I28" i="37"/>
  <c r="J28" i="35"/>
  <c r="K28" i="35" s="1"/>
  <c r="E26" i="17" s="1"/>
  <c r="I28" i="35"/>
  <c r="K20" i="38"/>
  <c r="K27" i="31"/>
  <c r="D25" i="17" s="1"/>
  <c r="E19" i="28" l="1"/>
  <c r="M19" i="38" s="1"/>
  <c r="J29" i="18"/>
  <c r="K29" i="18" s="1"/>
  <c r="C27" i="17" s="1"/>
  <c r="I29" i="18"/>
  <c r="I30" i="32"/>
  <c r="J30" i="32"/>
  <c r="J22" i="38"/>
  <c r="K29" i="32"/>
  <c r="F27" i="17" s="1"/>
  <c r="U29" i="37"/>
  <c r="V29" i="37"/>
  <c r="W29" i="37" s="1"/>
  <c r="AA27" i="17" s="1"/>
  <c r="V29" i="33"/>
  <c r="W29" i="33" s="1"/>
  <c r="Y27" i="17" s="1"/>
  <c r="U29" i="33"/>
  <c r="K28" i="34"/>
  <c r="G26" i="17" s="1"/>
  <c r="L21" i="38"/>
  <c r="J29" i="37"/>
  <c r="K29" i="37" s="1"/>
  <c r="J27" i="17" s="1"/>
  <c r="I29" i="37"/>
  <c r="V29" i="18"/>
  <c r="W29" i="18" s="1"/>
  <c r="T27" i="17" s="1"/>
  <c r="U29" i="18"/>
  <c r="V29" i="31"/>
  <c r="W29" i="31" s="1"/>
  <c r="U27" i="17" s="1"/>
  <c r="U29" i="31"/>
  <c r="J29" i="35"/>
  <c r="K29" i="35" s="1"/>
  <c r="E27" i="17" s="1"/>
  <c r="I29" i="35"/>
  <c r="V31" i="35"/>
  <c r="W31" i="35" s="1"/>
  <c r="V29" i="17" s="1"/>
  <c r="U31" i="35"/>
  <c r="J29" i="34"/>
  <c r="I29" i="34"/>
  <c r="AC26" i="17"/>
  <c r="AF26" i="17" s="1"/>
  <c r="V30" i="32"/>
  <c r="W30" i="32" s="1"/>
  <c r="W28" i="17" s="1"/>
  <c r="U30" i="32"/>
  <c r="J29" i="33"/>
  <c r="K29" i="33" s="1"/>
  <c r="H27" i="17" s="1"/>
  <c r="I29" i="33"/>
  <c r="J29" i="31"/>
  <c r="I29" i="31"/>
  <c r="V31" i="34"/>
  <c r="W31" i="34" s="1"/>
  <c r="X29" i="17" s="1"/>
  <c r="U31" i="34"/>
  <c r="L25" i="17"/>
  <c r="K28" i="31"/>
  <c r="D26" i="17" s="1"/>
  <c r="L26" i="17" s="1"/>
  <c r="K21" i="38"/>
  <c r="N19" i="38" l="1"/>
  <c r="O19" i="38"/>
  <c r="J30" i="18"/>
  <c r="K30" i="18" s="1"/>
  <c r="C28" i="17" s="1"/>
  <c r="I30" i="18"/>
  <c r="AC27" i="17"/>
  <c r="AF27" i="17" s="1"/>
  <c r="U30" i="37"/>
  <c r="V30" i="37"/>
  <c r="W30" i="37" s="1"/>
  <c r="AA28" i="17" s="1"/>
  <c r="K30" i="32"/>
  <c r="F28" i="17" s="1"/>
  <c r="J23" i="38"/>
  <c r="J31" i="32"/>
  <c r="I31" i="32"/>
  <c r="K29" i="31"/>
  <c r="D27" i="17" s="1"/>
  <c r="K22" i="38"/>
  <c r="J30" i="34"/>
  <c r="I30" i="34"/>
  <c r="J30" i="35"/>
  <c r="K30" i="35" s="1"/>
  <c r="E28" i="17" s="1"/>
  <c r="I30" i="35"/>
  <c r="O26" i="17"/>
  <c r="E21" i="28"/>
  <c r="M21" i="38" s="1"/>
  <c r="J30" i="31"/>
  <c r="I30" i="31"/>
  <c r="K29" i="34"/>
  <c r="G27" i="17" s="1"/>
  <c r="L22" i="38"/>
  <c r="V31" i="32"/>
  <c r="W31" i="32" s="1"/>
  <c r="W29" i="17" s="1"/>
  <c r="U31" i="32"/>
  <c r="J30" i="37"/>
  <c r="K30" i="37" s="1"/>
  <c r="J28" i="17" s="1"/>
  <c r="I30" i="37"/>
  <c r="J30" i="33"/>
  <c r="K30" i="33" s="1"/>
  <c r="H28" i="17" s="1"/>
  <c r="I30" i="33"/>
  <c r="V30" i="33"/>
  <c r="W30" i="33" s="1"/>
  <c r="Y28" i="17" s="1"/>
  <c r="U30" i="33"/>
  <c r="V32" i="34"/>
  <c r="W32" i="34" s="1"/>
  <c r="X30" i="17" s="1"/>
  <c r="U32" i="34"/>
  <c r="V30" i="31"/>
  <c r="W30" i="31" s="1"/>
  <c r="U28" i="17" s="1"/>
  <c r="U30" i="31"/>
  <c r="O25" i="17"/>
  <c r="E20" i="28"/>
  <c r="V32" i="35"/>
  <c r="W32" i="35" s="1"/>
  <c r="V30" i="17" s="1"/>
  <c r="U32" i="35"/>
  <c r="V30" i="18"/>
  <c r="W30" i="18" s="1"/>
  <c r="T28" i="17" s="1"/>
  <c r="U30" i="18"/>
  <c r="J31" i="18" l="1"/>
  <c r="K31" i="18" s="1"/>
  <c r="C29" i="17" s="1"/>
  <c r="I31" i="18"/>
  <c r="J24" i="38"/>
  <c r="K31" i="32"/>
  <c r="F29" i="17" s="1"/>
  <c r="AC28" i="17"/>
  <c r="AF28" i="17" s="1"/>
  <c r="J32" i="32"/>
  <c r="I32" i="32"/>
  <c r="L27" i="17"/>
  <c r="E22" i="28" s="1"/>
  <c r="V31" i="37"/>
  <c r="W31" i="37" s="1"/>
  <c r="AA29" i="17" s="1"/>
  <c r="U31" i="37"/>
  <c r="J31" i="31"/>
  <c r="I31" i="31"/>
  <c r="J31" i="34"/>
  <c r="I31" i="34"/>
  <c r="J31" i="35"/>
  <c r="K31" i="35" s="1"/>
  <c r="E29" i="17" s="1"/>
  <c r="I31" i="35"/>
  <c r="V33" i="34"/>
  <c r="W33" i="34" s="1"/>
  <c r="X31" i="17" s="1"/>
  <c r="U33" i="34"/>
  <c r="V31" i="33"/>
  <c r="W31" i="33" s="1"/>
  <c r="Y29" i="17" s="1"/>
  <c r="U31" i="33"/>
  <c r="V32" i="32"/>
  <c r="W32" i="32" s="1"/>
  <c r="W30" i="17" s="1"/>
  <c r="U32" i="32"/>
  <c r="K30" i="34"/>
  <c r="G28" i="17" s="1"/>
  <c r="L23" i="38"/>
  <c r="J31" i="37"/>
  <c r="K31" i="37" s="1"/>
  <c r="J29" i="17" s="1"/>
  <c r="I31" i="37"/>
  <c r="N21" i="38"/>
  <c r="V33" i="35"/>
  <c r="W33" i="35" s="1"/>
  <c r="V31" i="17" s="1"/>
  <c r="U33" i="35"/>
  <c r="M20" i="38"/>
  <c r="N20" i="38"/>
  <c r="O20" i="38"/>
  <c r="K23" i="38"/>
  <c r="K30" i="31"/>
  <c r="D28" i="17" s="1"/>
  <c r="V31" i="31"/>
  <c r="W31" i="31" s="1"/>
  <c r="U29" i="17" s="1"/>
  <c r="U31" i="31"/>
  <c r="J31" i="33"/>
  <c r="K31" i="33" s="1"/>
  <c r="H29" i="17" s="1"/>
  <c r="I31" i="33"/>
  <c r="V31" i="18"/>
  <c r="W31" i="18" s="1"/>
  <c r="T29" i="17" s="1"/>
  <c r="U31" i="18"/>
  <c r="O21" i="38"/>
  <c r="L28" i="17" l="1"/>
  <c r="O28" i="17" s="1"/>
  <c r="O27" i="17"/>
  <c r="J32" i="18"/>
  <c r="K32" i="18" s="1"/>
  <c r="C30" i="17" s="1"/>
  <c r="I32" i="18"/>
  <c r="M22" i="38"/>
  <c r="O22" i="38"/>
  <c r="N22" i="38"/>
  <c r="J33" i="32"/>
  <c r="I33" i="32"/>
  <c r="J25" i="38"/>
  <c r="K32" i="32"/>
  <c r="F30" i="17" s="1"/>
  <c r="U32" i="37"/>
  <c r="V32" i="37"/>
  <c r="W32" i="37" s="1"/>
  <c r="AA30" i="17" s="1"/>
  <c r="V32" i="33"/>
  <c r="W32" i="33" s="1"/>
  <c r="Y30" i="17" s="1"/>
  <c r="U32" i="33"/>
  <c r="V32" i="31"/>
  <c r="W32" i="31" s="1"/>
  <c r="U30" i="17" s="1"/>
  <c r="U32" i="31"/>
  <c r="J32" i="35"/>
  <c r="K32" i="35" s="1"/>
  <c r="E30" i="17" s="1"/>
  <c r="I32" i="35"/>
  <c r="AC29" i="17"/>
  <c r="AF29" i="17" s="1"/>
  <c r="V33" i="32"/>
  <c r="W33" i="32" s="1"/>
  <c r="W31" i="17" s="1"/>
  <c r="U33" i="32"/>
  <c r="L24" i="38"/>
  <c r="K31" i="34"/>
  <c r="G29" i="17" s="1"/>
  <c r="V32" i="18"/>
  <c r="W32" i="18" s="1"/>
  <c r="T30" i="17" s="1"/>
  <c r="U32" i="18"/>
  <c r="J32" i="37"/>
  <c r="K32" i="37" s="1"/>
  <c r="J30" i="17" s="1"/>
  <c r="I32" i="37"/>
  <c r="J32" i="34"/>
  <c r="I32" i="34"/>
  <c r="J32" i="33"/>
  <c r="K32" i="33" s="1"/>
  <c r="H30" i="17" s="1"/>
  <c r="I32" i="33"/>
  <c r="J32" i="31"/>
  <c r="I32" i="31"/>
  <c r="V34" i="35"/>
  <c r="W34" i="35" s="1"/>
  <c r="V32" i="17" s="1"/>
  <c r="U34" i="35"/>
  <c r="V34" i="34"/>
  <c r="W34" i="34" s="1"/>
  <c r="X32" i="17" s="1"/>
  <c r="U34" i="34"/>
  <c r="K24" i="38"/>
  <c r="K31" i="31"/>
  <c r="D29" i="17" s="1"/>
  <c r="E23" i="28" l="1"/>
  <c r="M23" i="38" s="1"/>
  <c r="I33" i="18"/>
  <c r="J33" i="18"/>
  <c r="K33" i="18" s="1"/>
  <c r="C31" i="17" s="1"/>
  <c r="L29" i="17"/>
  <c r="E24" i="28" s="1"/>
  <c r="M24" i="38" s="1"/>
  <c r="J34" i="32"/>
  <c r="I34" i="32"/>
  <c r="K33" i="32"/>
  <c r="F31" i="17" s="1"/>
  <c r="J26" i="38"/>
  <c r="V33" i="37"/>
  <c r="W33" i="37" s="1"/>
  <c r="AA31" i="17" s="1"/>
  <c r="U33" i="37"/>
  <c r="V35" i="34"/>
  <c r="W35" i="34" s="1"/>
  <c r="X33" i="17" s="1"/>
  <c r="U35" i="34"/>
  <c r="V33" i="31"/>
  <c r="W33" i="31" s="1"/>
  <c r="U31" i="17" s="1"/>
  <c r="U33" i="31"/>
  <c r="V33" i="18"/>
  <c r="W33" i="18" s="1"/>
  <c r="T31" i="17" s="1"/>
  <c r="U33" i="18"/>
  <c r="J33" i="33"/>
  <c r="K33" i="33" s="1"/>
  <c r="H31" i="17" s="1"/>
  <c r="I33" i="33"/>
  <c r="V35" i="35"/>
  <c r="W35" i="35" s="1"/>
  <c r="V33" i="17" s="1"/>
  <c r="U35" i="35"/>
  <c r="AC30" i="17"/>
  <c r="AF30" i="17" s="1"/>
  <c r="V33" i="33"/>
  <c r="W33" i="33" s="1"/>
  <c r="Y31" i="17" s="1"/>
  <c r="U33" i="33"/>
  <c r="J33" i="34"/>
  <c r="I33" i="34"/>
  <c r="J33" i="35"/>
  <c r="K33" i="35" s="1"/>
  <c r="E31" i="17" s="1"/>
  <c r="I33" i="35"/>
  <c r="J33" i="31"/>
  <c r="I33" i="31"/>
  <c r="L25" i="38"/>
  <c r="K32" i="34"/>
  <c r="G30" i="17" s="1"/>
  <c r="K25" i="38"/>
  <c r="K32" i="31"/>
  <c r="D30" i="17" s="1"/>
  <c r="J33" i="37"/>
  <c r="K33" i="37" s="1"/>
  <c r="J31" i="17" s="1"/>
  <c r="I33" i="37"/>
  <c r="V34" i="32"/>
  <c r="W34" i="32" s="1"/>
  <c r="W32" i="17" s="1"/>
  <c r="U34" i="32"/>
  <c r="O23" i="38" l="1"/>
  <c r="N23" i="38"/>
  <c r="I34" i="18"/>
  <c r="J34" i="18"/>
  <c r="K34" i="18" s="1"/>
  <c r="C32" i="17" s="1"/>
  <c r="O29" i="17"/>
  <c r="U34" i="37"/>
  <c r="V34" i="37"/>
  <c r="W34" i="37" s="1"/>
  <c r="AA32" i="17" s="1"/>
  <c r="J35" i="32"/>
  <c r="I35" i="32"/>
  <c r="K34" i="32"/>
  <c r="F32" i="17" s="1"/>
  <c r="J27" i="38"/>
  <c r="V34" i="33"/>
  <c r="W34" i="33" s="1"/>
  <c r="Y32" i="17" s="1"/>
  <c r="U34" i="33"/>
  <c r="V34" i="31"/>
  <c r="W34" i="31" s="1"/>
  <c r="U32" i="17" s="1"/>
  <c r="U34" i="31"/>
  <c r="J34" i="34"/>
  <c r="I34" i="34"/>
  <c r="V35" i="32"/>
  <c r="W35" i="32" s="1"/>
  <c r="W33" i="17" s="1"/>
  <c r="U35" i="32"/>
  <c r="J34" i="33"/>
  <c r="K34" i="33" s="1"/>
  <c r="H32" i="17" s="1"/>
  <c r="I34" i="33"/>
  <c r="J34" i="37"/>
  <c r="K34" i="37" s="1"/>
  <c r="J32" i="17" s="1"/>
  <c r="I34" i="37"/>
  <c r="L30" i="17"/>
  <c r="K26" i="38"/>
  <c r="K33" i="31"/>
  <c r="D31" i="17" s="1"/>
  <c r="V36" i="35"/>
  <c r="W36" i="35" s="1"/>
  <c r="V34" i="17" s="1"/>
  <c r="U36" i="35"/>
  <c r="V34" i="18"/>
  <c r="W34" i="18" s="1"/>
  <c r="T32" i="17" s="1"/>
  <c r="U34" i="18"/>
  <c r="J34" i="35"/>
  <c r="K34" i="35" s="1"/>
  <c r="E32" i="17" s="1"/>
  <c r="I34" i="35"/>
  <c r="AC31" i="17"/>
  <c r="AF31" i="17" s="1"/>
  <c r="V36" i="34"/>
  <c r="W36" i="34" s="1"/>
  <c r="X34" i="17" s="1"/>
  <c r="U36" i="34"/>
  <c r="O24" i="38"/>
  <c r="L26" i="38"/>
  <c r="K33" i="34"/>
  <c r="G31" i="17" s="1"/>
  <c r="N24" i="38"/>
  <c r="J34" i="31"/>
  <c r="I34" i="31"/>
  <c r="I35" i="18" l="1"/>
  <c r="J35" i="18"/>
  <c r="K35" i="18" s="1"/>
  <c r="C33" i="17" s="1"/>
  <c r="J36" i="32"/>
  <c r="I36" i="32"/>
  <c r="K35" i="32"/>
  <c r="F33" i="17" s="1"/>
  <c r="J28" i="38"/>
  <c r="AC32" i="17"/>
  <c r="AF32" i="17" s="1"/>
  <c r="V35" i="37"/>
  <c r="W35" i="37" s="1"/>
  <c r="AA33" i="17" s="1"/>
  <c r="U35" i="37"/>
  <c r="J35" i="34"/>
  <c r="I35" i="34"/>
  <c r="J35" i="37"/>
  <c r="K35" i="37" s="1"/>
  <c r="J33" i="17" s="1"/>
  <c r="I35" i="37"/>
  <c r="V35" i="31"/>
  <c r="W35" i="31" s="1"/>
  <c r="U33" i="17" s="1"/>
  <c r="U35" i="31"/>
  <c r="V37" i="35"/>
  <c r="W37" i="35" s="1"/>
  <c r="V35" i="17" s="1"/>
  <c r="U37" i="35"/>
  <c r="V36" i="32"/>
  <c r="W36" i="32" s="1"/>
  <c r="W34" i="17" s="1"/>
  <c r="U36" i="32"/>
  <c r="V35" i="18"/>
  <c r="W35" i="18" s="1"/>
  <c r="T33" i="17" s="1"/>
  <c r="U35" i="18"/>
  <c r="V37" i="34"/>
  <c r="W37" i="34" s="1"/>
  <c r="X35" i="17" s="1"/>
  <c r="U37" i="34"/>
  <c r="K34" i="34"/>
  <c r="G32" i="17" s="1"/>
  <c r="L27" i="38"/>
  <c r="J35" i="35"/>
  <c r="K35" i="35" s="1"/>
  <c r="E33" i="17" s="1"/>
  <c r="I35" i="35"/>
  <c r="J35" i="33"/>
  <c r="K35" i="33" s="1"/>
  <c r="H33" i="17" s="1"/>
  <c r="I35" i="33"/>
  <c r="V35" i="33"/>
  <c r="W35" i="33" s="1"/>
  <c r="Y33" i="17" s="1"/>
  <c r="U35" i="33"/>
  <c r="J35" i="31"/>
  <c r="I35" i="31"/>
  <c r="K27" i="38"/>
  <c r="K34" i="31"/>
  <c r="D32" i="17" s="1"/>
  <c r="L31" i="17"/>
  <c r="O30" i="17"/>
  <c r="E25" i="28"/>
  <c r="I36" i="18" l="1"/>
  <c r="J36" i="18"/>
  <c r="K36" i="18" s="1"/>
  <c r="C34" i="17" s="1"/>
  <c r="AC33" i="17"/>
  <c r="AF33" i="17" s="1"/>
  <c r="V36" i="37"/>
  <c r="W36" i="37" s="1"/>
  <c r="AA34" i="17" s="1"/>
  <c r="U36" i="37"/>
  <c r="J37" i="32"/>
  <c r="I37" i="32"/>
  <c r="L32" i="17"/>
  <c r="E27" i="28" s="1"/>
  <c r="K36" i="32"/>
  <c r="F34" i="17" s="1"/>
  <c r="J29" i="38"/>
  <c r="V37" i="32"/>
  <c r="W37" i="32" s="1"/>
  <c r="W35" i="17" s="1"/>
  <c r="U37" i="32"/>
  <c r="J36" i="37"/>
  <c r="K36" i="37" s="1"/>
  <c r="J34" i="17" s="1"/>
  <c r="I36" i="37"/>
  <c r="V36" i="33"/>
  <c r="W36" i="33" s="1"/>
  <c r="Y34" i="17" s="1"/>
  <c r="U36" i="33"/>
  <c r="J36" i="33"/>
  <c r="K36" i="33" s="1"/>
  <c r="H34" i="17" s="1"/>
  <c r="I36" i="33"/>
  <c r="J36" i="31"/>
  <c r="I36" i="31"/>
  <c r="V38" i="34"/>
  <c r="W38" i="34" s="1"/>
  <c r="X36" i="17" s="1"/>
  <c r="U38" i="34"/>
  <c r="J36" i="34"/>
  <c r="I36" i="34"/>
  <c r="V36" i="31"/>
  <c r="W36" i="31" s="1"/>
  <c r="U34" i="17" s="1"/>
  <c r="U36" i="31"/>
  <c r="K35" i="34"/>
  <c r="G33" i="17" s="1"/>
  <c r="L28" i="38"/>
  <c r="J36" i="35"/>
  <c r="K36" i="35" s="1"/>
  <c r="E34" i="17" s="1"/>
  <c r="I36" i="35"/>
  <c r="E26" i="28"/>
  <c r="O31" i="17"/>
  <c r="K28" i="38"/>
  <c r="K35" i="31"/>
  <c r="D33" i="17" s="1"/>
  <c r="M25" i="38"/>
  <c r="N25" i="38"/>
  <c r="O25" i="38"/>
  <c r="V36" i="18"/>
  <c r="W36" i="18" s="1"/>
  <c r="T34" i="17" s="1"/>
  <c r="U36" i="18"/>
  <c r="V38" i="35"/>
  <c r="W38" i="35" s="1"/>
  <c r="V36" i="17" s="1"/>
  <c r="U38" i="35"/>
  <c r="I37" i="18" l="1"/>
  <c r="J37" i="18"/>
  <c r="K37" i="18" s="1"/>
  <c r="C35" i="17" s="1"/>
  <c r="O32" i="17"/>
  <c r="M27" i="38"/>
  <c r="N27" i="38"/>
  <c r="O27" i="38"/>
  <c r="I38" i="32"/>
  <c r="J38" i="32"/>
  <c r="J30" i="38"/>
  <c r="K37" i="32"/>
  <c r="F35" i="17" s="1"/>
  <c r="V37" i="37"/>
  <c r="W37" i="37" s="1"/>
  <c r="AA35" i="17" s="1"/>
  <c r="U37" i="37"/>
  <c r="J37" i="37"/>
  <c r="K37" i="37" s="1"/>
  <c r="J35" i="17" s="1"/>
  <c r="I37" i="37"/>
  <c r="K36" i="31"/>
  <c r="D34" i="17" s="1"/>
  <c r="K29" i="38"/>
  <c r="J37" i="35"/>
  <c r="K37" i="35" s="1"/>
  <c r="E35" i="17" s="1"/>
  <c r="I37" i="35"/>
  <c r="J37" i="34"/>
  <c r="I37" i="34"/>
  <c r="J37" i="33"/>
  <c r="K37" i="33" s="1"/>
  <c r="H35" i="17" s="1"/>
  <c r="I37" i="33"/>
  <c r="V38" i="32"/>
  <c r="W38" i="32" s="1"/>
  <c r="W36" i="17" s="1"/>
  <c r="U38" i="32"/>
  <c r="U39" i="35"/>
  <c r="V39" i="35"/>
  <c r="W39" i="35" s="1"/>
  <c r="V37" i="17" s="1"/>
  <c r="K36" i="34"/>
  <c r="G34" i="17" s="1"/>
  <c r="L29" i="38"/>
  <c r="V37" i="18"/>
  <c r="W37" i="18" s="1"/>
  <c r="T35" i="17" s="1"/>
  <c r="U37" i="18"/>
  <c r="V37" i="33"/>
  <c r="W37" i="33" s="1"/>
  <c r="Y35" i="17" s="1"/>
  <c r="U37" i="33"/>
  <c r="L33" i="17"/>
  <c r="V37" i="31"/>
  <c r="W37" i="31" s="1"/>
  <c r="U35" i="17" s="1"/>
  <c r="U37" i="31"/>
  <c r="J37" i="31"/>
  <c r="I37" i="31"/>
  <c r="M26" i="38"/>
  <c r="N26" i="38"/>
  <c r="O26" i="38"/>
  <c r="AC34" i="17"/>
  <c r="AF34" i="17" s="1"/>
  <c r="V39" i="34"/>
  <c r="W39" i="34" s="1"/>
  <c r="X37" i="17" s="1"/>
  <c r="U39" i="34"/>
  <c r="J38" i="18" l="1"/>
  <c r="K38" i="18" s="1"/>
  <c r="C36" i="17" s="1"/>
  <c r="I38" i="18"/>
  <c r="J31" i="38"/>
  <c r="K38" i="32"/>
  <c r="F36" i="17" s="1"/>
  <c r="J39" i="32"/>
  <c r="I39" i="32"/>
  <c r="V38" i="37"/>
  <c r="W38" i="37" s="1"/>
  <c r="AA36" i="17" s="1"/>
  <c r="U38" i="37"/>
  <c r="J38" i="35"/>
  <c r="K38" i="35" s="1"/>
  <c r="E36" i="17" s="1"/>
  <c r="I38" i="35"/>
  <c r="J38" i="34"/>
  <c r="I38" i="34"/>
  <c r="V40" i="34"/>
  <c r="W40" i="34" s="1"/>
  <c r="X38" i="17" s="1"/>
  <c r="U40" i="34"/>
  <c r="V38" i="33"/>
  <c r="W38" i="33" s="1"/>
  <c r="Y36" i="17" s="1"/>
  <c r="U38" i="33"/>
  <c r="J38" i="31"/>
  <c r="I38" i="31"/>
  <c r="V40" i="35"/>
  <c r="W40" i="35" s="1"/>
  <c r="V38" i="17" s="1"/>
  <c r="U40" i="35"/>
  <c r="L30" i="38"/>
  <c r="K37" i="34"/>
  <c r="G35" i="17" s="1"/>
  <c r="V39" i="32"/>
  <c r="W39" i="32" s="1"/>
  <c r="W37" i="17" s="1"/>
  <c r="U39" i="32"/>
  <c r="L34" i="17"/>
  <c r="V38" i="18"/>
  <c r="W38" i="18" s="1"/>
  <c r="T36" i="17" s="1"/>
  <c r="U38" i="18"/>
  <c r="J38" i="33"/>
  <c r="K38" i="33" s="1"/>
  <c r="H36" i="17" s="1"/>
  <c r="I38" i="33"/>
  <c r="J38" i="37"/>
  <c r="K38" i="37" s="1"/>
  <c r="J36" i="17" s="1"/>
  <c r="I38" i="37"/>
  <c r="K37" i="31"/>
  <c r="D35" i="17" s="1"/>
  <c r="K30" i="38"/>
  <c r="V38" i="31"/>
  <c r="W38" i="31" s="1"/>
  <c r="U36" i="17" s="1"/>
  <c r="U38" i="31"/>
  <c r="E28" i="28"/>
  <c r="O33" i="17"/>
  <c r="AC35" i="17"/>
  <c r="AF35" i="17" s="1"/>
  <c r="I39" i="18" l="1"/>
  <c r="J39" i="18"/>
  <c r="K39" i="18" s="1"/>
  <c r="C37" i="17" s="1"/>
  <c r="V39" i="37"/>
  <c r="W39" i="37" s="1"/>
  <c r="AA37" i="17" s="1"/>
  <c r="U39" i="37"/>
  <c r="L35" i="17"/>
  <c r="O35" i="17" s="1"/>
  <c r="I40" i="32"/>
  <c r="J40" i="32"/>
  <c r="J32" i="38"/>
  <c r="K39" i="32"/>
  <c r="F37" i="17" s="1"/>
  <c r="E29" i="28"/>
  <c r="O34" i="17"/>
  <c r="J39" i="37"/>
  <c r="K39" i="37" s="1"/>
  <c r="J37" i="17" s="1"/>
  <c r="I39" i="37"/>
  <c r="V41" i="35"/>
  <c r="W41" i="35" s="1"/>
  <c r="V39" i="17" s="1"/>
  <c r="U41" i="35"/>
  <c r="V41" i="34"/>
  <c r="W41" i="34" s="1"/>
  <c r="X39" i="17" s="1"/>
  <c r="U41" i="34"/>
  <c r="M28" i="38"/>
  <c r="N28" i="38"/>
  <c r="O28" i="38"/>
  <c r="I39" i="31"/>
  <c r="J39" i="31"/>
  <c r="I39" i="34"/>
  <c r="J39" i="34"/>
  <c r="K38" i="31"/>
  <c r="D36" i="17" s="1"/>
  <c r="K31" i="38"/>
  <c r="K38" i="34"/>
  <c r="G36" i="17" s="1"/>
  <c r="L31" i="38"/>
  <c r="U40" i="32"/>
  <c r="V40" i="32"/>
  <c r="W40" i="32" s="1"/>
  <c r="W38" i="17" s="1"/>
  <c r="V39" i="33"/>
  <c r="W39" i="33" s="1"/>
  <c r="Y37" i="17" s="1"/>
  <c r="U39" i="33"/>
  <c r="I39" i="35"/>
  <c r="J39" i="35"/>
  <c r="K39" i="35" s="1"/>
  <c r="E37" i="17" s="1"/>
  <c r="V39" i="31"/>
  <c r="W39" i="31" s="1"/>
  <c r="U37" i="17" s="1"/>
  <c r="U39" i="31"/>
  <c r="J39" i="33"/>
  <c r="K39" i="33" s="1"/>
  <c r="H37" i="17" s="1"/>
  <c r="I39" i="33"/>
  <c r="U39" i="18"/>
  <c r="V39" i="18"/>
  <c r="W39" i="18" s="1"/>
  <c r="T37" i="17" s="1"/>
  <c r="AC36" i="17"/>
  <c r="AF36" i="17" s="1"/>
  <c r="L36" i="17" l="1"/>
  <c r="O36" i="17" s="1"/>
  <c r="I40" i="18"/>
  <c r="J40" i="18"/>
  <c r="K40" i="18" s="1"/>
  <c r="C38" i="17" s="1"/>
  <c r="E30" i="28"/>
  <c r="K40" i="32"/>
  <c r="F38" i="17" s="1"/>
  <c r="J33" i="38"/>
  <c r="J41" i="32"/>
  <c r="I41" i="32"/>
  <c r="V40" i="37"/>
  <c r="W40" i="37" s="1"/>
  <c r="AA38" i="17" s="1"/>
  <c r="U40" i="37"/>
  <c r="AC37" i="17"/>
  <c r="AF37" i="17" s="1"/>
  <c r="V41" i="32"/>
  <c r="W41" i="32" s="1"/>
  <c r="W39" i="17" s="1"/>
  <c r="U41" i="32"/>
  <c r="I40" i="34"/>
  <c r="J40" i="34"/>
  <c r="I40" i="37"/>
  <c r="J40" i="37"/>
  <c r="K40" i="37" s="1"/>
  <c r="J38" i="17" s="1"/>
  <c r="K39" i="31"/>
  <c r="D37" i="17" s="1"/>
  <c r="K32" i="38"/>
  <c r="U40" i="31"/>
  <c r="V40" i="31"/>
  <c r="W40" i="31" s="1"/>
  <c r="U38" i="17" s="1"/>
  <c r="J40" i="35"/>
  <c r="K40" i="35" s="1"/>
  <c r="E38" i="17" s="1"/>
  <c r="I40" i="35"/>
  <c r="I40" i="31"/>
  <c r="J40" i="31"/>
  <c r="V40" i="33"/>
  <c r="W40" i="33" s="1"/>
  <c r="Y38" i="17" s="1"/>
  <c r="U40" i="33"/>
  <c r="K39" i="34"/>
  <c r="G37" i="17" s="1"/>
  <c r="L32" i="38"/>
  <c r="U42" i="34"/>
  <c r="V42" i="34"/>
  <c r="W42" i="34" s="1"/>
  <c r="X40" i="17" s="1"/>
  <c r="V42" i="35"/>
  <c r="W42" i="35" s="1"/>
  <c r="V40" i="17" s="1"/>
  <c r="U42" i="35"/>
  <c r="V40" i="18"/>
  <c r="W40" i="18" s="1"/>
  <c r="T38" i="17" s="1"/>
  <c r="U40" i="18"/>
  <c r="J40" i="33"/>
  <c r="K40" i="33" s="1"/>
  <c r="H38" i="17" s="1"/>
  <c r="I40" i="33"/>
  <c r="M29" i="38"/>
  <c r="N29" i="38"/>
  <c r="O29" i="38"/>
  <c r="E31" i="28" l="1"/>
  <c r="M31" i="38" s="1"/>
  <c r="L37" i="17"/>
  <c r="O37" i="17" s="1"/>
  <c r="I41" i="18"/>
  <c r="J41" i="18"/>
  <c r="K41" i="18" s="1"/>
  <c r="C39" i="17" s="1"/>
  <c r="V41" i="37"/>
  <c r="W41" i="37" s="1"/>
  <c r="AA39" i="17" s="1"/>
  <c r="U41" i="37"/>
  <c r="J42" i="32"/>
  <c r="I42" i="32"/>
  <c r="J34" i="38"/>
  <c r="K41" i="32"/>
  <c r="F39" i="17" s="1"/>
  <c r="M30" i="38"/>
  <c r="N30" i="38"/>
  <c r="O30" i="38"/>
  <c r="V41" i="31"/>
  <c r="W41" i="31" s="1"/>
  <c r="U39" i="17" s="1"/>
  <c r="U41" i="31"/>
  <c r="K40" i="34"/>
  <c r="G38" i="17" s="1"/>
  <c r="L33" i="38"/>
  <c r="I41" i="33"/>
  <c r="J41" i="33"/>
  <c r="K41" i="33" s="1"/>
  <c r="H39" i="17" s="1"/>
  <c r="U43" i="34"/>
  <c r="V43" i="34"/>
  <c r="W43" i="34" s="1"/>
  <c r="X41" i="17" s="1"/>
  <c r="I41" i="34"/>
  <c r="J41" i="34"/>
  <c r="K33" i="38"/>
  <c r="K40" i="31"/>
  <c r="D38" i="17" s="1"/>
  <c r="V41" i="33"/>
  <c r="W41" i="33" s="1"/>
  <c r="Y39" i="17" s="1"/>
  <c r="U41" i="33"/>
  <c r="U41" i="18"/>
  <c r="V41" i="18"/>
  <c r="W41" i="18" s="1"/>
  <c r="T39" i="17" s="1"/>
  <c r="I41" i="31"/>
  <c r="J41" i="31"/>
  <c r="U42" i="32"/>
  <c r="V42" i="32"/>
  <c r="W42" i="32" s="1"/>
  <c r="W40" i="17" s="1"/>
  <c r="U43" i="35"/>
  <c r="V43" i="35"/>
  <c r="W43" i="35" s="1"/>
  <c r="V41" i="17" s="1"/>
  <c r="J41" i="37"/>
  <c r="K41" i="37" s="1"/>
  <c r="J39" i="17" s="1"/>
  <c r="I41" i="37"/>
  <c r="AC38" i="17"/>
  <c r="AF38" i="17" s="1"/>
  <c r="J41" i="35"/>
  <c r="K41" i="35" s="1"/>
  <c r="E39" i="17" s="1"/>
  <c r="I41" i="35"/>
  <c r="O31" i="38" l="1"/>
  <c r="N31" i="38"/>
  <c r="E32" i="28"/>
  <c r="M32" i="38" s="1"/>
  <c r="L38" i="17"/>
  <c r="E33" i="28" s="1"/>
  <c r="M33" i="38" s="1"/>
  <c r="J42" i="18"/>
  <c r="K42" i="18" s="1"/>
  <c r="C40" i="17" s="1"/>
  <c r="I42" i="18"/>
  <c r="I43" i="32"/>
  <c r="J43" i="32"/>
  <c r="J35" i="38"/>
  <c r="K42" i="32"/>
  <c r="F40" i="17" s="1"/>
  <c r="V42" i="37"/>
  <c r="W42" i="37" s="1"/>
  <c r="AA40" i="17" s="1"/>
  <c r="U42" i="37"/>
  <c r="AC39" i="17"/>
  <c r="AF39" i="17" s="1"/>
  <c r="V44" i="34"/>
  <c r="W44" i="34" s="1"/>
  <c r="X42" i="17" s="1"/>
  <c r="U44" i="34"/>
  <c r="V42" i="33"/>
  <c r="W42" i="33" s="1"/>
  <c r="Y40" i="17" s="1"/>
  <c r="U42" i="33"/>
  <c r="U43" i="32"/>
  <c r="V43" i="32"/>
  <c r="W43" i="32" s="1"/>
  <c r="W41" i="17" s="1"/>
  <c r="K41" i="34"/>
  <c r="G39" i="17" s="1"/>
  <c r="L34" i="38"/>
  <c r="J42" i="33"/>
  <c r="K42" i="33" s="1"/>
  <c r="H40" i="17" s="1"/>
  <c r="I42" i="33"/>
  <c r="V44" i="35"/>
  <c r="W44" i="35" s="1"/>
  <c r="V42" i="17" s="1"/>
  <c r="U44" i="35"/>
  <c r="I42" i="34"/>
  <c r="J42" i="34"/>
  <c r="J42" i="31"/>
  <c r="I42" i="31"/>
  <c r="K34" i="38"/>
  <c r="K41" i="31"/>
  <c r="D39" i="17" s="1"/>
  <c r="J42" i="37"/>
  <c r="K42" i="37" s="1"/>
  <c r="J40" i="17" s="1"/>
  <c r="I42" i="37"/>
  <c r="U42" i="31"/>
  <c r="V42" i="31"/>
  <c r="W42" i="31" s="1"/>
  <c r="U40" i="17" s="1"/>
  <c r="J42" i="35"/>
  <c r="K42" i="35" s="1"/>
  <c r="E40" i="17" s="1"/>
  <c r="I42" i="35"/>
  <c r="U42" i="18"/>
  <c r="V42" i="18"/>
  <c r="W42" i="18" s="1"/>
  <c r="T40" i="17" s="1"/>
  <c r="N32" i="38" l="1"/>
  <c r="O32" i="38"/>
  <c r="O38" i="17"/>
  <c r="I43" i="18"/>
  <c r="J43" i="18"/>
  <c r="K43" i="18" s="1"/>
  <c r="C41" i="17" s="1"/>
  <c r="AC40" i="17"/>
  <c r="AF40" i="17" s="1"/>
  <c r="V43" i="37"/>
  <c r="W43" i="37" s="1"/>
  <c r="AA41" i="17" s="1"/>
  <c r="U43" i="37"/>
  <c r="O33" i="38"/>
  <c r="N33" i="38"/>
  <c r="K43" i="32"/>
  <c r="F41" i="17" s="1"/>
  <c r="J36" i="38"/>
  <c r="J44" i="32"/>
  <c r="I44" i="32"/>
  <c r="K42" i="31"/>
  <c r="D40" i="17" s="1"/>
  <c r="K35" i="38"/>
  <c r="V45" i="35"/>
  <c r="W45" i="35" s="1"/>
  <c r="V43" i="17" s="1"/>
  <c r="U45" i="35"/>
  <c r="V44" i="32"/>
  <c r="W44" i="32" s="1"/>
  <c r="W42" i="17" s="1"/>
  <c r="U44" i="32"/>
  <c r="I43" i="37"/>
  <c r="J43" i="37"/>
  <c r="K43" i="37" s="1"/>
  <c r="J41" i="17" s="1"/>
  <c r="I43" i="31"/>
  <c r="J43" i="31"/>
  <c r="L39" i="17"/>
  <c r="U43" i="18"/>
  <c r="V43" i="18"/>
  <c r="W43" i="18" s="1"/>
  <c r="T41" i="17" s="1"/>
  <c r="V43" i="33"/>
  <c r="W43" i="33" s="1"/>
  <c r="Y41" i="17" s="1"/>
  <c r="U43" i="33"/>
  <c r="I43" i="34"/>
  <c r="J43" i="34"/>
  <c r="I43" i="33"/>
  <c r="J43" i="33"/>
  <c r="K43" i="33" s="1"/>
  <c r="H41" i="17" s="1"/>
  <c r="V43" i="31"/>
  <c r="W43" i="31" s="1"/>
  <c r="U41" i="17" s="1"/>
  <c r="U43" i="31"/>
  <c r="U45" i="34"/>
  <c r="V45" i="34"/>
  <c r="W45" i="34" s="1"/>
  <c r="X43" i="17" s="1"/>
  <c r="J43" i="35"/>
  <c r="K43" i="35" s="1"/>
  <c r="E41" i="17" s="1"/>
  <c r="I43" i="35"/>
  <c r="L35" i="38"/>
  <c r="K42" i="34"/>
  <c r="G40" i="17" s="1"/>
  <c r="J44" i="18" l="1"/>
  <c r="K44" i="18" s="1"/>
  <c r="C42" i="17" s="1"/>
  <c r="I44" i="18"/>
  <c r="K44" i="32"/>
  <c r="F42" i="17" s="1"/>
  <c r="J37" i="38"/>
  <c r="I45" i="32"/>
  <c r="J45" i="32"/>
  <c r="V44" i="37"/>
  <c r="W44" i="37" s="1"/>
  <c r="AA42" i="17" s="1"/>
  <c r="U44" i="37"/>
  <c r="AC41" i="17"/>
  <c r="AF41" i="17" s="1"/>
  <c r="J44" i="37"/>
  <c r="K44" i="37" s="1"/>
  <c r="J42" i="17" s="1"/>
  <c r="I44" i="37"/>
  <c r="U44" i="18"/>
  <c r="V44" i="18"/>
  <c r="W44" i="18" s="1"/>
  <c r="T42" i="17" s="1"/>
  <c r="U45" i="32"/>
  <c r="V45" i="32"/>
  <c r="W45" i="32" s="1"/>
  <c r="W43" i="17" s="1"/>
  <c r="J44" i="33"/>
  <c r="K44" i="33" s="1"/>
  <c r="H42" i="17" s="1"/>
  <c r="I44" i="33"/>
  <c r="V46" i="34"/>
  <c r="W46" i="34" s="1"/>
  <c r="X44" i="17" s="1"/>
  <c r="U46" i="34"/>
  <c r="L36" i="38"/>
  <c r="K43" i="34"/>
  <c r="G41" i="17" s="1"/>
  <c r="V46" i="35"/>
  <c r="W46" i="35" s="1"/>
  <c r="V44" i="17" s="1"/>
  <c r="U46" i="35"/>
  <c r="I44" i="34"/>
  <c r="J44" i="34"/>
  <c r="O39" i="17"/>
  <c r="E34" i="28"/>
  <c r="J44" i="35"/>
  <c r="K44" i="35" s="1"/>
  <c r="E42" i="17" s="1"/>
  <c r="I44" i="35"/>
  <c r="U44" i="33"/>
  <c r="V44" i="33"/>
  <c r="W44" i="33" s="1"/>
  <c r="Y42" i="17" s="1"/>
  <c r="K36" i="38"/>
  <c r="K43" i="31"/>
  <c r="D41" i="17" s="1"/>
  <c r="U44" i="31"/>
  <c r="V44" i="31"/>
  <c r="W44" i="31" s="1"/>
  <c r="U42" i="17" s="1"/>
  <c r="I44" i="31"/>
  <c r="J44" i="31"/>
  <c r="L40" i="17"/>
  <c r="I45" i="18" l="1"/>
  <c r="J45" i="18"/>
  <c r="K45" i="18" s="1"/>
  <c r="C43" i="17" s="1"/>
  <c r="U45" i="37"/>
  <c r="V45" i="37"/>
  <c r="W45" i="37" s="1"/>
  <c r="AA43" i="17" s="1"/>
  <c r="J38" i="38"/>
  <c r="K45" i="32"/>
  <c r="F43" i="17" s="1"/>
  <c r="I46" i="32"/>
  <c r="J46" i="32"/>
  <c r="U45" i="33"/>
  <c r="V45" i="33"/>
  <c r="W45" i="33" s="1"/>
  <c r="Y43" i="17" s="1"/>
  <c r="V45" i="31"/>
  <c r="W45" i="31" s="1"/>
  <c r="U43" i="17" s="1"/>
  <c r="U45" i="31"/>
  <c r="U47" i="34"/>
  <c r="V47" i="34"/>
  <c r="W47" i="34" s="1"/>
  <c r="X45" i="17" s="1"/>
  <c r="U45" i="18"/>
  <c r="V45" i="18"/>
  <c r="W45" i="18" s="1"/>
  <c r="T43" i="17" s="1"/>
  <c r="J45" i="31"/>
  <c r="I45" i="31"/>
  <c r="J45" i="35"/>
  <c r="K45" i="35" s="1"/>
  <c r="E43" i="17" s="1"/>
  <c r="I45" i="35"/>
  <c r="L41" i="17"/>
  <c r="J45" i="37"/>
  <c r="K45" i="37" s="1"/>
  <c r="J43" i="17" s="1"/>
  <c r="I45" i="37"/>
  <c r="I45" i="34"/>
  <c r="J45" i="34"/>
  <c r="AC42" i="17"/>
  <c r="AF42" i="17" s="1"/>
  <c r="M34" i="38"/>
  <c r="N34" i="38"/>
  <c r="O34" i="38"/>
  <c r="V47" i="35"/>
  <c r="W47" i="35" s="1"/>
  <c r="V45" i="17" s="1"/>
  <c r="U47" i="35"/>
  <c r="I45" i="33"/>
  <c r="J45" i="33"/>
  <c r="K45" i="33" s="1"/>
  <c r="H43" i="17" s="1"/>
  <c r="L37" i="38"/>
  <c r="K44" i="34"/>
  <c r="G42" i="17" s="1"/>
  <c r="U46" i="32"/>
  <c r="V46" i="32"/>
  <c r="W46" i="32" s="1"/>
  <c r="W44" i="17" s="1"/>
  <c r="E35" i="28"/>
  <c r="O40" i="17"/>
  <c r="K37" i="38"/>
  <c r="K44" i="31"/>
  <c r="D42" i="17" s="1"/>
  <c r="L42" i="17" l="1"/>
  <c r="O42" i="17" s="1"/>
  <c r="J46" i="18"/>
  <c r="K46" i="18" s="1"/>
  <c r="C44" i="17" s="1"/>
  <c r="I46" i="18"/>
  <c r="K46" i="32"/>
  <c r="F44" i="17" s="1"/>
  <c r="J39" i="38"/>
  <c r="J47" i="32"/>
  <c r="I47" i="32"/>
  <c r="AC43" i="17"/>
  <c r="AF43" i="17" s="1"/>
  <c r="V46" i="37"/>
  <c r="W46" i="37" s="1"/>
  <c r="AA44" i="17" s="1"/>
  <c r="U46" i="37"/>
  <c r="I46" i="33"/>
  <c r="J46" i="33"/>
  <c r="K46" i="33" s="1"/>
  <c r="H44" i="17" s="1"/>
  <c r="I46" i="35"/>
  <c r="J46" i="35"/>
  <c r="K46" i="35" s="1"/>
  <c r="E44" i="17" s="1"/>
  <c r="V48" i="35"/>
  <c r="W48" i="35" s="1"/>
  <c r="V46" i="17" s="1"/>
  <c r="U48" i="35"/>
  <c r="V46" i="18"/>
  <c r="W46" i="18" s="1"/>
  <c r="T44" i="17" s="1"/>
  <c r="U46" i="18"/>
  <c r="J46" i="34"/>
  <c r="I46" i="34"/>
  <c r="V47" i="32"/>
  <c r="W47" i="32" s="1"/>
  <c r="W45" i="17" s="1"/>
  <c r="U47" i="32"/>
  <c r="J46" i="37"/>
  <c r="K46" i="37" s="1"/>
  <c r="J44" i="17" s="1"/>
  <c r="I46" i="37"/>
  <c r="V48" i="34"/>
  <c r="W48" i="34" s="1"/>
  <c r="X46" i="17" s="1"/>
  <c r="U48" i="34"/>
  <c r="K45" i="34"/>
  <c r="G43" i="17" s="1"/>
  <c r="L38" i="38"/>
  <c r="J46" i="31"/>
  <c r="I46" i="31"/>
  <c r="U46" i="31"/>
  <c r="V46" i="31"/>
  <c r="W46" i="31" s="1"/>
  <c r="U44" i="17" s="1"/>
  <c r="M35" i="38"/>
  <c r="O35" i="38"/>
  <c r="N35" i="38"/>
  <c r="E36" i="28"/>
  <c r="O41" i="17"/>
  <c r="K45" i="31"/>
  <c r="D43" i="17" s="1"/>
  <c r="K38" i="38"/>
  <c r="V46" i="33"/>
  <c r="W46" i="33" s="1"/>
  <c r="Y44" i="17" s="1"/>
  <c r="U46" i="33"/>
  <c r="E37" i="28" l="1"/>
  <c r="M37" i="38" s="1"/>
  <c r="J47" i="18"/>
  <c r="K47" i="18" s="1"/>
  <c r="C45" i="17" s="1"/>
  <c r="I47" i="18"/>
  <c r="AC44" i="17"/>
  <c r="AF44" i="17" s="1"/>
  <c r="I48" i="32"/>
  <c r="J48" i="32"/>
  <c r="V47" i="37"/>
  <c r="W47" i="37" s="1"/>
  <c r="AA45" i="17" s="1"/>
  <c r="U47" i="37"/>
  <c r="K47" i="32"/>
  <c r="F45" i="17" s="1"/>
  <c r="J40" i="38"/>
  <c r="K39" i="38"/>
  <c r="K46" i="31"/>
  <c r="D44" i="17" s="1"/>
  <c r="J47" i="37"/>
  <c r="K47" i="37" s="1"/>
  <c r="J45" i="17" s="1"/>
  <c r="I47" i="37"/>
  <c r="V49" i="35"/>
  <c r="W49" i="35" s="1"/>
  <c r="V47" i="17" s="1"/>
  <c r="U49" i="35"/>
  <c r="M36" i="38"/>
  <c r="N36" i="38"/>
  <c r="O36" i="38"/>
  <c r="U48" i="32"/>
  <c r="V48" i="32"/>
  <c r="W48" i="32" s="1"/>
  <c r="W46" i="17" s="1"/>
  <c r="V47" i="18"/>
  <c r="W47" i="18" s="1"/>
  <c r="T45" i="17" s="1"/>
  <c r="U47" i="18"/>
  <c r="J47" i="31"/>
  <c r="I47" i="31"/>
  <c r="J47" i="35"/>
  <c r="K47" i="35" s="1"/>
  <c r="E45" i="17" s="1"/>
  <c r="I47" i="35"/>
  <c r="U49" i="34"/>
  <c r="V49" i="34"/>
  <c r="W49" i="34" s="1"/>
  <c r="X47" i="17" s="1"/>
  <c r="I47" i="34"/>
  <c r="J47" i="34"/>
  <c r="U47" i="31"/>
  <c r="V47" i="31"/>
  <c r="W47" i="31" s="1"/>
  <c r="U45" i="17" s="1"/>
  <c r="V47" i="33"/>
  <c r="W47" i="33" s="1"/>
  <c r="Y45" i="17" s="1"/>
  <c r="U47" i="33"/>
  <c r="L43" i="17"/>
  <c r="L39" i="38"/>
  <c r="K46" i="34"/>
  <c r="G44" i="17" s="1"/>
  <c r="J47" i="33"/>
  <c r="K47" i="33" s="1"/>
  <c r="H45" i="17" s="1"/>
  <c r="I47" i="33"/>
  <c r="N37" i="38" l="1"/>
  <c r="O37" i="38"/>
  <c r="I48" i="18"/>
  <c r="J48" i="18"/>
  <c r="K48" i="18" s="1"/>
  <c r="C46" i="17" s="1"/>
  <c r="U48" i="37"/>
  <c r="V48" i="37"/>
  <c r="W48" i="37" s="1"/>
  <c r="AA46" i="17" s="1"/>
  <c r="J41" i="38"/>
  <c r="K48" i="32"/>
  <c r="F46" i="17" s="1"/>
  <c r="J49" i="32"/>
  <c r="I49" i="32"/>
  <c r="J48" i="35"/>
  <c r="K48" i="35" s="1"/>
  <c r="E46" i="17" s="1"/>
  <c r="I48" i="35"/>
  <c r="I48" i="31"/>
  <c r="J48" i="31"/>
  <c r="J48" i="37"/>
  <c r="K48" i="37" s="1"/>
  <c r="J46" i="17" s="1"/>
  <c r="I48" i="37"/>
  <c r="K47" i="34"/>
  <c r="G45" i="17" s="1"/>
  <c r="L40" i="38"/>
  <c r="J48" i="34"/>
  <c r="I48" i="34"/>
  <c r="J48" i="33"/>
  <c r="K48" i="33" s="1"/>
  <c r="H46" i="17" s="1"/>
  <c r="I48" i="33"/>
  <c r="U50" i="34"/>
  <c r="V50" i="34"/>
  <c r="W50" i="34" s="1"/>
  <c r="X48" i="17" s="1"/>
  <c r="K47" i="31"/>
  <c r="D45" i="17" s="1"/>
  <c r="K40" i="38"/>
  <c r="L44" i="17"/>
  <c r="U49" i="32"/>
  <c r="V49" i="32"/>
  <c r="W49" i="32" s="1"/>
  <c r="W47" i="17" s="1"/>
  <c r="O43" i="17"/>
  <c r="E38" i="28"/>
  <c r="V48" i="33"/>
  <c r="W48" i="33" s="1"/>
  <c r="Y46" i="17" s="1"/>
  <c r="U48" i="33"/>
  <c r="U48" i="18"/>
  <c r="V48" i="18"/>
  <c r="W48" i="18" s="1"/>
  <c r="T46" i="17" s="1"/>
  <c r="U48" i="31"/>
  <c r="V48" i="31"/>
  <c r="W48" i="31" s="1"/>
  <c r="U46" i="17" s="1"/>
  <c r="AC45" i="17"/>
  <c r="AF45" i="17" s="1"/>
  <c r="U50" i="35"/>
  <c r="V50" i="35"/>
  <c r="W50" i="35" s="1"/>
  <c r="V48" i="17" s="1"/>
  <c r="L45" i="17" l="1"/>
  <c r="E40" i="28" s="1"/>
  <c r="M40" i="38" s="1"/>
  <c r="J49" i="18"/>
  <c r="K49" i="18" s="1"/>
  <c r="C47" i="17" s="1"/>
  <c r="I49" i="18"/>
  <c r="J50" i="32"/>
  <c r="I50" i="32"/>
  <c r="J42" i="38"/>
  <c r="K49" i="32"/>
  <c r="F47" i="17" s="1"/>
  <c r="AC46" i="17"/>
  <c r="AF46" i="17" s="1"/>
  <c r="U49" i="37"/>
  <c r="V49" i="37"/>
  <c r="W49" i="37" s="1"/>
  <c r="AA47" i="17" s="1"/>
  <c r="V51" i="35"/>
  <c r="W51" i="35" s="1"/>
  <c r="V49" i="17" s="1"/>
  <c r="U51" i="35"/>
  <c r="I49" i="31"/>
  <c r="J49" i="31"/>
  <c r="I49" i="34"/>
  <c r="J49" i="34"/>
  <c r="V49" i="18"/>
  <c r="W49" i="18" s="1"/>
  <c r="T47" i="17" s="1"/>
  <c r="U49" i="18"/>
  <c r="K48" i="31"/>
  <c r="D46" i="17" s="1"/>
  <c r="K41" i="38"/>
  <c r="J49" i="35"/>
  <c r="K49" i="35" s="1"/>
  <c r="E47" i="17" s="1"/>
  <c r="I49" i="35"/>
  <c r="I49" i="33"/>
  <c r="J49" i="33"/>
  <c r="K49" i="33" s="1"/>
  <c r="H47" i="17" s="1"/>
  <c r="O44" i="17"/>
  <c r="E39" i="28"/>
  <c r="U51" i="34"/>
  <c r="V51" i="34"/>
  <c r="W51" i="34" s="1"/>
  <c r="X49" i="17" s="1"/>
  <c r="U50" i="32"/>
  <c r="V50" i="32"/>
  <c r="W50" i="32" s="1"/>
  <c r="W48" i="17" s="1"/>
  <c r="V49" i="33"/>
  <c r="W49" i="33" s="1"/>
  <c r="Y47" i="17" s="1"/>
  <c r="U49" i="33"/>
  <c r="K48" i="34"/>
  <c r="G46" i="17" s="1"/>
  <c r="L41" i="38"/>
  <c r="V49" i="31"/>
  <c r="W49" i="31" s="1"/>
  <c r="U47" i="17" s="1"/>
  <c r="U49" i="31"/>
  <c r="M38" i="38"/>
  <c r="N38" i="38"/>
  <c r="O38" i="38"/>
  <c r="J49" i="37"/>
  <c r="K49" i="37" s="1"/>
  <c r="J47" i="17" s="1"/>
  <c r="I49" i="37"/>
  <c r="O45" i="17" l="1"/>
  <c r="J50" i="18"/>
  <c r="K50" i="18" s="1"/>
  <c r="C48" i="17" s="1"/>
  <c r="I50" i="18"/>
  <c r="U50" i="37"/>
  <c r="V50" i="37"/>
  <c r="W50" i="37" s="1"/>
  <c r="AA48" i="17" s="1"/>
  <c r="N40" i="38"/>
  <c r="I51" i="32"/>
  <c r="J51" i="32"/>
  <c r="K50" i="32"/>
  <c r="F48" i="17" s="1"/>
  <c r="J43" i="38"/>
  <c r="V51" i="32"/>
  <c r="W51" i="32" s="1"/>
  <c r="W49" i="17" s="1"/>
  <c r="U51" i="32"/>
  <c r="L46" i="17"/>
  <c r="V50" i="31"/>
  <c r="W50" i="31" s="1"/>
  <c r="U48" i="17" s="1"/>
  <c r="U50" i="31"/>
  <c r="U50" i="18"/>
  <c r="V50" i="18"/>
  <c r="W50" i="18" s="1"/>
  <c r="T48" i="17" s="1"/>
  <c r="J50" i="33"/>
  <c r="K50" i="33" s="1"/>
  <c r="H48" i="17" s="1"/>
  <c r="I50" i="33"/>
  <c r="I50" i="35"/>
  <c r="J50" i="35"/>
  <c r="K50" i="35" s="1"/>
  <c r="E48" i="17" s="1"/>
  <c r="K49" i="34"/>
  <c r="G47" i="17" s="1"/>
  <c r="L42" i="38"/>
  <c r="J50" i="31"/>
  <c r="I50" i="31"/>
  <c r="AC47" i="17"/>
  <c r="AF47" i="17" s="1"/>
  <c r="J50" i="34"/>
  <c r="I50" i="34"/>
  <c r="V52" i="35"/>
  <c r="W52" i="35" s="1"/>
  <c r="V50" i="17" s="1"/>
  <c r="U52" i="35"/>
  <c r="I50" i="37"/>
  <c r="J50" i="37"/>
  <c r="K50" i="37" s="1"/>
  <c r="J48" i="17" s="1"/>
  <c r="U52" i="34"/>
  <c r="V52" i="34"/>
  <c r="W52" i="34" s="1"/>
  <c r="X50" i="17" s="1"/>
  <c r="U50" i="33"/>
  <c r="V50" i="33"/>
  <c r="W50" i="33" s="1"/>
  <c r="Y48" i="17" s="1"/>
  <c r="M39" i="38"/>
  <c r="O39" i="38"/>
  <c r="N39" i="38"/>
  <c r="O40" i="38"/>
  <c r="K49" i="31"/>
  <c r="D47" i="17" s="1"/>
  <c r="K42" i="38"/>
  <c r="I51" i="18" l="1"/>
  <c r="J51" i="18"/>
  <c r="K51" i="18" s="1"/>
  <c r="C49" i="17" s="1"/>
  <c r="K51" i="32"/>
  <c r="F49" i="17" s="1"/>
  <c r="J44" i="38"/>
  <c r="AC48" i="17"/>
  <c r="AF48" i="17" s="1"/>
  <c r="I52" i="32"/>
  <c r="J52" i="32"/>
  <c r="V51" i="37"/>
  <c r="W51" i="37" s="1"/>
  <c r="AA49" i="17" s="1"/>
  <c r="U51" i="37"/>
  <c r="K50" i="31"/>
  <c r="D48" i="17" s="1"/>
  <c r="K43" i="38"/>
  <c r="O46" i="17"/>
  <c r="E41" i="28"/>
  <c r="U51" i="18"/>
  <c r="V51" i="18"/>
  <c r="W51" i="18" s="1"/>
  <c r="T49" i="17" s="1"/>
  <c r="I51" i="33"/>
  <c r="J51" i="33"/>
  <c r="K51" i="33" s="1"/>
  <c r="H49" i="17" s="1"/>
  <c r="J51" i="37"/>
  <c r="K51" i="37" s="1"/>
  <c r="J49" i="17" s="1"/>
  <c r="I51" i="37"/>
  <c r="I51" i="31"/>
  <c r="J51" i="31"/>
  <c r="U51" i="33"/>
  <c r="V51" i="33"/>
  <c r="W51" i="33" s="1"/>
  <c r="Y49" i="17" s="1"/>
  <c r="U53" i="35"/>
  <c r="V53" i="35"/>
  <c r="W53" i="35" s="1"/>
  <c r="V51" i="17" s="1"/>
  <c r="V52" i="32"/>
  <c r="W52" i="32" s="1"/>
  <c r="W50" i="17" s="1"/>
  <c r="U52" i="32"/>
  <c r="I51" i="35"/>
  <c r="J51" i="35"/>
  <c r="K51" i="35" s="1"/>
  <c r="E49" i="17" s="1"/>
  <c r="U51" i="31"/>
  <c r="V51" i="31"/>
  <c r="W51" i="31" s="1"/>
  <c r="U49" i="17" s="1"/>
  <c r="L47" i="17"/>
  <c r="J51" i="34"/>
  <c r="I51" i="34"/>
  <c r="U53" i="34"/>
  <c r="V53" i="34"/>
  <c r="W53" i="34" s="1"/>
  <c r="X51" i="17" s="1"/>
  <c r="L43" i="38"/>
  <c r="K50" i="34"/>
  <c r="G48" i="17" s="1"/>
  <c r="I52" i="18" l="1"/>
  <c r="J52" i="18"/>
  <c r="K52" i="18" s="1"/>
  <c r="C50" i="17" s="1"/>
  <c r="U52" i="37"/>
  <c r="V52" i="37"/>
  <c r="W52" i="37" s="1"/>
  <c r="AA50" i="17" s="1"/>
  <c r="AC49" i="17"/>
  <c r="AF49" i="17" s="1"/>
  <c r="J45" i="38"/>
  <c r="K52" i="32"/>
  <c r="F50" i="17" s="1"/>
  <c r="J53" i="32"/>
  <c r="I53" i="32"/>
  <c r="J52" i="31"/>
  <c r="I52" i="31"/>
  <c r="M41" i="38"/>
  <c r="N41" i="38"/>
  <c r="O41" i="38"/>
  <c r="J52" i="37"/>
  <c r="K52" i="37" s="1"/>
  <c r="J50" i="17" s="1"/>
  <c r="I52" i="37"/>
  <c r="U54" i="34"/>
  <c r="V54" i="34"/>
  <c r="W54" i="34" s="1"/>
  <c r="X52" i="17" s="1"/>
  <c r="I52" i="34"/>
  <c r="J52" i="34"/>
  <c r="U53" i="32"/>
  <c r="V53" i="32"/>
  <c r="W53" i="32" s="1"/>
  <c r="W51" i="17" s="1"/>
  <c r="K51" i="31"/>
  <c r="D49" i="17" s="1"/>
  <c r="K44" i="38"/>
  <c r="L44" i="38"/>
  <c r="K51" i="34"/>
  <c r="G49" i="17" s="1"/>
  <c r="U52" i="31"/>
  <c r="V52" i="31"/>
  <c r="W52" i="31" s="1"/>
  <c r="U50" i="17" s="1"/>
  <c r="U54" i="35"/>
  <c r="V54" i="35"/>
  <c r="W54" i="35" s="1"/>
  <c r="V52" i="17" s="1"/>
  <c r="I52" i="33"/>
  <c r="J52" i="33"/>
  <c r="K52" i="33" s="1"/>
  <c r="H50" i="17" s="1"/>
  <c r="L48" i="17"/>
  <c r="V52" i="18"/>
  <c r="W52" i="18" s="1"/>
  <c r="T50" i="17" s="1"/>
  <c r="U52" i="18"/>
  <c r="O47" i="17"/>
  <c r="E42" i="28"/>
  <c r="I52" i="35"/>
  <c r="J52" i="35"/>
  <c r="K52" i="35" s="1"/>
  <c r="E50" i="17" s="1"/>
  <c r="V52" i="33"/>
  <c r="W52" i="33" s="1"/>
  <c r="Y50" i="17" s="1"/>
  <c r="U52" i="33"/>
  <c r="J53" i="18" l="1"/>
  <c r="K53" i="18" s="1"/>
  <c r="C51" i="17" s="1"/>
  <c r="I53" i="18"/>
  <c r="K53" i="32"/>
  <c r="F51" i="17" s="1"/>
  <c r="J46" i="38"/>
  <c r="J54" i="32"/>
  <c r="I54" i="32"/>
  <c r="L49" i="17"/>
  <c r="E44" i="28" s="1"/>
  <c r="V53" i="37"/>
  <c r="W53" i="37" s="1"/>
  <c r="AA51" i="17" s="1"/>
  <c r="U53" i="37"/>
  <c r="U53" i="18"/>
  <c r="V53" i="18"/>
  <c r="W53" i="18" s="1"/>
  <c r="T51" i="17" s="1"/>
  <c r="AC50" i="17"/>
  <c r="AF50" i="17" s="1"/>
  <c r="V55" i="35"/>
  <c r="W55" i="35" s="1"/>
  <c r="V53" i="17" s="1"/>
  <c r="U55" i="35"/>
  <c r="I53" i="35"/>
  <c r="J53" i="35"/>
  <c r="K53" i="35" s="1"/>
  <c r="E51" i="17" s="1"/>
  <c r="M42" i="38"/>
  <c r="N42" i="38"/>
  <c r="O42" i="38"/>
  <c r="O48" i="17"/>
  <c r="E43" i="28"/>
  <c r="V54" i="32"/>
  <c r="W54" i="32" s="1"/>
  <c r="W52" i="17" s="1"/>
  <c r="U54" i="32"/>
  <c r="J53" i="37"/>
  <c r="K53" i="37" s="1"/>
  <c r="J51" i="17" s="1"/>
  <c r="I53" i="37"/>
  <c r="V53" i="31"/>
  <c r="W53" i="31" s="1"/>
  <c r="U51" i="17" s="1"/>
  <c r="U53" i="31"/>
  <c r="L45" i="38"/>
  <c r="K52" i="34"/>
  <c r="G50" i="17" s="1"/>
  <c r="I53" i="34"/>
  <c r="J53" i="34"/>
  <c r="I53" i="31"/>
  <c r="J53" i="31"/>
  <c r="K52" i="31"/>
  <c r="D50" i="17" s="1"/>
  <c r="K45" i="38"/>
  <c r="J53" i="33"/>
  <c r="K53" i="33" s="1"/>
  <c r="H51" i="17" s="1"/>
  <c r="I53" i="33"/>
  <c r="V53" i="33"/>
  <c r="W53" i="33" s="1"/>
  <c r="Y51" i="17" s="1"/>
  <c r="U53" i="33"/>
  <c r="U55" i="34"/>
  <c r="V55" i="34"/>
  <c r="W55" i="34" s="1"/>
  <c r="X53" i="17" s="1"/>
  <c r="O49" i="17" l="1"/>
  <c r="J54" i="18"/>
  <c r="K54" i="18" s="1"/>
  <c r="C52" i="17" s="1"/>
  <c r="I54" i="18"/>
  <c r="L50" i="17"/>
  <c r="O50" i="17" s="1"/>
  <c r="M44" i="38"/>
  <c r="O44" i="38"/>
  <c r="U54" i="37"/>
  <c r="V54" i="37"/>
  <c r="W54" i="37" s="1"/>
  <c r="AA52" i="17" s="1"/>
  <c r="J55" i="32"/>
  <c r="I55" i="32"/>
  <c r="K54" i="32"/>
  <c r="F52" i="17" s="1"/>
  <c r="J47" i="38"/>
  <c r="I54" i="31"/>
  <c r="J54" i="31"/>
  <c r="V56" i="35"/>
  <c r="W56" i="35" s="1"/>
  <c r="V54" i="17" s="1"/>
  <c r="U56" i="35"/>
  <c r="I54" i="33"/>
  <c r="J54" i="33"/>
  <c r="K54" i="33" s="1"/>
  <c r="H52" i="17" s="1"/>
  <c r="K53" i="31"/>
  <c r="D51" i="17" s="1"/>
  <c r="K46" i="38"/>
  <c r="L46" i="38"/>
  <c r="K53" i="34"/>
  <c r="G51" i="17" s="1"/>
  <c r="V54" i="31"/>
  <c r="W54" i="31" s="1"/>
  <c r="U52" i="17" s="1"/>
  <c r="U54" i="31"/>
  <c r="M43" i="38"/>
  <c r="O43" i="38"/>
  <c r="N43" i="38"/>
  <c r="I54" i="35"/>
  <c r="J54" i="35"/>
  <c r="K54" i="35" s="1"/>
  <c r="E52" i="17" s="1"/>
  <c r="V56" i="34"/>
  <c r="W56" i="34" s="1"/>
  <c r="X54" i="17" s="1"/>
  <c r="U56" i="34"/>
  <c r="I54" i="34"/>
  <c r="J54" i="34"/>
  <c r="U55" i="32"/>
  <c r="V55" i="32"/>
  <c r="W55" i="32" s="1"/>
  <c r="W53" i="17" s="1"/>
  <c r="U54" i="33"/>
  <c r="V54" i="33"/>
  <c r="W54" i="33" s="1"/>
  <c r="Y52" i="17" s="1"/>
  <c r="AC51" i="17"/>
  <c r="AF51" i="17" s="1"/>
  <c r="V54" i="18"/>
  <c r="W54" i="18" s="1"/>
  <c r="T52" i="17" s="1"/>
  <c r="U54" i="18"/>
  <c r="J54" i="37"/>
  <c r="K54" i="37" s="1"/>
  <c r="J52" i="17" s="1"/>
  <c r="I54" i="37"/>
  <c r="N44" i="38"/>
  <c r="E45" i="28" l="1"/>
  <c r="M45" i="38" s="1"/>
  <c r="J55" i="18"/>
  <c r="K55" i="18" s="1"/>
  <c r="C53" i="17" s="1"/>
  <c r="I55" i="18"/>
  <c r="L51" i="17"/>
  <c r="O51" i="17" s="1"/>
  <c r="J56" i="32"/>
  <c r="I56" i="32"/>
  <c r="K55" i="32"/>
  <c r="F53" i="17" s="1"/>
  <c r="J48" i="38"/>
  <c r="V55" i="37"/>
  <c r="W55" i="37" s="1"/>
  <c r="AA53" i="17" s="1"/>
  <c r="U55" i="37"/>
  <c r="K54" i="34"/>
  <c r="G52" i="17" s="1"/>
  <c r="L47" i="38"/>
  <c r="AC52" i="17"/>
  <c r="AF52" i="17" s="1"/>
  <c r="V57" i="34"/>
  <c r="W57" i="34" s="1"/>
  <c r="X55" i="17" s="1"/>
  <c r="U57" i="34"/>
  <c r="I55" i="33"/>
  <c r="J55" i="33"/>
  <c r="K55" i="33" s="1"/>
  <c r="H53" i="17" s="1"/>
  <c r="U55" i="33"/>
  <c r="V55" i="33"/>
  <c r="W55" i="33" s="1"/>
  <c r="Y53" i="17" s="1"/>
  <c r="V57" i="35"/>
  <c r="W57" i="35" s="1"/>
  <c r="V55" i="17" s="1"/>
  <c r="U57" i="35"/>
  <c r="J55" i="34"/>
  <c r="I55" i="34"/>
  <c r="U55" i="31"/>
  <c r="V55" i="31"/>
  <c r="W55" i="31" s="1"/>
  <c r="U53" i="17" s="1"/>
  <c r="U56" i="32"/>
  <c r="V56" i="32"/>
  <c r="W56" i="32" s="1"/>
  <c r="W54" i="17" s="1"/>
  <c r="J55" i="37"/>
  <c r="K55" i="37" s="1"/>
  <c r="J53" i="17" s="1"/>
  <c r="I55" i="37"/>
  <c r="K54" i="31"/>
  <c r="D52" i="17" s="1"/>
  <c r="K47" i="38"/>
  <c r="U55" i="18"/>
  <c r="V55" i="18"/>
  <c r="W55" i="18" s="1"/>
  <c r="T53" i="17" s="1"/>
  <c r="J55" i="35"/>
  <c r="K55" i="35" s="1"/>
  <c r="E53" i="17" s="1"/>
  <c r="I55" i="35"/>
  <c r="J55" i="31"/>
  <c r="I55" i="31"/>
  <c r="O45" i="38" l="1"/>
  <c r="N45" i="38"/>
  <c r="E46" i="28"/>
  <c r="M46" i="38" s="1"/>
  <c r="I56" i="18"/>
  <c r="J56" i="18"/>
  <c r="K56" i="18" s="1"/>
  <c r="C54" i="17" s="1"/>
  <c r="L52" i="17"/>
  <c r="E47" i="28" s="1"/>
  <c r="M47" i="38" s="1"/>
  <c r="U56" i="37"/>
  <c r="V56" i="37"/>
  <c r="W56" i="37" s="1"/>
  <c r="AA54" i="17" s="1"/>
  <c r="AC53" i="17"/>
  <c r="AF53" i="17" s="1"/>
  <c r="J57" i="32"/>
  <c r="I57" i="32"/>
  <c r="J49" i="38"/>
  <c r="K56" i="32"/>
  <c r="F54" i="17" s="1"/>
  <c r="V56" i="33"/>
  <c r="W56" i="33" s="1"/>
  <c r="Y54" i="17" s="1"/>
  <c r="U56" i="33"/>
  <c r="I56" i="33"/>
  <c r="J56" i="33"/>
  <c r="K56" i="33" s="1"/>
  <c r="H54" i="17" s="1"/>
  <c r="I56" i="34"/>
  <c r="J56" i="34"/>
  <c r="V58" i="34"/>
  <c r="W58" i="34" s="1"/>
  <c r="X56" i="17" s="1"/>
  <c r="U58" i="34"/>
  <c r="V57" i="32"/>
  <c r="W57" i="32" s="1"/>
  <c r="W55" i="17" s="1"/>
  <c r="U57" i="32"/>
  <c r="V58" i="35"/>
  <c r="W58" i="35" s="1"/>
  <c r="V56" i="17" s="1"/>
  <c r="U58" i="35"/>
  <c r="J56" i="37"/>
  <c r="K56" i="37" s="1"/>
  <c r="J54" i="17" s="1"/>
  <c r="I56" i="37"/>
  <c r="U56" i="18"/>
  <c r="V56" i="18"/>
  <c r="W56" i="18" s="1"/>
  <c r="T54" i="17" s="1"/>
  <c r="J56" i="31"/>
  <c r="I56" i="31"/>
  <c r="I56" i="35"/>
  <c r="J56" i="35"/>
  <c r="K56" i="35" s="1"/>
  <c r="E54" i="17" s="1"/>
  <c r="L48" i="38"/>
  <c r="K55" i="34"/>
  <c r="G53" i="17" s="1"/>
  <c r="K55" i="31"/>
  <c r="D53" i="17" s="1"/>
  <c r="K48" i="38"/>
  <c r="V56" i="31"/>
  <c r="W56" i="31" s="1"/>
  <c r="U54" i="17" s="1"/>
  <c r="U56" i="31"/>
  <c r="O46" i="38" l="1"/>
  <c r="O52" i="17"/>
  <c r="N46" i="38"/>
  <c r="L53" i="17"/>
  <c r="O53" i="17" s="1"/>
  <c r="J57" i="18"/>
  <c r="K57" i="18" s="1"/>
  <c r="C55" i="17" s="1"/>
  <c r="I57" i="18"/>
  <c r="AC54" i="17"/>
  <c r="AF54" i="17" s="1"/>
  <c r="I58" i="32"/>
  <c r="J58" i="32"/>
  <c r="J50" i="38"/>
  <c r="K57" i="32"/>
  <c r="F55" i="17" s="1"/>
  <c r="V57" i="37"/>
  <c r="W57" i="37" s="1"/>
  <c r="AA55" i="17" s="1"/>
  <c r="U57" i="37"/>
  <c r="V57" i="31"/>
  <c r="W57" i="31" s="1"/>
  <c r="U55" i="17" s="1"/>
  <c r="U57" i="31"/>
  <c r="K49" i="38"/>
  <c r="K56" i="31"/>
  <c r="D54" i="17" s="1"/>
  <c r="V58" i="32"/>
  <c r="W58" i="32" s="1"/>
  <c r="W56" i="17" s="1"/>
  <c r="U58" i="32"/>
  <c r="U57" i="18"/>
  <c r="V57" i="18"/>
  <c r="W57" i="18" s="1"/>
  <c r="T55" i="17" s="1"/>
  <c r="O47" i="38"/>
  <c r="J57" i="33"/>
  <c r="K57" i="33" s="1"/>
  <c r="H55" i="17" s="1"/>
  <c r="I57" i="33"/>
  <c r="N47" i="38"/>
  <c r="U57" i="33"/>
  <c r="V57" i="33"/>
  <c r="W57" i="33" s="1"/>
  <c r="Y55" i="17" s="1"/>
  <c r="J57" i="37"/>
  <c r="K57" i="37" s="1"/>
  <c r="J55" i="17" s="1"/>
  <c r="I57" i="37"/>
  <c r="U59" i="34"/>
  <c r="V59" i="34"/>
  <c r="W59" i="34" s="1"/>
  <c r="X57" i="17" s="1"/>
  <c r="I57" i="35"/>
  <c r="J57" i="35"/>
  <c r="K57" i="35" s="1"/>
  <c r="E55" i="17" s="1"/>
  <c r="L49" i="38"/>
  <c r="K56" i="34"/>
  <c r="G54" i="17" s="1"/>
  <c r="E48" i="28"/>
  <c r="M48" i="38" s="1"/>
  <c r="J57" i="31"/>
  <c r="I57" i="31"/>
  <c r="V59" i="35"/>
  <c r="W59" i="35" s="1"/>
  <c r="V57" i="17" s="1"/>
  <c r="U59" i="35"/>
  <c r="I57" i="34"/>
  <c r="J57" i="34"/>
  <c r="I58" i="18" l="1"/>
  <c r="J58" i="18"/>
  <c r="K58" i="18" s="1"/>
  <c r="C56" i="17" s="1"/>
  <c r="V58" i="37"/>
  <c r="W58" i="37" s="1"/>
  <c r="AA56" i="17" s="1"/>
  <c r="U58" i="37"/>
  <c r="AC55" i="17"/>
  <c r="AF55" i="17" s="1"/>
  <c r="O48" i="38"/>
  <c r="K58" i="32"/>
  <c r="F56" i="17" s="1"/>
  <c r="J51" i="38"/>
  <c r="I59" i="32"/>
  <c r="J59" i="32"/>
  <c r="U60" i="35"/>
  <c r="V60" i="35"/>
  <c r="W60" i="35" s="1"/>
  <c r="V58" i="17" s="1"/>
  <c r="N48" i="38"/>
  <c r="V59" i="32"/>
  <c r="W59" i="32" s="1"/>
  <c r="W57" i="17" s="1"/>
  <c r="U59" i="32"/>
  <c r="K57" i="31"/>
  <c r="D55" i="17" s="1"/>
  <c r="K50" i="38"/>
  <c r="L54" i="17"/>
  <c r="J58" i="37"/>
  <c r="K58" i="37" s="1"/>
  <c r="J56" i="17" s="1"/>
  <c r="I58" i="37"/>
  <c r="I58" i="33"/>
  <c r="J58" i="33"/>
  <c r="K58" i="33" s="1"/>
  <c r="H56" i="17" s="1"/>
  <c r="J58" i="34"/>
  <c r="I58" i="34"/>
  <c r="U58" i="33"/>
  <c r="V58" i="33"/>
  <c r="W58" i="33" s="1"/>
  <c r="Y56" i="17" s="1"/>
  <c r="U60" i="34"/>
  <c r="V60" i="34"/>
  <c r="W60" i="34" s="1"/>
  <c r="X58" i="17" s="1"/>
  <c r="U58" i="18"/>
  <c r="V58" i="18"/>
  <c r="W58" i="18" s="1"/>
  <c r="T56" i="17" s="1"/>
  <c r="J58" i="31"/>
  <c r="I58" i="31"/>
  <c r="V58" i="31"/>
  <c r="W58" i="31" s="1"/>
  <c r="U56" i="17" s="1"/>
  <c r="U58" i="31"/>
  <c r="L50" i="38"/>
  <c r="K57" i="34"/>
  <c r="G55" i="17" s="1"/>
  <c r="I58" i="35"/>
  <c r="J58" i="35"/>
  <c r="K58" i="35" s="1"/>
  <c r="E56" i="17" s="1"/>
  <c r="J59" i="18" l="1"/>
  <c r="K59" i="18" s="1"/>
  <c r="C57" i="17" s="1"/>
  <c r="I59" i="18"/>
  <c r="J60" i="32"/>
  <c r="I60" i="32"/>
  <c r="J52" i="38"/>
  <c r="K59" i="32"/>
  <c r="F57" i="17" s="1"/>
  <c r="U59" i="37"/>
  <c r="V59" i="37"/>
  <c r="W59" i="37" s="1"/>
  <c r="AA57" i="17" s="1"/>
  <c r="U59" i="33"/>
  <c r="V59" i="33"/>
  <c r="W59" i="33" s="1"/>
  <c r="Y57" i="17" s="1"/>
  <c r="I59" i="34"/>
  <c r="J59" i="34"/>
  <c r="O54" i="17"/>
  <c r="E49" i="28"/>
  <c r="U60" i="32"/>
  <c r="V60" i="32"/>
  <c r="W60" i="32" s="1"/>
  <c r="W58" i="17" s="1"/>
  <c r="I59" i="35"/>
  <c r="J59" i="35"/>
  <c r="K59" i="35" s="1"/>
  <c r="E57" i="17" s="1"/>
  <c r="K51" i="38"/>
  <c r="K58" i="31"/>
  <c r="D56" i="17" s="1"/>
  <c r="L51" i="38"/>
  <c r="K58" i="34"/>
  <c r="G56" i="17" s="1"/>
  <c r="V59" i="18"/>
  <c r="W59" i="18" s="1"/>
  <c r="T57" i="17" s="1"/>
  <c r="U59" i="18"/>
  <c r="J59" i="33"/>
  <c r="K59" i="33" s="1"/>
  <c r="H57" i="17" s="1"/>
  <c r="I59" i="33"/>
  <c r="AC56" i="17"/>
  <c r="AF56" i="17" s="1"/>
  <c r="J59" i="37"/>
  <c r="K59" i="37" s="1"/>
  <c r="J57" i="17" s="1"/>
  <c r="I59" i="37"/>
  <c r="J59" i="31"/>
  <c r="I59" i="31"/>
  <c r="L55" i="17"/>
  <c r="U61" i="34"/>
  <c r="V61" i="34"/>
  <c r="W61" i="34" s="1"/>
  <c r="X59" i="17" s="1"/>
  <c r="V59" i="31"/>
  <c r="W59" i="31" s="1"/>
  <c r="U57" i="17" s="1"/>
  <c r="U59" i="31"/>
  <c r="U61" i="35"/>
  <c r="V61" i="35"/>
  <c r="W61" i="35" s="1"/>
  <c r="V59" i="17" s="1"/>
  <c r="J60" i="18" l="1"/>
  <c r="K60" i="18" s="1"/>
  <c r="C58" i="17" s="1"/>
  <c r="I60" i="18"/>
  <c r="V60" i="37"/>
  <c r="W60" i="37" s="1"/>
  <c r="AA58" i="17" s="1"/>
  <c r="U60" i="37"/>
  <c r="L56" i="17"/>
  <c r="O56" i="17" s="1"/>
  <c r="J61" i="32"/>
  <c r="I61" i="32"/>
  <c r="J53" i="38"/>
  <c r="K60" i="32"/>
  <c r="F58" i="17" s="1"/>
  <c r="V61" i="32"/>
  <c r="W61" i="32" s="1"/>
  <c r="W59" i="17" s="1"/>
  <c r="U61" i="32"/>
  <c r="M49" i="38"/>
  <c r="O49" i="38"/>
  <c r="N49" i="38"/>
  <c r="V62" i="35"/>
  <c r="W62" i="35" s="1"/>
  <c r="V60" i="17" s="1"/>
  <c r="U62" i="35"/>
  <c r="E50" i="28"/>
  <c r="O55" i="17"/>
  <c r="J60" i="33"/>
  <c r="K60" i="33" s="1"/>
  <c r="H58" i="17" s="1"/>
  <c r="I60" i="33"/>
  <c r="J60" i="31"/>
  <c r="I60" i="31"/>
  <c r="K52" i="38"/>
  <c r="K59" i="31"/>
  <c r="D57" i="17" s="1"/>
  <c r="V60" i="31"/>
  <c r="W60" i="31" s="1"/>
  <c r="U58" i="17" s="1"/>
  <c r="U60" i="31"/>
  <c r="I60" i="37"/>
  <c r="J60" i="37"/>
  <c r="K60" i="37" s="1"/>
  <c r="J58" i="17" s="1"/>
  <c r="V60" i="18"/>
  <c r="W60" i="18" s="1"/>
  <c r="T58" i="17" s="1"/>
  <c r="U60" i="18"/>
  <c r="AC57" i="17"/>
  <c r="AF57" i="17" s="1"/>
  <c r="I60" i="34"/>
  <c r="J60" i="34"/>
  <c r="U62" i="34"/>
  <c r="V62" i="34"/>
  <c r="W62" i="34" s="1"/>
  <c r="X60" i="17" s="1"/>
  <c r="K59" i="34"/>
  <c r="G57" i="17" s="1"/>
  <c r="L52" i="38"/>
  <c r="J60" i="35"/>
  <c r="K60" i="35" s="1"/>
  <c r="E58" i="17" s="1"/>
  <c r="I60" i="35"/>
  <c r="V60" i="33"/>
  <c r="W60" i="33" s="1"/>
  <c r="Y58" i="17" s="1"/>
  <c r="U60" i="33"/>
  <c r="E51" i="28" l="1"/>
  <c r="M51" i="38" s="1"/>
  <c r="I61" i="18"/>
  <c r="J61" i="18"/>
  <c r="K61" i="18" s="1"/>
  <c r="C59" i="17" s="1"/>
  <c r="J62" i="32"/>
  <c r="I62" i="32"/>
  <c r="J54" i="38"/>
  <c r="K61" i="32"/>
  <c r="F59" i="17" s="1"/>
  <c r="V61" i="37"/>
  <c r="W61" i="37" s="1"/>
  <c r="AA59" i="17" s="1"/>
  <c r="U61" i="37"/>
  <c r="U61" i="33"/>
  <c r="V61" i="33"/>
  <c r="W61" i="33" s="1"/>
  <c r="Y59" i="17" s="1"/>
  <c r="U61" i="18"/>
  <c r="V61" i="18"/>
  <c r="W61" i="18" s="1"/>
  <c r="T59" i="17" s="1"/>
  <c r="U61" i="31"/>
  <c r="V61" i="31"/>
  <c r="W61" i="31" s="1"/>
  <c r="U59" i="17" s="1"/>
  <c r="AC58" i="17"/>
  <c r="AF58" i="17" s="1"/>
  <c r="L57" i="17"/>
  <c r="I61" i="33"/>
  <c r="J61" i="33"/>
  <c r="K61" i="33" s="1"/>
  <c r="H59" i="17" s="1"/>
  <c r="I61" i="34"/>
  <c r="J61" i="34"/>
  <c r="I61" i="35"/>
  <c r="J61" i="35"/>
  <c r="K61" i="35" s="1"/>
  <c r="E59" i="17" s="1"/>
  <c r="I61" i="31"/>
  <c r="J61" i="31"/>
  <c r="V63" i="34"/>
  <c r="W63" i="34" s="1"/>
  <c r="X61" i="17" s="1"/>
  <c r="U63" i="34"/>
  <c r="K53" i="38"/>
  <c r="K60" i="31"/>
  <c r="D58" i="17" s="1"/>
  <c r="M50" i="38"/>
  <c r="O50" i="38"/>
  <c r="N50" i="38"/>
  <c r="U62" i="32"/>
  <c r="V62" i="32"/>
  <c r="W62" i="32" s="1"/>
  <c r="W60" i="17" s="1"/>
  <c r="J61" i="37"/>
  <c r="K61" i="37" s="1"/>
  <c r="J59" i="17" s="1"/>
  <c r="I61" i="37"/>
  <c r="K60" i="34"/>
  <c r="G58" i="17" s="1"/>
  <c r="L53" i="38"/>
  <c r="V63" i="35"/>
  <c r="W63" i="35" s="1"/>
  <c r="V61" i="17" s="1"/>
  <c r="U63" i="35"/>
  <c r="O51" i="38" l="1"/>
  <c r="N51" i="38"/>
  <c r="I62" i="18"/>
  <c r="J62" i="18"/>
  <c r="K62" i="18" s="1"/>
  <c r="C60" i="17" s="1"/>
  <c r="U62" i="37"/>
  <c r="V62" i="37"/>
  <c r="W62" i="37" s="1"/>
  <c r="AA60" i="17" s="1"/>
  <c r="I63" i="32"/>
  <c r="J63" i="32"/>
  <c r="K62" i="32"/>
  <c r="F60" i="17" s="1"/>
  <c r="J55" i="38"/>
  <c r="L58" i="17"/>
  <c r="I62" i="31"/>
  <c r="J62" i="31"/>
  <c r="AC59" i="17"/>
  <c r="AF59" i="17" s="1"/>
  <c r="J62" i="34"/>
  <c r="I62" i="34"/>
  <c r="J62" i="37"/>
  <c r="K62" i="37" s="1"/>
  <c r="J60" i="17" s="1"/>
  <c r="I62" i="37"/>
  <c r="I62" i="33"/>
  <c r="J62" i="33"/>
  <c r="K62" i="33" s="1"/>
  <c r="H60" i="17" s="1"/>
  <c r="V62" i="18"/>
  <c r="W62" i="18" s="1"/>
  <c r="T60" i="17" s="1"/>
  <c r="U62" i="18"/>
  <c r="V64" i="34"/>
  <c r="W64" i="34" s="1"/>
  <c r="X62" i="17" s="1"/>
  <c r="U64" i="34"/>
  <c r="V62" i="33"/>
  <c r="W62" i="33" s="1"/>
  <c r="Y60" i="17" s="1"/>
  <c r="U62" i="33"/>
  <c r="I62" i="35"/>
  <c r="J62" i="35"/>
  <c r="K62" i="35" s="1"/>
  <c r="E60" i="17" s="1"/>
  <c r="K61" i="31"/>
  <c r="D59" i="17" s="1"/>
  <c r="K54" i="38"/>
  <c r="O57" i="17"/>
  <c r="E52" i="28"/>
  <c r="V64" i="35"/>
  <c r="W64" i="35" s="1"/>
  <c r="V62" i="17" s="1"/>
  <c r="U64" i="35"/>
  <c r="U63" i="32"/>
  <c r="V63" i="32"/>
  <c r="W63" i="32" s="1"/>
  <c r="W61" i="17" s="1"/>
  <c r="L54" i="38"/>
  <c r="K61" i="34"/>
  <c r="G59" i="17" s="1"/>
  <c r="V62" i="31"/>
  <c r="W62" i="31" s="1"/>
  <c r="U60" i="17" s="1"/>
  <c r="U62" i="31"/>
  <c r="I63" i="18" l="1"/>
  <c r="J63" i="18"/>
  <c r="K63" i="18" s="1"/>
  <c r="C61" i="17" s="1"/>
  <c r="J56" i="38"/>
  <c r="K63" i="32"/>
  <c r="F61" i="17" s="1"/>
  <c r="L59" i="17"/>
  <c r="O59" i="17" s="1"/>
  <c r="I64" i="32"/>
  <c r="J64" i="32"/>
  <c r="V63" i="37"/>
  <c r="W63" i="37" s="1"/>
  <c r="AA61" i="17" s="1"/>
  <c r="U63" i="37"/>
  <c r="V63" i="31"/>
  <c r="W63" i="31" s="1"/>
  <c r="U61" i="17" s="1"/>
  <c r="U63" i="31"/>
  <c r="J63" i="35"/>
  <c r="K63" i="35" s="1"/>
  <c r="E61" i="17" s="1"/>
  <c r="I63" i="35"/>
  <c r="V63" i="18"/>
  <c r="W63" i="18" s="1"/>
  <c r="T61" i="17" s="1"/>
  <c r="U63" i="18"/>
  <c r="K62" i="34"/>
  <c r="G60" i="17" s="1"/>
  <c r="L55" i="38"/>
  <c r="M52" i="38"/>
  <c r="N52" i="38"/>
  <c r="O52" i="38"/>
  <c r="AC60" i="17"/>
  <c r="AF60" i="17" s="1"/>
  <c r="V64" i="32"/>
  <c r="W64" i="32" s="1"/>
  <c r="W62" i="17" s="1"/>
  <c r="U64" i="32"/>
  <c r="U65" i="34"/>
  <c r="V65" i="34"/>
  <c r="W65" i="34" s="1"/>
  <c r="X63" i="17" s="1"/>
  <c r="V65" i="35"/>
  <c r="W65" i="35" s="1"/>
  <c r="V63" i="17" s="1"/>
  <c r="U65" i="35"/>
  <c r="I63" i="33"/>
  <c r="J63" i="33"/>
  <c r="K63" i="33" s="1"/>
  <c r="H61" i="17" s="1"/>
  <c r="V63" i="33"/>
  <c r="W63" i="33" s="1"/>
  <c r="Y61" i="17" s="1"/>
  <c r="U63" i="33"/>
  <c r="I63" i="31"/>
  <c r="J63" i="31"/>
  <c r="I63" i="34"/>
  <c r="J63" i="34"/>
  <c r="K62" i="31"/>
  <c r="D60" i="17" s="1"/>
  <c r="K55" i="38"/>
  <c r="J63" i="37"/>
  <c r="K63" i="37" s="1"/>
  <c r="J61" i="17" s="1"/>
  <c r="I63" i="37"/>
  <c r="O58" i="17"/>
  <c r="E53" i="28"/>
  <c r="J64" i="18" l="1"/>
  <c r="K64" i="18" s="1"/>
  <c r="C62" i="17" s="1"/>
  <c r="I64" i="18"/>
  <c r="V64" i="37"/>
  <c r="W64" i="37" s="1"/>
  <c r="AA62" i="17" s="1"/>
  <c r="U64" i="37"/>
  <c r="E54" i="28"/>
  <c r="M54" i="38" s="1"/>
  <c r="K64" i="32"/>
  <c r="F62" i="17" s="1"/>
  <c r="J57" i="38"/>
  <c r="AC61" i="17"/>
  <c r="AF61" i="17" s="1"/>
  <c r="I65" i="32"/>
  <c r="J65" i="32"/>
  <c r="I64" i="34"/>
  <c r="J64" i="34"/>
  <c r="J64" i="31"/>
  <c r="I64" i="31"/>
  <c r="V66" i="35"/>
  <c r="W66" i="35" s="1"/>
  <c r="V64" i="17" s="1"/>
  <c r="U66" i="35"/>
  <c r="I64" i="35"/>
  <c r="J64" i="35"/>
  <c r="K64" i="35" s="1"/>
  <c r="E62" i="17" s="1"/>
  <c r="J64" i="33"/>
  <c r="K64" i="33" s="1"/>
  <c r="H62" i="17" s="1"/>
  <c r="I64" i="33"/>
  <c r="V65" i="32"/>
  <c r="W65" i="32" s="1"/>
  <c r="W63" i="17" s="1"/>
  <c r="U65" i="32"/>
  <c r="L60" i="17"/>
  <c r="K63" i="31"/>
  <c r="D61" i="17" s="1"/>
  <c r="K56" i="38"/>
  <c r="I64" i="37"/>
  <c r="J64" i="37"/>
  <c r="K64" i="37" s="1"/>
  <c r="J62" i="17" s="1"/>
  <c r="V64" i="33"/>
  <c r="W64" i="33" s="1"/>
  <c r="Y62" i="17" s="1"/>
  <c r="U64" i="33"/>
  <c r="V64" i="18"/>
  <c r="W64" i="18" s="1"/>
  <c r="T62" i="17" s="1"/>
  <c r="U64" i="18"/>
  <c r="M53" i="38"/>
  <c r="N53" i="38"/>
  <c r="O53" i="38"/>
  <c r="V64" i="31"/>
  <c r="W64" i="31" s="1"/>
  <c r="U62" i="17" s="1"/>
  <c r="U64" i="31"/>
  <c r="L56" i="38"/>
  <c r="K63" i="34"/>
  <c r="G61" i="17" s="1"/>
  <c r="V66" i="34"/>
  <c r="W66" i="34" s="1"/>
  <c r="X64" i="17" s="1"/>
  <c r="U66" i="34"/>
  <c r="O54" i="38" l="1"/>
  <c r="J65" i="18"/>
  <c r="K65" i="18" s="1"/>
  <c r="C63" i="17" s="1"/>
  <c r="I65" i="18"/>
  <c r="I66" i="32"/>
  <c r="J66" i="32"/>
  <c r="N54" i="38"/>
  <c r="K65" i="32"/>
  <c r="F63" i="17" s="1"/>
  <c r="J58" i="38"/>
  <c r="AC62" i="17"/>
  <c r="AF62" i="17" s="1"/>
  <c r="L61" i="17"/>
  <c r="E56" i="28" s="1"/>
  <c r="M56" i="38" s="1"/>
  <c r="V65" i="37"/>
  <c r="W65" i="37" s="1"/>
  <c r="AA63" i="17" s="1"/>
  <c r="U65" i="37"/>
  <c r="J65" i="37"/>
  <c r="K65" i="37" s="1"/>
  <c r="J63" i="17" s="1"/>
  <c r="I65" i="37"/>
  <c r="V65" i="31"/>
  <c r="W65" i="31" s="1"/>
  <c r="U63" i="17" s="1"/>
  <c r="U65" i="31"/>
  <c r="E55" i="28"/>
  <c r="O60" i="17"/>
  <c r="U66" i="32"/>
  <c r="V66" i="32"/>
  <c r="W66" i="32" s="1"/>
  <c r="W64" i="17" s="1"/>
  <c r="U65" i="18"/>
  <c r="V65" i="18"/>
  <c r="W65" i="18" s="1"/>
  <c r="T63" i="17" s="1"/>
  <c r="I65" i="33"/>
  <c r="J65" i="33"/>
  <c r="K65" i="33" s="1"/>
  <c r="H63" i="17" s="1"/>
  <c r="J65" i="31"/>
  <c r="I65" i="31"/>
  <c r="K64" i="31"/>
  <c r="D62" i="17" s="1"/>
  <c r="K57" i="38"/>
  <c r="J65" i="35"/>
  <c r="K65" i="35" s="1"/>
  <c r="E63" i="17" s="1"/>
  <c r="I65" i="35"/>
  <c r="L57" i="38"/>
  <c r="K64" i="34"/>
  <c r="G62" i="17" s="1"/>
  <c r="V67" i="34"/>
  <c r="W67" i="34" s="1"/>
  <c r="X65" i="17" s="1"/>
  <c r="U67" i="34"/>
  <c r="V65" i="33"/>
  <c r="W65" i="33" s="1"/>
  <c r="Y63" i="17" s="1"/>
  <c r="U65" i="33"/>
  <c r="U67" i="35"/>
  <c r="V67" i="35"/>
  <c r="W67" i="35" s="1"/>
  <c r="V65" i="17" s="1"/>
  <c r="I65" i="34"/>
  <c r="J65" i="34"/>
  <c r="I66" i="18" l="1"/>
  <c r="J66" i="18"/>
  <c r="K66" i="18" s="1"/>
  <c r="C64" i="17" s="1"/>
  <c r="O61" i="17"/>
  <c r="K66" i="32"/>
  <c r="F64" i="17" s="1"/>
  <c r="J59" i="38"/>
  <c r="V66" i="37"/>
  <c r="W66" i="37" s="1"/>
  <c r="AA64" i="17" s="1"/>
  <c r="U66" i="37"/>
  <c r="J67" i="32"/>
  <c r="I67" i="32"/>
  <c r="AC63" i="17"/>
  <c r="AF63" i="17" s="1"/>
  <c r="V66" i="31"/>
  <c r="W66" i="31" s="1"/>
  <c r="U64" i="17" s="1"/>
  <c r="U66" i="31"/>
  <c r="I66" i="34"/>
  <c r="J66" i="34"/>
  <c r="O56" i="38"/>
  <c r="L62" i="17"/>
  <c r="I66" i="35"/>
  <c r="J66" i="35"/>
  <c r="K66" i="35" s="1"/>
  <c r="E64" i="17" s="1"/>
  <c r="N56" i="38"/>
  <c r="V67" i="32"/>
  <c r="W67" i="32" s="1"/>
  <c r="W65" i="17" s="1"/>
  <c r="U67" i="32"/>
  <c r="I66" i="33"/>
  <c r="J66" i="33"/>
  <c r="K66" i="33" s="1"/>
  <c r="H64" i="17" s="1"/>
  <c r="V68" i="35"/>
  <c r="W68" i="35" s="1"/>
  <c r="V66" i="17" s="1"/>
  <c r="U68" i="35"/>
  <c r="U66" i="18"/>
  <c r="V66" i="18"/>
  <c r="W66" i="18" s="1"/>
  <c r="T64" i="17" s="1"/>
  <c r="V66" i="33"/>
  <c r="W66" i="33" s="1"/>
  <c r="Y64" i="17" s="1"/>
  <c r="U66" i="33"/>
  <c r="J66" i="31"/>
  <c r="I66" i="31"/>
  <c r="J66" i="37"/>
  <c r="K66" i="37" s="1"/>
  <c r="J64" i="17" s="1"/>
  <c r="I66" i="37"/>
  <c r="M55" i="38"/>
  <c r="N55" i="38"/>
  <c r="O55" i="38"/>
  <c r="L58" i="38"/>
  <c r="K65" i="34"/>
  <c r="G63" i="17" s="1"/>
  <c r="U68" i="34"/>
  <c r="V68" i="34"/>
  <c r="W68" i="34" s="1"/>
  <c r="X66" i="17" s="1"/>
  <c r="K65" i="31"/>
  <c r="D63" i="17" s="1"/>
  <c r="K58" i="38"/>
  <c r="J67" i="18" l="1"/>
  <c r="K67" i="18" s="1"/>
  <c r="C65" i="17" s="1"/>
  <c r="I67" i="18"/>
  <c r="L63" i="17"/>
  <c r="O63" i="17" s="1"/>
  <c r="I68" i="32"/>
  <c r="J68" i="32"/>
  <c r="K67" i="32"/>
  <c r="F65" i="17" s="1"/>
  <c r="J60" i="38"/>
  <c r="AC64" i="17"/>
  <c r="AF64" i="17" s="1"/>
  <c r="V67" i="37"/>
  <c r="W67" i="37" s="1"/>
  <c r="AA65" i="17" s="1"/>
  <c r="U67" i="37"/>
  <c r="U69" i="34"/>
  <c r="V69" i="34"/>
  <c r="W69" i="34" s="1"/>
  <c r="X67" i="17" s="1"/>
  <c r="I67" i="31"/>
  <c r="J67" i="31"/>
  <c r="U67" i="18"/>
  <c r="V67" i="18"/>
  <c r="W67" i="18" s="1"/>
  <c r="T65" i="17" s="1"/>
  <c r="V68" i="32"/>
  <c r="W68" i="32" s="1"/>
  <c r="W66" i="17" s="1"/>
  <c r="U68" i="32"/>
  <c r="I67" i="34"/>
  <c r="J67" i="34"/>
  <c r="K66" i="31"/>
  <c r="D64" i="17" s="1"/>
  <c r="K59" i="38"/>
  <c r="V67" i="31"/>
  <c r="W67" i="31" s="1"/>
  <c r="U65" i="17" s="1"/>
  <c r="U67" i="31"/>
  <c r="K66" i="34"/>
  <c r="G64" i="17" s="1"/>
  <c r="L59" i="38"/>
  <c r="V67" i="33"/>
  <c r="W67" i="33" s="1"/>
  <c r="Y65" i="17" s="1"/>
  <c r="U67" i="33"/>
  <c r="V69" i="35"/>
  <c r="W69" i="35" s="1"/>
  <c r="V67" i="17" s="1"/>
  <c r="U69" i="35"/>
  <c r="I67" i="35"/>
  <c r="J67" i="35"/>
  <c r="K67" i="35" s="1"/>
  <c r="E65" i="17" s="1"/>
  <c r="J67" i="37"/>
  <c r="K67" i="37" s="1"/>
  <c r="J65" i="17" s="1"/>
  <c r="I67" i="37"/>
  <c r="E58" i="28"/>
  <c r="M58" i="38" s="1"/>
  <c r="I67" i="33"/>
  <c r="J67" i="33"/>
  <c r="K67" i="33" s="1"/>
  <c r="H65" i="17" s="1"/>
  <c r="E57" i="28"/>
  <c r="O62" i="17"/>
  <c r="J68" i="18" l="1"/>
  <c r="K68" i="18" s="1"/>
  <c r="C66" i="17" s="1"/>
  <c r="I68" i="18"/>
  <c r="AC65" i="17"/>
  <c r="AF65" i="17" s="1"/>
  <c r="U68" i="37"/>
  <c r="V68" i="37"/>
  <c r="W68" i="37" s="1"/>
  <c r="AA66" i="17" s="1"/>
  <c r="K68" i="32"/>
  <c r="F66" i="17" s="1"/>
  <c r="J61" i="38"/>
  <c r="J69" i="32"/>
  <c r="I69" i="32"/>
  <c r="V68" i="18"/>
  <c r="W68" i="18" s="1"/>
  <c r="T66" i="17" s="1"/>
  <c r="U68" i="18"/>
  <c r="M57" i="38"/>
  <c r="N57" i="38"/>
  <c r="O57" i="38"/>
  <c r="J68" i="37"/>
  <c r="K68" i="37" s="1"/>
  <c r="J66" i="17" s="1"/>
  <c r="I68" i="37"/>
  <c r="U68" i="33"/>
  <c r="V68" i="33"/>
  <c r="W68" i="33" s="1"/>
  <c r="Y66" i="17" s="1"/>
  <c r="L64" i="17"/>
  <c r="I68" i="31"/>
  <c r="J68" i="31"/>
  <c r="V68" i="31"/>
  <c r="W68" i="31" s="1"/>
  <c r="U66" i="17" s="1"/>
  <c r="U68" i="31"/>
  <c r="K60" i="38"/>
  <c r="K67" i="31"/>
  <c r="D65" i="17" s="1"/>
  <c r="K67" i="34"/>
  <c r="G65" i="17" s="1"/>
  <c r="L60" i="38"/>
  <c r="O58" i="38"/>
  <c r="J68" i="34"/>
  <c r="I68" i="34"/>
  <c r="V70" i="34"/>
  <c r="W70" i="34" s="1"/>
  <c r="X68" i="17" s="1"/>
  <c r="U70" i="34"/>
  <c r="V70" i="35"/>
  <c r="W70" i="35" s="1"/>
  <c r="V68" i="17" s="1"/>
  <c r="U70" i="35"/>
  <c r="I68" i="33"/>
  <c r="J68" i="33"/>
  <c r="K68" i="33" s="1"/>
  <c r="H66" i="17" s="1"/>
  <c r="I68" i="35"/>
  <c r="J68" i="35"/>
  <c r="K68" i="35" s="1"/>
  <c r="E66" i="17" s="1"/>
  <c r="V69" i="32"/>
  <c r="W69" i="32" s="1"/>
  <c r="W67" i="17" s="1"/>
  <c r="U69" i="32"/>
  <c r="N58" i="38"/>
  <c r="J69" i="18" l="1"/>
  <c r="K69" i="18" s="1"/>
  <c r="C67" i="17" s="1"/>
  <c r="I69" i="18"/>
  <c r="L65" i="17"/>
  <c r="O65" i="17" s="1"/>
  <c r="I70" i="32"/>
  <c r="J70" i="32"/>
  <c r="J62" i="38"/>
  <c r="K69" i="32"/>
  <c r="F67" i="17" s="1"/>
  <c r="V69" i="37"/>
  <c r="W69" i="37" s="1"/>
  <c r="AA67" i="17" s="1"/>
  <c r="U69" i="37"/>
  <c r="U71" i="35"/>
  <c r="V71" i="35"/>
  <c r="W71" i="35" s="1"/>
  <c r="V69" i="17" s="1"/>
  <c r="U69" i="33"/>
  <c r="V69" i="33"/>
  <c r="W69" i="33" s="1"/>
  <c r="Y67" i="17" s="1"/>
  <c r="V70" i="32"/>
  <c r="W70" i="32" s="1"/>
  <c r="W68" i="17" s="1"/>
  <c r="U70" i="32"/>
  <c r="I69" i="34"/>
  <c r="J69" i="34"/>
  <c r="K61" i="38"/>
  <c r="K68" i="31"/>
  <c r="D66" i="17" s="1"/>
  <c r="J69" i="33"/>
  <c r="K69" i="33" s="1"/>
  <c r="H67" i="17" s="1"/>
  <c r="I69" i="33"/>
  <c r="J69" i="37"/>
  <c r="K69" i="37" s="1"/>
  <c r="J67" i="17" s="1"/>
  <c r="I69" i="37"/>
  <c r="L61" i="38"/>
  <c r="K68" i="34"/>
  <c r="G66" i="17" s="1"/>
  <c r="I69" i="31"/>
  <c r="J69" i="31"/>
  <c r="V69" i="31"/>
  <c r="W69" i="31" s="1"/>
  <c r="U67" i="17" s="1"/>
  <c r="U69" i="31"/>
  <c r="J69" i="35"/>
  <c r="K69" i="35" s="1"/>
  <c r="E67" i="17" s="1"/>
  <c r="I69" i="35"/>
  <c r="E59" i="28"/>
  <c r="O64" i="17"/>
  <c r="U69" i="18"/>
  <c r="V69" i="18"/>
  <c r="W69" i="18" s="1"/>
  <c r="T67" i="17" s="1"/>
  <c r="E60" i="28"/>
  <c r="M60" i="38" s="1"/>
  <c r="U71" i="34"/>
  <c r="V71" i="34"/>
  <c r="W71" i="34" s="1"/>
  <c r="X69" i="17" s="1"/>
  <c r="AC66" i="17"/>
  <c r="AF66" i="17" s="1"/>
  <c r="I70" i="18" l="1"/>
  <c r="J70" i="18"/>
  <c r="K70" i="18" s="1"/>
  <c r="C68" i="17" s="1"/>
  <c r="O60" i="38"/>
  <c r="V70" i="37"/>
  <c r="W70" i="37" s="1"/>
  <c r="AA68" i="17" s="1"/>
  <c r="U70" i="37"/>
  <c r="J63" i="38"/>
  <c r="K70" i="32"/>
  <c r="F68" i="17" s="1"/>
  <c r="I71" i="32"/>
  <c r="J71" i="32"/>
  <c r="L66" i="17"/>
  <c r="E61" i="28" s="1"/>
  <c r="U72" i="34"/>
  <c r="V72" i="34"/>
  <c r="W72" i="34" s="1"/>
  <c r="X70" i="17" s="1"/>
  <c r="I70" i="35"/>
  <c r="J70" i="35"/>
  <c r="K70" i="35" s="1"/>
  <c r="E68" i="17" s="1"/>
  <c r="L62" i="38"/>
  <c r="K69" i="34"/>
  <c r="G67" i="17" s="1"/>
  <c r="I70" i="34"/>
  <c r="J70" i="34"/>
  <c r="U70" i="31"/>
  <c r="V70" i="31"/>
  <c r="W70" i="31" s="1"/>
  <c r="U68" i="17" s="1"/>
  <c r="V71" i="32"/>
  <c r="W71" i="32" s="1"/>
  <c r="W69" i="17" s="1"/>
  <c r="U71" i="32"/>
  <c r="K62" i="38"/>
  <c r="K69" i="31"/>
  <c r="D67" i="17" s="1"/>
  <c r="AC67" i="17"/>
  <c r="AF67" i="17" s="1"/>
  <c r="J70" i="31"/>
  <c r="I70" i="31"/>
  <c r="U70" i="33"/>
  <c r="V70" i="33"/>
  <c r="W70" i="33" s="1"/>
  <c r="Y68" i="17" s="1"/>
  <c r="I70" i="33"/>
  <c r="J70" i="33"/>
  <c r="K70" i="33" s="1"/>
  <c r="H68" i="17" s="1"/>
  <c r="U70" i="18"/>
  <c r="V70" i="18"/>
  <c r="W70" i="18" s="1"/>
  <c r="T68" i="17" s="1"/>
  <c r="M59" i="38"/>
  <c r="N59" i="38"/>
  <c r="O59" i="38"/>
  <c r="J70" i="37"/>
  <c r="K70" i="37" s="1"/>
  <c r="J68" i="17" s="1"/>
  <c r="I70" i="37"/>
  <c r="N60" i="38"/>
  <c r="V72" i="35"/>
  <c r="W72" i="35" s="1"/>
  <c r="V70" i="17" s="1"/>
  <c r="U72" i="35"/>
  <c r="I71" i="18" l="1"/>
  <c r="J71" i="18"/>
  <c r="K71" i="18" s="1"/>
  <c r="C69" i="17" s="1"/>
  <c r="M61" i="38"/>
  <c r="O61" i="38"/>
  <c r="K71" i="32"/>
  <c r="F69" i="17" s="1"/>
  <c r="J64" i="38"/>
  <c r="J72" i="32"/>
  <c r="I72" i="32"/>
  <c r="AC68" i="17"/>
  <c r="AF68" i="17" s="1"/>
  <c r="O66" i="17"/>
  <c r="V71" i="37"/>
  <c r="W71" i="37" s="1"/>
  <c r="AA69" i="17" s="1"/>
  <c r="U71" i="37"/>
  <c r="J71" i="37"/>
  <c r="K71" i="37" s="1"/>
  <c r="J69" i="17" s="1"/>
  <c r="I71" i="37"/>
  <c r="V71" i="31"/>
  <c r="W71" i="31" s="1"/>
  <c r="U69" i="17" s="1"/>
  <c r="U71" i="31"/>
  <c r="I71" i="31"/>
  <c r="J71" i="31"/>
  <c r="I71" i="33"/>
  <c r="J71" i="33"/>
  <c r="K71" i="33" s="1"/>
  <c r="H69" i="17" s="1"/>
  <c r="I71" i="35"/>
  <c r="J71" i="35"/>
  <c r="K71" i="35" s="1"/>
  <c r="E69" i="17" s="1"/>
  <c r="K63" i="38"/>
  <c r="K70" i="31"/>
  <c r="D68" i="17" s="1"/>
  <c r="V73" i="35"/>
  <c r="W73" i="35" s="1"/>
  <c r="V71" i="17" s="1"/>
  <c r="U73" i="35"/>
  <c r="L67" i="17"/>
  <c r="V72" i="32"/>
  <c r="W72" i="32" s="1"/>
  <c r="W70" i="17" s="1"/>
  <c r="U72" i="32"/>
  <c r="L63" i="38"/>
  <c r="K70" i="34"/>
  <c r="G68" i="17" s="1"/>
  <c r="I71" i="34"/>
  <c r="J71" i="34"/>
  <c r="U71" i="18"/>
  <c r="V71" i="18"/>
  <c r="W71" i="18" s="1"/>
  <c r="T69" i="17" s="1"/>
  <c r="V71" i="33"/>
  <c r="W71" i="33" s="1"/>
  <c r="Y69" i="17" s="1"/>
  <c r="U71" i="33"/>
  <c r="N61" i="38"/>
  <c r="U73" i="34"/>
  <c r="V73" i="34"/>
  <c r="W73" i="34" s="1"/>
  <c r="X71" i="17" s="1"/>
  <c r="L68" i="17" l="1"/>
  <c r="E63" i="28" s="1"/>
  <c r="M63" i="38" s="1"/>
  <c r="I72" i="18"/>
  <c r="J72" i="18"/>
  <c r="K72" i="18" s="1"/>
  <c r="C70" i="17" s="1"/>
  <c r="J73" i="32"/>
  <c r="I73" i="32"/>
  <c r="J65" i="38"/>
  <c r="K72" i="32"/>
  <c r="F70" i="17" s="1"/>
  <c r="U72" i="37"/>
  <c r="V72" i="37"/>
  <c r="W72" i="37" s="1"/>
  <c r="AA70" i="17" s="1"/>
  <c r="U72" i="33"/>
  <c r="V72" i="33"/>
  <c r="W72" i="33" s="1"/>
  <c r="Y70" i="17" s="1"/>
  <c r="K64" i="38"/>
  <c r="K71" i="31"/>
  <c r="D69" i="17" s="1"/>
  <c r="V74" i="34"/>
  <c r="W74" i="34" s="1"/>
  <c r="X72" i="17" s="1"/>
  <c r="U74" i="34"/>
  <c r="AC69" i="17"/>
  <c r="AF69" i="17" s="1"/>
  <c r="I72" i="35"/>
  <c r="J72" i="35"/>
  <c r="K72" i="35" s="1"/>
  <c r="E70" i="17" s="1"/>
  <c r="I72" i="31"/>
  <c r="J72" i="31"/>
  <c r="V72" i="18"/>
  <c r="W72" i="18" s="1"/>
  <c r="T70" i="17" s="1"/>
  <c r="U72" i="18"/>
  <c r="E62" i="28"/>
  <c r="O67" i="17"/>
  <c r="J72" i="33"/>
  <c r="K72" i="33" s="1"/>
  <c r="H70" i="17" s="1"/>
  <c r="I72" i="33"/>
  <c r="V72" i="31"/>
  <c r="W72" i="31" s="1"/>
  <c r="U70" i="17" s="1"/>
  <c r="U72" i="31"/>
  <c r="K71" i="34"/>
  <c r="G69" i="17" s="1"/>
  <c r="L64" i="38"/>
  <c r="I72" i="34"/>
  <c r="J72" i="34"/>
  <c r="U74" i="35"/>
  <c r="V74" i="35"/>
  <c r="W74" i="35" s="1"/>
  <c r="V72" i="17" s="1"/>
  <c r="I72" i="37"/>
  <c r="J72" i="37"/>
  <c r="K72" i="37" s="1"/>
  <c r="J70" i="17" s="1"/>
  <c r="V73" i="32"/>
  <c r="W73" i="32" s="1"/>
  <c r="W71" i="17" s="1"/>
  <c r="U73" i="32"/>
  <c r="O68" i="17" l="1"/>
  <c r="J73" i="18"/>
  <c r="K73" i="18" s="1"/>
  <c r="C71" i="17" s="1"/>
  <c r="I73" i="18"/>
  <c r="V73" i="37"/>
  <c r="W73" i="37" s="1"/>
  <c r="AA71" i="17" s="1"/>
  <c r="U73" i="37"/>
  <c r="O63" i="38"/>
  <c r="AC70" i="17"/>
  <c r="AF70" i="17" s="1"/>
  <c r="N63" i="38"/>
  <c r="I74" i="32"/>
  <c r="J74" i="32"/>
  <c r="J66" i="38"/>
  <c r="K73" i="32"/>
  <c r="F71" i="17" s="1"/>
  <c r="I73" i="31"/>
  <c r="J73" i="31"/>
  <c r="U75" i="34"/>
  <c r="V75" i="34"/>
  <c r="W75" i="34" s="1"/>
  <c r="X73" i="17" s="1"/>
  <c r="V73" i="31"/>
  <c r="W73" i="31" s="1"/>
  <c r="U71" i="17" s="1"/>
  <c r="U73" i="31"/>
  <c r="K72" i="31"/>
  <c r="D70" i="17" s="1"/>
  <c r="K65" i="38"/>
  <c r="J73" i="37"/>
  <c r="K73" i="37" s="1"/>
  <c r="J71" i="17" s="1"/>
  <c r="I73" i="37"/>
  <c r="L69" i="17"/>
  <c r="M62" i="38"/>
  <c r="N62" i="38"/>
  <c r="O62" i="38"/>
  <c r="J73" i="35"/>
  <c r="K73" i="35" s="1"/>
  <c r="E71" i="17" s="1"/>
  <c r="I73" i="35"/>
  <c r="V73" i="33"/>
  <c r="W73" i="33" s="1"/>
  <c r="Y71" i="17" s="1"/>
  <c r="U73" i="33"/>
  <c r="U74" i="32"/>
  <c r="V74" i="32"/>
  <c r="W74" i="32" s="1"/>
  <c r="W72" i="17" s="1"/>
  <c r="V75" i="35"/>
  <c r="W75" i="35" s="1"/>
  <c r="V73" i="17" s="1"/>
  <c r="U75" i="35"/>
  <c r="K72" i="34"/>
  <c r="G70" i="17" s="1"/>
  <c r="L65" i="38"/>
  <c r="I73" i="34"/>
  <c r="J73" i="34"/>
  <c r="I73" i="33"/>
  <c r="J73" i="33"/>
  <c r="K73" i="33" s="1"/>
  <c r="H71" i="17" s="1"/>
  <c r="U73" i="18"/>
  <c r="V73" i="18"/>
  <c r="W73" i="18" s="1"/>
  <c r="T71" i="17" s="1"/>
  <c r="I74" i="18" l="1"/>
  <c r="J74" i="18"/>
  <c r="K74" i="18" s="1"/>
  <c r="C72" i="17" s="1"/>
  <c r="J67" i="38"/>
  <c r="K74" i="32"/>
  <c r="F72" i="17" s="1"/>
  <c r="J75" i="32"/>
  <c r="I75" i="32"/>
  <c r="V74" i="37"/>
  <c r="W74" i="37" s="1"/>
  <c r="AA72" i="17" s="1"/>
  <c r="U74" i="37"/>
  <c r="V74" i="33"/>
  <c r="W74" i="33" s="1"/>
  <c r="Y72" i="17" s="1"/>
  <c r="U74" i="33"/>
  <c r="J74" i="33"/>
  <c r="K74" i="33" s="1"/>
  <c r="H72" i="17" s="1"/>
  <c r="I74" i="33"/>
  <c r="U76" i="34"/>
  <c r="V76" i="34"/>
  <c r="W76" i="34" s="1"/>
  <c r="X74" i="17" s="1"/>
  <c r="O69" i="17"/>
  <c r="E64" i="28"/>
  <c r="L66" i="38"/>
  <c r="K73" i="34"/>
  <c r="G71" i="17" s="1"/>
  <c r="L70" i="17"/>
  <c r="K73" i="31"/>
  <c r="D71" i="17" s="1"/>
  <c r="K66" i="38"/>
  <c r="I74" i="35"/>
  <c r="J74" i="35"/>
  <c r="K74" i="35" s="1"/>
  <c r="E72" i="17" s="1"/>
  <c r="I74" i="37"/>
  <c r="J74" i="37"/>
  <c r="K74" i="37" s="1"/>
  <c r="J72" i="17" s="1"/>
  <c r="I74" i="34"/>
  <c r="J74" i="34"/>
  <c r="AC71" i="17"/>
  <c r="AF71" i="17" s="1"/>
  <c r="V74" i="18"/>
  <c r="W74" i="18" s="1"/>
  <c r="T72" i="17" s="1"/>
  <c r="U74" i="18"/>
  <c r="V76" i="35"/>
  <c r="W76" i="35" s="1"/>
  <c r="V74" i="17" s="1"/>
  <c r="U76" i="35"/>
  <c r="U75" i="32"/>
  <c r="V75" i="32"/>
  <c r="W75" i="32" s="1"/>
  <c r="W73" i="17" s="1"/>
  <c r="U74" i="31"/>
  <c r="V74" i="31"/>
  <c r="W74" i="31" s="1"/>
  <c r="U72" i="17" s="1"/>
  <c r="J74" i="31"/>
  <c r="I74" i="31"/>
  <c r="I75" i="18" l="1"/>
  <c r="J75" i="18"/>
  <c r="K75" i="18" s="1"/>
  <c r="C73" i="17" s="1"/>
  <c r="L71" i="17"/>
  <c r="E66" i="28" s="1"/>
  <c r="M66" i="38" s="1"/>
  <c r="V75" i="37"/>
  <c r="W75" i="37" s="1"/>
  <c r="AA73" i="17" s="1"/>
  <c r="U75" i="37"/>
  <c r="I76" i="32"/>
  <c r="J76" i="32"/>
  <c r="AC72" i="17"/>
  <c r="AF72" i="17" s="1"/>
  <c r="J68" i="38"/>
  <c r="K75" i="32"/>
  <c r="F73" i="17" s="1"/>
  <c r="I75" i="34"/>
  <c r="J75" i="34"/>
  <c r="U77" i="34"/>
  <c r="V77" i="34"/>
  <c r="W77" i="34" s="1"/>
  <c r="X75" i="17" s="1"/>
  <c r="V76" i="32"/>
  <c r="W76" i="32" s="1"/>
  <c r="W74" i="17" s="1"/>
  <c r="U76" i="32"/>
  <c r="E65" i="28"/>
  <c r="O70" i="17"/>
  <c r="J75" i="33"/>
  <c r="K75" i="33" s="1"/>
  <c r="H73" i="17" s="1"/>
  <c r="I75" i="33"/>
  <c r="U77" i="35"/>
  <c r="V77" i="35"/>
  <c r="W77" i="35" s="1"/>
  <c r="V75" i="17" s="1"/>
  <c r="J75" i="37"/>
  <c r="K75" i="37" s="1"/>
  <c r="J73" i="17" s="1"/>
  <c r="I75" i="37"/>
  <c r="K67" i="38"/>
  <c r="K74" i="31"/>
  <c r="D72" i="17" s="1"/>
  <c r="V75" i="31"/>
  <c r="W75" i="31" s="1"/>
  <c r="U73" i="17" s="1"/>
  <c r="U75" i="31"/>
  <c r="U75" i="33"/>
  <c r="V75" i="33"/>
  <c r="W75" i="33" s="1"/>
  <c r="Y73" i="17" s="1"/>
  <c r="I75" i="35"/>
  <c r="J75" i="35"/>
  <c r="K75" i="35" s="1"/>
  <c r="E73" i="17" s="1"/>
  <c r="L67" i="38"/>
  <c r="K74" i="34"/>
  <c r="G72" i="17" s="1"/>
  <c r="I75" i="31"/>
  <c r="J75" i="31"/>
  <c r="U75" i="18"/>
  <c r="V75" i="18"/>
  <c r="W75" i="18" s="1"/>
  <c r="T73" i="17" s="1"/>
  <c r="M64" i="38"/>
  <c r="N64" i="38"/>
  <c r="O64" i="38"/>
  <c r="J76" i="18" l="1"/>
  <c r="K76" i="18" s="1"/>
  <c r="C74" i="17" s="1"/>
  <c r="I76" i="18"/>
  <c r="O71" i="17"/>
  <c r="J69" i="38"/>
  <c r="K76" i="32"/>
  <c r="F74" i="17" s="1"/>
  <c r="I77" i="32"/>
  <c r="J77" i="32"/>
  <c r="U76" i="37"/>
  <c r="V76" i="37"/>
  <c r="W76" i="37" s="1"/>
  <c r="AA74" i="17" s="1"/>
  <c r="AC73" i="17"/>
  <c r="AF73" i="17" s="1"/>
  <c r="I76" i="31"/>
  <c r="J76" i="31"/>
  <c r="U76" i="33"/>
  <c r="V76" i="33"/>
  <c r="W76" i="33" s="1"/>
  <c r="Y74" i="17" s="1"/>
  <c r="N66" i="38"/>
  <c r="J76" i="37"/>
  <c r="K76" i="37" s="1"/>
  <c r="J74" i="17" s="1"/>
  <c r="I76" i="37"/>
  <c r="O66" i="38"/>
  <c r="V78" i="35"/>
  <c r="W78" i="35" s="1"/>
  <c r="V76" i="17" s="1"/>
  <c r="U78" i="35"/>
  <c r="K75" i="34"/>
  <c r="G73" i="17" s="1"/>
  <c r="L68" i="38"/>
  <c r="L72" i="17"/>
  <c r="M65" i="38"/>
  <c r="N65" i="38"/>
  <c r="O65" i="38"/>
  <c r="U76" i="18"/>
  <c r="V76" i="18"/>
  <c r="W76" i="18" s="1"/>
  <c r="T74" i="17" s="1"/>
  <c r="J76" i="35"/>
  <c r="K76" i="35" s="1"/>
  <c r="E74" i="17" s="1"/>
  <c r="I76" i="35"/>
  <c r="V77" i="32"/>
  <c r="W77" i="32" s="1"/>
  <c r="W75" i="17" s="1"/>
  <c r="U77" i="32"/>
  <c r="K75" i="31"/>
  <c r="D73" i="17" s="1"/>
  <c r="K68" i="38"/>
  <c r="U76" i="31"/>
  <c r="V76" i="31"/>
  <c r="W76" i="31" s="1"/>
  <c r="U74" i="17" s="1"/>
  <c r="I76" i="33"/>
  <c r="J76" i="33"/>
  <c r="K76" i="33" s="1"/>
  <c r="H74" i="17" s="1"/>
  <c r="U78" i="34"/>
  <c r="V78" i="34"/>
  <c r="W78" i="34" s="1"/>
  <c r="X76" i="17" s="1"/>
  <c r="J76" i="34"/>
  <c r="I76" i="34"/>
  <c r="J77" i="18" l="1"/>
  <c r="K77" i="18" s="1"/>
  <c r="C75" i="17" s="1"/>
  <c r="I77" i="18"/>
  <c r="V77" i="37"/>
  <c r="W77" i="37" s="1"/>
  <c r="AA75" i="17" s="1"/>
  <c r="U77" i="37"/>
  <c r="K77" i="32"/>
  <c r="F75" i="17" s="1"/>
  <c r="J70" i="38"/>
  <c r="J78" i="32"/>
  <c r="I78" i="32"/>
  <c r="J77" i="33"/>
  <c r="K77" i="33" s="1"/>
  <c r="H75" i="17" s="1"/>
  <c r="I77" i="33"/>
  <c r="J77" i="37"/>
  <c r="K77" i="37" s="1"/>
  <c r="J75" i="17" s="1"/>
  <c r="I77" i="37"/>
  <c r="O72" i="17"/>
  <c r="E67" i="28"/>
  <c r="V77" i="31"/>
  <c r="W77" i="31" s="1"/>
  <c r="U75" i="17" s="1"/>
  <c r="U77" i="31"/>
  <c r="I77" i="34"/>
  <c r="J77" i="34"/>
  <c r="U78" i="32"/>
  <c r="V78" i="32"/>
  <c r="W78" i="32" s="1"/>
  <c r="W76" i="17" s="1"/>
  <c r="J77" i="35"/>
  <c r="K77" i="35" s="1"/>
  <c r="E75" i="17" s="1"/>
  <c r="I77" i="35"/>
  <c r="AC74" i="17"/>
  <c r="AF74" i="17" s="1"/>
  <c r="V77" i="18"/>
  <c r="W77" i="18" s="1"/>
  <c r="T75" i="17" s="1"/>
  <c r="U77" i="18"/>
  <c r="U79" i="35"/>
  <c r="V79" i="35"/>
  <c r="W79" i="35" s="1"/>
  <c r="V77" i="17" s="1"/>
  <c r="V77" i="33"/>
  <c r="W77" i="33" s="1"/>
  <c r="Y75" i="17" s="1"/>
  <c r="U77" i="33"/>
  <c r="J77" i="31"/>
  <c r="I77" i="31"/>
  <c r="L69" i="38"/>
  <c r="K76" i="34"/>
  <c r="G74" i="17" s="1"/>
  <c r="L73" i="17"/>
  <c r="V79" i="34"/>
  <c r="W79" i="34" s="1"/>
  <c r="X77" i="17" s="1"/>
  <c r="U79" i="34"/>
  <c r="K69" i="38"/>
  <c r="K76" i="31"/>
  <c r="D74" i="17" s="1"/>
  <c r="I78" i="18" l="1"/>
  <c r="J78" i="18"/>
  <c r="K78" i="18" s="1"/>
  <c r="C76" i="17" s="1"/>
  <c r="J79" i="32"/>
  <c r="I79" i="32"/>
  <c r="J71" i="38"/>
  <c r="K78" i="32"/>
  <c r="F76" i="17" s="1"/>
  <c r="L74" i="17"/>
  <c r="E69" i="28" s="1"/>
  <c r="M69" i="38" s="1"/>
  <c r="V78" i="37"/>
  <c r="W78" i="37" s="1"/>
  <c r="AA76" i="17" s="1"/>
  <c r="U78" i="37"/>
  <c r="M67" i="38"/>
  <c r="N67" i="38"/>
  <c r="O67" i="38"/>
  <c r="K77" i="31"/>
  <c r="D75" i="17" s="1"/>
  <c r="K70" i="38"/>
  <c r="U80" i="34"/>
  <c r="V80" i="34"/>
  <c r="W80" i="34" s="1"/>
  <c r="X78" i="17" s="1"/>
  <c r="L70" i="38"/>
  <c r="K77" i="34"/>
  <c r="G75" i="17" s="1"/>
  <c r="J78" i="37"/>
  <c r="K78" i="37" s="1"/>
  <c r="J76" i="17" s="1"/>
  <c r="I78" i="37"/>
  <c r="V78" i="33"/>
  <c r="W78" i="33" s="1"/>
  <c r="Y76" i="17" s="1"/>
  <c r="U78" i="33"/>
  <c r="O73" i="17"/>
  <c r="E68" i="28"/>
  <c r="V78" i="18"/>
  <c r="W78" i="18" s="1"/>
  <c r="T76" i="17" s="1"/>
  <c r="U78" i="18"/>
  <c r="V79" i="32"/>
  <c r="W79" i="32" s="1"/>
  <c r="W77" i="17" s="1"/>
  <c r="U79" i="32"/>
  <c r="U78" i="31"/>
  <c r="V78" i="31"/>
  <c r="W78" i="31" s="1"/>
  <c r="U76" i="17" s="1"/>
  <c r="J78" i="33"/>
  <c r="K78" i="33" s="1"/>
  <c r="H76" i="17" s="1"/>
  <c r="I78" i="33"/>
  <c r="J78" i="31"/>
  <c r="I78" i="31"/>
  <c r="I78" i="35"/>
  <c r="J78" i="35"/>
  <c r="K78" i="35" s="1"/>
  <c r="E76" i="17" s="1"/>
  <c r="U80" i="35"/>
  <c r="V80" i="35"/>
  <c r="W80" i="35" s="1"/>
  <c r="V78" i="17" s="1"/>
  <c r="I78" i="34"/>
  <c r="J78" i="34"/>
  <c r="AC75" i="17"/>
  <c r="AF75" i="17" s="1"/>
  <c r="J79" i="18" l="1"/>
  <c r="K79" i="18" s="1"/>
  <c r="C77" i="17" s="1"/>
  <c r="I79" i="18"/>
  <c r="O74" i="17"/>
  <c r="AC76" i="17"/>
  <c r="AF76" i="17" s="1"/>
  <c r="V79" i="37"/>
  <c r="W79" i="37" s="1"/>
  <c r="AA77" i="17" s="1"/>
  <c r="U79" i="37"/>
  <c r="I80" i="32"/>
  <c r="J80" i="32"/>
  <c r="K79" i="32"/>
  <c r="F77" i="17" s="1"/>
  <c r="J72" i="38"/>
  <c r="I79" i="35"/>
  <c r="J79" i="35"/>
  <c r="K79" i="35" s="1"/>
  <c r="E77" i="17" s="1"/>
  <c r="M68" i="38"/>
  <c r="N68" i="38"/>
  <c r="O68" i="38"/>
  <c r="J79" i="33"/>
  <c r="K79" i="33" s="1"/>
  <c r="H77" i="17" s="1"/>
  <c r="I79" i="33"/>
  <c r="I79" i="37"/>
  <c r="J79" i="37"/>
  <c r="K79" i="37" s="1"/>
  <c r="J77" i="17" s="1"/>
  <c r="N69" i="38"/>
  <c r="L75" i="17"/>
  <c r="U81" i="34"/>
  <c r="V81" i="34"/>
  <c r="W81" i="34" s="1"/>
  <c r="X79" i="17" s="1"/>
  <c r="O69" i="38"/>
  <c r="V79" i="31"/>
  <c r="W79" i="31" s="1"/>
  <c r="U77" i="17" s="1"/>
  <c r="U79" i="31"/>
  <c r="K78" i="34"/>
  <c r="G76" i="17" s="1"/>
  <c r="L71" i="38"/>
  <c r="I79" i="31"/>
  <c r="J79" i="31"/>
  <c r="U80" i="32"/>
  <c r="V80" i="32"/>
  <c r="W80" i="32" s="1"/>
  <c r="W78" i="17" s="1"/>
  <c r="V79" i="33"/>
  <c r="W79" i="33" s="1"/>
  <c r="Y77" i="17" s="1"/>
  <c r="U79" i="33"/>
  <c r="U81" i="35"/>
  <c r="V81" i="35"/>
  <c r="W81" i="35" s="1"/>
  <c r="V79" i="17" s="1"/>
  <c r="I79" i="34"/>
  <c r="J79" i="34"/>
  <c r="K71" i="38"/>
  <c r="K78" i="31"/>
  <c r="D76" i="17" s="1"/>
  <c r="U79" i="18"/>
  <c r="V79" i="18"/>
  <c r="W79" i="18" s="1"/>
  <c r="T77" i="17" s="1"/>
  <c r="L76" i="17" l="1"/>
  <c r="I80" i="18"/>
  <c r="J80" i="18"/>
  <c r="K80" i="18" s="1"/>
  <c r="C78" i="17" s="1"/>
  <c r="K80" i="32"/>
  <c r="F78" i="17" s="1"/>
  <c r="J73" i="38"/>
  <c r="I81" i="32"/>
  <c r="J81" i="32"/>
  <c r="V80" i="37"/>
  <c r="W80" i="37" s="1"/>
  <c r="AA78" i="17" s="1"/>
  <c r="U80" i="37"/>
  <c r="O75" i="17"/>
  <c r="E70" i="28"/>
  <c r="J80" i="31"/>
  <c r="I80" i="31"/>
  <c r="V80" i="31"/>
  <c r="W80" i="31" s="1"/>
  <c r="U78" i="17" s="1"/>
  <c r="U80" i="31"/>
  <c r="L72" i="38"/>
  <c r="K79" i="34"/>
  <c r="G77" i="17" s="1"/>
  <c r="U82" i="35"/>
  <c r="V82" i="35"/>
  <c r="W82" i="35" s="1"/>
  <c r="V80" i="17" s="1"/>
  <c r="E71" i="28"/>
  <c r="M71" i="38" s="1"/>
  <c r="O76" i="17"/>
  <c r="I80" i="34"/>
  <c r="J80" i="34"/>
  <c r="U81" i="32"/>
  <c r="V81" i="32"/>
  <c r="W81" i="32" s="1"/>
  <c r="W79" i="17" s="1"/>
  <c r="J80" i="37"/>
  <c r="K80" i="37" s="1"/>
  <c r="J78" i="17" s="1"/>
  <c r="I80" i="37"/>
  <c r="I80" i="35"/>
  <c r="J80" i="35"/>
  <c r="K80" i="35" s="1"/>
  <c r="E78" i="17" s="1"/>
  <c r="V80" i="18"/>
  <c r="W80" i="18" s="1"/>
  <c r="T78" i="17" s="1"/>
  <c r="U80" i="18"/>
  <c r="V82" i="34"/>
  <c r="W82" i="34" s="1"/>
  <c r="X80" i="17" s="1"/>
  <c r="U82" i="34"/>
  <c r="U80" i="33"/>
  <c r="V80" i="33"/>
  <c r="W80" i="33" s="1"/>
  <c r="Y78" i="17" s="1"/>
  <c r="AC77" i="17"/>
  <c r="AF77" i="17" s="1"/>
  <c r="K72" i="38"/>
  <c r="K79" i="31"/>
  <c r="D77" i="17" s="1"/>
  <c r="I80" i="33"/>
  <c r="J80" i="33"/>
  <c r="K80" i="33" s="1"/>
  <c r="H78" i="17" s="1"/>
  <c r="I81" i="18" l="1"/>
  <c r="J81" i="18"/>
  <c r="K81" i="18" s="1"/>
  <c r="C79" i="17" s="1"/>
  <c r="L77" i="17"/>
  <c r="O77" i="17" s="1"/>
  <c r="J74" i="38"/>
  <c r="K81" i="32"/>
  <c r="F79" i="17" s="1"/>
  <c r="V81" i="37"/>
  <c r="W81" i="37" s="1"/>
  <c r="AA79" i="17" s="1"/>
  <c r="U81" i="37"/>
  <c r="J82" i="32"/>
  <c r="I82" i="32"/>
  <c r="AC78" i="17"/>
  <c r="AF78" i="17" s="1"/>
  <c r="U82" i="32"/>
  <c r="V82" i="32"/>
  <c r="W82" i="32" s="1"/>
  <c r="W80" i="17" s="1"/>
  <c r="J81" i="31"/>
  <c r="I81" i="31"/>
  <c r="I81" i="34"/>
  <c r="J81" i="34"/>
  <c r="J81" i="35"/>
  <c r="K81" i="35" s="1"/>
  <c r="E79" i="17" s="1"/>
  <c r="I81" i="35"/>
  <c r="M70" i="38"/>
  <c r="O70" i="38"/>
  <c r="N70" i="38"/>
  <c r="I81" i="37"/>
  <c r="J81" i="37"/>
  <c r="K81" i="37" s="1"/>
  <c r="J79" i="17" s="1"/>
  <c r="V81" i="31"/>
  <c r="W81" i="31" s="1"/>
  <c r="U79" i="17" s="1"/>
  <c r="U81" i="31"/>
  <c r="V83" i="35"/>
  <c r="W83" i="35" s="1"/>
  <c r="V81" i="17" s="1"/>
  <c r="U83" i="35"/>
  <c r="O71" i="38"/>
  <c r="V81" i="18"/>
  <c r="W81" i="18" s="1"/>
  <c r="T79" i="17" s="1"/>
  <c r="U81" i="18"/>
  <c r="K80" i="34"/>
  <c r="G78" i="17" s="1"/>
  <c r="L73" i="38"/>
  <c r="K80" i="31"/>
  <c r="D78" i="17" s="1"/>
  <c r="K73" i="38"/>
  <c r="U81" i="33"/>
  <c r="V81" i="33"/>
  <c r="W81" i="33" s="1"/>
  <c r="Y79" i="17" s="1"/>
  <c r="J81" i="33"/>
  <c r="K81" i="33" s="1"/>
  <c r="H79" i="17" s="1"/>
  <c r="I81" i="33"/>
  <c r="V83" i="34"/>
  <c r="W83" i="34" s="1"/>
  <c r="X81" i="17" s="1"/>
  <c r="U83" i="34"/>
  <c r="N71" i="38"/>
  <c r="E72" i="28" l="1"/>
  <c r="M72" i="38" s="1"/>
  <c r="I82" i="18"/>
  <c r="J82" i="18"/>
  <c r="K82" i="18" s="1"/>
  <c r="C80" i="17" s="1"/>
  <c r="I83" i="32"/>
  <c r="J83" i="32"/>
  <c r="J75" i="38"/>
  <c r="K82" i="32"/>
  <c r="F80" i="17" s="1"/>
  <c r="AC79" i="17"/>
  <c r="AF79" i="17" s="1"/>
  <c r="U82" i="37"/>
  <c r="V82" i="37"/>
  <c r="W82" i="37" s="1"/>
  <c r="AA80" i="17" s="1"/>
  <c r="K81" i="31"/>
  <c r="D79" i="17" s="1"/>
  <c r="K74" i="38"/>
  <c r="I82" i="37"/>
  <c r="J82" i="37"/>
  <c r="K82" i="37" s="1"/>
  <c r="J80" i="17" s="1"/>
  <c r="I82" i="35"/>
  <c r="J82" i="35"/>
  <c r="K82" i="35" s="1"/>
  <c r="E80" i="17" s="1"/>
  <c r="V82" i="33"/>
  <c r="W82" i="33" s="1"/>
  <c r="Y80" i="17" s="1"/>
  <c r="U82" i="33"/>
  <c r="K81" i="34"/>
  <c r="G79" i="17" s="1"/>
  <c r="L74" i="38"/>
  <c r="U83" i="32"/>
  <c r="V83" i="32"/>
  <c r="W83" i="32" s="1"/>
  <c r="W81" i="17" s="1"/>
  <c r="U82" i="18"/>
  <c r="V82" i="18"/>
  <c r="W82" i="18" s="1"/>
  <c r="T80" i="17" s="1"/>
  <c r="I82" i="31"/>
  <c r="J82" i="31"/>
  <c r="V84" i="35"/>
  <c r="W84" i="35" s="1"/>
  <c r="V82" i="17" s="1"/>
  <c r="U84" i="35"/>
  <c r="U84" i="34"/>
  <c r="V84" i="34"/>
  <c r="W84" i="34" s="1"/>
  <c r="X82" i="17" s="1"/>
  <c r="I82" i="34"/>
  <c r="J82" i="34"/>
  <c r="V82" i="31"/>
  <c r="W82" i="31" s="1"/>
  <c r="U80" i="17" s="1"/>
  <c r="U82" i="31"/>
  <c r="L78" i="17"/>
  <c r="J82" i="33"/>
  <c r="K82" i="33" s="1"/>
  <c r="H80" i="17" s="1"/>
  <c r="I82" i="33"/>
  <c r="O72" i="38" l="1"/>
  <c r="N72" i="38"/>
  <c r="J83" i="18"/>
  <c r="K83" i="18" s="1"/>
  <c r="C81" i="17" s="1"/>
  <c r="I83" i="18"/>
  <c r="U83" i="37"/>
  <c r="V83" i="37"/>
  <c r="W83" i="37" s="1"/>
  <c r="AA81" i="17" s="1"/>
  <c r="K83" i="32"/>
  <c r="F81" i="17" s="1"/>
  <c r="J76" i="38"/>
  <c r="I84" i="32"/>
  <c r="J84" i="32"/>
  <c r="I83" i="37"/>
  <c r="J83" i="37"/>
  <c r="K83" i="37" s="1"/>
  <c r="J81" i="17" s="1"/>
  <c r="K82" i="34"/>
  <c r="G80" i="17" s="1"/>
  <c r="L75" i="38"/>
  <c r="V83" i="31"/>
  <c r="W83" i="31" s="1"/>
  <c r="U81" i="17" s="1"/>
  <c r="U83" i="31"/>
  <c r="I83" i="34"/>
  <c r="J83" i="34"/>
  <c r="J83" i="31"/>
  <c r="I83" i="31"/>
  <c r="L79" i="17"/>
  <c r="K75" i="38"/>
  <c r="K82" i="31"/>
  <c r="D80" i="17" s="1"/>
  <c r="U85" i="34"/>
  <c r="V85" i="34"/>
  <c r="W85" i="34" s="1"/>
  <c r="X83" i="17" s="1"/>
  <c r="V83" i="18"/>
  <c r="W83" i="18" s="1"/>
  <c r="T81" i="17" s="1"/>
  <c r="U83" i="18"/>
  <c r="AC80" i="17"/>
  <c r="AF80" i="17" s="1"/>
  <c r="V83" i="33"/>
  <c r="W83" i="33" s="1"/>
  <c r="Y81" i="17" s="1"/>
  <c r="U83" i="33"/>
  <c r="I83" i="33"/>
  <c r="J83" i="33"/>
  <c r="K83" i="33" s="1"/>
  <c r="H81" i="17" s="1"/>
  <c r="U85" i="35"/>
  <c r="V85" i="35"/>
  <c r="W85" i="35" s="1"/>
  <c r="V83" i="17" s="1"/>
  <c r="E73" i="28"/>
  <c r="O78" i="17"/>
  <c r="U84" i="32"/>
  <c r="V84" i="32"/>
  <c r="W84" i="32" s="1"/>
  <c r="W82" i="17" s="1"/>
  <c r="I83" i="35"/>
  <c r="J83" i="35"/>
  <c r="K83" i="35" s="1"/>
  <c r="E81" i="17" s="1"/>
  <c r="J84" i="18" l="1"/>
  <c r="K84" i="18" s="1"/>
  <c r="C82" i="17" s="1"/>
  <c r="I84" i="18"/>
  <c r="L80" i="17"/>
  <c r="O80" i="17" s="1"/>
  <c r="J77" i="38"/>
  <c r="K84" i="32"/>
  <c r="F82" i="17" s="1"/>
  <c r="I85" i="32"/>
  <c r="J85" i="32"/>
  <c r="AC81" i="17"/>
  <c r="AF81" i="17" s="1"/>
  <c r="V84" i="37"/>
  <c r="W84" i="37" s="1"/>
  <c r="AA82" i="17" s="1"/>
  <c r="U84" i="37"/>
  <c r="I84" i="35"/>
  <c r="J84" i="35"/>
  <c r="K84" i="35" s="1"/>
  <c r="E82" i="17" s="1"/>
  <c r="L76" i="38"/>
  <c r="K83" i="34"/>
  <c r="G81" i="17" s="1"/>
  <c r="V84" i="31"/>
  <c r="W84" i="31" s="1"/>
  <c r="U82" i="17" s="1"/>
  <c r="U84" i="31"/>
  <c r="I84" i="33"/>
  <c r="J84" i="33"/>
  <c r="K84" i="33" s="1"/>
  <c r="H82" i="17" s="1"/>
  <c r="J84" i="34"/>
  <c r="I84" i="34"/>
  <c r="K76" i="38"/>
  <c r="K83" i="31"/>
  <c r="D81" i="17" s="1"/>
  <c r="U85" i="32"/>
  <c r="V85" i="32"/>
  <c r="W85" i="32" s="1"/>
  <c r="W83" i="17" s="1"/>
  <c r="U84" i="33"/>
  <c r="V84" i="33"/>
  <c r="W84" i="33" s="1"/>
  <c r="Y82" i="17" s="1"/>
  <c r="I84" i="31"/>
  <c r="J84" i="31"/>
  <c r="V86" i="35"/>
  <c r="W86" i="35" s="1"/>
  <c r="V84" i="17" s="1"/>
  <c r="U86" i="35"/>
  <c r="V86" i="34"/>
  <c r="W86" i="34" s="1"/>
  <c r="X84" i="17" s="1"/>
  <c r="U86" i="34"/>
  <c r="M73" i="38"/>
  <c r="O73" i="38"/>
  <c r="N73" i="38"/>
  <c r="U84" i="18"/>
  <c r="V84" i="18"/>
  <c r="W84" i="18" s="1"/>
  <c r="T82" i="17" s="1"/>
  <c r="E74" i="28"/>
  <c r="O79" i="17"/>
  <c r="J84" i="37"/>
  <c r="K84" i="37" s="1"/>
  <c r="J82" i="17" s="1"/>
  <c r="I84" i="37"/>
  <c r="E75" i="28" l="1"/>
  <c r="M75" i="38" s="1"/>
  <c r="J85" i="18"/>
  <c r="K85" i="18" s="1"/>
  <c r="C83" i="17" s="1"/>
  <c r="I85" i="18"/>
  <c r="AC82" i="17"/>
  <c r="AF82" i="17" s="1"/>
  <c r="V85" i="37"/>
  <c r="W85" i="37" s="1"/>
  <c r="AA83" i="17" s="1"/>
  <c r="U85" i="37"/>
  <c r="L81" i="17"/>
  <c r="O81" i="17" s="1"/>
  <c r="O75" i="38"/>
  <c r="K85" i="32"/>
  <c r="F83" i="17" s="1"/>
  <c r="J78" i="38"/>
  <c r="I86" i="32"/>
  <c r="J86" i="32"/>
  <c r="V86" i="32"/>
  <c r="W86" i="32" s="1"/>
  <c r="W84" i="17" s="1"/>
  <c r="U86" i="32"/>
  <c r="J85" i="37"/>
  <c r="K85" i="37" s="1"/>
  <c r="J83" i="17" s="1"/>
  <c r="I85" i="37"/>
  <c r="J85" i="34"/>
  <c r="I85" i="34"/>
  <c r="L77" i="38"/>
  <c r="K84" i="34"/>
  <c r="G82" i="17" s="1"/>
  <c r="I85" i="33"/>
  <c r="J85" i="33"/>
  <c r="K85" i="33" s="1"/>
  <c r="H83" i="17" s="1"/>
  <c r="V87" i="35"/>
  <c r="W87" i="35" s="1"/>
  <c r="V85" i="17" s="1"/>
  <c r="U87" i="35"/>
  <c r="U87" i="34"/>
  <c r="V87" i="34"/>
  <c r="W87" i="34" s="1"/>
  <c r="X85" i="17" s="1"/>
  <c r="K84" i="31"/>
  <c r="D82" i="17" s="1"/>
  <c r="K77" i="38"/>
  <c r="V85" i="18"/>
  <c r="W85" i="18" s="1"/>
  <c r="T83" i="17" s="1"/>
  <c r="U85" i="18"/>
  <c r="V85" i="31"/>
  <c r="W85" i="31" s="1"/>
  <c r="U83" i="17" s="1"/>
  <c r="U85" i="31"/>
  <c r="M74" i="38"/>
  <c r="O74" i="38"/>
  <c r="N74" i="38"/>
  <c r="J85" i="31"/>
  <c r="I85" i="31"/>
  <c r="V85" i="33"/>
  <c r="W85" i="33" s="1"/>
  <c r="Y83" i="17" s="1"/>
  <c r="U85" i="33"/>
  <c r="I85" i="35"/>
  <c r="J85" i="35"/>
  <c r="K85" i="35" s="1"/>
  <c r="E83" i="17" s="1"/>
  <c r="N75" i="38" l="1"/>
  <c r="J86" i="18"/>
  <c r="K86" i="18" s="1"/>
  <c r="C84" i="17" s="1"/>
  <c r="I86" i="18"/>
  <c r="E76" i="28"/>
  <c r="O76" i="38" s="1"/>
  <c r="I87" i="32"/>
  <c r="J87" i="32"/>
  <c r="J79" i="38"/>
  <c r="K86" i="32"/>
  <c r="F84" i="17" s="1"/>
  <c r="U86" i="37"/>
  <c r="V86" i="37"/>
  <c r="W86" i="37" s="1"/>
  <c r="AA84" i="17" s="1"/>
  <c r="J86" i="34"/>
  <c r="I86" i="34"/>
  <c r="V88" i="35"/>
  <c r="W88" i="35" s="1"/>
  <c r="V86" i="17" s="1"/>
  <c r="U88" i="35"/>
  <c r="J86" i="33"/>
  <c r="K86" i="33" s="1"/>
  <c r="H84" i="17" s="1"/>
  <c r="I86" i="33"/>
  <c r="L78" i="38"/>
  <c r="K85" i="34"/>
  <c r="G83" i="17" s="1"/>
  <c r="AC83" i="17"/>
  <c r="AF83" i="17" s="1"/>
  <c r="I86" i="35"/>
  <c r="J86" i="35"/>
  <c r="K86" i="35" s="1"/>
  <c r="E84" i="17" s="1"/>
  <c r="V86" i="31"/>
  <c r="W86" i="31" s="1"/>
  <c r="U84" i="17" s="1"/>
  <c r="U86" i="31"/>
  <c r="V87" i="32"/>
  <c r="W87" i="32" s="1"/>
  <c r="W85" i="17" s="1"/>
  <c r="U87" i="32"/>
  <c r="I86" i="31"/>
  <c r="J86" i="31"/>
  <c r="V88" i="34"/>
  <c r="W88" i="34" s="1"/>
  <c r="X86" i="17" s="1"/>
  <c r="U88" i="34"/>
  <c r="K85" i="31"/>
  <c r="D83" i="17" s="1"/>
  <c r="K78" i="38"/>
  <c r="U86" i="18"/>
  <c r="V86" i="18"/>
  <c r="W86" i="18" s="1"/>
  <c r="T84" i="17" s="1"/>
  <c r="U86" i="33"/>
  <c r="V86" i="33"/>
  <c r="W86" i="33" s="1"/>
  <c r="Y84" i="17" s="1"/>
  <c r="L82" i="17"/>
  <c r="J86" i="37"/>
  <c r="K86" i="37" s="1"/>
  <c r="J84" i="17" s="1"/>
  <c r="I86" i="37"/>
  <c r="J87" i="18" l="1"/>
  <c r="K87" i="18" s="1"/>
  <c r="C85" i="17" s="1"/>
  <c r="I87" i="18"/>
  <c r="M76" i="38"/>
  <c r="N76" i="38"/>
  <c r="V87" i="37"/>
  <c r="W87" i="37" s="1"/>
  <c r="AA85" i="17" s="1"/>
  <c r="U87" i="37"/>
  <c r="AC84" i="17"/>
  <c r="AF84" i="17" s="1"/>
  <c r="K87" i="32"/>
  <c r="F85" i="17" s="1"/>
  <c r="J80" i="38"/>
  <c r="I88" i="32"/>
  <c r="J88" i="32"/>
  <c r="I87" i="34"/>
  <c r="J87" i="34"/>
  <c r="L83" i="17"/>
  <c r="J87" i="33"/>
  <c r="K87" i="33" s="1"/>
  <c r="H85" i="17" s="1"/>
  <c r="I87" i="33"/>
  <c r="L79" i="38"/>
  <c r="K86" i="34"/>
  <c r="G84" i="17" s="1"/>
  <c r="U87" i="18"/>
  <c r="V87" i="18"/>
  <c r="W87" i="18" s="1"/>
  <c r="T85" i="17" s="1"/>
  <c r="V88" i="32"/>
  <c r="W88" i="32" s="1"/>
  <c r="W86" i="17" s="1"/>
  <c r="U88" i="32"/>
  <c r="E77" i="28"/>
  <c r="O82" i="17"/>
  <c r="U89" i="34"/>
  <c r="V89" i="34"/>
  <c r="W89" i="34" s="1"/>
  <c r="X87" i="17" s="1"/>
  <c r="V87" i="31"/>
  <c r="W87" i="31" s="1"/>
  <c r="U85" i="17" s="1"/>
  <c r="U87" i="31"/>
  <c r="I87" i="37"/>
  <c r="J87" i="37"/>
  <c r="K87" i="37" s="1"/>
  <c r="J85" i="17" s="1"/>
  <c r="U87" i="33"/>
  <c r="V87" i="33"/>
  <c r="W87" i="33" s="1"/>
  <c r="Y85" i="17" s="1"/>
  <c r="K79" i="38"/>
  <c r="K86" i="31"/>
  <c r="D84" i="17" s="1"/>
  <c r="J87" i="31"/>
  <c r="I87" i="31"/>
  <c r="J87" i="35"/>
  <c r="K87" i="35" s="1"/>
  <c r="E85" i="17" s="1"/>
  <c r="I87" i="35"/>
  <c r="V89" i="35"/>
  <c r="W89" i="35" s="1"/>
  <c r="V87" i="17" s="1"/>
  <c r="U89" i="35"/>
  <c r="J88" i="18" l="1"/>
  <c r="K88" i="18" s="1"/>
  <c r="C86" i="17" s="1"/>
  <c r="I88" i="18"/>
  <c r="K88" i="32"/>
  <c r="F86" i="17" s="1"/>
  <c r="J81" i="38"/>
  <c r="I89" i="32"/>
  <c r="J89" i="32"/>
  <c r="V88" i="37"/>
  <c r="W88" i="37" s="1"/>
  <c r="AA86" i="17" s="1"/>
  <c r="U88" i="37"/>
  <c r="V90" i="35"/>
  <c r="W90" i="35" s="1"/>
  <c r="V88" i="17" s="1"/>
  <c r="U90" i="35"/>
  <c r="M77" i="38"/>
  <c r="O77" i="38"/>
  <c r="N77" i="38"/>
  <c r="J88" i="33"/>
  <c r="K88" i="33" s="1"/>
  <c r="H86" i="17" s="1"/>
  <c r="I88" i="33"/>
  <c r="U88" i="33"/>
  <c r="V88" i="33"/>
  <c r="W88" i="33" s="1"/>
  <c r="Y86" i="17" s="1"/>
  <c r="J88" i="35"/>
  <c r="K88" i="35" s="1"/>
  <c r="E86" i="17" s="1"/>
  <c r="I88" i="35"/>
  <c r="V88" i="31"/>
  <c r="W88" i="31" s="1"/>
  <c r="U86" i="17" s="1"/>
  <c r="U88" i="31"/>
  <c r="AC85" i="17"/>
  <c r="AF85" i="17" s="1"/>
  <c r="J88" i="31"/>
  <c r="I88" i="31"/>
  <c r="V88" i="18"/>
  <c r="W88" i="18" s="1"/>
  <c r="T86" i="17" s="1"/>
  <c r="U88" i="18"/>
  <c r="K87" i="34"/>
  <c r="G85" i="17" s="1"/>
  <c r="L80" i="38"/>
  <c r="U89" i="32"/>
  <c r="V89" i="32"/>
  <c r="W89" i="32" s="1"/>
  <c r="W87" i="17" s="1"/>
  <c r="K80" i="38"/>
  <c r="K87" i="31"/>
  <c r="D85" i="17" s="1"/>
  <c r="I88" i="37"/>
  <c r="J88" i="37"/>
  <c r="K88" i="37" s="1"/>
  <c r="J86" i="17" s="1"/>
  <c r="V90" i="34"/>
  <c r="W90" i="34" s="1"/>
  <c r="X88" i="17" s="1"/>
  <c r="U90" i="34"/>
  <c r="J88" i="34"/>
  <c r="I88" i="34"/>
  <c r="E78" i="28"/>
  <c r="O83" i="17"/>
  <c r="L84" i="17"/>
  <c r="I89" i="18" l="1"/>
  <c r="J89" i="18"/>
  <c r="K89" i="18" s="1"/>
  <c r="C87" i="17" s="1"/>
  <c r="V89" i="37"/>
  <c r="W89" i="37" s="1"/>
  <c r="AA87" i="17" s="1"/>
  <c r="U89" i="37"/>
  <c r="J82" i="38"/>
  <c r="K89" i="32"/>
  <c r="F87" i="17" s="1"/>
  <c r="AC86" i="17"/>
  <c r="AF86" i="17" s="1"/>
  <c r="I90" i="32"/>
  <c r="J90" i="32"/>
  <c r="J89" i="35"/>
  <c r="K89" i="35" s="1"/>
  <c r="E87" i="17" s="1"/>
  <c r="I89" i="35"/>
  <c r="L85" i="17"/>
  <c r="J89" i="31"/>
  <c r="I89" i="31"/>
  <c r="V89" i="18"/>
  <c r="W89" i="18" s="1"/>
  <c r="T87" i="17" s="1"/>
  <c r="U89" i="18"/>
  <c r="I89" i="37"/>
  <c r="J89" i="37"/>
  <c r="K89" i="37" s="1"/>
  <c r="J87" i="17" s="1"/>
  <c r="K88" i="31"/>
  <c r="D86" i="17" s="1"/>
  <c r="K81" i="38"/>
  <c r="I89" i="34"/>
  <c r="J89" i="34"/>
  <c r="U89" i="33"/>
  <c r="V89" i="33"/>
  <c r="W89" i="33" s="1"/>
  <c r="Y87" i="17" s="1"/>
  <c r="L81" i="38"/>
  <c r="K88" i="34"/>
  <c r="G86" i="17" s="1"/>
  <c r="U90" i="32"/>
  <c r="V90" i="32"/>
  <c r="W90" i="32" s="1"/>
  <c r="W88" i="17" s="1"/>
  <c r="V89" i="31"/>
  <c r="W89" i="31" s="1"/>
  <c r="U87" i="17" s="1"/>
  <c r="U89" i="31"/>
  <c r="I89" i="33"/>
  <c r="J89" i="33"/>
  <c r="K89" i="33" s="1"/>
  <c r="H87" i="17" s="1"/>
  <c r="V91" i="35"/>
  <c r="W91" i="35" s="1"/>
  <c r="V89" i="17" s="1"/>
  <c r="U91" i="35"/>
  <c r="M78" i="38"/>
  <c r="O78" i="38"/>
  <c r="N78" i="38"/>
  <c r="E79" i="28"/>
  <c r="O84" i="17"/>
  <c r="U91" i="34"/>
  <c r="V91" i="34"/>
  <c r="W91" i="34" s="1"/>
  <c r="X89" i="17" s="1"/>
  <c r="J90" i="18" l="1"/>
  <c r="K90" i="18" s="1"/>
  <c r="C88" i="17" s="1"/>
  <c r="I90" i="18"/>
  <c r="L86" i="17"/>
  <c r="E81" i="28" s="1"/>
  <c r="M81" i="38" s="1"/>
  <c r="J83" i="38"/>
  <c r="K90" i="32"/>
  <c r="F88" i="17" s="1"/>
  <c r="J91" i="32"/>
  <c r="I91" i="32"/>
  <c r="U90" i="37"/>
  <c r="V90" i="37"/>
  <c r="W90" i="37" s="1"/>
  <c r="AA88" i="17" s="1"/>
  <c r="U90" i="31"/>
  <c r="V90" i="31"/>
  <c r="W90" i="31" s="1"/>
  <c r="U88" i="17" s="1"/>
  <c r="V90" i="33"/>
  <c r="W90" i="33" s="1"/>
  <c r="Y88" i="17" s="1"/>
  <c r="U90" i="33"/>
  <c r="J90" i="31"/>
  <c r="I90" i="31"/>
  <c r="M79" i="38"/>
  <c r="N79" i="38"/>
  <c r="O79" i="38"/>
  <c r="J90" i="34"/>
  <c r="I90" i="34"/>
  <c r="U90" i="18"/>
  <c r="V90" i="18"/>
  <c r="W90" i="18" s="1"/>
  <c r="T88" i="17" s="1"/>
  <c r="E80" i="28"/>
  <c r="O85" i="17"/>
  <c r="I90" i="33"/>
  <c r="J90" i="33"/>
  <c r="K90" i="33" s="1"/>
  <c r="H88" i="17" s="1"/>
  <c r="I90" i="37"/>
  <c r="J90" i="37"/>
  <c r="K90" i="37" s="1"/>
  <c r="J88" i="17" s="1"/>
  <c r="U91" i="32"/>
  <c r="V91" i="32"/>
  <c r="W91" i="32" s="1"/>
  <c r="W89" i="17" s="1"/>
  <c r="AC87" i="17"/>
  <c r="AF87" i="17" s="1"/>
  <c r="J90" i="35"/>
  <c r="K90" i="35" s="1"/>
  <c r="E88" i="17" s="1"/>
  <c r="I90" i="35"/>
  <c r="L82" i="38"/>
  <c r="K89" i="34"/>
  <c r="G87" i="17" s="1"/>
  <c r="K89" i="31"/>
  <c r="D87" i="17" s="1"/>
  <c r="K82" i="38"/>
  <c r="V92" i="34"/>
  <c r="W92" i="34" s="1"/>
  <c r="X90" i="17" s="1"/>
  <c r="U92" i="34"/>
  <c r="U92" i="35"/>
  <c r="V92" i="35"/>
  <c r="W92" i="35" s="1"/>
  <c r="V90" i="17" s="1"/>
  <c r="O86" i="17" l="1"/>
  <c r="I91" i="18"/>
  <c r="J91" i="18"/>
  <c r="K91" i="18" s="1"/>
  <c r="C89" i="17" s="1"/>
  <c r="V91" i="37"/>
  <c r="W91" i="37" s="1"/>
  <c r="AA89" i="17" s="1"/>
  <c r="U91" i="37"/>
  <c r="I92" i="32"/>
  <c r="J92" i="32"/>
  <c r="L87" i="17"/>
  <c r="E82" i="28" s="1"/>
  <c r="M82" i="38" s="1"/>
  <c r="J84" i="38"/>
  <c r="K91" i="32"/>
  <c r="F89" i="17" s="1"/>
  <c r="I91" i="33"/>
  <c r="J91" i="33"/>
  <c r="K91" i="33" s="1"/>
  <c r="H89" i="17" s="1"/>
  <c r="U91" i="31"/>
  <c r="V91" i="31"/>
  <c r="W91" i="31" s="1"/>
  <c r="U89" i="17" s="1"/>
  <c r="N81" i="38"/>
  <c r="J91" i="34"/>
  <c r="I91" i="34"/>
  <c r="M80" i="38"/>
  <c r="O80" i="38"/>
  <c r="N80" i="38"/>
  <c r="J91" i="31"/>
  <c r="I91" i="31"/>
  <c r="J91" i="37"/>
  <c r="K91" i="37" s="1"/>
  <c r="J89" i="17" s="1"/>
  <c r="I91" i="37"/>
  <c r="AC88" i="17"/>
  <c r="AF88" i="17" s="1"/>
  <c r="K90" i="31"/>
  <c r="D88" i="17" s="1"/>
  <c r="K83" i="38"/>
  <c r="J91" i="35"/>
  <c r="K91" i="35" s="1"/>
  <c r="E89" i="17" s="1"/>
  <c r="I91" i="35"/>
  <c r="K90" i="34"/>
  <c r="G88" i="17" s="1"/>
  <c r="L83" i="38"/>
  <c r="U92" i="32"/>
  <c r="V92" i="32"/>
  <c r="W92" i="32" s="1"/>
  <c r="W90" i="17" s="1"/>
  <c r="U93" i="35"/>
  <c r="V93" i="35"/>
  <c r="W93" i="35" s="1"/>
  <c r="V91" i="17" s="1"/>
  <c r="V93" i="34"/>
  <c r="W93" i="34" s="1"/>
  <c r="X91" i="17" s="1"/>
  <c r="U93" i="34"/>
  <c r="V91" i="18"/>
  <c r="W91" i="18" s="1"/>
  <c r="T89" i="17" s="1"/>
  <c r="U91" i="18"/>
  <c r="V91" i="33"/>
  <c r="W91" i="33" s="1"/>
  <c r="Y89" i="17" s="1"/>
  <c r="U91" i="33"/>
  <c r="O81" i="38"/>
  <c r="O87" i="17" l="1"/>
  <c r="I92" i="18"/>
  <c r="J92" i="18"/>
  <c r="K92" i="18" s="1"/>
  <c r="C90" i="17" s="1"/>
  <c r="U92" i="37"/>
  <c r="V92" i="37"/>
  <c r="W92" i="37" s="1"/>
  <c r="AA90" i="17" s="1"/>
  <c r="AC89" i="17"/>
  <c r="AF89" i="17" s="1"/>
  <c r="I93" i="32"/>
  <c r="J93" i="32"/>
  <c r="J85" i="38"/>
  <c r="K92" i="32"/>
  <c r="F90" i="17" s="1"/>
  <c r="J92" i="37"/>
  <c r="K92" i="37" s="1"/>
  <c r="J90" i="17" s="1"/>
  <c r="I92" i="37"/>
  <c r="J92" i="35"/>
  <c r="K92" i="35" s="1"/>
  <c r="E90" i="17" s="1"/>
  <c r="I92" i="35"/>
  <c r="J92" i="31"/>
  <c r="I92" i="31"/>
  <c r="V92" i="33"/>
  <c r="W92" i="33" s="1"/>
  <c r="Y90" i="17" s="1"/>
  <c r="U92" i="33"/>
  <c r="U93" i="32"/>
  <c r="V93" i="32"/>
  <c r="W93" i="32" s="1"/>
  <c r="W91" i="17" s="1"/>
  <c r="I92" i="34"/>
  <c r="J92" i="34"/>
  <c r="U94" i="35"/>
  <c r="V94" i="35"/>
  <c r="W94" i="35" s="1"/>
  <c r="V92" i="17" s="1"/>
  <c r="K84" i="38"/>
  <c r="K91" i="31"/>
  <c r="D89" i="17" s="1"/>
  <c r="V92" i="31"/>
  <c r="W92" i="31" s="1"/>
  <c r="U90" i="17" s="1"/>
  <c r="U92" i="31"/>
  <c r="V92" i="18"/>
  <c r="W92" i="18" s="1"/>
  <c r="T90" i="17" s="1"/>
  <c r="U92" i="18"/>
  <c r="K91" i="34"/>
  <c r="G89" i="17" s="1"/>
  <c r="L84" i="38"/>
  <c r="J92" i="33"/>
  <c r="K92" i="33" s="1"/>
  <c r="H90" i="17" s="1"/>
  <c r="I92" i="33"/>
  <c r="U94" i="34"/>
  <c r="V94" i="34"/>
  <c r="W94" i="34" s="1"/>
  <c r="X92" i="17" s="1"/>
  <c r="O82" i="38"/>
  <c r="L88" i="17"/>
  <c r="N82" i="38"/>
  <c r="I93" i="18" l="1"/>
  <c r="J93" i="18"/>
  <c r="K93" i="18" s="1"/>
  <c r="C91" i="17" s="1"/>
  <c r="AC90" i="17"/>
  <c r="AF90" i="17" s="1"/>
  <c r="J86" i="38"/>
  <c r="K93" i="32"/>
  <c r="F91" i="17" s="1"/>
  <c r="J94" i="32"/>
  <c r="I94" i="32"/>
  <c r="U93" i="37"/>
  <c r="V93" i="37"/>
  <c r="W93" i="37" s="1"/>
  <c r="AA91" i="17" s="1"/>
  <c r="V93" i="18"/>
  <c r="W93" i="18" s="1"/>
  <c r="T91" i="17" s="1"/>
  <c r="U93" i="18"/>
  <c r="V93" i="33"/>
  <c r="W93" i="33" s="1"/>
  <c r="Y91" i="17" s="1"/>
  <c r="U93" i="33"/>
  <c r="J93" i="35"/>
  <c r="K93" i="35" s="1"/>
  <c r="E91" i="17" s="1"/>
  <c r="I93" i="35"/>
  <c r="L89" i="17"/>
  <c r="V95" i="35"/>
  <c r="W95" i="35" s="1"/>
  <c r="V93" i="17" s="1"/>
  <c r="U95" i="35"/>
  <c r="E83" i="28"/>
  <c r="O88" i="17"/>
  <c r="K92" i="31"/>
  <c r="D90" i="17" s="1"/>
  <c r="K85" i="38"/>
  <c r="V95" i="34"/>
  <c r="W95" i="34" s="1"/>
  <c r="X93" i="17" s="1"/>
  <c r="U95" i="34"/>
  <c r="J93" i="33"/>
  <c r="K93" i="33" s="1"/>
  <c r="H91" i="17" s="1"/>
  <c r="I93" i="33"/>
  <c r="V93" i="31"/>
  <c r="W93" i="31" s="1"/>
  <c r="U91" i="17" s="1"/>
  <c r="U93" i="31"/>
  <c r="L85" i="38"/>
  <c r="K92" i="34"/>
  <c r="G90" i="17" s="1"/>
  <c r="I93" i="37"/>
  <c r="J93" i="37"/>
  <c r="K93" i="37" s="1"/>
  <c r="J91" i="17" s="1"/>
  <c r="I93" i="31"/>
  <c r="J93" i="31"/>
  <c r="U94" i="32"/>
  <c r="V94" i="32"/>
  <c r="W94" i="32" s="1"/>
  <c r="W92" i="17" s="1"/>
  <c r="I93" i="34"/>
  <c r="J93" i="34"/>
  <c r="I94" i="18" l="1"/>
  <c r="J94" i="18"/>
  <c r="K94" i="18" s="1"/>
  <c r="C92" i="17" s="1"/>
  <c r="AC91" i="17"/>
  <c r="AF91" i="17" s="1"/>
  <c r="L90" i="17"/>
  <c r="E85" i="28" s="1"/>
  <c r="M85" i="38" s="1"/>
  <c r="V94" i="37"/>
  <c r="W94" i="37" s="1"/>
  <c r="AA92" i="17" s="1"/>
  <c r="U94" i="37"/>
  <c r="I95" i="32"/>
  <c r="J95" i="32"/>
  <c r="K94" i="32"/>
  <c r="F92" i="17" s="1"/>
  <c r="J87" i="38"/>
  <c r="U96" i="35"/>
  <c r="V96" i="35"/>
  <c r="W96" i="35" s="1"/>
  <c r="V94" i="17" s="1"/>
  <c r="V96" i="34"/>
  <c r="W96" i="34" s="1"/>
  <c r="X94" i="17" s="1"/>
  <c r="U96" i="34"/>
  <c r="O89" i="17"/>
  <c r="E84" i="28"/>
  <c r="I94" i="37"/>
  <c r="J94" i="37"/>
  <c r="K94" i="37" s="1"/>
  <c r="J92" i="17" s="1"/>
  <c r="V95" i="32"/>
  <c r="W95" i="32" s="1"/>
  <c r="W93" i="17" s="1"/>
  <c r="U95" i="32"/>
  <c r="I94" i="35"/>
  <c r="J94" i="35"/>
  <c r="K94" i="35" s="1"/>
  <c r="E92" i="17" s="1"/>
  <c r="I94" i="33"/>
  <c r="J94" i="33"/>
  <c r="K94" i="33" s="1"/>
  <c r="H92" i="17" s="1"/>
  <c r="V94" i="18"/>
  <c r="W94" i="18" s="1"/>
  <c r="T92" i="17" s="1"/>
  <c r="U94" i="18"/>
  <c r="K93" i="34"/>
  <c r="G91" i="17" s="1"/>
  <c r="L86" i="38"/>
  <c r="J94" i="34"/>
  <c r="I94" i="34"/>
  <c r="I94" i="31"/>
  <c r="J94" i="31"/>
  <c r="U94" i="31"/>
  <c r="V94" i="31"/>
  <c r="W94" i="31" s="1"/>
  <c r="U92" i="17" s="1"/>
  <c r="U94" i="33"/>
  <c r="V94" i="33"/>
  <c r="W94" i="33" s="1"/>
  <c r="Y92" i="17" s="1"/>
  <c r="K93" i="31"/>
  <c r="D91" i="17" s="1"/>
  <c r="K86" i="38"/>
  <c r="M83" i="38"/>
  <c r="N83" i="38"/>
  <c r="O83" i="38"/>
  <c r="J95" i="18" l="1"/>
  <c r="K95" i="18" s="1"/>
  <c r="C93" i="17" s="1"/>
  <c r="I95" i="18"/>
  <c r="O90" i="17"/>
  <c r="K95" i="32"/>
  <c r="F93" i="17" s="1"/>
  <c r="J88" i="38"/>
  <c r="I96" i="32"/>
  <c r="J96" i="32"/>
  <c r="V95" i="37"/>
  <c r="W95" i="37" s="1"/>
  <c r="AA93" i="17" s="1"/>
  <c r="U95" i="37"/>
  <c r="AC92" i="17"/>
  <c r="AF92" i="17" s="1"/>
  <c r="U95" i="31"/>
  <c r="V95" i="31"/>
  <c r="W95" i="31" s="1"/>
  <c r="U93" i="17" s="1"/>
  <c r="I95" i="33"/>
  <c r="J95" i="33"/>
  <c r="K95" i="33" s="1"/>
  <c r="H93" i="17" s="1"/>
  <c r="M84" i="38"/>
  <c r="N84" i="38"/>
  <c r="O84" i="38"/>
  <c r="J95" i="35"/>
  <c r="K95" i="35" s="1"/>
  <c r="E93" i="17" s="1"/>
  <c r="I95" i="35"/>
  <c r="J95" i="34"/>
  <c r="I95" i="34"/>
  <c r="N85" i="38"/>
  <c r="K94" i="31"/>
  <c r="D92" i="17" s="1"/>
  <c r="K87" i="38"/>
  <c r="J95" i="31"/>
  <c r="I95" i="31"/>
  <c r="U97" i="34"/>
  <c r="V97" i="34"/>
  <c r="W97" i="34" s="1"/>
  <c r="X95" i="17" s="1"/>
  <c r="V95" i="33"/>
  <c r="W95" i="33" s="1"/>
  <c r="Y93" i="17" s="1"/>
  <c r="U95" i="33"/>
  <c r="K94" i="34"/>
  <c r="G92" i="17" s="1"/>
  <c r="L87" i="38"/>
  <c r="O85" i="38"/>
  <c r="V96" i="32"/>
  <c r="W96" i="32" s="1"/>
  <c r="W94" i="17" s="1"/>
  <c r="U96" i="32"/>
  <c r="V95" i="18"/>
  <c r="W95" i="18" s="1"/>
  <c r="T93" i="17" s="1"/>
  <c r="U95" i="18"/>
  <c r="J95" i="37"/>
  <c r="K95" i="37" s="1"/>
  <c r="J93" i="17" s="1"/>
  <c r="I95" i="37"/>
  <c r="L91" i="17"/>
  <c r="V97" i="35"/>
  <c r="W97" i="35" s="1"/>
  <c r="V95" i="17" s="1"/>
  <c r="U97" i="35"/>
  <c r="I96" i="18" l="1"/>
  <c r="J96" i="18"/>
  <c r="K96" i="18" s="1"/>
  <c r="C94" i="17" s="1"/>
  <c r="V96" i="37"/>
  <c r="W96" i="37" s="1"/>
  <c r="AA94" i="17" s="1"/>
  <c r="U96" i="37"/>
  <c r="J89" i="38"/>
  <c r="K96" i="32"/>
  <c r="F94" i="17" s="1"/>
  <c r="J97" i="32"/>
  <c r="I97" i="32"/>
  <c r="V96" i="18"/>
  <c r="W96" i="18" s="1"/>
  <c r="T94" i="17" s="1"/>
  <c r="U96" i="18"/>
  <c r="AC93" i="17"/>
  <c r="AF93" i="17" s="1"/>
  <c r="V96" i="33"/>
  <c r="W96" i="33" s="1"/>
  <c r="Y94" i="17" s="1"/>
  <c r="U96" i="33"/>
  <c r="U98" i="34"/>
  <c r="V98" i="34"/>
  <c r="W98" i="34" s="1"/>
  <c r="X96" i="17" s="1"/>
  <c r="I96" i="33"/>
  <c r="J96" i="33"/>
  <c r="K96" i="33" s="1"/>
  <c r="H94" i="17" s="1"/>
  <c r="O91" i="17"/>
  <c r="E86" i="28"/>
  <c r="I96" i="35"/>
  <c r="J96" i="35"/>
  <c r="K96" i="35" s="1"/>
  <c r="E94" i="17" s="1"/>
  <c r="U98" i="35"/>
  <c r="V98" i="35"/>
  <c r="W98" i="35" s="1"/>
  <c r="V96" i="17" s="1"/>
  <c r="U97" i="32"/>
  <c r="V97" i="32"/>
  <c r="W97" i="32" s="1"/>
  <c r="W95" i="17" s="1"/>
  <c r="I96" i="31"/>
  <c r="J96" i="31"/>
  <c r="J96" i="37"/>
  <c r="K96" i="37" s="1"/>
  <c r="J94" i="17" s="1"/>
  <c r="I96" i="37"/>
  <c r="L92" i="17"/>
  <c r="J96" i="34"/>
  <c r="I96" i="34"/>
  <c r="K95" i="31"/>
  <c r="D93" i="17" s="1"/>
  <c r="K88" i="38"/>
  <c r="L88" i="38"/>
  <c r="K95" i="34"/>
  <c r="G93" i="17" s="1"/>
  <c r="V96" i="31"/>
  <c r="W96" i="31" s="1"/>
  <c r="U94" i="17" s="1"/>
  <c r="U96" i="31"/>
  <c r="I97" i="18" l="1"/>
  <c r="J97" i="18"/>
  <c r="K97" i="18" s="1"/>
  <c r="C95" i="17" s="1"/>
  <c r="J98" i="32"/>
  <c r="I98" i="32"/>
  <c r="J90" i="38"/>
  <c r="K97" i="32"/>
  <c r="F95" i="17" s="1"/>
  <c r="U97" i="37"/>
  <c r="V97" i="37"/>
  <c r="W97" i="37" s="1"/>
  <c r="AA95" i="17" s="1"/>
  <c r="V99" i="35"/>
  <c r="W99" i="35" s="1"/>
  <c r="V97" i="17" s="1"/>
  <c r="U99" i="35"/>
  <c r="V99" i="34"/>
  <c r="W99" i="34" s="1"/>
  <c r="X97" i="17" s="1"/>
  <c r="U99" i="34"/>
  <c r="K89" i="38"/>
  <c r="K96" i="31"/>
  <c r="D94" i="17" s="1"/>
  <c r="M86" i="38"/>
  <c r="N86" i="38"/>
  <c r="O86" i="38"/>
  <c r="L93" i="17"/>
  <c r="V97" i="18"/>
  <c r="W97" i="18" s="1"/>
  <c r="T95" i="17" s="1"/>
  <c r="U97" i="18"/>
  <c r="AC94" i="17"/>
  <c r="AF94" i="17" s="1"/>
  <c r="U97" i="33"/>
  <c r="V97" i="33"/>
  <c r="W97" i="33" s="1"/>
  <c r="Y95" i="17" s="1"/>
  <c r="J97" i="31"/>
  <c r="I97" i="31"/>
  <c r="I97" i="34"/>
  <c r="J97" i="34"/>
  <c r="L89" i="38"/>
  <c r="K96" i="34"/>
  <c r="G94" i="17" s="1"/>
  <c r="V98" i="32"/>
  <c r="W98" i="32" s="1"/>
  <c r="W96" i="17" s="1"/>
  <c r="U98" i="32"/>
  <c r="J97" i="33"/>
  <c r="K97" i="33" s="1"/>
  <c r="H95" i="17" s="1"/>
  <c r="I97" i="33"/>
  <c r="J97" i="37"/>
  <c r="K97" i="37" s="1"/>
  <c r="J95" i="17" s="1"/>
  <c r="I97" i="37"/>
  <c r="J97" i="35"/>
  <c r="K97" i="35" s="1"/>
  <c r="E95" i="17" s="1"/>
  <c r="I97" i="35"/>
  <c r="U97" i="31"/>
  <c r="V97" i="31"/>
  <c r="W97" i="31" s="1"/>
  <c r="U95" i="17" s="1"/>
  <c r="E87" i="28"/>
  <c r="O92" i="17"/>
  <c r="J98" i="18" l="1"/>
  <c r="K98" i="18" s="1"/>
  <c r="C96" i="17" s="1"/>
  <c r="I98" i="18"/>
  <c r="AC95" i="17"/>
  <c r="AF95" i="17" s="1"/>
  <c r="V98" i="37"/>
  <c r="W98" i="37" s="1"/>
  <c r="AA96" i="17" s="1"/>
  <c r="U98" i="37"/>
  <c r="L94" i="17"/>
  <c r="E89" i="28" s="1"/>
  <c r="I99" i="32"/>
  <c r="J99" i="32"/>
  <c r="K98" i="32"/>
  <c r="F96" i="17" s="1"/>
  <c r="J91" i="38"/>
  <c r="J98" i="34"/>
  <c r="I98" i="34"/>
  <c r="E88" i="28"/>
  <c r="O93" i="17"/>
  <c r="U98" i="31"/>
  <c r="V98" i="31"/>
  <c r="W98" i="31" s="1"/>
  <c r="U96" i="17" s="1"/>
  <c r="J98" i="33"/>
  <c r="K98" i="33" s="1"/>
  <c r="H96" i="17" s="1"/>
  <c r="I98" i="33"/>
  <c r="I98" i="31"/>
  <c r="J98" i="31"/>
  <c r="U98" i="18"/>
  <c r="V98" i="18"/>
  <c r="W98" i="18" s="1"/>
  <c r="T96" i="17" s="1"/>
  <c r="M87" i="38"/>
  <c r="O87" i="38"/>
  <c r="N87" i="38"/>
  <c r="K97" i="34"/>
  <c r="G95" i="17" s="1"/>
  <c r="L90" i="38"/>
  <c r="K90" i="38"/>
  <c r="K97" i="31"/>
  <c r="D95" i="17" s="1"/>
  <c r="V99" i="32"/>
  <c r="W99" i="32" s="1"/>
  <c r="W97" i="17" s="1"/>
  <c r="U99" i="32"/>
  <c r="V98" i="33"/>
  <c r="W98" i="33" s="1"/>
  <c r="Y96" i="17" s="1"/>
  <c r="U98" i="33"/>
  <c r="I98" i="35"/>
  <c r="J98" i="35"/>
  <c r="K98" i="35" s="1"/>
  <c r="E96" i="17" s="1"/>
  <c r="J98" i="37"/>
  <c r="K98" i="37" s="1"/>
  <c r="J96" i="17" s="1"/>
  <c r="I98" i="37"/>
  <c r="J99" i="18" l="1"/>
  <c r="K99" i="18" s="1"/>
  <c r="C97" i="17" s="1"/>
  <c r="I99" i="18"/>
  <c r="O94" i="17"/>
  <c r="M89" i="38"/>
  <c r="O89" i="38"/>
  <c r="AC96" i="17"/>
  <c r="AF96" i="17" s="1"/>
  <c r="L95" i="17"/>
  <c r="E90" i="28" s="1"/>
  <c r="M90" i="38" s="1"/>
  <c r="K99" i="32"/>
  <c r="F97" i="17" s="1"/>
  <c r="J92" i="38"/>
  <c r="U99" i="37"/>
  <c r="V99" i="37"/>
  <c r="W99" i="37" s="1"/>
  <c r="AA97" i="17" s="1"/>
  <c r="N89" i="38"/>
  <c r="I99" i="37"/>
  <c r="J99" i="37"/>
  <c r="K99" i="37" s="1"/>
  <c r="J97" i="17" s="1"/>
  <c r="K91" i="38"/>
  <c r="K98" i="31"/>
  <c r="D96" i="17" s="1"/>
  <c r="M88" i="38"/>
  <c r="O88" i="38"/>
  <c r="N88" i="38"/>
  <c r="V99" i="18"/>
  <c r="W99" i="18" s="1"/>
  <c r="T97" i="17" s="1"/>
  <c r="U99" i="18"/>
  <c r="V99" i="33"/>
  <c r="W99" i="33" s="1"/>
  <c r="Y97" i="17" s="1"/>
  <c r="U99" i="33"/>
  <c r="J99" i="34"/>
  <c r="I99" i="34"/>
  <c r="V99" i="31"/>
  <c r="W99" i="31" s="1"/>
  <c r="U97" i="17" s="1"/>
  <c r="U99" i="31"/>
  <c r="I99" i="35"/>
  <c r="J99" i="35"/>
  <c r="K99" i="35" s="1"/>
  <c r="E97" i="17" s="1"/>
  <c r="J99" i="31"/>
  <c r="I99" i="31"/>
  <c r="J99" i="33"/>
  <c r="K99" i="33" s="1"/>
  <c r="H97" i="17" s="1"/>
  <c r="I99" i="33"/>
  <c r="L91" i="38"/>
  <c r="K98" i="34"/>
  <c r="G96" i="17" s="1"/>
  <c r="O95" i="17" l="1"/>
  <c r="L96" i="17"/>
  <c r="E91" i="28" s="1"/>
  <c r="K92" i="38"/>
  <c r="K99" i="31"/>
  <c r="D97" i="17" s="1"/>
  <c r="L92" i="38"/>
  <c r="K99" i="34"/>
  <c r="G97" i="17" s="1"/>
  <c r="O90" i="38"/>
  <c r="AC97" i="17"/>
  <c r="AF97" i="17" s="1"/>
  <c r="N90" i="38"/>
  <c r="M91" i="38" l="1"/>
  <c r="O91" i="38"/>
  <c r="N91" i="38"/>
  <c r="O96" i="17"/>
  <c r="L97" i="17"/>
  <c r="E92" i="28" l="1"/>
  <c r="O97" i="17"/>
  <c r="M92" i="38" l="1"/>
  <c r="N92" i="38"/>
  <c r="O92" i="38"/>
</calcChain>
</file>

<file path=xl/comments1.xml><?xml version="1.0" encoding="utf-8"?>
<comments xmlns="http://schemas.openxmlformats.org/spreadsheetml/2006/main">
  <authors>
    <author>AEA Technology</author>
    <author>T- Force 6100 AM2</author>
  </authors>
  <commentList>
    <comment ref="N28" authorId="0" shapeId="0">
      <text>
        <r>
          <rPr>
            <sz val="8"/>
            <color indexed="81"/>
            <rFont val="Tahoma"/>
            <family val="2"/>
          </rPr>
          <t>The composition of industrial waste will vary significantly by country. This DOC value should match the amounts entered (see guidelines).</t>
        </r>
      </text>
    </comment>
    <comment ref="Q28" authorId="0" shapeId="0">
      <text>
        <r>
          <rPr>
            <sz val="8"/>
            <color indexed="81"/>
            <rFont val="Tahoma"/>
            <family val="2"/>
          </rPr>
          <t>The composition of industrial waste will vary significantly by country. This DOC value should match the amounts entered (see guidelines).</t>
        </r>
      </text>
    </comment>
    <comment ref="N47" authorId="0" shapeId="0">
      <text>
        <r>
          <rPr>
            <sz val="8"/>
            <color indexed="81"/>
            <rFont val="Tahoma"/>
            <family val="2"/>
          </rPr>
          <t>The composition of industrial waste will vary significantly by country. This DOC value should match the amounts entered (see guidelines).</t>
        </r>
      </text>
    </comment>
    <comment ref="B49" authorId="0" shapeId="0">
      <text>
        <r>
          <rPr>
            <sz val="8"/>
            <color indexed="81"/>
            <rFont val="Tahoma"/>
            <family val="2"/>
          </rPr>
          <t>This is the average time before anaerobic decay begins - usually assumed to be a few months</t>
        </r>
      </text>
    </comment>
    <comment ref="D86" authorId="1" shapeId="0">
      <text>
        <r>
          <rPr>
            <b/>
            <sz val="8"/>
            <color indexed="81"/>
            <rFont val="Tahoma"/>
            <family val="2"/>
          </rPr>
          <t>T- Force 6100 AM2:</t>
        </r>
        <r>
          <rPr>
            <sz val="8"/>
            <color indexed="81"/>
            <rFont val="Tahoma"/>
            <family val="2"/>
          </rPr>
          <t xml:space="preserve">
From Table 2.4, DOC content of wet waste
Volume 5
IPCC 2006</t>
        </r>
      </text>
    </comment>
    <comment ref="D97" authorId="1" shapeId="0">
      <text>
        <r>
          <rPr>
            <b/>
            <sz val="8"/>
            <color indexed="81"/>
            <rFont val="Tahoma"/>
            <family val="2"/>
          </rPr>
          <t>T- Force 6100 AM2:</t>
        </r>
        <r>
          <rPr>
            <sz val="8"/>
            <color indexed="81"/>
            <rFont val="Tahoma"/>
            <family val="2"/>
          </rPr>
          <t xml:space="preserve">
From Table 2.4, DOC content of wet waste
Volume 5
IPCC 2006</t>
        </r>
      </text>
    </comment>
    <comment ref="D108" authorId="1" shapeId="0">
      <text>
        <r>
          <rPr>
            <b/>
            <sz val="8"/>
            <color indexed="81"/>
            <rFont val="Tahoma"/>
            <family val="2"/>
          </rPr>
          <t>T- Force 6100 AM2:</t>
        </r>
        <r>
          <rPr>
            <sz val="8"/>
            <color indexed="81"/>
            <rFont val="Tahoma"/>
            <family val="2"/>
          </rPr>
          <t xml:space="preserve">
From Table 2.4, DOC content of wet waste
Volume 5
IPCC 2006</t>
        </r>
      </text>
    </comment>
  </commentList>
</comments>
</file>

<file path=xl/comments10.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1.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2.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3.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4.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5.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6.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7.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18.xml><?xml version="1.0" encoding="utf-8"?>
<comments xmlns="http://schemas.openxmlformats.org/spreadsheetml/2006/main">
  <authors>
    <author>Per Svardal</author>
    <author>AEA Technology</author>
  </authors>
  <commentList>
    <comment ref="K7" authorId="0" shapeId="0">
      <text>
        <r>
          <rPr>
            <sz val="8"/>
            <color indexed="81"/>
            <rFont val="Tahoma"/>
            <family val="2"/>
          </rPr>
          <t>Transferred from parameter sheet</t>
        </r>
      </text>
    </comment>
    <comment ref="W7" authorId="0" shapeId="0">
      <text>
        <r>
          <rPr>
            <sz val="8"/>
            <color indexed="81"/>
            <rFont val="Tahoma"/>
            <family val="2"/>
          </rPr>
          <t>Transferred from parameter sheet</t>
        </r>
      </text>
    </comment>
    <comment ref="K8" authorId="0" shapeId="0">
      <text>
        <r>
          <rPr>
            <sz val="8"/>
            <color indexed="81"/>
            <rFont val="Tahoma"/>
            <family val="2"/>
          </rPr>
          <t>Transferred from parameter sheet</t>
        </r>
      </text>
    </comment>
    <comment ref="W8" authorId="0" shapeId="0">
      <text>
        <r>
          <rPr>
            <sz val="8"/>
            <color indexed="81"/>
            <rFont val="Tahoma"/>
            <family val="2"/>
          </rPr>
          <t>Transferred from parameter sheet</t>
        </r>
      </text>
    </comment>
    <comment ref="K10" authorId="0" shapeId="0">
      <text>
        <r>
          <rPr>
            <sz val="8"/>
            <color indexed="81"/>
            <rFont val="Tahoma"/>
            <family val="2"/>
          </rPr>
          <t xml:space="preserve">Calculates e^-k for use in columns H and I
</t>
        </r>
      </text>
    </comment>
    <comment ref="W10" authorId="0" shapeId="0">
      <text>
        <r>
          <rPr>
            <sz val="8"/>
            <color indexed="81"/>
            <rFont val="Tahoma"/>
            <family val="2"/>
          </rPr>
          <t xml:space="preserve">Calculates e^-k for use in columns H and I
</t>
        </r>
      </text>
    </comment>
    <comment ref="K11" authorId="0" shapeId="0">
      <text>
        <r>
          <rPr>
            <sz val="8"/>
            <color indexed="81"/>
            <rFont val="Tahoma"/>
            <family val="2"/>
          </rPr>
          <t>Zero delay is equivalent to average decomposition start at beginning of month 7 (half way through the first year of deposition)</t>
        </r>
      </text>
    </comment>
    <comment ref="W11" authorId="0" shapeId="0">
      <text>
        <r>
          <rPr>
            <sz val="8"/>
            <color indexed="81"/>
            <rFont val="Tahoma"/>
            <family val="2"/>
          </rPr>
          <t>Zero delay is equivalent to average decomposition start at beginning of month 7 (half way through the first year of deposition)</t>
        </r>
      </text>
    </comment>
    <comment ref="K12" authorId="0" shapeId="0">
      <text>
        <r>
          <rPr>
            <sz val="8"/>
            <color indexed="81"/>
            <rFont val="Tahoma"/>
            <family val="2"/>
          </rPr>
          <t xml:space="preserve">Calculates e^-k*((13-M)/12) for use in columns F and G.
</t>
        </r>
      </text>
    </comment>
    <comment ref="W12" authorId="0" shapeId="0">
      <text>
        <r>
          <rPr>
            <sz val="8"/>
            <color indexed="81"/>
            <rFont val="Tahoma"/>
            <family val="2"/>
          </rPr>
          <t xml:space="preserve">Calculates e^-k*((13-M)/12) for use in columns F and G.
</t>
        </r>
      </text>
    </comment>
    <comment ref="C15" authorId="0" shapeId="0">
      <text>
        <r>
          <rPr>
            <sz val="8"/>
            <color indexed="81"/>
            <rFont val="Tahoma"/>
            <family val="2"/>
          </rPr>
          <t>Transferred from activity sheet</t>
        </r>
      </text>
    </comment>
    <comment ref="E15" authorId="1" shapeId="0">
      <text>
        <r>
          <rPr>
            <sz val="8"/>
            <color indexed="81"/>
            <rFont val="Tahoma"/>
            <family val="2"/>
          </rPr>
          <t>Methane correction factor from MCF sheet</t>
        </r>
        <r>
          <rPr>
            <sz val="8"/>
            <color indexed="81"/>
            <rFont val="Tahoma"/>
            <family val="2"/>
          </rPr>
          <t xml:space="preserve">
</t>
        </r>
      </text>
    </comment>
    <comment ref="F15" authorId="0" shapeId="0">
      <text>
        <r>
          <rPr>
            <sz val="8"/>
            <color indexed="81"/>
            <rFont val="Tahoma"/>
            <family val="2"/>
          </rPr>
          <t>Calculates the mass of DOC in the deposited material which will actually degrade in the SWDS. Equation 4 on the Theory sheet.</t>
        </r>
      </text>
    </comment>
    <comment ref="G15" authorId="0" shapeId="0">
      <text>
        <r>
          <rPr>
            <sz val="8"/>
            <color indexed="81"/>
            <rFont val="Tahoma"/>
            <family val="2"/>
          </rPr>
          <t>Calculates the mass of DDOC from material deposited in each year which is left in the SWDS at the end of the year. Equation 5 on the Theory sheet.</t>
        </r>
      </text>
    </comment>
    <comment ref="H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I15" authorId="0" shapeId="0">
      <text>
        <r>
          <rPr>
            <sz val="8"/>
            <color indexed="81"/>
            <rFont val="Tahoma"/>
            <family val="2"/>
          </rPr>
          <t>Calculates the total amount of DDOCm left not decomposed in the SWDS at the end of the year. Equation 7 on the Theory sheet.</t>
        </r>
      </text>
    </comment>
    <comment ref="J15" authorId="0" shapeId="0">
      <text>
        <r>
          <rPr>
            <sz val="8"/>
            <color indexed="81"/>
            <rFont val="Tahoma"/>
            <family val="2"/>
          </rPr>
          <t>Calculates the total mass of DDOC dedomposed to methane and carbon dioxide each year. Equation 8 on the Theory sheet.</t>
        </r>
      </text>
    </comment>
    <comment ref="K15" authorId="0" shapeId="0">
      <text>
        <r>
          <rPr>
            <sz val="8"/>
            <color indexed="81"/>
            <rFont val="Tahoma"/>
            <family val="2"/>
          </rPr>
          <t>Calculates the mass of methane formed from DDOCm decomposed. Equation 9 on the Theory sheet.</t>
        </r>
      </text>
    </comment>
    <comment ref="P15" authorId="0" shapeId="0">
      <text>
        <r>
          <rPr>
            <sz val="8"/>
            <color indexed="81"/>
            <rFont val="Tahoma"/>
            <family val="2"/>
          </rPr>
          <t>Transferred from activity sheet</t>
        </r>
      </text>
    </comment>
    <comment ref="Q15" authorId="1" shapeId="0">
      <text>
        <r>
          <rPr>
            <sz val="8"/>
            <color indexed="81"/>
            <rFont val="Tahoma"/>
            <family val="2"/>
          </rPr>
          <t>Methane correction factor from MCF sheet</t>
        </r>
        <r>
          <rPr>
            <sz val="8"/>
            <color indexed="81"/>
            <rFont val="Tahoma"/>
            <family val="2"/>
          </rPr>
          <t xml:space="preserve">
</t>
        </r>
      </text>
    </comment>
    <comment ref="R15" authorId="0" shapeId="0">
      <text>
        <r>
          <rPr>
            <sz val="8"/>
            <color indexed="81"/>
            <rFont val="Tahoma"/>
            <family val="2"/>
          </rPr>
          <t>Calculates the mass of DOC in the deposited material which will actually degrade in the SWDS. Equation 4 on the Theory sheet.</t>
        </r>
      </text>
    </comment>
    <comment ref="S15" authorId="0" shapeId="0">
      <text>
        <r>
          <rPr>
            <sz val="8"/>
            <color indexed="81"/>
            <rFont val="Tahoma"/>
            <family val="2"/>
          </rPr>
          <t>Calculates the mass of DDOC from material deposited in each year which is left in the SWDS at the end of the year. Equation 5 on the Theory sheet.</t>
        </r>
      </text>
    </comment>
    <comment ref="T15" authorId="0" shapeId="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U15" authorId="0" shapeId="0">
      <text>
        <r>
          <rPr>
            <sz val="8"/>
            <color indexed="81"/>
            <rFont val="Tahoma"/>
            <family val="2"/>
          </rPr>
          <t>Calculates the total amount of DDOCm left not decomposed in the SWDS at the end of the year. Equation 7 on the Theory sheet.</t>
        </r>
      </text>
    </comment>
    <comment ref="V15" authorId="0" shapeId="0">
      <text>
        <r>
          <rPr>
            <sz val="8"/>
            <color indexed="81"/>
            <rFont val="Tahoma"/>
            <family val="2"/>
          </rPr>
          <t>Calculates the total mass of DDOC dedomposed to methane and carbon dioxide each year. Equation 8 on the Theory sheet.</t>
        </r>
      </text>
    </comment>
    <comment ref="W15" authorId="0" shapeId="0">
      <text>
        <r>
          <rPr>
            <sz val="8"/>
            <color indexed="81"/>
            <rFont val="Tahoma"/>
            <family val="2"/>
          </rPr>
          <t>Calculates the mass of methane formed from DDOCm decomposed. Equation 9 on the Theory sheet.</t>
        </r>
      </text>
    </comment>
  </commentList>
</comments>
</file>

<file path=xl/comments2.xml><?xml version="1.0" encoding="utf-8"?>
<comments xmlns="http://schemas.openxmlformats.org/spreadsheetml/2006/main">
  <authors>
    <author>Jeff Coburn</author>
  </authors>
  <commentList>
    <comment ref="C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6" authorId="0" shapeId="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3.xml><?xml version="1.0" encoding="utf-8"?>
<comments xmlns="http://schemas.openxmlformats.org/spreadsheetml/2006/main">
  <authors>
    <author>AEA Technology</author>
    <author>user</author>
    <author>Resalto Pradewa</author>
  </authors>
  <commentList>
    <comment ref="E9" authorId="0" shapeId="0">
      <text>
        <r>
          <rPr>
            <sz val="8"/>
            <color indexed="81"/>
            <rFont val="Tahoma"/>
            <family val="2"/>
          </rPr>
          <t>This should be the composition of the waste entering the disposal sites, after any removal of material for recycling etc.
Other categories, e.g. street sweepings, should be re-categorised into the columns below (see guidance).</t>
        </r>
      </text>
    </comment>
    <comment ref="C10" authorId="1" shapeId="0">
      <text>
        <r>
          <rPr>
            <b/>
            <sz val="9"/>
            <color indexed="81"/>
            <rFont val="Tahoma"/>
            <family val="2"/>
          </rPr>
          <t>user:</t>
        </r>
        <r>
          <rPr>
            <sz val="9"/>
            <color indexed="81"/>
            <rFont val="Tahoma"/>
            <family val="2"/>
          </rPr>
          <t xml:space="preserve">
data yg lebih akurat yaitu data berat sampah yang masuk TPA</t>
        </r>
      </text>
    </comment>
    <comment ref="L10" authorId="2" shapeId="0">
      <text>
        <r>
          <rPr>
            <b/>
            <sz val="9"/>
            <color indexed="81"/>
            <rFont val="Tahoma"/>
            <family val="2"/>
          </rPr>
          <t xml:space="preserve">Inert waste are wastes that do not contain degradable organic carbon (i.e., DOC=0).   E.g., plastic, glass, metal etc. 
</t>
        </r>
      </text>
    </comment>
    <comment ref="W11" authorId="0" shapeId="0">
      <text>
        <r>
          <rPr>
            <sz val="8"/>
            <color indexed="81"/>
            <rFont val="Tahoma"/>
            <family val="2"/>
          </rPr>
          <t>Enter the percentage of waste generated which goes to solid waste disposal sites</t>
        </r>
      </text>
    </comment>
    <comment ref="C12" authorId="0" shapeId="0">
      <text>
        <r>
          <rPr>
            <b/>
            <sz val="8"/>
            <color indexed="81"/>
            <rFont val="Tahoma"/>
            <family val="2"/>
          </rPr>
          <t>1 gigagram (Gg) is 1000 tonnes</t>
        </r>
        <r>
          <rPr>
            <sz val="8"/>
            <color indexed="81"/>
            <rFont val="Tahoma"/>
            <family val="2"/>
          </rPr>
          <t xml:space="preserve">
</t>
        </r>
      </text>
    </comment>
    <comment ref="V12" authorId="0" shapeId="0">
      <text>
        <r>
          <rPr>
            <b/>
            <sz val="8"/>
            <color indexed="81"/>
            <rFont val="Tahoma"/>
            <family val="2"/>
          </rPr>
          <t>1 gigagram (Gg) is 1000 tonnes</t>
        </r>
        <r>
          <rPr>
            <sz val="8"/>
            <color indexed="81"/>
            <rFont val="Tahoma"/>
            <family val="2"/>
          </rPr>
          <t xml:space="preserve">
</t>
        </r>
      </text>
    </comment>
  </commentList>
</comments>
</file>

<file path=xl/comments4.xml><?xml version="1.0" encoding="utf-8"?>
<comments xmlns="http://schemas.openxmlformats.org/spreadsheetml/2006/main">
  <authors>
    <author>Resalto Pradewa</author>
    <author>AEA Technology</author>
  </authors>
  <commentList>
    <comment ref="J11" authorId="0" shapeId="0">
      <text>
        <r>
          <rPr>
            <b/>
            <sz val="9"/>
            <color indexed="81"/>
            <rFont val="Tahoma"/>
            <family val="2"/>
          </rPr>
          <t xml:space="preserve">Inert waste are wastes that do not contain degradable organic carbon (i.e., DOC=0).   E.g., plastic, glass, metal etc. 
</t>
        </r>
      </text>
    </comment>
    <comment ref="C13" authorId="1" shapeId="0">
      <text>
        <r>
          <rPr>
            <b/>
            <sz val="8"/>
            <color indexed="81"/>
            <rFont val="Tahoma"/>
            <family val="2"/>
          </rPr>
          <t>1 gigagram (Gg) is 1000 tonnes</t>
        </r>
        <r>
          <rPr>
            <sz val="8"/>
            <color indexed="81"/>
            <rFont val="Tahoma"/>
            <family val="2"/>
          </rPr>
          <t xml:space="preserve">
</t>
        </r>
      </text>
    </comment>
  </commentList>
</comments>
</file>

<file path=xl/comments5.xml><?xml version="1.0" encoding="utf-8"?>
<comments xmlns="http://schemas.openxmlformats.org/spreadsheetml/2006/main">
  <authors>
    <author>AEA Technology</author>
  </authors>
  <commentList>
    <comment ref="C11" authorId="0" shapeId="0">
      <text>
        <r>
          <rPr>
            <b/>
            <sz val="8"/>
            <color indexed="81"/>
            <rFont val="Tahoma"/>
            <family val="2"/>
          </rPr>
          <t>1 gigagram (Gg) is 1000 tonnes</t>
        </r>
        <r>
          <rPr>
            <sz val="8"/>
            <color indexed="81"/>
            <rFont val="Tahoma"/>
            <family val="2"/>
          </rPr>
          <t xml:space="preserve">
</t>
        </r>
      </text>
    </comment>
  </commentList>
</comments>
</file>

<file path=xl/comments6.xml><?xml version="1.0" encoding="utf-8"?>
<comments xmlns="http://schemas.openxmlformats.org/spreadsheetml/2006/main">
  <authors>
    <author>Per Svardal</author>
    <author>AEA Technology</author>
  </authors>
  <commentList>
    <comment ref="O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AF13" authorId="0" shapeId="0">
      <text>
        <r>
          <rPr>
            <sz val="8"/>
            <color indexed="81"/>
            <rFont val="Tahoma"/>
            <family val="2"/>
          </rPr>
          <t>Final summation. Adds the methane produced from the different materials and subtracts the methane recovery. Finally it subtracts the methane oxidation in the top layer. Equation 10 on the Theory sheet.</t>
        </r>
      </text>
    </comment>
    <comment ref="C15" authorId="1" shapeId="0">
      <text>
        <r>
          <rPr>
            <b/>
            <sz val="8"/>
            <color indexed="81"/>
            <rFont val="Tahoma"/>
            <family val="2"/>
          </rPr>
          <t>1 gigagram (Gg) is 1000 tonnes</t>
        </r>
        <r>
          <rPr>
            <sz val="8"/>
            <color indexed="81"/>
            <rFont val="Tahoma"/>
            <family val="2"/>
          </rPr>
          <t xml:space="preserve">
</t>
        </r>
      </text>
    </comment>
    <comment ref="T15" authorId="1" shapeId="0">
      <text>
        <r>
          <rPr>
            <b/>
            <sz val="8"/>
            <color indexed="81"/>
            <rFont val="Tahoma"/>
            <family val="2"/>
          </rPr>
          <t>1 gigagram (Gg) is 1000 tonnes</t>
        </r>
        <r>
          <rPr>
            <sz val="8"/>
            <color indexed="81"/>
            <rFont val="Tahoma"/>
            <family val="2"/>
          </rPr>
          <t xml:space="preserve">
</t>
        </r>
      </text>
    </comment>
  </commentList>
</comments>
</file>

<file path=xl/comments7.xml><?xml version="1.0" encoding="utf-8"?>
<comments xmlns="http://schemas.openxmlformats.org/spreadsheetml/2006/main">
  <authors>
    <author>AEA Technology</author>
  </authors>
  <commentList>
    <comment ref="C10" authorId="0" shapeId="0">
      <text>
        <r>
          <rPr>
            <b/>
            <sz val="8"/>
            <color indexed="81"/>
            <rFont val="Tahoma"/>
            <family val="2"/>
          </rPr>
          <t>1 gigagram (Gg) is 1000 tonnes</t>
        </r>
        <r>
          <rPr>
            <sz val="8"/>
            <color indexed="81"/>
            <rFont val="Tahoma"/>
            <family val="2"/>
          </rPr>
          <t xml:space="preserve">
</t>
        </r>
      </text>
    </comment>
  </commentList>
</comments>
</file>

<file path=xl/comments8.xml><?xml version="1.0" encoding="utf-8"?>
<comments xmlns="http://schemas.openxmlformats.org/spreadsheetml/2006/main">
  <authors>
    <author>AEA Technology</author>
  </authors>
  <commentList>
    <comment ref="C16" authorId="0" shapeId="0">
      <text>
        <r>
          <rPr>
            <b/>
            <sz val="8"/>
            <color indexed="81"/>
            <rFont val="Tahoma"/>
            <family val="2"/>
          </rPr>
          <t>1 gigagram (Gg) is 1000 tonnes</t>
        </r>
        <r>
          <rPr>
            <sz val="8"/>
            <color indexed="81"/>
            <rFont val="Tahoma"/>
            <family val="2"/>
          </rPr>
          <t xml:space="preserve">
</t>
        </r>
      </text>
    </comment>
  </commentList>
</comments>
</file>

<file path=xl/comments9.xml><?xml version="1.0" encoding="utf-8"?>
<comments xmlns="http://schemas.openxmlformats.org/spreadsheetml/2006/main">
  <authors>
    <author>Jeff Coburn</author>
    <author>WebServerKPPE</author>
    <author>AEA Technology</author>
  </authors>
  <commentList>
    <comment ref="AE7" authorId="0" shapeId="0">
      <text>
        <r>
          <rPr>
            <sz val="8"/>
            <color indexed="81"/>
            <rFont val="Tahoma"/>
            <family val="2"/>
          </rPr>
          <t>Includes plastic, metal, glass, ash, and other inert material (i.e., material with DOC=0).</t>
        </r>
      </text>
    </comment>
    <comment ref="O10" authorId="1" shapeId="0">
      <text>
        <r>
          <rPr>
            <b/>
            <sz val="9"/>
            <color indexed="81"/>
            <rFont val="Tahoma"/>
            <family val="2"/>
          </rPr>
          <t>WebServerKPPE:</t>
        </r>
        <r>
          <rPr>
            <sz val="9"/>
            <color indexed="81"/>
            <rFont val="Tahoma"/>
            <family val="2"/>
          </rPr>
          <t xml:space="preserve">
natural rubbers would likely not degrade under anaerobic condition at SWDS (Tsuchii et al., 1985; Rose and Steinbüchel, 2005)</t>
        </r>
      </text>
    </comment>
    <comment ref="AF11" authorId="0" shapeId="0">
      <text>
        <r>
          <rPr>
            <sz val="8"/>
            <color indexed="81"/>
            <rFont val="Tahoma"/>
            <family val="2"/>
          </rPr>
          <t xml:space="preserve">No data; defulat is average of all available regional data.
</t>
        </r>
      </text>
    </comment>
    <comment ref="AG11" authorId="0" shapeId="0">
      <text>
        <r>
          <rPr>
            <sz val="8"/>
            <color indexed="81"/>
            <rFont val="Tahoma"/>
            <family val="2"/>
          </rPr>
          <t xml:space="preserve">No data; defulat is average of all available regional data.
</t>
        </r>
      </text>
    </comment>
    <comment ref="G16" authorId="2" shapeId="0">
      <text>
        <r>
          <rPr>
            <b/>
            <sz val="8"/>
            <color indexed="81"/>
            <rFont val="Tahoma"/>
            <family val="2"/>
          </rPr>
          <t>This cell records which climate zone is selected in the drop-down box on the parameter sheet.</t>
        </r>
      </text>
    </comment>
    <comment ref="O22" authorId="0" shapeId="0">
      <text>
        <r>
          <rPr>
            <b/>
            <sz val="8"/>
            <color indexed="81"/>
            <rFont val="Tahoma"/>
            <family val="2"/>
          </rPr>
          <t>Cell records waste type DOC selection from parameters worksheet.</t>
        </r>
        <r>
          <rPr>
            <sz val="8"/>
            <color indexed="81"/>
            <rFont val="Tahoma"/>
            <family val="2"/>
          </rPr>
          <t xml:space="preserve">
</t>
        </r>
      </text>
    </comment>
  </commentList>
</comments>
</file>

<file path=xl/sharedStrings.xml><?xml version="1.0" encoding="utf-8"?>
<sst xmlns="http://schemas.openxmlformats.org/spreadsheetml/2006/main" count="1446" uniqueCount="339">
  <si>
    <t>Managed</t>
  </si>
  <si>
    <t>Year</t>
  </si>
  <si>
    <t>Wood</t>
  </si>
  <si>
    <t>Textile</t>
  </si>
  <si>
    <t>Methane emission</t>
  </si>
  <si>
    <t>Methane recovery</t>
  </si>
  <si>
    <t>Food waste</t>
  </si>
  <si>
    <t>National values</t>
  </si>
  <si>
    <t>Process start in deposition year. Month M</t>
  </si>
  <si>
    <t>DOC</t>
  </si>
  <si>
    <t>Amount deposited</t>
  </si>
  <si>
    <t>MCF</t>
  </si>
  <si>
    <t>DOCf</t>
  </si>
  <si>
    <t>Value</t>
  </si>
  <si>
    <t>Parameters</t>
  </si>
  <si>
    <t>Gg</t>
  </si>
  <si>
    <t>Textiles</t>
  </si>
  <si>
    <t>IPCC Spreadsheet for Estimating Methane emissions from Solid Waste Disposal Sites</t>
  </si>
  <si>
    <t>IPCC default value</t>
  </si>
  <si>
    <t>Reference and remarks</t>
  </si>
  <si>
    <t>fraction</t>
  </si>
  <si>
    <r>
      <t>Conversion factor</t>
    </r>
    <r>
      <rPr>
        <sz val="10"/>
        <rFont val="Arial"/>
        <family val="2"/>
      </rPr>
      <t>, C to CH</t>
    </r>
    <r>
      <rPr>
        <vertAlign val="subscript"/>
        <sz val="10"/>
        <rFont val="Arial"/>
        <family val="2"/>
      </rPr>
      <t>4</t>
    </r>
  </si>
  <si>
    <r>
      <t xml:space="preserve">Oxidation factor </t>
    </r>
    <r>
      <rPr>
        <sz val="10"/>
        <rFont val="Arial"/>
        <family val="2"/>
      </rPr>
      <t>(OX)</t>
    </r>
  </si>
  <si>
    <t>Industrial waste</t>
  </si>
  <si>
    <t>%</t>
  </si>
  <si>
    <t>IPCC default</t>
  </si>
  <si>
    <t>This worksheet calculates a weighted average MCF from the estimated distribution of site types</t>
  </si>
  <si>
    <t>Total</t>
  </si>
  <si>
    <t>References / remarks</t>
  </si>
  <si>
    <t>Then enter the approximate distribution of waste disposals (by mass) between site types in the columns below.</t>
  </si>
  <si>
    <t>Country</t>
  </si>
  <si>
    <t>Help on parameter selection can be found in the 2006 IPCC guidelines</t>
  </si>
  <si>
    <t>Amounts deposited in SWDS</t>
  </si>
  <si>
    <t>Total MSW</t>
  </si>
  <si>
    <t xml:space="preserve">MSW activity data </t>
  </si>
  <si>
    <t xml:space="preserve">Enter starting year, industrial waste disposal data and methane recovery into the yellow cells. </t>
  </si>
  <si>
    <t>Total (100%)</t>
  </si>
  <si>
    <t>MSW activity data is entered on MSW sheet</t>
  </si>
  <si>
    <t>Help and default regional values are given in the 2006 IPCC Guidelines.</t>
  </si>
  <si>
    <t>(=100%)</t>
  </si>
  <si>
    <t>% to SWDS</t>
  </si>
  <si>
    <t>Composition of waste going to solid waste disposal sites</t>
  </si>
  <si>
    <t>Delay time (months)</t>
  </si>
  <si>
    <t>DOCf (fraction of DOC dissimilated)</t>
  </si>
  <si>
    <t>Dry temperate</t>
  </si>
  <si>
    <t>Dry</t>
  </si>
  <si>
    <t>Wet</t>
  </si>
  <si>
    <t>Temperate</t>
  </si>
  <si>
    <t>Slowly degrading waste</t>
  </si>
  <si>
    <t>Moderately degrading waste</t>
  </si>
  <si>
    <t>Garden and park waste</t>
  </si>
  <si>
    <t>Rapidly degrading waste</t>
  </si>
  <si>
    <t xml:space="preserve">(Derived from k values obtained in experimental measurements, calculated by models, or used in GHG inventories and other studies) </t>
  </si>
  <si>
    <t xml:space="preserve">MAT – Mean annual temperature; </t>
  </si>
  <si>
    <t xml:space="preserve">MAP – Mean annual precipitation; </t>
  </si>
  <si>
    <t xml:space="preserve">PET  – Potential evapotranspiration. </t>
  </si>
  <si>
    <t>Paper/textile waste</t>
  </si>
  <si>
    <t>Tropical</t>
  </si>
  <si>
    <t>IPCC Climate Zone Definitions</t>
  </si>
  <si>
    <t>MAT</t>
  </si>
  <si>
    <t>MAP</t>
  </si>
  <si>
    <t>MAP/PET</t>
  </si>
  <si>
    <t>Selected:</t>
  </si>
  <si>
    <t>0 - 20°C</t>
  </si>
  <si>
    <t>&lt;1</t>
  </si>
  <si>
    <t>Wet temperate</t>
  </si>
  <si>
    <t>&gt;1</t>
  </si>
  <si>
    <t>Dry tropical</t>
  </si>
  <si>
    <t>&gt; 20°C</t>
  </si>
  <si>
    <t>&lt;1000 mm</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</si>
  <si>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</si>
  <si>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</si>
  <si>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</si>
  <si>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</si>
  <si>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</si>
  <si>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r>
      <t>Decay rate constant (y</t>
    </r>
    <r>
      <rPr>
        <b/>
        <vertAlign val="superscript"/>
        <sz val="10"/>
        <rFont val="Arial"/>
        <family val="2"/>
      </rPr>
      <t>-1</t>
    </r>
    <r>
      <rPr>
        <b/>
        <sz val="10"/>
        <rFont val="Arial"/>
        <family val="2"/>
      </rPr>
      <t>)</t>
    </r>
  </si>
  <si>
    <r>
      <t>Decay rate constant  (y</t>
    </r>
    <r>
      <rPr>
        <b/>
        <vertAlign val="superscript"/>
        <sz val="10"/>
        <rFont val="Arial"/>
        <family val="2"/>
      </rPr>
      <t>-1</t>
    </r>
    <r>
      <rPr>
        <b/>
        <sz val="10"/>
        <rFont val="Arial"/>
        <family val="2"/>
      </rPr>
      <t>)</t>
    </r>
  </si>
  <si>
    <t>Half life (years)</t>
  </si>
  <si>
    <t>Mixed composition</t>
  </si>
  <si>
    <t>Food waste/ sewage sludge</t>
  </si>
  <si>
    <t>Parameters for carbon storage</t>
  </si>
  <si>
    <t xml:space="preserve">A </t>
  </si>
  <si>
    <t>F</t>
  </si>
  <si>
    <t>M</t>
  </si>
  <si>
    <t>exp1</t>
  </si>
  <si>
    <t>exp2</t>
  </si>
  <si>
    <t>Fraction to CH4</t>
  </si>
  <si>
    <t>B</t>
  </si>
  <si>
    <t>C</t>
  </si>
  <si>
    <t>E</t>
  </si>
  <si>
    <t>Starting year</t>
  </si>
  <si>
    <t>Methane generated</t>
  </si>
  <si>
    <t>G</t>
  </si>
  <si>
    <t>H</t>
  </si>
  <si>
    <t>Results</t>
  </si>
  <si>
    <t>MSW</t>
  </si>
  <si>
    <t>Enter those data onto this sheet.</t>
  </si>
  <si>
    <t>&gt;1000 mm</t>
  </si>
  <si>
    <t>Moist and wet tropical</t>
  </si>
  <si>
    <t>Moist and Wet</t>
  </si>
  <si>
    <t>Country-specific parameters</t>
  </si>
  <si>
    <t>Countries with good inventory data:</t>
  </si>
  <si>
    <t>Methane calculation from:  Food waste</t>
  </si>
  <si>
    <t>Uncate-gorised</t>
  </si>
  <si>
    <t>Un-managed, shallow</t>
  </si>
  <si>
    <t>Un-managed, deep</t>
  </si>
  <si>
    <t>Methane Correction Factor (MCF)</t>
  </si>
  <si>
    <t>Calculated values for MCF</t>
  </si>
  <si>
    <t>Amount of Methane Recovered from SWDS</t>
  </si>
  <si>
    <t>Totals on each row must add up to 100% (see "distribution check" values)</t>
  </si>
  <si>
    <t xml:space="preserve">Enter the total amount of methane recovered </t>
  </si>
  <si>
    <t xml:space="preserve">from all SWDS. </t>
  </si>
  <si>
    <r>
      <t>IPCC</t>
    </r>
    <r>
      <rPr>
        <b/>
        <sz val="10"/>
        <rFont val="Arial"/>
        <family val="2"/>
      </rPr>
      <t xml:space="preserve"> DEFAULT DOC VALUES</t>
    </r>
  </si>
  <si>
    <t>Range</t>
  </si>
  <si>
    <t>Select2:</t>
  </si>
  <si>
    <t>Default</t>
  </si>
  <si>
    <t>Default Value</t>
  </si>
  <si>
    <t>Region</t>
  </si>
  <si>
    <t>Select3</t>
  </si>
  <si>
    <t>Asia: Eastern</t>
  </si>
  <si>
    <t>Asia- Southeast</t>
  </si>
  <si>
    <t>Asia- Western &amp; Middle East</t>
  </si>
  <si>
    <t>Africa: Southern</t>
  </si>
  <si>
    <t>Europe: Southern</t>
  </si>
  <si>
    <t>Caribbean</t>
  </si>
  <si>
    <t>Percent Waste Composition Data</t>
  </si>
  <si>
    <t>MSW Generation Rate (tonnes/cap/yr)</t>
  </si>
  <si>
    <t>Paper/ card board</t>
  </si>
  <si>
    <r>
      <t>IPCC</t>
    </r>
    <r>
      <rPr>
        <b/>
        <sz val="10"/>
        <rFont val="Arial"/>
        <family val="2"/>
      </rPr>
      <t xml:space="preserve"> REGIONAL DEFAULT VALUES FOR WASTE COMPOSITION, WASTE GENERATION, AND FRACTION DISPOSED</t>
    </r>
  </si>
  <si>
    <t>Fraction MSW disposed to SWDS</t>
  </si>
  <si>
    <t>Selected half-life inputs</t>
  </si>
  <si>
    <t>DOC (Degradable organic carbon)</t>
  </si>
  <si>
    <t>Specified Inputs:  expanded for spreadsheet calculations</t>
  </si>
  <si>
    <t>Type of Waste</t>
  </si>
  <si>
    <t>Wood/ straw/ rubber waste</t>
  </si>
  <si>
    <t>Sewage sludge</t>
  </si>
  <si>
    <t>Bulk MSW or Industrial Waste</t>
  </si>
  <si>
    <t>0.04-0.05</t>
  </si>
  <si>
    <t>0-0.54</t>
  </si>
  <si>
    <t>Garden / park</t>
  </si>
  <si>
    <t>Nappies / Diapers</t>
  </si>
  <si>
    <t>Rubber / leather</t>
  </si>
  <si>
    <t>All other, inerts</t>
  </si>
  <si>
    <t>Bulk MSW waste</t>
  </si>
  <si>
    <t>Bulk waste data only</t>
  </si>
  <si>
    <t>Waste by composition</t>
  </si>
  <si>
    <t>Sludge</t>
  </si>
  <si>
    <t>Weighted average MCF for MSW</t>
  </si>
  <si>
    <t xml:space="preserve"> exp(-k)</t>
  </si>
  <si>
    <t>B = D * exp2</t>
  </si>
  <si>
    <t>C = D * (1- exp2)</t>
  </si>
  <si>
    <r>
      <t>H = B + (H</t>
    </r>
    <r>
      <rPr>
        <vertAlign val="subscript"/>
        <sz val="8"/>
        <rFont val="Arial"/>
        <family val="2"/>
      </rPr>
      <t>last year</t>
    </r>
    <r>
      <rPr>
        <sz val="8"/>
        <rFont val="Arial"/>
        <family val="2"/>
      </rPr>
      <t xml:space="preserve"> * exp1)</t>
    </r>
  </si>
  <si>
    <t>Q = E * 16/12 * F</t>
  </si>
  <si>
    <t>Methane calculation from:  Textiles</t>
  </si>
  <si>
    <t>Regional Average DOC (wt fraction)</t>
  </si>
  <si>
    <t>Default DOC</t>
  </si>
  <si>
    <t>0.12-0.28</t>
  </si>
  <si>
    <t>wt. fraction</t>
  </si>
  <si>
    <t>Distribution of Waste by Waste Management Type</t>
  </si>
  <si>
    <t>Country-specific value</t>
  </si>
  <si>
    <t>"Fixed" Country-specifc value</t>
  </si>
  <si>
    <t>Distri-bution Check</t>
  </si>
  <si>
    <t>L</t>
  </si>
  <si>
    <t>M = (K-L)*(1-OX)</t>
  </si>
  <si>
    <t xml:space="preserve">Amount deposited data </t>
  </si>
  <si>
    <t xml:space="preserve">0.17–0.7 </t>
  </si>
  <si>
    <t>0.05–0.08</t>
  </si>
  <si>
    <t>0.04–0.06</t>
  </si>
  <si>
    <t>0.01–0.03</t>
  </si>
  <si>
    <t>0.03–0.05</t>
  </si>
  <si>
    <t>0.05–0.07</t>
  </si>
  <si>
    <t>0.02–0.04</t>
  </si>
  <si>
    <t>0.06–0.1</t>
  </si>
  <si>
    <t>0.1–0.2</t>
  </si>
  <si>
    <t>0.08–0.1</t>
  </si>
  <si>
    <t>0.07–0.1</t>
  </si>
  <si>
    <t>0.06–0.085</t>
  </si>
  <si>
    <t>0.15–0.2</t>
  </si>
  <si>
    <t>Averages</t>
  </si>
  <si>
    <t>exp(-k*((13-M)/12))</t>
  </si>
  <si>
    <t>Decomposable DOC (DDOCm) deposited</t>
  </si>
  <si>
    <t>DDOCm not reacted. Deposition year</t>
  </si>
  <si>
    <t>DDOCm decomposed. Deposition year</t>
  </si>
  <si>
    <t>DDOCm accumulated in SWDS end of year</t>
  </si>
  <si>
    <t>DDOCm decomposed</t>
  </si>
  <si>
    <r>
      <t>CH</t>
    </r>
    <r>
      <rPr>
        <vertAlign val="subscript"/>
        <sz val="10"/>
        <color indexed="8"/>
        <rFont val="Arial"/>
        <family val="2"/>
      </rPr>
      <t>4</t>
    </r>
    <r>
      <rPr>
        <sz val="10"/>
        <color indexed="8"/>
        <rFont val="Arial"/>
        <family val="2"/>
      </rPr>
      <t xml:space="preserve"> generated</t>
    </r>
    <r>
      <rPr>
        <sz val="10"/>
        <rFont val="Arial"/>
        <family val="2"/>
      </rPr>
      <t xml:space="preserve"> </t>
    </r>
  </si>
  <si>
    <t xml:space="preserve">W </t>
  </si>
  <si>
    <t>D = W * DOC * DOCf * MCF</t>
  </si>
  <si>
    <t>k</t>
  </si>
  <si>
    <t>h = ln(2)/k</t>
  </si>
  <si>
    <r>
      <t>Half-life time (t</t>
    </r>
    <r>
      <rPr>
        <vertAlign val="subscript"/>
        <sz val="10"/>
        <rFont val="Arial"/>
        <family val="2"/>
      </rPr>
      <t>1/2</t>
    </r>
    <r>
      <rPr>
        <sz val="10"/>
        <rFont val="Arial"/>
        <family val="2"/>
      </rPr>
      <t>, years</t>
    </r>
    <r>
      <rPr>
        <sz val="10"/>
        <rFont val="Arial"/>
        <family val="2"/>
      </rPr>
      <t>):</t>
    </r>
  </si>
  <si>
    <r>
      <t>E = C + H</t>
    </r>
    <r>
      <rPr>
        <vertAlign val="subscript"/>
        <sz val="8"/>
        <rFont val="Arial"/>
        <family val="2"/>
      </rPr>
      <t>last year</t>
    </r>
    <r>
      <rPr>
        <sz val="8"/>
        <rFont val="Arial"/>
        <family val="2"/>
      </rPr>
      <t xml:space="preserve"> * (1 - exp1)</t>
    </r>
  </si>
  <si>
    <t>Methane generation rate constant</t>
  </si>
  <si>
    <r>
      <t>(years</t>
    </r>
    <r>
      <rPr>
        <b/>
        <vertAlign val="superscript"/>
        <sz val="10"/>
        <rFont val="Arial"/>
        <family val="2"/>
      </rPr>
      <t>-1</t>
    </r>
    <r>
      <rPr>
        <b/>
        <sz val="10"/>
        <rFont val="Arial"/>
        <family val="2"/>
      </rPr>
      <t>)</t>
    </r>
  </si>
  <si>
    <t>K</t>
  </si>
  <si>
    <t>% paper in industrial waste</t>
  </si>
  <si>
    <t>% wood in industrial waste</t>
  </si>
  <si>
    <t>Methane Recovery and methane oxidised in top layer (OX)</t>
  </si>
  <si>
    <t>Methane oxidised (OX)</t>
  </si>
  <si>
    <t>References/remarks</t>
  </si>
  <si>
    <t>Fraction</t>
  </si>
  <si>
    <t>Please enter parameters in the yellow cells.  If no national data are available, copy the IPCC default value.</t>
  </si>
  <si>
    <t>Bulk waste and waste composition options.</t>
  </si>
  <si>
    <t>Fraction recovered methane</t>
  </si>
  <si>
    <t>Bulk MSW</t>
  </si>
  <si>
    <r>
      <t>IPCC</t>
    </r>
    <r>
      <rPr>
        <b/>
        <sz val="10"/>
        <rFont val="Arial"/>
        <family val="2"/>
      </rPr>
      <t xml:space="preserve"> DEFAULT METHANE GENERATION RATE CONSTANTS (1/yr)</t>
    </r>
  </si>
  <si>
    <t>Managed, semi-aerobic</t>
  </si>
  <si>
    <r>
      <t xml:space="preserve">Fraction of methane </t>
    </r>
    <r>
      <rPr>
        <sz val="10"/>
        <rFont val="Arial"/>
        <family val="2"/>
      </rPr>
      <t>(F) in developed gas</t>
    </r>
  </si>
  <si>
    <r>
      <t xml:space="preserve">Methane generation rate constant </t>
    </r>
    <r>
      <rPr>
        <sz val="10"/>
        <rFont val="Arial"/>
        <family val="2"/>
      </rPr>
      <t>(k)</t>
    </r>
  </si>
  <si>
    <t>For Harwested Wood Products calculations for Bulk waste option only:</t>
  </si>
  <si>
    <t>Deposited MSW</t>
  </si>
  <si>
    <t>Notes</t>
  </si>
  <si>
    <t>2006 IPCC Guidelines for National Greenhouse Gas Inventories</t>
  </si>
  <si>
    <r>
      <t>©</t>
    </r>
    <r>
      <rPr>
        <sz val="10"/>
        <rFont val="Arial"/>
        <family val="2"/>
      </rPr>
      <t>IPCC 2006</t>
    </r>
  </si>
  <si>
    <t>Asia: South-central</t>
  </si>
  <si>
    <t>Africa: Eastern</t>
  </si>
  <si>
    <t>Africa: Middle</t>
  </si>
  <si>
    <t>Africa: Northern</t>
  </si>
  <si>
    <t>Africa: Western</t>
  </si>
  <si>
    <t>Europe: Eastern</t>
  </si>
  <si>
    <t>Europe: Northern</t>
  </si>
  <si>
    <t>Europe: Western</t>
  </si>
  <si>
    <t>Oceania: Austrailia &amp; New Zealand</t>
  </si>
  <si>
    <t>Oceania: Other Oceania</t>
  </si>
  <si>
    <t>America: North</t>
  </si>
  <si>
    <t>America: Central</t>
  </si>
  <si>
    <t>America: South</t>
  </si>
  <si>
    <t>This spreadsheet implements the Tier 1 method for estimating emissions of methane from solid waste disposal sites. For details of the method see the 2006 IPCC Guidelines for National Greenhouse Gas Inventories Volume 5 Chapter 3</t>
  </si>
  <si>
    <t>Food Waste</t>
  </si>
  <si>
    <t>Rubber and Leather</t>
  </si>
  <si>
    <t>Plastics</t>
  </si>
  <si>
    <t>Metal</t>
  </si>
  <si>
    <t>Glass</t>
  </si>
  <si>
    <t>Other</t>
  </si>
  <si>
    <t>0.20-0.50</t>
  </si>
  <si>
    <t>0.40-0.50</t>
  </si>
  <si>
    <t>0.45-0.55</t>
  </si>
  <si>
    <t>0.25-0.50</t>
  </si>
  <si>
    <t>0.47</t>
  </si>
  <si>
    <t>Dry matter content</t>
  </si>
  <si>
    <t>dm</t>
  </si>
  <si>
    <t>Dry Matter Content</t>
  </si>
  <si>
    <t>Dry basis</t>
  </si>
  <si>
    <t>Wet basis</t>
  </si>
  <si>
    <t>0.08-0.20</t>
  </si>
  <si>
    <t>0.36-0.45</t>
  </si>
  <si>
    <t>0.18-0.22</t>
  </si>
  <si>
    <t>0.20-0.40</t>
  </si>
  <si>
    <t>0.39</t>
  </si>
  <si>
    <t xml:space="preserve">  (weight fraction)</t>
  </si>
  <si>
    <t>dry basis</t>
  </si>
  <si>
    <t>wet basis</t>
  </si>
  <si>
    <r>
      <t>Selected DOC inputs (</t>
    </r>
    <r>
      <rPr>
        <b/>
        <sz val="10"/>
        <color indexed="10"/>
        <rFont val="Arial"/>
        <family val="2"/>
      </rPr>
      <t>dry basis</t>
    </r>
    <r>
      <rPr>
        <sz val="10"/>
        <rFont val="Arial"/>
        <family val="2"/>
      </rPr>
      <t>)</t>
    </r>
  </si>
  <si>
    <r>
      <t>Selected DOC inputs (</t>
    </r>
    <r>
      <rPr>
        <b/>
        <sz val="10"/>
        <color indexed="10"/>
        <rFont val="Arial"/>
        <family val="2"/>
      </rPr>
      <t>wet basis</t>
    </r>
    <r>
      <rPr>
        <sz val="10"/>
        <rFont val="Arial"/>
        <family val="2"/>
      </rPr>
      <t>)</t>
    </r>
  </si>
  <si>
    <t>D = W * dm * DOC * DOCf * MCF</t>
  </si>
  <si>
    <t>Garden and Park waste</t>
  </si>
  <si>
    <t>Paper/cardboard</t>
  </si>
  <si>
    <t>0.39-0.46</t>
  </si>
  <si>
    <t>0.18-0.32</t>
  </si>
  <si>
    <t>0.46-0.54</t>
  </si>
  <si>
    <t>0.44-0.80</t>
  </si>
  <si>
    <t>Garden</t>
  </si>
  <si>
    <t>Paper</t>
  </si>
  <si>
    <t>Wood &amp; straw</t>
  </si>
  <si>
    <t>Inert materials and other: [DOC = 0]</t>
  </si>
  <si>
    <t>City</t>
  </si>
  <si>
    <t>Indonesia</t>
  </si>
  <si>
    <t>Nappies</t>
  </si>
  <si>
    <t>Paper /cardboard</t>
  </si>
  <si>
    <t>Paper / cardboard</t>
  </si>
  <si>
    <t>Garden/park</t>
  </si>
  <si>
    <t>Paper/ cardboard</t>
  </si>
  <si>
    <t>Garden /park</t>
  </si>
  <si>
    <t>All Other, inert waste</t>
  </si>
  <si>
    <r>
      <t xml:space="preserve">Fill in dry matter content of each waste composition </t>
    </r>
    <r>
      <rPr>
        <b/>
        <sz val="10"/>
        <rFont val="Arial"/>
        <family val="2"/>
      </rPr>
      <t>(in %)</t>
    </r>
  </si>
  <si>
    <t>D</t>
  </si>
  <si>
    <t>Province</t>
  </si>
  <si>
    <t>N.A</t>
  </si>
  <si>
    <t>DOC for garden waste</t>
  </si>
  <si>
    <t>DOC for paper/cardboard</t>
  </si>
  <si>
    <t>DOC for wood and straw</t>
  </si>
  <si>
    <t>Enter either IPCC default values or national values into the yellow MCF cells in row 13</t>
  </si>
  <si>
    <t>Harwested Wood Products</t>
  </si>
  <si>
    <t>This sheet gives information on the methane emission from HWP, and HWP C long-term stored in SWDS</t>
  </si>
  <si>
    <t>Long-term stored C</t>
  </si>
  <si>
    <t>Long term stored C accumulated</t>
  </si>
  <si>
    <t>CH4 generated</t>
  </si>
  <si>
    <t>CH4 emitted</t>
  </si>
  <si>
    <t>Garden C</t>
  </si>
  <si>
    <t>Paper C</t>
  </si>
  <si>
    <t>Wood C</t>
  </si>
  <si>
    <t>Long-term stored C in SWDS</t>
  </si>
  <si>
    <t>In this sheet carbon long-term stored C in SWDS is calculated.</t>
  </si>
  <si>
    <t>DOC:</t>
  </si>
  <si>
    <t>Industry</t>
  </si>
  <si>
    <t>Food</t>
  </si>
  <si>
    <t>C, Industry</t>
  </si>
  <si>
    <t>Paper, industry subtotal</t>
  </si>
  <si>
    <t>Wood, industry subtotal</t>
  </si>
  <si>
    <t>Long-term stored C accumulated</t>
  </si>
  <si>
    <t xml:space="preserve">Industrial waste activity data </t>
  </si>
  <si>
    <t xml:space="preserve">Enter GDP, waste generation rate, % to SWDS and distribution of waste between site types into the yellow cells.  </t>
  </si>
  <si>
    <t>GDP</t>
  </si>
  <si>
    <t>Waste generation rate</t>
  </si>
  <si>
    <t>Total industrial waste</t>
  </si>
  <si>
    <t>Total to SWDS</t>
  </si>
  <si>
    <t>$ millions</t>
  </si>
  <si>
    <t>Gg/$m GDP/yr</t>
  </si>
  <si>
    <t>Industrial</t>
  </si>
  <si>
    <t>Methane calculation from:  Bulk MSW</t>
  </si>
  <si>
    <t>Methane calculation from:  Sludge</t>
  </si>
  <si>
    <t>Methane calculation from:  Wood</t>
  </si>
  <si>
    <t>Methane calculation from:  Garden / park waste</t>
  </si>
  <si>
    <t>Methane calculation from:  Nappies</t>
  </si>
  <si>
    <t>Methane calculation from:  Paper / card board</t>
  </si>
  <si>
    <t>Weighted average MCF for Industrial Waste</t>
  </si>
  <si>
    <t>I</t>
  </si>
  <si>
    <t>Sector</t>
  </si>
  <si>
    <t>Waste</t>
  </si>
  <si>
    <t>Category</t>
  </si>
  <si>
    <t>Solid Waste Disposal</t>
  </si>
  <si>
    <t>Category Code</t>
  </si>
  <si>
    <t>4A</t>
  </si>
  <si>
    <t>Sheet</t>
  </si>
  <si>
    <t>1 of 2  Estimation of DOC Factor</t>
  </si>
  <si>
    <t>A</t>
  </si>
  <si>
    <t>W i</t>
  </si>
  <si>
    <t>DOC i</t>
  </si>
  <si>
    <t>(Gg C/Gg waste)</t>
  </si>
  <si>
    <t>C = A x B</t>
  </si>
  <si>
    <t>Bandung, Study of ITB</t>
  </si>
  <si>
    <t>Rubber/Leather</t>
  </si>
  <si>
    <t>Plastic</t>
  </si>
  <si>
    <t>TOTAL</t>
  </si>
  <si>
    <t>Jakarta</t>
  </si>
  <si>
    <t>Study of JICA (Jakarta, Surabaya, Medan, Makassar)</t>
  </si>
  <si>
    <t>referensi DOC</t>
  </si>
  <si>
    <t>Kalimantan Timur</t>
  </si>
  <si>
    <t xml:space="preserve">Berau </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</si>
</sst>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 #,##0.00_-;_-* &quot;-&quot;??_-;_-@_-"/>
    <numFmt numFmtId="164" formatCode="_ * #,##0.00_ ;_ * \-#,##0.00_ ;_ * &quot;-&quot;??_ ;_ @_ "/>
    <numFmt numFmtId="165" formatCode="#,##0.0"/>
    <numFmt numFmtId="166" formatCode="#,##0.000"/>
    <numFmt numFmtId="167" formatCode="0.000"/>
    <numFmt numFmtId="168" formatCode="0.0"/>
    <numFmt numFmtId="169" formatCode="0.0%"/>
    <numFmt numFmtId="170" formatCode="#,##0.0000"/>
    <numFmt numFmtId="171" formatCode="0.0000"/>
  </numFmts>
  <fonts count="36">
    <font>
      <sz val="10"/>
      <name val="Arial"/>
    </font>
    <font>
      <sz val="10"/>
      <name val="Arial"/>
      <family val="2"/>
    </font>
    <font>
      <b/>
      <sz val="10"/>
      <name val="Arial"/>
      <family val="2"/>
    </font>
    <font>
      <vertAlign val="subscript"/>
      <sz val="10"/>
      <name val="Arial"/>
      <family val="2"/>
    </font>
    <font>
      <b/>
      <sz val="12"/>
      <name val="Arial"/>
      <family val="2"/>
    </font>
    <font>
      <sz val="12"/>
      <name val="Arial"/>
      <family val="2"/>
    </font>
    <font>
      <sz val="8"/>
      <color indexed="81"/>
      <name val="Tahoma"/>
      <family val="2"/>
    </font>
    <font>
      <b/>
      <sz val="8"/>
      <color indexed="81"/>
      <name val="Tahoma"/>
      <family val="2"/>
    </font>
    <font>
      <sz val="10"/>
      <name val="Arial"/>
      <family val="2"/>
    </font>
    <font>
      <b/>
      <u/>
      <sz val="12"/>
      <name val="Arial"/>
      <family val="2"/>
    </font>
    <font>
      <b/>
      <sz val="11"/>
      <name val="Arial"/>
      <family val="2"/>
    </font>
    <font>
      <b/>
      <vertAlign val="superscript"/>
      <sz val="10"/>
      <name val="Arial"/>
      <family val="2"/>
    </font>
    <font>
      <b/>
      <u/>
      <sz val="10"/>
      <name val="Arial"/>
      <family val="2"/>
    </font>
    <font>
      <sz val="8"/>
      <name val="Arial"/>
      <family val="2"/>
    </font>
    <font>
      <vertAlign val="subscript"/>
      <sz val="8"/>
      <name val="Arial"/>
      <family val="2"/>
    </font>
    <font>
      <sz val="10"/>
      <color indexed="10"/>
      <name val="Arial"/>
      <family val="2"/>
    </font>
    <font>
      <sz val="8"/>
      <name val="Arial"/>
      <family val="2"/>
    </font>
    <font>
      <sz val="10"/>
      <color indexed="8"/>
      <name val="Arial"/>
      <family val="2"/>
    </font>
    <font>
      <vertAlign val="subscript"/>
      <sz val="10"/>
      <color indexed="8"/>
      <name val="Arial"/>
      <family val="2"/>
    </font>
    <font>
      <sz val="10"/>
      <color indexed="10"/>
      <name val="Arial"/>
      <family val="2"/>
    </font>
    <font>
      <b/>
      <sz val="10"/>
      <color indexed="10"/>
      <name val="Arial"/>
      <family val="2"/>
    </font>
    <font>
      <b/>
      <sz val="14"/>
      <name val="Arial"/>
      <family val="2"/>
    </font>
    <font>
      <sz val="9"/>
      <name val="Arial"/>
      <family val="2"/>
    </font>
    <font>
      <b/>
      <sz val="9"/>
      <color indexed="81"/>
      <name val="Tahoma"/>
      <family val="2"/>
    </font>
    <font>
      <sz val="10"/>
      <name val="Arial"/>
      <family val="2"/>
      <charset val="204"/>
    </font>
    <font>
      <b/>
      <sz val="14"/>
      <name val="Arial"/>
      <family val="2"/>
      <charset val="204"/>
    </font>
    <font>
      <sz val="9"/>
      <color indexed="81"/>
      <name val="Tahoma"/>
      <family val="2"/>
    </font>
    <font>
      <sz val="10"/>
      <name val="Arial"/>
      <family val="2"/>
    </font>
    <font>
      <b/>
      <sz val="12"/>
      <name val="Arial"/>
      <family val="2"/>
    </font>
    <font>
      <sz val="10"/>
      <color indexed="10"/>
      <name val="Arial"/>
      <family val="2"/>
    </font>
    <font>
      <b/>
      <sz val="10"/>
      <color rgb="FFFF0000"/>
      <name val="Arial"/>
      <family val="2"/>
    </font>
    <font>
      <b/>
      <sz val="10"/>
      <color rgb="FFFF0000"/>
      <name val="Arial"/>
      <family val="2"/>
      <charset val="204"/>
    </font>
    <font>
      <sz val="8"/>
      <name val="Arial"/>
      <family val="2"/>
    </font>
    <font>
      <b/>
      <sz val="10"/>
      <name val="GillSans"/>
    </font>
    <font>
      <sz val="10"/>
      <color theme="1"/>
      <name val="Calibri"/>
      <family val="2"/>
    </font>
    <font>
      <sz val="10"/>
      <name val="Arial"/>
      <family val="2"/>
    </font>
  </fonts>
  <fills count="24">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9"/>
        <bgColor indexed="64"/>
      </patternFill>
    </fill>
    <fill>
      <patternFill patternType="solid">
        <fgColor indexed="13"/>
        <bgColor indexed="64"/>
      </patternFill>
    </fill>
    <fill>
      <patternFill patternType="solid">
        <fgColor indexed="41"/>
        <bgColor indexed="64"/>
      </patternFill>
    </fill>
    <fill>
      <patternFill patternType="solid">
        <fgColor indexed="26"/>
        <bgColor indexed="64"/>
      </patternFill>
    </fill>
    <fill>
      <patternFill patternType="solid">
        <fgColor indexed="15"/>
        <bgColor indexed="64"/>
      </patternFill>
    </fill>
    <fill>
      <patternFill patternType="solid">
        <fgColor indexed="43"/>
        <bgColor indexed="64"/>
      </patternFill>
    </fill>
    <fill>
      <patternFill patternType="solid">
        <fgColor indexed="45"/>
        <bgColor indexed="64"/>
      </patternFill>
    </fill>
    <fill>
      <patternFill patternType="solid">
        <fgColor rgb="FFFFFFCC"/>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rgb="FFFFFF99"/>
        <bgColor indexed="64"/>
      </patternFill>
    </fill>
    <fill>
      <patternFill patternType="solid">
        <fgColor theme="3"/>
        <bgColor indexed="64"/>
      </patternFill>
    </fill>
    <fill>
      <patternFill patternType="solid">
        <fgColor theme="8" tint="0.79998168889431442"/>
        <bgColor indexed="64"/>
      </patternFill>
    </fill>
    <fill>
      <patternFill patternType="solid">
        <fgColor indexed="11"/>
        <bgColor indexed="64"/>
      </patternFill>
    </fill>
    <fill>
      <patternFill patternType="solid">
        <fgColor indexed="63"/>
        <bgColor indexed="64"/>
      </patternFill>
    </fill>
    <fill>
      <patternFill patternType="solid">
        <fgColor theme="6" tint="0.59999389629810485"/>
        <bgColor indexed="64"/>
      </patternFill>
    </fill>
    <fill>
      <patternFill patternType="solid">
        <fgColor rgb="FFC6E6A2"/>
        <bgColor indexed="64"/>
      </patternFill>
    </fill>
    <fill>
      <patternFill patternType="solid">
        <fgColor theme="9" tint="0.59999389629810485"/>
        <bgColor indexed="64"/>
      </patternFill>
    </fill>
  </fills>
  <borders count="83">
    <border>
      <left/>
      <right/>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medium">
        <color auto="1"/>
      </right>
      <top/>
      <bottom style="thin">
        <color auto="1"/>
      </bottom>
      <diagonal/>
    </border>
    <border>
      <left style="thin">
        <color auto="1"/>
      </left>
      <right style="medium">
        <color auto="1"/>
      </right>
      <top style="medium">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medium">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right style="thin">
        <color auto="1"/>
      </right>
      <top/>
      <bottom/>
      <diagonal/>
    </border>
    <border>
      <left style="medium">
        <color auto="1"/>
      </left>
      <right/>
      <top/>
      <bottom style="thin">
        <color auto="1"/>
      </bottom>
      <diagonal/>
    </border>
    <border>
      <left style="thin">
        <color auto="1"/>
      </left>
      <right style="thin">
        <color auto="1"/>
      </right>
      <top/>
      <bottom/>
      <diagonal/>
    </border>
    <border>
      <left style="thin">
        <color auto="1"/>
      </left>
      <right style="thin">
        <color auto="1"/>
      </right>
      <top style="medium">
        <color auto="1"/>
      </top>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diagonal/>
    </border>
    <border>
      <left style="thin">
        <color auto="1"/>
      </left>
      <right style="medium">
        <color auto="1"/>
      </right>
      <top style="thin">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medium">
        <color auto="1"/>
      </bottom>
      <diagonal/>
    </border>
    <border>
      <left/>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top/>
      <bottom/>
      <diagonal/>
    </border>
    <border>
      <left/>
      <right style="medium">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right style="thin">
        <color auto="1"/>
      </right>
      <top style="medium">
        <color auto="1"/>
      </top>
      <bottom/>
      <diagonal/>
    </border>
    <border>
      <left/>
      <right style="medium">
        <color auto="1"/>
      </right>
      <top/>
      <bottom style="thin">
        <color auto="1"/>
      </bottom>
      <diagonal/>
    </border>
    <border>
      <left/>
      <right style="thin">
        <color auto="1"/>
      </right>
      <top/>
      <bottom style="thin">
        <color auto="1"/>
      </bottom>
      <diagonal/>
    </border>
    <border>
      <left style="medium">
        <color auto="1"/>
      </left>
      <right/>
      <top style="thin">
        <color auto="1"/>
      </top>
      <bottom/>
      <diagonal/>
    </border>
    <border>
      <left/>
      <right/>
      <top style="thin">
        <color auto="1"/>
      </top>
      <bottom/>
      <diagonal/>
    </border>
    <border>
      <left/>
      <right style="thin">
        <color auto="1"/>
      </right>
      <top style="thin">
        <color auto="1"/>
      </top>
      <bottom/>
      <diagonal/>
    </border>
    <border>
      <left/>
      <right style="medium">
        <color auto="1"/>
      </right>
      <top style="thin">
        <color auto="1"/>
      </top>
      <bottom/>
      <diagonal/>
    </border>
    <border>
      <left/>
      <right/>
      <top/>
      <bottom style="thin">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medium">
        <color auto="1"/>
      </right>
      <top/>
      <bottom style="medium">
        <color auto="1"/>
      </bottom>
      <diagonal/>
    </border>
    <border>
      <left style="medium">
        <color auto="1"/>
      </left>
      <right style="thin">
        <color auto="1"/>
      </right>
      <top/>
      <bottom style="medium">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thin">
        <color auto="1"/>
      </left>
      <right style="medium">
        <color auto="1"/>
      </right>
      <top/>
      <bottom style="medium">
        <color auto="1"/>
      </bottom>
      <diagonal/>
    </border>
    <border>
      <left style="thin">
        <color auto="1"/>
      </left>
      <right/>
      <top/>
      <bottom style="thin">
        <color auto="1"/>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auto="1"/>
      </left>
      <right/>
      <top style="thin">
        <color auto="1"/>
      </top>
      <bottom/>
      <diagonal/>
    </border>
  </borders>
  <cellStyleXfs count="5">
    <xf numFmtId="0" fontId="0" fillId="0" borderId="0" applyBorder="0"/>
    <xf numFmtId="164" fontId="8" fillId="0" borderId="0" applyFont="0" applyFill="0" applyBorder="0" applyAlignment="0" applyProtection="0"/>
    <xf numFmtId="9" fontId="1" fillId="0" borderId="0" applyFont="0" applyFill="0" applyBorder="0" applyAlignment="0" applyProtection="0"/>
    <xf numFmtId="9" fontId="8" fillId="0" borderId="0" applyFont="0" applyFill="0" applyBorder="0" applyAlignment="0" applyProtection="0"/>
    <xf numFmtId="43" fontId="35" fillId="0" borderId="0" applyFont="0" applyFill="0" applyBorder="0" applyAlignment="0" applyProtection="0"/>
  </cellStyleXfs>
  <cellXfs count="879">
    <xf numFmtId="0" fontId="0" fillId="0" borderId="0" xfId="0"/>
    <xf numFmtId="0" fontId="2" fillId="0" borderId="0" xfId="0" applyFont="1" applyAlignment="1">
      <alignment wrapText="1"/>
    </xf>
    <xf numFmtId="0" fontId="0" fillId="0" borderId="1" xfId="0" applyBorder="1"/>
    <xf numFmtId="0" fontId="0" fillId="0" borderId="0" xfId="0" applyAlignment="1">
      <alignment wrapText="1"/>
    </xf>
    <xf numFmtId="0" fontId="4" fillId="0" borderId="0" xfId="0" applyFont="1"/>
    <xf numFmtId="0" fontId="2" fillId="0" borderId="0" xfId="0" applyFont="1"/>
    <xf numFmtId="0" fontId="0" fillId="0" borderId="0" xfId="0" applyBorder="1"/>
    <xf numFmtId="0" fontId="0" fillId="0" borderId="2" xfId="0" applyBorder="1"/>
    <xf numFmtId="0" fontId="0" fillId="0" borderId="3" xfId="0" applyBorder="1"/>
    <xf numFmtId="0" fontId="2" fillId="2" borderId="0" xfId="0" applyFont="1" applyFill="1"/>
    <xf numFmtId="0" fontId="0" fillId="2" borderId="0" xfId="0" applyFill="1"/>
    <xf numFmtId="0" fontId="4" fillId="2" borderId="0" xfId="0" applyFont="1" applyFill="1"/>
    <xf numFmtId="0" fontId="4" fillId="0" borderId="0" xfId="0" applyFont="1" applyAlignment="1">
      <alignment wrapText="1"/>
    </xf>
    <xf numFmtId="0" fontId="8" fillId="0" borderId="0" xfId="0" applyFont="1" applyFill="1" applyAlignment="1"/>
    <xf numFmtId="0" fontId="0" fillId="0" borderId="7" xfId="0" applyBorder="1"/>
    <xf numFmtId="0" fontId="0" fillId="0" borderId="8" xfId="0" applyBorder="1"/>
    <xf numFmtId="0" fontId="0" fillId="3" borderId="9" xfId="0" applyFill="1" applyBorder="1"/>
    <xf numFmtId="0" fontId="0" fillId="0" borderId="10" xfId="0" applyBorder="1"/>
    <xf numFmtId="0" fontId="0" fillId="0" borderId="0" xfId="0" applyFill="1"/>
    <xf numFmtId="0" fontId="0" fillId="0" borderId="20" xfId="0" applyBorder="1"/>
    <xf numFmtId="0" fontId="8" fillId="0" borderId="0" xfId="0" applyFont="1" applyAlignment="1"/>
    <xf numFmtId="0" fontId="0" fillId="3" borderId="21" xfId="0" applyFill="1" applyBorder="1"/>
    <xf numFmtId="0" fontId="0" fillId="0" borderId="22" xfId="0" applyBorder="1"/>
    <xf numFmtId="0" fontId="0" fillId="0" borderId="23" xfId="0" applyBorder="1"/>
    <xf numFmtId="0" fontId="0" fillId="4" borderId="10" xfId="0" applyFill="1" applyBorder="1"/>
    <xf numFmtId="0" fontId="0" fillId="0" borderId="10" xfId="0" applyFill="1" applyBorder="1"/>
    <xf numFmtId="2" fontId="0" fillId="0" borderId="21" xfId="0" applyNumberFormat="1" applyBorder="1"/>
    <xf numFmtId="2" fontId="0" fillId="0" borderId="24" xfId="0" applyNumberFormat="1" applyFill="1" applyBorder="1"/>
    <xf numFmtId="0" fontId="0" fillId="0" borderId="21" xfId="0" applyBorder="1"/>
    <xf numFmtId="0" fontId="2" fillId="0" borderId="22" xfId="0" applyFont="1" applyBorder="1"/>
    <xf numFmtId="0" fontId="0" fillId="0" borderId="23" xfId="0" applyFill="1" applyBorder="1"/>
    <xf numFmtId="0" fontId="8" fillId="3" borderId="21" xfId="0" applyFont="1" applyFill="1" applyBorder="1"/>
    <xf numFmtId="0" fontId="0" fillId="3" borderId="19" xfId="0" applyFill="1" applyBorder="1"/>
    <xf numFmtId="0" fontId="0" fillId="2" borderId="8" xfId="0" applyFill="1" applyBorder="1" applyAlignment="1">
      <alignment horizontal="center" wrapText="1"/>
    </xf>
    <xf numFmtId="0" fontId="0" fillId="0" borderId="11" xfId="0" applyBorder="1"/>
    <xf numFmtId="0" fontId="2" fillId="2" borderId="26" xfId="0" applyFont="1" applyFill="1" applyBorder="1"/>
    <xf numFmtId="0" fontId="0" fillId="2" borderId="21" xfId="0" applyFill="1" applyBorder="1"/>
    <xf numFmtId="0" fontId="0" fillId="2" borderId="24" xfId="0" applyFill="1" applyBorder="1"/>
    <xf numFmtId="0" fontId="0" fillId="2" borderId="27" xfId="0" applyFill="1" applyBorder="1"/>
    <xf numFmtId="0" fontId="4" fillId="0" borderId="0" xfId="0" applyFont="1" applyBorder="1"/>
    <xf numFmtId="0" fontId="0" fillId="0" borderId="25" xfId="0" applyBorder="1"/>
    <xf numFmtId="0" fontId="0" fillId="5" borderId="18" xfId="0" applyFill="1" applyBorder="1" applyProtection="1">
      <protection locked="0"/>
    </xf>
    <xf numFmtId="0" fontId="0" fillId="5" borderId="21" xfId="0" applyFill="1" applyBorder="1" applyProtection="1">
      <protection locked="0"/>
    </xf>
    <xf numFmtId="0" fontId="0" fillId="5" borderId="3" xfId="0" applyFill="1" applyBorder="1" applyProtection="1">
      <protection locked="0"/>
    </xf>
    <xf numFmtId="0" fontId="0" fillId="5" borderId="11" xfId="0" applyFill="1" applyBorder="1" applyProtection="1">
      <protection locked="0"/>
    </xf>
    <xf numFmtId="0" fontId="9" fillId="0" borderId="0" xfId="0" applyFont="1" applyProtection="1"/>
    <xf numFmtId="0" fontId="4" fillId="0" borderId="0" xfId="0" applyFont="1" applyProtection="1"/>
    <xf numFmtId="0" fontId="0" fillId="0" borderId="0" xfId="0" applyBorder="1" applyProtection="1"/>
    <xf numFmtId="3" fontId="0" fillId="0" borderId="0" xfId="0" applyNumberFormat="1" applyBorder="1" applyProtection="1"/>
    <xf numFmtId="2" fontId="0" fillId="0" borderId="1" xfId="0" applyNumberFormat="1" applyBorder="1" applyAlignment="1" applyProtection="1">
      <alignment horizontal="center"/>
    </xf>
    <xf numFmtId="0" fontId="0" fillId="0" borderId="0" xfId="0" applyBorder="1" applyAlignment="1" applyProtection="1">
      <alignment horizontal="left"/>
    </xf>
    <xf numFmtId="0" fontId="0" fillId="2" borderId="31" xfId="0" applyFill="1" applyBorder="1" applyAlignment="1" applyProtection="1">
      <alignment horizontal="center" wrapText="1"/>
    </xf>
    <xf numFmtId="0" fontId="0" fillId="2" borderId="32" xfId="0" applyFill="1" applyBorder="1" applyAlignment="1" applyProtection="1">
      <alignment horizontal="center" wrapText="1"/>
    </xf>
    <xf numFmtId="2" fontId="0" fillId="2" borderId="32" xfId="0" applyNumberFormat="1" applyFill="1" applyBorder="1" applyAlignment="1" applyProtection="1">
      <alignment horizontal="center" wrapText="1"/>
    </xf>
    <xf numFmtId="3" fontId="0" fillId="2" borderId="32" xfId="0" applyNumberFormat="1" applyFill="1" applyBorder="1" applyAlignment="1" applyProtection="1">
      <alignment horizontal="center" wrapText="1"/>
    </xf>
    <xf numFmtId="0" fontId="0" fillId="2" borderId="5" xfId="0" applyFill="1" applyBorder="1" applyAlignment="1" applyProtection="1">
      <alignment horizontal="center" wrapText="1"/>
    </xf>
    <xf numFmtId="0" fontId="0" fillId="2" borderId="6" xfId="0" applyFill="1" applyBorder="1" applyAlignment="1" applyProtection="1">
      <alignment horizontal="center" wrapText="1"/>
    </xf>
    <xf numFmtId="2" fontId="0" fillId="2" borderId="6" xfId="0" applyNumberFormat="1" applyFill="1" applyBorder="1" applyAlignment="1" applyProtection="1">
      <alignment horizontal="center" wrapText="1"/>
    </xf>
    <xf numFmtId="3" fontId="0" fillId="2" borderId="6" xfId="0" applyNumberFormat="1" applyFill="1" applyBorder="1" applyAlignment="1" applyProtection="1">
      <alignment horizontal="center" wrapText="1"/>
    </xf>
    <xf numFmtId="3" fontId="0" fillId="2" borderId="18" xfId="0" applyNumberFormat="1" applyFill="1" applyBorder="1" applyAlignment="1" applyProtection="1">
      <alignment horizontal="center" wrapText="1"/>
    </xf>
    <xf numFmtId="0" fontId="0" fillId="0" borderId="7" xfId="0" applyBorder="1" applyProtection="1"/>
    <xf numFmtId="0" fontId="0" fillId="0" borderId="12" xfId="0" applyBorder="1" applyProtection="1"/>
    <xf numFmtId="2" fontId="0" fillId="0" borderId="12" xfId="0" applyNumberFormat="1" applyBorder="1" applyProtection="1"/>
    <xf numFmtId="3" fontId="0" fillId="0" borderId="12" xfId="0" applyNumberFormat="1" applyBorder="1" applyProtection="1"/>
    <xf numFmtId="3" fontId="0" fillId="0" borderId="23" xfId="0" applyNumberFormat="1" applyBorder="1" applyProtection="1"/>
    <xf numFmtId="3" fontId="0" fillId="0" borderId="32" xfId="0" applyNumberFormat="1" applyBorder="1" applyProtection="1"/>
    <xf numFmtId="3" fontId="0" fillId="0" borderId="33" xfId="0" applyNumberFormat="1" applyBorder="1" applyProtection="1"/>
    <xf numFmtId="3" fontId="0" fillId="0" borderId="30" xfId="0" applyNumberFormat="1" applyBorder="1" applyProtection="1"/>
    <xf numFmtId="3" fontId="0" fillId="0" borderId="6" xfId="0" applyNumberFormat="1" applyBorder="1" applyProtection="1"/>
    <xf numFmtId="0" fontId="8" fillId="0" borderId="0" xfId="0" applyFont="1"/>
    <xf numFmtId="0" fontId="8" fillId="3" borderId="19" xfId="0" applyFont="1" applyFill="1" applyBorder="1"/>
    <xf numFmtId="0" fontId="10" fillId="0" borderId="0" xfId="0" applyFont="1" applyAlignment="1">
      <alignment horizontal="left"/>
    </xf>
    <xf numFmtId="0" fontId="8" fillId="6" borderId="35" xfId="0" applyFont="1" applyFill="1" applyBorder="1"/>
    <xf numFmtId="0" fontId="8" fillId="0" borderId="0" xfId="0" applyFont="1" applyBorder="1"/>
    <xf numFmtId="0" fontId="12" fillId="0" borderId="0" xfId="0" applyFont="1" applyFill="1" applyBorder="1"/>
    <xf numFmtId="0" fontId="2" fillId="6" borderId="35" xfId="0" applyFont="1" applyFill="1" applyBorder="1"/>
    <xf numFmtId="0" fontId="2" fillId="6" borderId="36" xfId="0" applyFont="1" applyFill="1" applyBorder="1"/>
    <xf numFmtId="0" fontId="2" fillId="6" borderId="37" xfId="0" applyFont="1" applyFill="1" applyBorder="1"/>
    <xf numFmtId="0" fontId="8" fillId="0" borderId="31" xfId="0" applyFont="1" applyBorder="1"/>
    <xf numFmtId="0" fontId="8" fillId="0" borderId="32" xfId="0" applyFont="1" applyBorder="1"/>
    <xf numFmtId="0" fontId="8" fillId="0" borderId="33" xfId="0" applyFont="1" applyBorder="1"/>
    <xf numFmtId="0" fontId="8" fillId="0" borderId="29" xfId="0" applyFont="1" applyBorder="1"/>
    <xf numFmtId="0" fontId="8" fillId="0" borderId="30" xfId="0" applyFont="1" applyBorder="1"/>
    <xf numFmtId="0" fontId="8" fillId="0" borderId="9" xfId="0" applyFont="1" applyBorder="1"/>
    <xf numFmtId="0" fontId="8" fillId="0" borderId="0" xfId="0" applyFont="1" applyFill="1" applyBorder="1"/>
    <xf numFmtId="0" fontId="8" fillId="0" borderId="5" xfId="0" applyFont="1" applyBorder="1"/>
    <xf numFmtId="0" fontId="8" fillId="0" borderId="6" xfId="0" applyFont="1" applyBorder="1"/>
    <xf numFmtId="0" fontId="8" fillId="0" borderId="18" xfId="0" applyFont="1" applyBorder="1"/>
    <xf numFmtId="0" fontId="12" fillId="0" borderId="0" xfId="0" applyFont="1"/>
    <xf numFmtId="0" fontId="2" fillId="6" borderId="31" xfId="0" applyFont="1" applyFill="1" applyBorder="1"/>
    <xf numFmtId="0" fontId="8" fillId="0" borderId="31" xfId="0" applyFont="1" applyBorder="1" applyAlignment="1">
      <alignment horizontal="center" vertical="top" wrapText="1"/>
    </xf>
    <xf numFmtId="0" fontId="8" fillId="0" borderId="38" xfId="0" applyFont="1" applyBorder="1" applyAlignment="1">
      <alignment horizontal="center" vertical="top" wrapText="1"/>
    </xf>
    <xf numFmtId="0" fontId="8" fillId="0" borderId="7" xfId="0" applyFont="1" applyBorder="1" applyAlignment="1">
      <alignment horizontal="center" vertical="top" wrapText="1"/>
    </xf>
    <xf numFmtId="0" fontId="8" fillId="3" borderId="33" xfId="0" applyFont="1" applyFill="1" applyBorder="1"/>
    <xf numFmtId="0" fontId="0" fillId="5" borderId="33" xfId="0" applyFill="1" applyBorder="1" applyProtection="1">
      <protection locked="0"/>
    </xf>
    <xf numFmtId="0" fontId="0" fillId="4" borderId="39" xfId="0" applyFill="1" applyBorder="1" applyProtection="1"/>
    <xf numFmtId="0" fontId="0" fillId="4" borderId="11" xfId="0" applyFill="1" applyBorder="1" applyProtection="1"/>
    <xf numFmtId="0" fontId="0" fillId="4" borderId="40" xfId="0" applyFill="1" applyBorder="1" applyProtection="1"/>
    <xf numFmtId="3" fontId="0" fillId="0" borderId="31" xfId="0" applyNumberFormat="1" applyBorder="1" applyProtection="1"/>
    <xf numFmtId="3" fontId="0" fillId="0" borderId="29" xfId="0" applyNumberFormat="1" applyBorder="1" applyProtection="1"/>
    <xf numFmtId="3" fontId="0" fillId="0" borderId="9" xfId="0" applyNumberFormat="1" applyBorder="1" applyProtection="1"/>
    <xf numFmtId="3" fontId="0" fillId="0" borderId="5" xfId="0" applyNumberFormat="1" applyBorder="1" applyProtection="1"/>
    <xf numFmtId="3" fontId="0" fillId="0" borderId="18" xfId="0" applyNumberFormat="1" applyBorder="1" applyProtection="1"/>
    <xf numFmtId="0" fontId="13" fillId="2" borderId="7" xfId="0" applyFont="1" applyFill="1" applyBorder="1" applyAlignment="1" applyProtection="1">
      <alignment horizontal="center" wrapText="1"/>
    </xf>
    <xf numFmtId="0" fontId="13" fillId="2" borderId="12" xfId="0" applyFont="1" applyFill="1" applyBorder="1" applyAlignment="1" applyProtection="1">
      <alignment horizontal="center" wrapText="1"/>
    </xf>
    <xf numFmtId="2" fontId="13" fillId="2" borderId="12" xfId="0" applyNumberFormat="1" applyFont="1" applyFill="1" applyBorder="1" applyAlignment="1" applyProtection="1">
      <alignment horizontal="center" wrapText="1"/>
    </xf>
    <xf numFmtId="3" fontId="13" fillId="2" borderId="12" xfId="0" applyNumberFormat="1" applyFont="1" applyFill="1" applyBorder="1" applyAlignment="1" applyProtection="1">
      <alignment horizontal="center" wrapText="1"/>
    </xf>
    <xf numFmtId="3" fontId="13" fillId="2" borderId="23" xfId="0" applyNumberFormat="1" applyFont="1" applyFill="1" applyBorder="1" applyAlignment="1" applyProtection="1">
      <alignment horizontal="center" wrapText="1"/>
    </xf>
    <xf numFmtId="0" fontId="0" fillId="2" borderId="39" xfId="0" applyFill="1" applyBorder="1" applyAlignment="1" applyProtection="1">
      <alignment horizontal="left"/>
    </xf>
    <xf numFmtId="0" fontId="0" fillId="2" borderId="41" xfId="0" applyFill="1" applyBorder="1" applyAlignment="1" applyProtection="1">
      <alignment horizontal="left"/>
    </xf>
    <xf numFmtId="0" fontId="0" fillId="2" borderId="2" xfId="0" applyFill="1" applyBorder="1" applyAlignment="1" applyProtection="1">
      <alignment horizontal="left"/>
    </xf>
    <xf numFmtId="0" fontId="0" fillId="2" borderId="42" xfId="0" applyFill="1" applyBorder="1" applyAlignment="1" applyProtection="1">
      <alignment horizontal="left"/>
    </xf>
    <xf numFmtId="0" fontId="0" fillId="2" borderId="43" xfId="0" applyFill="1" applyBorder="1" applyAlignment="1" applyProtection="1">
      <alignment horizontal="left"/>
    </xf>
    <xf numFmtId="0" fontId="0" fillId="2" borderId="44" xfId="0" applyFill="1" applyBorder="1" applyAlignment="1" applyProtection="1">
      <alignment horizontal="left"/>
    </xf>
    <xf numFmtId="166" fontId="0" fillId="0" borderId="3" xfId="0" applyNumberFormat="1" applyBorder="1" applyAlignment="1" applyProtection="1">
      <alignment horizontal="center"/>
    </xf>
    <xf numFmtId="3" fontId="0" fillId="2" borderId="26" xfId="0" applyNumberFormat="1" applyFill="1" applyBorder="1" applyAlignment="1" applyProtection="1">
      <alignment horizontal="center" wrapText="1"/>
    </xf>
    <xf numFmtId="0" fontId="0" fillId="2" borderId="45" xfId="0" applyFill="1" applyBorder="1" applyAlignment="1" applyProtection="1">
      <alignment horizontal="left"/>
    </xf>
    <xf numFmtId="0" fontId="0" fillId="2" borderId="46" xfId="0" applyFill="1" applyBorder="1" applyAlignment="1" applyProtection="1">
      <alignment horizontal="left"/>
    </xf>
    <xf numFmtId="0" fontId="0" fillId="2" borderId="24" xfId="0" applyFill="1" applyBorder="1" applyAlignment="1" applyProtection="1">
      <alignment horizontal="left"/>
    </xf>
    <xf numFmtId="166" fontId="0" fillId="0" borderId="26" xfId="0" applyNumberFormat="1" applyBorder="1" applyAlignment="1" applyProtection="1">
      <alignment horizontal="center"/>
    </xf>
    <xf numFmtId="0" fontId="13" fillId="2" borderId="47" xfId="0" applyFont="1" applyFill="1" applyBorder="1" applyAlignment="1" applyProtection="1">
      <alignment horizontal="left"/>
    </xf>
    <xf numFmtId="0" fontId="13" fillId="2" borderId="48" xfId="0" applyFont="1" applyFill="1" applyBorder="1" applyAlignment="1" applyProtection="1">
      <alignment horizontal="left"/>
    </xf>
    <xf numFmtId="0" fontId="13" fillId="2" borderId="34" xfId="0" applyFont="1" applyFill="1" applyBorder="1" applyAlignment="1" applyProtection="1">
      <alignment horizontal="left"/>
    </xf>
    <xf numFmtId="0" fontId="0" fillId="2" borderId="49" xfId="0" applyFill="1" applyBorder="1"/>
    <xf numFmtId="0" fontId="0" fillId="2" borderId="50" xfId="0" applyFill="1" applyBorder="1"/>
    <xf numFmtId="0" fontId="0" fillId="3" borderId="45" xfId="0" applyFill="1" applyBorder="1"/>
    <xf numFmtId="0" fontId="0" fillId="3" borderId="34" xfId="0" applyFill="1" applyBorder="1"/>
    <xf numFmtId="0" fontId="2" fillId="5" borderId="21" xfId="0" applyFont="1" applyFill="1" applyBorder="1"/>
    <xf numFmtId="0" fontId="8" fillId="5" borderId="24" xfId="0" applyFont="1" applyFill="1" applyBorder="1"/>
    <xf numFmtId="0" fontId="0" fillId="0" borderId="11" xfId="0" applyFill="1" applyBorder="1" applyProtection="1">
      <protection locked="0"/>
    </xf>
    <xf numFmtId="3" fontId="0" fillId="0" borderId="51" xfId="0" applyNumberFormat="1" applyBorder="1" applyProtection="1"/>
    <xf numFmtId="3" fontId="0" fillId="0" borderId="28" xfId="0" applyNumberFormat="1" applyBorder="1" applyProtection="1"/>
    <xf numFmtId="0" fontId="0" fillId="5" borderId="25" xfId="0" applyFill="1" applyBorder="1" applyProtection="1">
      <protection locked="0"/>
    </xf>
    <xf numFmtId="0" fontId="15" fillId="0" borderId="0" xfId="0" applyFont="1"/>
    <xf numFmtId="0" fontId="2" fillId="0" borderId="0" xfId="0" applyFont="1" applyFill="1" applyBorder="1" applyAlignment="1">
      <alignment horizontal="center" vertical="top" wrapText="1"/>
    </xf>
    <xf numFmtId="0" fontId="2" fillId="0" borderId="0" xfId="0" applyFont="1" applyFill="1" applyBorder="1" applyAlignment="1">
      <alignment horizontal="center"/>
    </xf>
    <xf numFmtId="0" fontId="8" fillId="0" borderId="0" xfId="0" applyFont="1" applyFill="1" applyBorder="1" applyAlignment="1">
      <alignment horizontal="center" vertical="top" wrapText="1"/>
    </xf>
    <xf numFmtId="0" fontId="8" fillId="2" borderId="0" xfId="0" applyFont="1" applyFill="1"/>
    <xf numFmtId="0" fontId="8" fillId="0" borderId="52" xfId="0" applyFont="1" applyFill="1" applyBorder="1"/>
    <xf numFmtId="0" fontId="8" fillId="0" borderId="27" xfId="0" applyFont="1" applyBorder="1"/>
    <xf numFmtId="0" fontId="10" fillId="2" borderId="0" xfId="0" applyFont="1" applyFill="1"/>
    <xf numFmtId="0" fontId="8" fillId="6" borderId="36" xfId="0" applyFont="1" applyFill="1" applyBorder="1"/>
    <xf numFmtId="0" fontId="8" fillId="5" borderId="29" xfId="0" applyFont="1" applyFill="1" applyBorder="1" applyAlignment="1">
      <alignment horizontal="center"/>
    </xf>
    <xf numFmtId="0" fontId="8" fillId="5" borderId="5" xfId="0" applyFont="1" applyFill="1" applyBorder="1" applyAlignment="1">
      <alignment horizontal="center"/>
    </xf>
    <xf numFmtId="0" fontId="2" fillId="6" borderId="33" xfId="0" applyFont="1" applyFill="1" applyBorder="1" applyAlignment="1">
      <alignment vertical="top" wrapText="1"/>
    </xf>
    <xf numFmtId="0" fontId="2" fillId="6" borderId="18" xfId="0" applyFont="1" applyFill="1" applyBorder="1" applyAlignment="1">
      <alignment vertical="top" wrapText="1"/>
    </xf>
    <xf numFmtId="0" fontId="0" fillId="0" borderId="53" xfId="0" applyBorder="1"/>
    <xf numFmtId="0" fontId="2" fillId="2" borderId="26" xfId="0" applyFont="1" applyFill="1" applyBorder="1" applyAlignment="1">
      <alignment horizontal="center"/>
    </xf>
    <xf numFmtId="0" fontId="2" fillId="2" borderId="16" xfId="0" applyFont="1" applyFill="1" applyBorder="1" applyAlignment="1">
      <alignment horizontal="center"/>
    </xf>
    <xf numFmtId="0" fontId="8" fillId="0" borderId="0" xfId="0" applyFont="1" applyAlignment="1">
      <alignment wrapText="1"/>
    </xf>
    <xf numFmtId="0" fontId="0" fillId="2" borderId="54" xfId="0" applyFill="1" applyBorder="1"/>
    <xf numFmtId="0" fontId="0" fillId="2" borderId="4" xfId="0" applyFill="1" applyBorder="1"/>
    <xf numFmtId="0" fontId="8" fillId="6" borderId="0" xfId="0" applyFont="1" applyFill="1" applyBorder="1"/>
    <xf numFmtId="49" fontId="8" fillId="0" borderId="33" xfId="0" applyNumberFormat="1" applyFont="1" applyBorder="1" applyAlignment="1">
      <alignment horizontal="center" vertical="top" wrapText="1"/>
    </xf>
    <xf numFmtId="49" fontId="8" fillId="0" borderId="19" xfId="0" applyNumberFormat="1" applyFont="1" applyBorder="1" applyAlignment="1">
      <alignment horizontal="center" vertical="top" wrapText="1"/>
    </xf>
    <xf numFmtId="49" fontId="8" fillId="0" borderId="55" xfId="0" applyNumberFormat="1" applyFont="1" applyBorder="1" applyAlignment="1">
      <alignment horizontal="center" vertical="top" wrapText="1"/>
    </xf>
    <xf numFmtId="49" fontId="8" fillId="0" borderId="23" xfId="0" applyNumberFormat="1" applyFont="1" applyBorder="1" applyAlignment="1">
      <alignment horizontal="center" vertical="top" wrapText="1"/>
    </xf>
    <xf numFmtId="0" fontId="0" fillId="3" borderId="31" xfId="0" applyFill="1" applyBorder="1" applyAlignment="1">
      <alignment horizontal="right"/>
    </xf>
    <xf numFmtId="0" fontId="0" fillId="3" borderId="38" xfId="0" applyFill="1" applyBorder="1" applyAlignment="1">
      <alignment horizontal="right"/>
    </xf>
    <xf numFmtId="0" fontId="0" fillId="3" borderId="29" xfId="0" applyFill="1" applyBorder="1" applyAlignment="1">
      <alignment horizontal="right"/>
    </xf>
    <xf numFmtId="0" fontId="0" fillId="3" borderId="14" xfId="0" applyFill="1" applyBorder="1" applyAlignment="1">
      <alignment horizontal="right"/>
    </xf>
    <xf numFmtId="0" fontId="8" fillId="0" borderId="29" xfId="0" applyFont="1" applyBorder="1" applyAlignment="1">
      <alignment horizontal="center" vertical="top"/>
    </xf>
    <xf numFmtId="0" fontId="8" fillId="0" borderId="38" xfId="0" applyFont="1" applyBorder="1" applyAlignment="1">
      <alignment horizontal="center" vertical="top"/>
    </xf>
    <xf numFmtId="0" fontId="2" fillId="6" borderId="45" xfId="0" applyFont="1" applyFill="1" applyBorder="1" applyAlignment="1">
      <alignment vertical="top"/>
    </xf>
    <xf numFmtId="49" fontId="8" fillId="0" borderId="19" xfId="0" applyNumberFormat="1" applyFont="1" applyBorder="1" applyAlignment="1">
      <alignment horizontal="center" vertical="top"/>
    </xf>
    <xf numFmtId="49" fontId="8" fillId="0" borderId="9" xfId="0" applyNumberFormat="1" applyFont="1" applyBorder="1" applyAlignment="1">
      <alignment horizontal="center" vertical="top"/>
    </xf>
    <xf numFmtId="0" fontId="8" fillId="6" borderId="49" xfId="0" applyFont="1" applyFill="1" applyBorder="1"/>
    <xf numFmtId="0" fontId="8" fillId="0" borderId="44" xfId="0" applyFont="1" applyBorder="1" applyAlignment="1">
      <alignment horizontal="center" vertical="top" wrapText="1"/>
    </xf>
    <xf numFmtId="0" fontId="8" fillId="0" borderId="56" xfId="0" applyFont="1" applyBorder="1" applyAlignment="1">
      <alignment horizontal="center" vertical="top" wrapText="1"/>
    </xf>
    <xf numFmtId="0" fontId="8" fillId="0" borderId="10" xfId="0" applyFont="1" applyBorder="1" applyAlignment="1">
      <alignment horizontal="center" vertical="top" wrapText="1"/>
    </xf>
    <xf numFmtId="49" fontId="8" fillId="0" borderId="47" xfId="0" quotePrefix="1" applyNumberFormat="1" applyFont="1" applyBorder="1" applyAlignment="1">
      <alignment horizontal="center" vertical="top" wrapText="1"/>
    </xf>
    <xf numFmtId="0" fontId="8" fillId="0" borderId="0" xfId="0" applyFont="1" applyAlignment="1">
      <alignment vertical="top"/>
    </xf>
    <xf numFmtId="0" fontId="8" fillId="6" borderId="26" xfId="0" applyFont="1" applyFill="1" applyBorder="1" applyAlignment="1">
      <alignment wrapText="1"/>
    </xf>
    <xf numFmtId="0" fontId="8" fillId="0" borderId="0" xfId="0" applyFont="1" applyFill="1" applyBorder="1" applyAlignment="1">
      <alignment vertical="top" wrapText="1"/>
    </xf>
    <xf numFmtId="0" fontId="2" fillId="6" borderId="25" xfId="0" applyFont="1" applyFill="1" applyBorder="1" applyAlignment="1">
      <alignment vertical="top" wrapText="1"/>
    </xf>
    <xf numFmtId="0" fontId="2" fillId="6" borderId="1" xfId="0" applyFont="1" applyFill="1" applyBorder="1" applyAlignment="1">
      <alignment vertical="top" wrapText="1"/>
    </xf>
    <xf numFmtId="168" fontId="0" fillId="0" borderId="29" xfId="0" applyNumberFormat="1" applyBorder="1" applyAlignment="1">
      <alignment vertical="top"/>
    </xf>
    <xf numFmtId="168" fontId="0" fillId="0" borderId="30" xfId="0" applyNumberFormat="1" applyBorder="1" applyAlignment="1">
      <alignment vertical="top"/>
    </xf>
    <xf numFmtId="0" fontId="0" fillId="0" borderId="30" xfId="0" applyBorder="1" applyAlignment="1">
      <alignment vertical="top"/>
    </xf>
    <xf numFmtId="168" fontId="0" fillId="0" borderId="5" xfId="0" applyNumberFormat="1" applyBorder="1" applyAlignment="1">
      <alignment vertical="top"/>
    </xf>
    <xf numFmtId="168" fontId="0" fillId="0" borderId="6" xfId="0" applyNumberFormat="1" applyBorder="1" applyAlignment="1">
      <alignment vertical="top"/>
    </xf>
    <xf numFmtId="0" fontId="2" fillId="6" borderId="28" xfId="0" applyFont="1" applyFill="1" applyBorder="1" applyAlignment="1">
      <alignment horizontal="center" wrapText="1"/>
    </xf>
    <xf numFmtId="2" fontId="0" fillId="0" borderId="31" xfId="0" applyNumberFormat="1" applyBorder="1" applyAlignment="1">
      <alignment vertical="top"/>
    </xf>
    <xf numFmtId="2" fontId="0" fillId="0" borderId="29" xfId="0" applyNumberFormat="1" applyBorder="1" applyAlignment="1">
      <alignment vertical="top"/>
    </xf>
    <xf numFmtId="2" fontId="0" fillId="0" borderId="5" xfId="0" applyNumberFormat="1" applyBorder="1" applyAlignment="1">
      <alignment vertical="top"/>
    </xf>
    <xf numFmtId="2" fontId="8" fillId="0" borderId="33" xfId="0" applyNumberFormat="1" applyFont="1" applyBorder="1" applyAlignment="1">
      <alignment vertical="top"/>
    </xf>
    <xf numFmtId="2" fontId="8" fillId="0" borderId="9" xfId="0" applyNumberFormat="1" applyFont="1" applyBorder="1" applyAlignment="1">
      <alignment vertical="top"/>
    </xf>
    <xf numFmtId="2" fontId="8" fillId="0" borderId="18" xfId="0" applyNumberFormat="1" applyFont="1" applyBorder="1" applyAlignment="1">
      <alignment vertical="top"/>
    </xf>
    <xf numFmtId="168" fontId="8" fillId="0" borderId="0" xfId="0" applyNumberFormat="1" applyFont="1"/>
    <xf numFmtId="169" fontId="8" fillId="0" borderId="0" xfId="2" applyNumberFormat="1" applyFont="1"/>
    <xf numFmtId="168" fontId="0" fillId="0" borderId="38" xfId="0" applyNumberFormat="1" applyBorder="1" applyAlignment="1">
      <alignment vertical="top"/>
    </xf>
    <xf numFmtId="168" fontId="0" fillId="0" borderId="51" xfId="0" applyNumberFormat="1" applyBorder="1" applyAlignment="1">
      <alignment vertical="top"/>
    </xf>
    <xf numFmtId="0" fontId="2" fillId="6" borderId="27" xfId="0" applyFont="1" applyFill="1" applyBorder="1" applyAlignment="1">
      <alignment horizontal="center" wrapText="1"/>
    </xf>
    <xf numFmtId="0" fontId="0" fillId="3" borderId="16" xfId="0" applyFill="1" applyBorder="1"/>
    <xf numFmtId="0" fontId="2" fillId="6" borderId="29" xfId="0" applyFont="1" applyFill="1" applyBorder="1" applyAlignment="1">
      <alignment vertical="top" wrapText="1"/>
    </xf>
    <xf numFmtId="0" fontId="2" fillId="6" borderId="9" xfId="0" applyFont="1" applyFill="1" applyBorder="1" applyAlignment="1">
      <alignment vertical="top" wrapText="1"/>
    </xf>
    <xf numFmtId="0" fontId="2" fillId="6" borderId="5" xfId="0" applyFont="1" applyFill="1" applyBorder="1" applyAlignment="1">
      <alignment vertical="top" wrapText="1"/>
    </xf>
    <xf numFmtId="0" fontId="8" fillId="0" borderId="29" xfId="0" applyFont="1" applyBorder="1" applyAlignment="1">
      <alignment horizontal="center" vertical="top" wrapText="1"/>
    </xf>
    <xf numFmtId="49" fontId="8" fillId="0" borderId="9" xfId="0" applyNumberFormat="1" applyFont="1" applyBorder="1" applyAlignment="1">
      <alignment horizontal="center" vertical="top" wrapText="1"/>
    </xf>
    <xf numFmtId="0" fontId="8" fillId="0" borderId="43" xfId="0" applyFont="1" applyBorder="1" applyAlignment="1">
      <alignment horizontal="center" vertical="top" wrapText="1"/>
    </xf>
    <xf numFmtId="49" fontId="8" fillId="0" borderId="48" xfId="0" applyNumberFormat="1" applyFont="1" applyBorder="1" applyAlignment="1">
      <alignment horizontal="center" vertical="top" wrapText="1"/>
    </xf>
    <xf numFmtId="0" fontId="8" fillId="0" borderId="14" xfId="0" applyFont="1" applyBorder="1" applyAlignment="1">
      <alignment horizontal="center" vertical="top"/>
    </xf>
    <xf numFmtId="49" fontId="8" fillId="0" borderId="16" xfId="0" applyNumberFormat="1" applyFont="1" applyBorder="1" applyAlignment="1">
      <alignment horizontal="center" vertical="top"/>
    </xf>
    <xf numFmtId="0" fontId="2" fillId="6" borderId="11" xfId="0" applyFont="1" applyFill="1" applyBorder="1" applyAlignment="1">
      <alignment vertical="top" wrapText="1"/>
    </xf>
    <xf numFmtId="0" fontId="2" fillId="6" borderId="2" xfId="0" applyFont="1" applyFill="1" applyBorder="1" applyAlignment="1">
      <alignment vertical="top" wrapText="1"/>
    </xf>
    <xf numFmtId="0" fontId="2" fillId="6" borderId="57" xfId="0" applyFont="1" applyFill="1" applyBorder="1" applyAlignment="1">
      <alignment vertical="top" wrapText="1"/>
    </xf>
    <xf numFmtId="0" fontId="2" fillId="6" borderId="8" xfId="0" applyFont="1" applyFill="1" applyBorder="1" applyAlignment="1">
      <alignment vertical="top" wrapText="1"/>
    </xf>
    <xf numFmtId="0" fontId="2" fillId="6" borderId="27" xfId="0" applyFont="1" applyFill="1" applyBorder="1" applyAlignment="1">
      <alignment horizontal="center" vertical="top" wrapText="1"/>
    </xf>
    <xf numFmtId="0" fontId="2" fillId="6" borderId="21" xfId="0" applyFont="1" applyFill="1" applyBorder="1" applyAlignment="1">
      <alignment horizontal="center" wrapText="1"/>
    </xf>
    <xf numFmtId="0" fontId="2" fillId="6" borderId="24" xfId="0" applyFont="1" applyFill="1" applyBorder="1" applyAlignment="1">
      <alignment horizontal="center" vertical="top" wrapText="1"/>
    </xf>
    <xf numFmtId="0" fontId="2" fillId="6" borderId="27" xfId="0" applyFont="1" applyFill="1" applyBorder="1" applyAlignment="1">
      <alignment vertical="top" wrapText="1"/>
    </xf>
    <xf numFmtId="0" fontId="2" fillId="6" borderId="21" xfId="0" applyFont="1" applyFill="1" applyBorder="1" applyAlignment="1">
      <alignment vertical="top" wrapText="1"/>
    </xf>
    <xf numFmtId="0" fontId="8" fillId="0" borderId="27" xfId="0" applyFont="1" applyBorder="1" applyAlignment="1">
      <alignment horizontal="center" vertical="top" wrapText="1"/>
    </xf>
    <xf numFmtId="49" fontId="8" fillId="0" borderId="21" xfId="0" applyNumberFormat="1" applyFont="1" applyBorder="1" applyAlignment="1">
      <alignment horizontal="center" vertical="top" wrapText="1"/>
    </xf>
    <xf numFmtId="0" fontId="8" fillId="0" borderId="24" xfId="0" applyFont="1" applyBorder="1" applyAlignment="1">
      <alignment horizontal="center" vertical="top" wrapText="1"/>
    </xf>
    <xf numFmtId="49" fontId="8" fillId="0" borderId="34" xfId="0" applyNumberFormat="1" applyFont="1" applyBorder="1" applyAlignment="1">
      <alignment horizontal="center" vertical="top" wrapText="1"/>
    </xf>
    <xf numFmtId="3" fontId="0" fillId="0" borderId="0" xfId="0" applyNumberFormat="1" applyBorder="1" applyAlignment="1" applyProtection="1">
      <alignment wrapText="1"/>
    </xf>
    <xf numFmtId="0" fontId="0" fillId="2" borderId="57" xfId="0" applyFill="1" applyBorder="1" applyAlignment="1" applyProtection="1">
      <alignment horizontal="left"/>
    </xf>
    <xf numFmtId="0" fontId="0" fillId="2" borderId="58" xfId="0" applyFill="1" applyBorder="1" applyAlignment="1" applyProtection="1">
      <alignment horizontal="left"/>
    </xf>
    <xf numFmtId="0" fontId="0" fillId="2" borderId="59" xfId="0" applyFill="1" applyBorder="1" applyAlignment="1" applyProtection="1">
      <alignment horizontal="left"/>
    </xf>
    <xf numFmtId="0" fontId="13" fillId="2" borderId="60" xfId="0" applyFont="1" applyFill="1" applyBorder="1" applyAlignment="1" applyProtection="1">
      <alignment horizontal="left"/>
    </xf>
    <xf numFmtId="2" fontId="0" fillId="0" borderId="53" xfId="0" applyNumberFormat="1" applyBorder="1" applyAlignment="1" applyProtection="1">
      <alignment horizontal="center"/>
    </xf>
    <xf numFmtId="2" fontId="0" fillId="0" borderId="0" xfId="0" applyNumberFormat="1" applyBorder="1" applyProtection="1"/>
    <xf numFmtId="0" fontId="9" fillId="0" borderId="0" xfId="0" applyFont="1" applyBorder="1" applyProtection="1"/>
    <xf numFmtId="0" fontId="5" fillId="0" borderId="0" xfId="0" applyFont="1" applyBorder="1" applyProtection="1"/>
    <xf numFmtId="2" fontId="5" fillId="0" borderId="0" xfId="0" applyNumberFormat="1" applyFont="1" applyBorder="1" applyProtection="1"/>
    <xf numFmtId="3" fontId="5" fillId="0" borderId="0" xfId="0" applyNumberFormat="1" applyFont="1" applyBorder="1" applyProtection="1"/>
    <xf numFmtId="0" fontId="4" fillId="0" borderId="0" xfId="0" applyFont="1" applyBorder="1" applyProtection="1"/>
    <xf numFmtId="0" fontId="2" fillId="0" borderId="0" xfId="0" applyFont="1" applyBorder="1" applyProtection="1"/>
    <xf numFmtId="3" fontId="2" fillId="0" borderId="0" xfId="0" applyNumberFormat="1" applyFont="1" applyBorder="1" applyProtection="1"/>
    <xf numFmtId="0" fontId="2" fillId="0" borderId="0" xfId="0" applyFont="1" applyBorder="1" applyAlignment="1" applyProtection="1">
      <alignment wrapText="1"/>
    </xf>
    <xf numFmtId="0" fontId="0" fillId="0" borderId="0" xfId="0" applyBorder="1" applyAlignment="1" applyProtection="1">
      <alignment wrapText="1"/>
    </xf>
    <xf numFmtId="2" fontId="0" fillId="0" borderId="0" xfId="0" applyNumberFormat="1" applyBorder="1" applyAlignment="1" applyProtection="1">
      <alignment wrapText="1"/>
    </xf>
    <xf numFmtId="0" fontId="13" fillId="0" borderId="0" xfId="0" applyFont="1" applyBorder="1" applyProtection="1"/>
    <xf numFmtId="0" fontId="8" fillId="0" borderId="28" xfId="0" applyFont="1" applyBorder="1"/>
    <xf numFmtId="0" fontId="8" fillId="0" borderId="21" xfId="0" applyFont="1" applyBorder="1"/>
    <xf numFmtId="2" fontId="8" fillId="0" borderId="25" xfId="0" applyNumberFormat="1" applyFont="1" applyBorder="1" applyAlignment="1">
      <alignment vertical="top"/>
    </xf>
    <xf numFmtId="2" fontId="8" fillId="0" borderId="1" xfId="0" applyNumberFormat="1" applyFont="1" applyBorder="1" applyAlignment="1">
      <alignment vertical="top"/>
    </xf>
    <xf numFmtId="2" fontId="8" fillId="0" borderId="20" xfId="0" applyNumberFormat="1" applyFont="1" applyBorder="1" applyAlignment="1">
      <alignment vertical="top"/>
    </xf>
    <xf numFmtId="0" fontId="0" fillId="5" borderId="1" xfId="0" applyFill="1" applyBorder="1" applyProtection="1">
      <protection locked="0"/>
    </xf>
    <xf numFmtId="168" fontId="0" fillId="5" borderId="3" xfId="0" applyNumberFormat="1" applyFill="1" applyBorder="1" applyProtection="1">
      <protection locked="0"/>
    </xf>
    <xf numFmtId="168" fontId="0" fillId="5" borderId="1" xfId="0" applyNumberFormat="1" applyFill="1" applyBorder="1" applyProtection="1">
      <protection locked="0"/>
    </xf>
    <xf numFmtId="0" fontId="2" fillId="2" borderId="14" xfId="0" applyFont="1" applyFill="1" applyBorder="1" applyAlignment="1">
      <alignment horizontal="center"/>
    </xf>
    <xf numFmtId="0" fontId="15" fillId="0" borderId="0" xfId="0" applyFont="1" applyFill="1"/>
    <xf numFmtId="2" fontId="0" fillId="0" borderId="9" xfId="0" applyNumberFormat="1" applyBorder="1" applyAlignment="1">
      <alignment vertical="top"/>
    </xf>
    <xf numFmtId="2" fontId="8" fillId="0" borderId="28" xfId="0" applyNumberFormat="1" applyFont="1" applyBorder="1"/>
    <xf numFmtId="3" fontId="17" fillId="2" borderId="33" xfId="0" applyNumberFormat="1" applyFont="1" applyFill="1" applyBorder="1" applyAlignment="1" applyProtection="1">
      <alignment horizontal="center" wrapText="1"/>
    </xf>
    <xf numFmtId="0" fontId="0" fillId="2" borderId="11" xfId="0" applyFill="1" applyBorder="1" applyAlignment="1" applyProtection="1">
      <alignment horizontal="left"/>
    </xf>
    <xf numFmtId="0" fontId="0" fillId="2" borderId="61" xfId="0" applyFill="1" applyBorder="1" applyAlignment="1" applyProtection="1">
      <alignment horizontal="left"/>
    </xf>
    <xf numFmtId="0" fontId="0" fillId="2" borderId="56" xfId="0" applyFill="1" applyBorder="1" applyAlignment="1" applyProtection="1">
      <alignment horizontal="left"/>
    </xf>
    <xf numFmtId="0" fontId="13" fillId="2" borderId="55" xfId="0" applyFont="1" applyFill="1" applyBorder="1" applyAlignment="1" applyProtection="1">
      <alignment horizontal="left"/>
    </xf>
    <xf numFmtId="0" fontId="0" fillId="2" borderId="8" xfId="0" applyFill="1" applyBorder="1" applyAlignment="1" applyProtection="1">
      <alignment horizontal="left"/>
    </xf>
    <xf numFmtId="0" fontId="0" fillId="2" borderId="62" xfId="0" applyFill="1" applyBorder="1" applyAlignment="1" applyProtection="1">
      <alignment horizontal="left"/>
    </xf>
    <xf numFmtId="0" fontId="0" fillId="2" borderId="63" xfId="0" applyFill="1" applyBorder="1" applyAlignment="1" applyProtection="1">
      <alignment horizontal="left"/>
    </xf>
    <xf numFmtId="0" fontId="13" fillId="2" borderId="64" xfId="0" applyFont="1" applyFill="1" applyBorder="1" applyAlignment="1" applyProtection="1">
      <alignment horizontal="left"/>
    </xf>
    <xf numFmtId="166" fontId="0" fillId="0" borderId="20" xfId="0" applyNumberFormat="1" applyBorder="1" applyAlignment="1" applyProtection="1">
      <alignment horizontal="center"/>
    </xf>
    <xf numFmtId="165" fontId="0" fillId="0" borderId="1" xfId="0" applyNumberFormat="1" applyBorder="1" applyAlignment="1" applyProtection="1">
      <alignment horizontal="center"/>
    </xf>
    <xf numFmtId="2" fontId="2" fillId="0" borderId="0" xfId="0" applyNumberFormat="1" applyFont="1" applyBorder="1" applyProtection="1">
      <protection locked="0"/>
    </xf>
    <xf numFmtId="0" fontId="0" fillId="0" borderId="0" xfId="0" applyFill="1" applyBorder="1"/>
    <xf numFmtId="0" fontId="0" fillId="5" borderId="2" xfId="0" applyFill="1" applyBorder="1" applyProtection="1">
      <protection locked="0"/>
    </xf>
    <xf numFmtId="0" fontId="0" fillId="5" borderId="8" xfId="0" applyFill="1" applyBorder="1" applyProtection="1">
      <protection locked="0"/>
    </xf>
    <xf numFmtId="0" fontId="1" fillId="0" borderId="52" xfId="0" applyFont="1" applyFill="1" applyBorder="1" applyAlignment="1">
      <alignment horizontal="center"/>
    </xf>
    <xf numFmtId="0" fontId="0" fillId="0" borderId="54" xfId="0" applyFill="1" applyBorder="1"/>
    <xf numFmtId="9" fontId="0" fillId="0" borderId="65" xfId="2" applyFont="1" applyFill="1" applyBorder="1"/>
    <xf numFmtId="0" fontId="0" fillId="0" borderId="4" xfId="0" applyFill="1" applyBorder="1"/>
    <xf numFmtId="9" fontId="0" fillId="0" borderId="28" xfId="0" applyNumberFormat="1" applyFill="1" applyBorder="1"/>
    <xf numFmtId="2" fontId="8" fillId="0" borderId="66" xfId="0" applyNumberFormat="1" applyFont="1" applyBorder="1"/>
    <xf numFmtId="2" fontId="8" fillId="0" borderId="26" xfId="0" applyNumberFormat="1" applyFont="1" applyBorder="1"/>
    <xf numFmtId="0" fontId="20" fillId="2" borderId="52" xfId="0" applyFont="1" applyFill="1" applyBorder="1" applyAlignment="1">
      <alignment wrapText="1"/>
    </xf>
    <xf numFmtId="0" fontId="19" fillId="0" borderId="25" xfId="0" applyFont="1" applyFill="1" applyBorder="1"/>
    <xf numFmtId="0" fontId="19" fillId="0" borderId="1" xfId="0" applyFont="1" applyBorder="1"/>
    <xf numFmtId="0" fontId="19" fillId="0" borderId="20" xfId="0" applyFont="1" applyBorder="1"/>
    <xf numFmtId="0" fontId="0" fillId="0" borderId="31" xfId="0" applyFill="1" applyBorder="1"/>
    <xf numFmtId="0" fontId="0" fillId="0" borderId="29" xfId="0" applyBorder="1"/>
    <xf numFmtId="0" fontId="0" fillId="0" borderId="5" xfId="0" applyBorder="1"/>
    <xf numFmtId="0" fontId="0" fillId="3" borderId="67" xfId="0" applyFill="1" applyBorder="1"/>
    <xf numFmtId="0" fontId="0" fillId="3" borderId="68" xfId="0" applyFill="1" applyBorder="1"/>
    <xf numFmtId="9" fontId="0" fillId="3" borderId="33" xfId="2" applyFont="1" applyFill="1" applyBorder="1"/>
    <xf numFmtId="0" fontId="0" fillId="0" borderId="5" xfId="0" applyFill="1" applyBorder="1"/>
    <xf numFmtId="9" fontId="0" fillId="3" borderId="18" xfId="2" applyFont="1" applyFill="1" applyBorder="1"/>
    <xf numFmtId="0" fontId="8" fillId="0" borderId="25" xfId="0" applyFont="1" applyFill="1" applyBorder="1"/>
    <xf numFmtId="0" fontId="8" fillId="0" borderId="20" xfId="0" applyFont="1" applyFill="1" applyBorder="1"/>
    <xf numFmtId="0" fontId="0" fillId="3" borderId="69" xfId="0" applyFill="1" applyBorder="1"/>
    <xf numFmtId="2" fontId="0" fillId="9" borderId="32" xfId="0" applyNumberFormat="1" applyFill="1" applyBorder="1" applyProtection="1">
      <protection locked="0"/>
    </xf>
    <xf numFmtId="2" fontId="0" fillId="9" borderId="30" xfId="0" applyNumberFormat="1" applyFill="1" applyBorder="1" applyProtection="1">
      <protection locked="0"/>
    </xf>
    <xf numFmtId="2" fontId="0" fillId="9" borderId="6" xfId="0" applyNumberFormat="1" applyFill="1" applyBorder="1" applyProtection="1">
      <protection locked="0"/>
    </xf>
    <xf numFmtId="168" fontId="0" fillId="5" borderId="20" xfId="0" applyNumberFormat="1" applyFill="1" applyBorder="1" applyProtection="1">
      <protection locked="0"/>
    </xf>
    <xf numFmtId="0" fontId="0" fillId="9" borderId="31" xfId="0" applyFill="1" applyBorder="1" applyProtection="1">
      <protection locked="0"/>
    </xf>
    <xf numFmtId="0" fontId="0" fillId="9" borderId="33" xfId="0" applyFill="1" applyBorder="1" applyProtection="1">
      <protection locked="0"/>
    </xf>
    <xf numFmtId="0" fontId="0" fillId="9" borderId="29" xfId="0" applyFill="1" applyBorder="1" applyProtection="1">
      <protection locked="0"/>
    </xf>
    <xf numFmtId="0" fontId="0" fillId="9" borderId="9" xfId="0" applyFill="1" applyBorder="1" applyProtection="1">
      <protection locked="0"/>
    </xf>
    <xf numFmtId="0" fontId="0" fillId="9" borderId="5" xfId="0" applyFill="1" applyBorder="1" applyProtection="1">
      <protection locked="0"/>
    </xf>
    <xf numFmtId="0" fontId="0" fillId="9" borderId="18" xfId="0" applyFill="1" applyBorder="1" applyProtection="1">
      <protection locked="0"/>
    </xf>
    <xf numFmtId="0" fontId="0" fillId="0" borderId="7" xfId="0" applyBorder="1" applyProtection="1">
      <protection locked="0"/>
    </xf>
    <xf numFmtId="0" fontId="0" fillId="0" borderId="23" xfId="0" applyBorder="1" applyProtection="1">
      <protection locked="0"/>
    </xf>
    <xf numFmtId="0" fontId="2" fillId="2" borderId="27" xfId="0" applyFont="1" applyFill="1" applyBorder="1" applyProtection="1">
      <protection locked="0"/>
    </xf>
    <xf numFmtId="0" fontId="2" fillId="2" borderId="21" xfId="0" applyFont="1" applyFill="1" applyBorder="1" applyProtection="1">
      <protection locked="0"/>
    </xf>
    <xf numFmtId="0" fontId="2" fillId="2" borderId="24" xfId="0" applyFont="1" applyFill="1" applyBorder="1" applyProtection="1">
      <protection locked="0"/>
    </xf>
    <xf numFmtId="0" fontId="2" fillId="2" borderId="27" xfId="0" applyFont="1" applyFill="1" applyBorder="1" applyAlignment="1" applyProtection="1">
      <alignment horizontal="center"/>
    </xf>
    <xf numFmtId="0" fontId="2" fillId="2" borderId="21" xfId="0" applyFont="1" applyFill="1" applyBorder="1" applyAlignment="1" applyProtection="1">
      <alignment horizontal="center"/>
    </xf>
    <xf numFmtId="0" fontId="2" fillId="2" borderId="17" xfId="0" applyFont="1" applyFill="1" applyBorder="1" applyAlignment="1" applyProtection="1">
      <alignment horizontal="center"/>
    </xf>
    <xf numFmtId="0" fontId="2" fillId="2" borderId="4" xfId="0" applyFont="1" applyFill="1" applyBorder="1" applyAlignment="1" applyProtection="1">
      <alignment horizontal="center"/>
    </xf>
    <xf numFmtId="0" fontId="2" fillId="6" borderId="26" xfId="0" applyFont="1" applyFill="1" applyBorder="1" applyAlignment="1" applyProtection="1">
      <alignment horizontal="center" vertical="top" wrapText="1"/>
      <protection locked="0"/>
    </xf>
    <xf numFmtId="0" fontId="8" fillId="0" borderId="26" xfId="0" applyFont="1" applyBorder="1" applyProtection="1">
      <protection locked="0"/>
    </xf>
    <xf numFmtId="0" fontId="2" fillId="6" borderId="26" xfId="0" applyFont="1" applyFill="1" applyBorder="1" applyAlignment="1" applyProtection="1">
      <alignment horizontal="center"/>
      <protection locked="0"/>
    </xf>
    <xf numFmtId="0" fontId="8" fillId="6" borderId="70" xfId="0" applyFont="1" applyFill="1" applyBorder="1" applyAlignment="1" applyProtection="1">
      <alignment wrapText="1"/>
      <protection locked="0"/>
    </xf>
    <xf numFmtId="0" fontId="8" fillId="0" borderId="50" xfId="0" applyFont="1" applyBorder="1" applyProtection="1">
      <protection locked="0"/>
    </xf>
    <xf numFmtId="0" fontId="0" fillId="0" borderId="0" xfId="0" applyProtection="1"/>
    <xf numFmtId="2" fontId="4" fillId="0" borderId="0" xfId="0" applyNumberFormat="1" applyFont="1" applyProtection="1"/>
    <xf numFmtId="2" fontId="0" fillId="0" borderId="0" xfId="0" applyNumberFormat="1" applyProtection="1"/>
    <xf numFmtId="0" fontId="2" fillId="0" borderId="0" xfId="0" applyFont="1" applyAlignment="1" applyProtection="1">
      <alignment wrapText="1"/>
    </xf>
    <xf numFmtId="0" fontId="2" fillId="2" borderId="27" xfId="0" applyFont="1" applyFill="1" applyBorder="1" applyAlignment="1" applyProtection="1">
      <alignment horizontal="center" wrapText="1"/>
    </xf>
    <xf numFmtId="0" fontId="2" fillId="2" borderId="34" xfId="0" applyFont="1" applyFill="1" applyBorder="1" applyAlignment="1" applyProtection="1">
      <alignment horizontal="center" wrapText="1"/>
    </xf>
    <xf numFmtId="0" fontId="2" fillId="2" borderId="45" xfId="0" applyFont="1" applyFill="1" applyBorder="1" applyAlignment="1" applyProtection="1">
      <alignment horizontal="center" wrapText="1"/>
    </xf>
    <xf numFmtId="2" fontId="2" fillId="2" borderId="45" xfId="0" applyNumberFormat="1" applyFont="1" applyFill="1" applyBorder="1" applyAlignment="1" applyProtection="1">
      <alignment horizontal="center" wrapText="1"/>
    </xf>
    <xf numFmtId="0" fontId="2" fillId="2" borderId="26" xfId="0" applyFont="1" applyFill="1" applyBorder="1" applyAlignment="1" applyProtection="1">
      <alignment horizontal="center" wrapText="1"/>
    </xf>
    <xf numFmtId="0" fontId="2" fillId="2" borderId="34" xfId="0" applyFont="1" applyFill="1" applyBorder="1" applyAlignment="1" applyProtection="1">
      <alignment horizontal="center"/>
    </xf>
    <xf numFmtId="0" fontId="0" fillId="0" borderId="0" xfId="0" applyAlignment="1" applyProtection="1">
      <alignment wrapText="1"/>
    </xf>
    <xf numFmtId="0" fontId="0" fillId="2" borderId="7" xfId="0" applyFill="1" applyBorder="1" applyAlignment="1" applyProtection="1">
      <alignment horizontal="center" wrapText="1"/>
    </xf>
    <xf numFmtId="0" fontId="0" fillId="2" borderId="50" xfId="0" applyFill="1" applyBorder="1" applyAlignment="1" applyProtection="1">
      <alignment horizontal="center" wrapText="1"/>
    </xf>
    <xf numFmtId="0" fontId="0" fillId="2" borderId="40" xfId="0" applyFill="1" applyBorder="1" applyAlignment="1" applyProtection="1">
      <alignment horizontal="center" wrapText="1"/>
    </xf>
    <xf numFmtId="2" fontId="0" fillId="2" borderId="49" xfId="0" applyNumberFormat="1" applyFill="1" applyBorder="1" applyAlignment="1" applyProtection="1">
      <alignment horizontal="center" wrapText="1"/>
    </xf>
    <xf numFmtId="0" fontId="0" fillId="2" borderId="22" xfId="0" applyFill="1" applyBorder="1" applyProtection="1"/>
    <xf numFmtId="0" fontId="0" fillId="2" borderId="50" xfId="0" applyFill="1" applyBorder="1" applyProtection="1"/>
    <xf numFmtId="0" fontId="0" fillId="2" borderId="26" xfId="0" applyFill="1" applyBorder="1" applyAlignment="1" applyProtection="1">
      <alignment horizontal="center" wrapText="1"/>
    </xf>
    <xf numFmtId="0" fontId="0" fillId="3" borderId="26" xfId="0" applyFill="1" applyBorder="1" applyAlignment="1" applyProtection="1">
      <alignment horizontal="center" wrapText="1"/>
    </xf>
    <xf numFmtId="0" fontId="0" fillId="2" borderId="45" xfId="0" applyFill="1" applyBorder="1" applyAlignment="1" applyProtection="1">
      <alignment horizontal="center" wrapText="1"/>
    </xf>
    <xf numFmtId="2" fontId="0" fillId="2" borderId="45" xfId="0" applyNumberFormat="1" applyFill="1" applyBorder="1" applyAlignment="1" applyProtection="1">
      <alignment horizontal="center" wrapText="1"/>
    </xf>
    <xf numFmtId="0" fontId="0" fillId="3" borderId="26" xfId="0" applyFill="1" applyBorder="1" applyAlignment="1" applyProtection="1">
      <alignment horizontal="center"/>
    </xf>
    <xf numFmtId="0" fontId="0" fillId="2" borderId="34" xfId="0" applyFill="1" applyBorder="1" applyProtection="1"/>
    <xf numFmtId="0" fontId="0" fillId="2" borderId="35" xfId="0" applyFill="1" applyBorder="1" applyAlignment="1" applyProtection="1">
      <alignment horizontal="center" wrapText="1"/>
    </xf>
    <xf numFmtId="2" fontId="0" fillId="2" borderId="35" xfId="0" applyNumberFormat="1" applyFill="1" applyBorder="1" applyAlignment="1" applyProtection="1">
      <alignment horizontal="center" wrapText="1"/>
    </xf>
    <xf numFmtId="0" fontId="0" fillId="2" borderId="25" xfId="0" applyFill="1" applyBorder="1" applyProtection="1"/>
    <xf numFmtId="0" fontId="0" fillId="2" borderId="47" xfId="0" applyFill="1" applyBorder="1" applyProtection="1"/>
    <xf numFmtId="0" fontId="0" fillId="2" borderId="64" xfId="0" applyFill="1" applyBorder="1" applyAlignment="1" applyProtection="1">
      <alignment horizontal="center" wrapText="1"/>
    </xf>
    <xf numFmtId="0" fontId="0" fillId="2" borderId="8" xfId="0" applyFill="1" applyBorder="1" applyAlignment="1" applyProtection="1">
      <alignment horizontal="center" wrapText="1"/>
    </xf>
    <xf numFmtId="2" fontId="0" fillId="2" borderId="8" xfId="0" applyNumberFormat="1" applyFill="1" applyBorder="1" applyAlignment="1" applyProtection="1">
      <alignment horizontal="center" wrapText="1"/>
    </xf>
    <xf numFmtId="0" fontId="0" fillId="2" borderId="20" xfId="0" applyFill="1" applyBorder="1" applyAlignment="1" applyProtection="1">
      <alignment horizontal="center"/>
    </xf>
    <xf numFmtId="0" fontId="0" fillId="2" borderId="64" xfId="0" applyFill="1" applyBorder="1" applyProtection="1"/>
    <xf numFmtId="0" fontId="0" fillId="0" borderId="11" xfId="0" applyFill="1" applyBorder="1" applyProtection="1"/>
    <xf numFmtId="2" fontId="0" fillId="0" borderId="11" xfId="0" applyNumberFormat="1" applyFill="1" applyBorder="1" applyProtection="1"/>
    <xf numFmtId="2" fontId="0" fillId="9" borderId="3" xfId="0" applyNumberFormat="1" applyFill="1" applyBorder="1" applyProtection="1"/>
    <xf numFmtId="0" fontId="0" fillId="9" borderId="55" xfId="0" applyFill="1" applyBorder="1" applyProtection="1"/>
    <xf numFmtId="0" fontId="0" fillId="0" borderId="2" xfId="0" applyBorder="1" applyProtection="1"/>
    <xf numFmtId="0" fontId="0" fillId="9" borderId="48" xfId="0" applyFill="1" applyBorder="1" applyProtection="1"/>
    <xf numFmtId="0" fontId="0" fillId="0" borderId="8" xfId="0" applyBorder="1" applyProtection="1"/>
    <xf numFmtId="2" fontId="0" fillId="0" borderId="8" xfId="0" applyNumberFormat="1" applyFill="1" applyBorder="1" applyProtection="1"/>
    <xf numFmtId="2" fontId="0" fillId="9" borderId="20" xfId="0" applyNumberFormat="1" applyFill="1" applyBorder="1" applyProtection="1"/>
    <xf numFmtId="0" fontId="0" fillId="9" borderId="64" xfId="0" applyFill="1" applyBorder="1" applyProtection="1"/>
    <xf numFmtId="0" fontId="16" fillId="0" borderId="0" xfId="0" applyFont="1" applyBorder="1"/>
    <xf numFmtId="0" fontId="0" fillId="5" borderId="39" xfId="0" applyFill="1" applyBorder="1" applyProtection="1">
      <protection locked="0"/>
    </xf>
    <xf numFmtId="0" fontId="2" fillId="2" borderId="54" xfId="0" applyFont="1" applyFill="1" applyBorder="1" applyProtection="1"/>
    <xf numFmtId="0" fontId="0" fillId="5" borderId="46" xfId="0" applyFill="1" applyBorder="1" applyProtection="1">
      <protection locked="0"/>
    </xf>
    <xf numFmtId="0" fontId="0" fillId="0" borderId="0" xfId="0" applyBorder="1" applyProtection="1">
      <protection locked="0"/>
    </xf>
    <xf numFmtId="0" fontId="0" fillId="2" borderId="46" xfId="0" applyFill="1" applyBorder="1" applyProtection="1">
      <protection locked="0"/>
    </xf>
    <xf numFmtId="0" fontId="0" fillId="2" borderId="36" xfId="0" applyFill="1" applyBorder="1" applyProtection="1"/>
    <xf numFmtId="0" fontId="0" fillId="5" borderId="26" xfId="0" applyFill="1" applyBorder="1" applyProtection="1">
      <protection locked="0"/>
    </xf>
    <xf numFmtId="0" fontId="0" fillId="2" borderId="26" xfId="0" applyFill="1" applyBorder="1"/>
    <xf numFmtId="0" fontId="0" fillId="2" borderId="52" xfId="0" applyFill="1" applyBorder="1"/>
    <xf numFmtId="0" fontId="2" fillId="2" borderId="16" xfId="0" applyFont="1" applyFill="1" applyBorder="1" applyAlignment="1">
      <alignment horizontal="left"/>
    </xf>
    <xf numFmtId="0" fontId="21" fillId="2" borderId="0" xfId="0" applyFont="1" applyFill="1" applyAlignment="1"/>
    <xf numFmtId="0" fontId="22" fillId="2" borderId="0" xfId="0" applyFont="1" applyFill="1" applyAlignment="1">
      <alignment vertical="top" wrapText="1"/>
    </xf>
    <xf numFmtId="0" fontId="1" fillId="2" borderId="0" xfId="0" applyFont="1" applyFill="1"/>
    <xf numFmtId="0" fontId="2" fillId="6" borderId="45" xfId="0" applyFont="1" applyFill="1" applyBorder="1" applyAlignment="1">
      <alignment horizontal="left" vertical="top" wrapText="1" indent="1"/>
    </xf>
    <xf numFmtId="0" fontId="2" fillId="6" borderId="29" xfId="0" applyFont="1" applyFill="1" applyBorder="1" applyAlignment="1">
      <alignment vertical="center" wrapText="1"/>
    </xf>
    <xf numFmtId="0" fontId="2" fillId="2" borderId="39" xfId="0" applyFont="1" applyFill="1" applyBorder="1" applyAlignment="1">
      <alignment horizontal="center" vertical="center" wrapText="1"/>
    </xf>
    <xf numFmtId="0" fontId="0" fillId="2" borderId="71" xfId="0" applyFill="1" applyBorder="1" applyAlignment="1">
      <alignment horizontal="center" wrapText="1"/>
    </xf>
    <xf numFmtId="0" fontId="0" fillId="2" borderId="72" xfId="0" applyFill="1" applyBorder="1" applyAlignment="1">
      <alignment horizontal="center" wrapText="1"/>
    </xf>
    <xf numFmtId="0" fontId="0" fillId="2" borderId="73" xfId="0" applyFill="1" applyBorder="1" applyAlignment="1">
      <alignment horizontal="center" wrapText="1"/>
    </xf>
    <xf numFmtId="0" fontId="2" fillId="2" borderId="25" xfId="0" applyFont="1" applyFill="1" applyBorder="1" applyAlignment="1">
      <alignment horizontal="center" vertical="center" wrapText="1"/>
    </xf>
    <xf numFmtId="3" fontId="2" fillId="2" borderId="39" xfId="0" applyNumberFormat="1" applyFont="1" applyFill="1" applyBorder="1" applyAlignment="1">
      <alignment horizontal="center" vertical="center" wrapText="1"/>
    </xf>
    <xf numFmtId="3" fontId="2" fillId="2" borderId="31" xfId="0" applyNumberFormat="1" applyFont="1" applyFill="1" applyBorder="1" applyAlignment="1">
      <alignment horizontal="center" vertical="center" wrapText="1"/>
    </xf>
    <xf numFmtId="3" fontId="2" fillId="2" borderId="32" xfId="0" applyNumberFormat="1" applyFont="1" applyFill="1" applyBorder="1" applyAlignment="1">
      <alignment horizontal="center" vertical="center" wrapText="1"/>
    </xf>
    <xf numFmtId="3" fontId="2" fillId="2" borderId="25" xfId="0" applyNumberFormat="1" applyFont="1" applyFill="1" applyBorder="1" applyAlignment="1">
      <alignment horizontal="center" vertical="center" wrapText="1"/>
    </xf>
    <xf numFmtId="3" fontId="2" fillId="2" borderId="61" xfId="0" applyNumberFormat="1" applyFont="1" applyFill="1" applyBorder="1" applyAlignment="1">
      <alignment horizontal="center" vertical="center" wrapText="1"/>
    </xf>
    <xf numFmtId="3" fontId="2" fillId="11" borderId="0" xfId="0" applyNumberFormat="1" applyFont="1" applyFill="1" applyBorder="1" applyAlignment="1">
      <alignment horizontal="center" vertical="center" wrapText="1"/>
    </xf>
    <xf numFmtId="3" fontId="2" fillId="8" borderId="26" xfId="0" applyNumberFormat="1" applyFont="1" applyFill="1" applyBorder="1" applyAlignment="1">
      <alignment horizontal="center" vertical="center" wrapText="1"/>
    </xf>
    <xf numFmtId="0" fontId="8" fillId="12" borderId="5" xfId="0" applyFont="1" applyFill="1" applyBorder="1" applyAlignment="1">
      <alignment horizontal="center" vertical="top"/>
    </xf>
    <xf numFmtId="49" fontId="8" fillId="12" borderId="18" xfId="0" applyNumberFormat="1" applyFont="1" applyFill="1" applyBorder="1" applyAlignment="1">
      <alignment horizontal="center" vertical="top"/>
    </xf>
    <xf numFmtId="0" fontId="24" fillId="2" borderId="32" xfId="0" applyFont="1" applyFill="1" applyBorder="1" applyAlignment="1" applyProtection="1">
      <alignment horizontal="center" wrapText="1"/>
    </xf>
    <xf numFmtId="0" fontId="25" fillId="13" borderId="0" xfId="0" applyFont="1" applyFill="1"/>
    <xf numFmtId="0" fontId="0" fillId="13" borderId="0" xfId="0" applyFill="1"/>
    <xf numFmtId="0" fontId="0" fillId="13" borderId="30" xfId="0" applyFill="1" applyBorder="1"/>
    <xf numFmtId="0" fontId="0" fillId="13" borderId="0" xfId="0" applyFill="1" applyBorder="1"/>
    <xf numFmtId="0" fontId="24" fillId="13" borderId="0" xfId="0" applyFont="1" applyFill="1" applyBorder="1" applyAlignment="1">
      <alignment horizontal="center"/>
    </xf>
    <xf numFmtId="0" fontId="0" fillId="13" borderId="0" xfId="0" applyFill="1" applyBorder="1" applyAlignment="1">
      <alignment horizontal="center"/>
    </xf>
    <xf numFmtId="0" fontId="24" fillId="13" borderId="0" xfId="0" applyFont="1" applyFill="1" applyBorder="1"/>
    <xf numFmtId="0" fontId="0" fillId="13" borderId="51" xfId="0" applyFill="1" applyBorder="1"/>
    <xf numFmtId="0" fontId="0" fillId="0" borderId="25" xfId="0" applyBorder="1" applyAlignment="1">
      <alignment horizontal="right" vertical="center"/>
    </xf>
    <xf numFmtId="0" fontId="0" fillId="0" borderId="1" xfId="0" applyBorder="1" applyAlignment="1">
      <alignment horizontal="right" vertical="center"/>
    </xf>
    <xf numFmtId="0" fontId="0" fillId="0" borderId="20" xfId="0" applyBorder="1" applyAlignment="1">
      <alignment horizontal="right" vertical="center"/>
    </xf>
    <xf numFmtId="0" fontId="24" fillId="0" borderId="0" xfId="0" applyFont="1"/>
    <xf numFmtId="0" fontId="0" fillId="14" borderId="0" xfId="0" applyFill="1" applyBorder="1"/>
    <xf numFmtId="3" fontId="0" fillId="14" borderId="0" xfId="0" applyNumberFormat="1" applyFill="1" applyBorder="1"/>
    <xf numFmtId="0" fontId="2" fillId="0" borderId="0" xfId="0" applyFont="1" applyFill="1" applyBorder="1" applyAlignment="1">
      <alignment vertical="top" wrapText="1"/>
    </xf>
    <xf numFmtId="0" fontId="8" fillId="0" borderId="0" xfId="0" applyFont="1" applyFill="1" applyBorder="1" applyAlignment="1">
      <alignment horizontal="center" vertical="top"/>
    </xf>
    <xf numFmtId="49" fontId="8" fillId="0" borderId="0" xfId="0" applyNumberFormat="1" applyFont="1" applyFill="1" applyBorder="1" applyAlignment="1">
      <alignment horizontal="center" vertical="top"/>
    </xf>
    <xf numFmtId="0" fontId="2" fillId="6" borderId="2" xfId="0" applyFont="1" applyFill="1" applyBorder="1" applyAlignment="1">
      <alignment horizontal="left" vertical="top" wrapText="1" indent="3"/>
    </xf>
    <xf numFmtId="0" fontId="2" fillId="6" borderId="57" xfId="0" applyFont="1" applyFill="1" applyBorder="1" applyAlignment="1">
      <alignment horizontal="left" vertical="top" wrapText="1" indent="3"/>
    </xf>
    <xf numFmtId="0" fontId="8" fillId="0" borderId="0" xfId="0" applyFont="1" applyFill="1" applyBorder="1" applyAlignment="1">
      <alignment horizontal="center"/>
    </xf>
    <xf numFmtId="0" fontId="0" fillId="0" borderId="0" xfId="0" applyFill="1" applyBorder="1" applyAlignment="1">
      <alignment horizontal="center"/>
    </xf>
    <xf numFmtId="0" fontId="8" fillId="0" borderId="0" xfId="0" applyFont="1" applyFill="1" applyBorder="1" applyAlignment="1">
      <alignment horizontal="left"/>
    </xf>
    <xf numFmtId="2" fontId="8" fillId="0" borderId="0" xfId="0" applyNumberFormat="1" applyFont="1" applyFill="1" applyBorder="1"/>
    <xf numFmtId="0" fontId="2" fillId="6" borderId="49" xfId="0" applyFont="1" applyFill="1" applyBorder="1" applyAlignment="1">
      <alignment vertical="top" wrapText="1"/>
    </xf>
    <xf numFmtId="0" fontId="8" fillId="12" borderId="7" xfId="0" applyFont="1" applyFill="1" applyBorder="1" applyAlignment="1">
      <alignment horizontal="center" vertical="top"/>
    </xf>
    <xf numFmtId="49" fontId="8" fillId="12" borderId="23" xfId="0" applyNumberFormat="1" applyFont="1" applyFill="1" applyBorder="1" applyAlignment="1">
      <alignment horizontal="center" vertical="top"/>
    </xf>
    <xf numFmtId="0" fontId="8" fillId="12" borderId="29" xfId="0" applyFont="1" applyFill="1" applyBorder="1" applyAlignment="1">
      <alignment horizontal="center" vertical="top"/>
    </xf>
    <xf numFmtId="49" fontId="8" fillId="12" borderId="9" xfId="0" applyNumberFormat="1" applyFont="1" applyFill="1" applyBorder="1" applyAlignment="1">
      <alignment horizontal="center" vertical="top"/>
    </xf>
    <xf numFmtId="0" fontId="0" fillId="15" borderId="27" xfId="0" applyFill="1" applyBorder="1"/>
    <xf numFmtId="0" fontId="8" fillId="0" borderId="53" xfId="0" applyFont="1" applyBorder="1"/>
    <xf numFmtId="0" fontId="8" fillId="0" borderId="1" xfId="0" applyFont="1" applyBorder="1"/>
    <xf numFmtId="0" fontId="8" fillId="0" borderId="3" xfId="0" applyFont="1" applyBorder="1"/>
    <xf numFmtId="3" fontId="0" fillId="14" borderId="32" xfId="0" applyNumberFormat="1" applyFill="1" applyBorder="1" applyProtection="1">
      <protection locked="0"/>
    </xf>
    <xf numFmtId="3" fontId="0" fillId="14" borderId="68" xfId="0" applyNumberFormat="1" applyFill="1" applyBorder="1" applyProtection="1">
      <protection locked="0"/>
    </xf>
    <xf numFmtId="3" fontId="0" fillId="14" borderId="69" xfId="0" applyNumberFormat="1" applyFill="1" applyBorder="1" applyProtection="1">
      <protection locked="0"/>
    </xf>
    <xf numFmtId="168" fontId="1" fillId="0" borderId="52" xfId="0" applyNumberFormat="1" applyFont="1" applyFill="1" applyBorder="1" applyAlignment="1">
      <alignment horizontal="center"/>
    </xf>
    <xf numFmtId="4" fontId="0" fillId="0" borderId="54" xfId="0" applyNumberFormat="1" applyBorder="1" applyProtection="1"/>
    <xf numFmtId="0" fontId="8" fillId="13" borderId="0" xfId="0" applyFont="1" applyFill="1"/>
    <xf numFmtId="4" fontId="0" fillId="0" borderId="30" xfId="0" applyNumberFormat="1" applyBorder="1" applyProtection="1"/>
    <xf numFmtId="4" fontId="0" fillId="0" borderId="6" xfId="0" applyNumberFormat="1" applyBorder="1" applyProtection="1"/>
    <xf numFmtId="10" fontId="27" fillId="14" borderId="51" xfId="2" applyNumberFormat="1" applyFont="1" applyFill="1" applyBorder="1"/>
    <xf numFmtId="0" fontId="8" fillId="18" borderId="20" xfId="0" applyFont="1" applyFill="1" applyBorder="1" applyAlignment="1">
      <alignment horizontal="center" vertical="center" wrapText="1"/>
    </xf>
    <xf numFmtId="0" fontId="24" fillId="18" borderId="52" xfId="0" applyFont="1" applyFill="1" applyBorder="1" applyAlignment="1">
      <alignment horizontal="center"/>
    </xf>
    <xf numFmtId="0" fontId="0" fillId="18" borderId="52" xfId="0" applyFill="1" applyBorder="1" applyAlignment="1">
      <alignment horizontal="center" vertical="center" wrapText="1"/>
    </xf>
    <xf numFmtId="0" fontId="8" fillId="18" borderId="52" xfId="0" applyFont="1" applyFill="1" applyBorder="1" applyAlignment="1">
      <alignment horizontal="center" vertical="center" wrapText="1"/>
    </xf>
    <xf numFmtId="0" fontId="24" fillId="18" borderId="52" xfId="0" applyFont="1" applyFill="1" applyBorder="1" applyAlignment="1">
      <alignment horizontal="center" vertical="center" wrapText="1"/>
    </xf>
    <xf numFmtId="0" fontId="24" fillId="18" borderId="70" xfId="0" applyFont="1" applyFill="1" applyBorder="1" applyAlignment="1">
      <alignment horizontal="center"/>
    </xf>
    <xf numFmtId="0" fontId="15" fillId="0" borderId="25" xfId="0" applyFont="1" applyFill="1" applyBorder="1"/>
    <xf numFmtId="0" fontId="0" fillId="2" borderId="18" xfId="0" applyFill="1" applyBorder="1" applyAlignment="1">
      <alignment horizontal="center" wrapText="1"/>
    </xf>
    <xf numFmtId="0" fontId="0" fillId="3" borderId="48" xfId="0" applyFill="1" applyBorder="1" applyAlignment="1">
      <alignment horizontal="right"/>
    </xf>
    <xf numFmtId="0" fontId="0" fillId="3" borderId="9" xfId="0" applyFill="1" applyBorder="1" applyAlignment="1">
      <alignment horizontal="right"/>
    </xf>
    <xf numFmtId="0" fontId="2" fillId="0" borderId="0" xfId="0" applyFont="1" applyBorder="1"/>
    <xf numFmtId="3" fontId="2" fillId="0" borderId="0" xfId="0" applyNumberFormat="1" applyFont="1" applyBorder="1"/>
    <xf numFmtId="3" fontId="0" fillId="0" borderId="0" xfId="0" applyNumberFormat="1" applyBorder="1"/>
    <xf numFmtId="0" fontId="2" fillId="0" borderId="76" xfId="0" applyFont="1" applyBorder="1"/>
    <xf numFmtId="0" fontId="2" fillId="0" borderId="50" xfId="0" applyFont="1" applyBorder="1"/>
    <xf numFmtId="3" fontId="2" fillId="2" borderId="17" xfId="0" applyNumberFormat="1" applyFont="1" applyFill="1" applyBorder="1" applyAlignment="1">
      <alignment horizontal="center" wrapText="1"/>
    </xf>
    <xf numFmtId="3" fontId="2" fillId="2" borderId="13" xfId="0" applyNumberFormat="1" applyFont="1" applyFill="1" applyBorder="1" applyAlignment="1">
      <alignment horizontal="center" wrapText="1"/>
    </xf>
    <xf numFmtId="3" fontId="2" fillId="2" borderId="65" xfId="0" applyNumberFormat="1" applyFont="1" applyFill="1" applyBorder="1" applyAlignment="1">
      <alignment horizontal="center" wrapText="1"/>
    </xf>
    <xf numFmtId="0" fontId="2" fillId="2" borderId="27" xfId="0" applyNumberFormat="1" applyFont="1" applyFill="1" applyBorder="1" applyAlignment="1">
      <alignment horizontal="center" wrapText="1"/>
    </xf>
    <xf numFmtId="0" fontId="2" fillId="2" borderId="28" xfId="0" applyNumberFormat="1" applyFont="1" applyFill="1" applyBorder="1" applyAlignment="1">
      <alignment horizontal="center" wrapText="1"/>
    </xf>
    <xf numFmtId="0" fontId="2" fillId="2" borderId="21" xfId="0" applyNumberFormat="1" applyFont="1" applyFill="1" applyBorder="1" applyAlignment="1">
      <alignment horizontal="center" wrapText="1"/>
    </xf>
    <xf numFmtId="3" fontId="2" fillId="2" borderId="24" xfId="0" applyNumberFormat="1" applyFont="1" applyFill="1" applyBorder="1" applyAlignment="1">
      <alignment horizontal="center" wrapText="1"/>
    </xf>
    <xf numFmtId="3" fontId="2" fillId="2" borderId="28" xfId="0" applyNumberFormat="1" applyFont="1" applyFill="1" applyBorder="1" applyAlignment="1">
      <alignment horizontal="center" wrapText="1"/>
    </xf>
    <xf numFmtId="3" fontId="2" fillId="2" borderId="21" xfId="0" applyNumberFormat="1" applyFont="1" applyFill="1" applyBorder="1" applyAlignment="1">
      <alignment horizontal="center" wrapText="1"/>
    </xf>
    <xf numFmtId="0" fontId="0" fillId="2" borderId="27" xfId="0" applyFill="1" applyBorder="1" applyAlignment="1">
      <alignment horizontal="center" wrapText="1"/>
    </xf>
    <xf numFmtId="0" fontId="0" fillId="2" borderId="28" xfId="0" applyNumberFormat="1" applyFill="1" applyBorder="1" applyAlignment="1">
      <alignment horizontal="center" wrapText="1"/>
    </xf>
    <xf numFmtId="0" fontId="0" fillId="2" borderId="21" xfId="0" applyNumberFormat="1" applyFill="1" applyBorder="1" applyAlignment="1">
      <alignment horizontal="center" wrapText="1"/>
    </xf>
    <xf numFmtId="0" fontId="0" fillId="2" borderId="27" xfId="0" applyNumberFormat="1" applyFill="1" applyBorder="1" applyAlignment="1">
      <alignment horizontal="center" wrapText="1"/>
    </xf>
    <xf numFmtId="0" fontId="0" fillId="0" borderId="50" xfId="0" applyNumberFormat="1" applyFill="1" applyBorder="1" applyAlignment="1">
      <alignment horizontal="center" wrapText="1"/>
    </xf>
    <xf numFmtId="0" fontId="0" fillId="0" borderId="45" xfId="0" applyBorder="1"/>
    <xf numFmtId="3" fontId="0" fillId="0" borderId="27" xfId="0" applyNumberFormat="1" applyBorder="1"/>
    <xf numFmtId="3" fontId="0" fillId="0" borderId="28" xfId="0" applyNumberFormat="1" applyBorder="1"/>
    <xf numFmtId="3" fontId="0" fillId="0" borderId="21" xfId="0" applyNumberFormat="1" applyBorder="1"/>
    <xf numFmtId="0" fontId="0" fillId="0" borderId="24" xfId="0" applyBorder="1"/>
    <xf numFmtId="0" fontId="0" fillId="0" borderId="28" xfId="0" applyBorder="1"/>
    <xf numFmtId="0" fontId="0" fillId="0" borderId="50" xfId="0" applyBorder="1"/>
    <xf numFmtId="0" fontId="0" fillId="0" borderId="17" xfId="0" applyBorder="1"/>
    <xf numFmtId="0" fontId="0" fillId="0" borderId="13" xfId="0" applyBorder="1"/>
    <xf numFmtId="0" fontId="0" fillId="0" borderId="4" xfId="0" applyBorder="1"/>
    <xf numFmtId="3" fontId="0" fillId="0" borderId="24" xfId="0" applyNumberFormat="1" applyBorder="1"/>
    <xf numFmtId="0" fontId="1" fillId="0" borderId="11" xfId="0" applyFont="1" applyBorder="1" applyAlignment="1">
      <alignment horizontal="center"/>
    </xf>
    <xf numFmtId="3" fontId="1" fillId="10" borderId="31" xfId="0" applyNumberFormat="1" applyFont="1" applyFill="1" applyBorder="1" applyAlignment="1">
      <alignment horizontal="right"/>
    </xf>
    <xf numFmtId="3" fontId="0" fillId="10" borderId="32" xfId="0" applyNumberFormat="1" applyFill="1" applyBorder="1"/>
    <xf numFmtId="3" fontId="0" fillId="10" borderId="33" xfId="0" applyNumberFormat="1" applyFill="1" applyBorder="1"/>
    <xf numFmtId="3" fontId="0" fillId="10" borderId="31" xfId="0" applyNumberFormat="1" applyFill="1" applyBorder="1"/>
    <xf numFmtId="3" fontId="0" fillId="6" borderId="31" xfId="0" applyNumberFormat="1" applyFill="1" applyBorder="1"/>
    <xf numFmtId="3" fontId="0" fillId="6" borderId="32" xfId="0" applyNumberFormat="1" applyFill="1" applyBorder="1"/>
    <xf numFmtId="3" fontId="0" fillId="6" borderId="33" xfId="0" applyNumberFormat="1" applyFill="1" applyBorder="1"/>
    <xf numFmtId="3" fontId="0" fillId="6" borderId="44" xfId="0" applyNumberFormat="1" applyFill="1" applyBorder="1"/>
    <xf numFmtId="0" fontId="1" fillId="0" borderId="2" xfId="0" applyFont="1" applyBorder="1" applyAlignment="1">
      <alignment horizontal="center"/>
    </xf>
    <xf numFmtId="3" fontId="1" fillId="10" borderId="29" xfId="0" applyNumberFormat="1" applyFont="1" applyFill="1" applyBorder="1" applyAlignment="1">
      <alignment horizontal="right"/>
    </xf>
    <xf numFmtId="3" fontId="0" fillId="10" borderId="30" xfId="0" applyNumberFormat="1" applyFill="1" applyBorder="1"/>
    <xf numFmtId="3" fontId="0" fillId="10" borderId="9" xfId="0" applyNumberFormat="1" applyFill="1" applyBorder="1"/>
    <xf numFmtId="3" fontId="0" fillId="10" borderId="29" xfId="0" applyNumberFormat="1" applyFill="1" applyBorder="1"/>
    <xf numFmtId="3" fontId="0" fillId="6" borderId="29" xfId="0" applyNumberFormat="1" applyFill="1" applyBorder="1"/>
    <xf numFmtId="3" fontId="0" fillId="6" borderId="30" xfId="0" applyNumberFormat="1" applyFill="1" applyBorder="1"/>
    <xf numFmtId="3" fontId="0" fillId="6" borderId="9" xfId="0" applyNumberFormat="1" applyFill="1" applyBorder="1"/>
    <xf numFmtId="3" fontId="0" fillId="6" borderId="43" xfId="0" applyNumberFormat="1" applyFill="1" applyBorder="1"/>
    <xf numFmtId="0" fontId="1" fillId="0" borderId="8" xfId="0" applyFont="1" applyBorder="1" applyAlignment="1">
      <alignment horizontal="center"/>
    </xf>
    <xf numFmtId="3" fontId="1" fillId="10" borderId="5" xfId="0" applyNumberFormat="1" applyFont="1" applyFill="1" applyBorder="1" applyAlignment="1">
      <alignment horizontal="right"/>
    </xf>
    <xf numFmtId="3" fontId="0" fillId="10" borderId="6" xfId="0" applyNumberFormat="1" applyFill="1" applyBorder="1"/>
    <xf numFmtId="3" fontId="0" fillId="10" borderId="18" xfId="0" applyNumberFormat="1" applyFill="1" applyBorder="1"/>
    <xf numFmtId="3" fontId="0" fillId="10" borderId="5" xfId="0" applyNumberFormat="1" applyFill="1" applyBorder="1"/>
    <xf numFmtId="3" fontId="0" fillId="6" borderId="5" xfId="0" applyNumberFormat="1" applyFill="1" applyBorder="1"/>
    <xf numFmtId="3" fontId="0" fillId="6" borderId="6" xfId="0" applyNumberFormat="1" applyFill="1" applyBorder="1"/>
    <xf numFmtId="3" fontId="0" fillId="6" borderId="18" xfId="0" applyNumberFormat="1" applyFill="1" applyBorder="1"/>
    <xf numFmtId="3" fontId="0" fillId="6" borderId="63" xfId="0" applyNumberFormat="1" applyFill="1" applyBorder="1"/>
    <xf numFmtId="0" fontId="0" fillId="0" borderId="0" xfId="0" applyBorder="1" applyAlignment="1">
      <alignment horizontal="center"/>
    </xf>
    <xf numFmtId="0" fontId="1" fillId="0" borderId="0" xfId="0" applyFont="1" applyBorder="1" applyAlignment="1">
      <alignment horizontal="center"/>
    </xf>
    <xf numFmtId="3" fontId="2" fillId="0" borderId="26" xfId="0" applyNumberFormat="1" applyFont="1" applyBorder="1"/>
    <xf numFmtId="3" fontId="28" fillId="0" borderId="0" xfId="0" applyNumberFormat="1" applyFont="1" applyBorder="1"/>
    <xf numFmtId="3" fontId="4" fillId="0" borderId="0" xfId="0" applyNumberFormat="1" applyFont="1" applyBorder="1"/>
    <xf numFmtId="3" fontId="1" fillId="0" borderId="0" xfId="0" applyNumberFormat="1" applyFont="1" applyBorder="1"/>
    <xf numFmtId="3" fontId="2" fillId="2" borderId="52" xfId="0" applyNumberFormat="1" applyFont="1" applyFill="1" applyBorder="1"/>
    <xf numFmtId="3" fontId="2" fillId="2" borderId="31" xfId="0" applyNumberFormat="1" applyFont="1" applyFill="1" applyBorder="1"/>
    <xf numFmtId="0" fontId="1" fillId="2" borderId="32" xfId="0" applyFont="1" applyFill="1" applyBorder="1" applyAlignment="1">
      <alignment horizontal="center"/>
    </xf>
    <xf numFmtId="3" fontId="2" fillId="2" borderId="32" xfId="0" applyNumberFormat="1" applyFont="1" applyFill="1" applyBorder="1"/>
    <xf numFmtId="0" fontId="2" fillId="2" borderId="32" xfId="0" applyFont="1" applyFill="1" applyBorder="1" applyAlignment="1">
      <alignment horizontal="center"/>
    </xf>
    <xf numFmtId="0" fontId="1" fillId="2" borderId="33" xfId="0" applyFont="1" applyFill="1" applyBorder="1" applyAlignment="1">
      <alignment horizontal="center"/>
    </xf>
    <xf numFmtId="3" fontId="0" fillId="0" borderId="0" xfId="0" applyNumberFormat="1" applyFill="1" applyBorder="1"/>
    <xf numFmtId="0" fontId="1" fillId="0" borderId="0" xfId="0" applyFont="1" applyFill="1" applyBorder="1" applyAlignment="1">
      <alignment horizontal="center"/>
    </xf>
    <xf numFmtId="3" fontId="2" fillId="2" borderId="29" xfId="0" applyNumberFormat="1" applyFont="1" applyFill="1" applyBorder="1"/>
    <xf numFmtId="0" fontId="1" fillId="2" borderId="30" xfId="0" applyFont="1" applyFill="1" applyBorder="1" applyAlignment="1">
      <alignment horizontal="center"/>
    </xf>
    <xf numFmtId="3" fontId="2" fillId="2" borderId="30" xfId="0" applyNumberFormat="1" applyFont="1" applyFill="1" applyBorder="1"/>
    <xf numFmtId="0" fontId="2" fillId="2" borderId="30" xfId="0" applyFont="1" applyFill="1" applyBorder="1" applyAlignment="1">
      <alignment horizontal="center"/>
    </xf>
    <xf numFmtId="0" fontId="1" fillId="2" borderId="9" xfId="0" applyFont="1" applyFill="1" applyBorder="1" applyAlignment="1">
      <alignment horizontal="center"/>
    </xf>
    <xf numFmtId="3" fontId="2" fillId="2" borderId="5" xfId="0" applyNumberFormat="1" applyFont="1" applyFill="1" applyBorder="1"/>
    <xf numFmtId="0" fontId="1" fillId="2" borderId="6" xfId="0" applyFont="1" applyFill="1" applyBorder="1" applyAlignment="1">
      <alignment horizontal="center"/>
    </xf>
    <xf numFmtId="3" fontId="2" fillId="2" borderId="6" xfId="0" applyNumberFormat="1" applyFont="1" applyFill="1" applyBorder="1"/>
    <xf numFmtId="0" fontId="1" fillId="2" borderId="18" xfId="0" applyFont="1" applyFill="1" applyBorder="1" applyAlignment="1">
      <alignment horizontal="center"/>
    </xf>
    <xf numFmtId="0" fontId="29" fillId="0" borderId="0" xfId="0" applyFont="1" applyFill="1" applyBorder="1"/>
    <xf numFmtId="0" fontId="2" fillId="2" borderId="45" xfId="0" applyNumberFormat="1" applyFont="1" applyFill="1" applyBorder="1" applyAlignment="1">
      <alignment horizontal="center" wrapText="1"/>
    </xf>
    <xf numFmtId="0" fontId="2" fillId="2" borderId="66" xfId="0" applyNumberFormat="1" applyFont="1" applyFill="1" applyBorder="1" applyAlignment="1">
      <alignment horizontal="center" wrapText="1"/>
    </xf>
    <xf numFmtId="0" fontId="2" fillId="2" borderId="26" xfId="0" applyNumberFormat="1" applyFont="1" applyFill="1" applyBorder="1" applyAlignment="1">
      <alignment horizontal="center" wrapText="1"/>
    </xf>
    <xf numFmtId="0" fontId="2" fillId="2" borderId="24" xfId="0" applyNumberFormat="1" applyFont="1" applyFill="1" applyBorder="1" applyAlignment="1">
      <alignment horizontal="center" wrapText="1"/>
    </xf>
    <xf numFmtId="3" fontId="2" fillId="2" borderId="27" xfId="0" applyNumberFormat="1" applyFont="1" applyFill="1" applyBorder="1" applyAlignment="1">
      <alignment horizontal="center" wrapText="1"/>
    </xf>
    <xf numFmtId="0" fontId="2" fillId="2" borderId="34" xfId="0" applyNumberFormat="1" applyFont="1" applyFill="1" applyBorder="1" applyAlignment="1">
      <alignment horizontal="center" wrapText="1"/>
    </xf>
    <xf numFmtId="0" fontId="0" fillId="0" borderId="0" xfId="0" applyNumberFormat="1" applyBorder="1" applyAlignment="1">
      <alignment horizontal="center" wrapText="1"/>
    </xf>
    <xf numFmtId="0" fontId="1" fillId="2" borderId="45" xfId="0" applyNumberFormat="1" applyFont="1" applyFill="1" applyBorder="1" applyAlignment="1">
      <alignment horizontal="center" wrapText="1"/>
    </xf>
    <xf numFmtId="0" fontId="0" fillId="2" borderId="66" xfId="0" applyNumberFormat="1" applyFill="1" applyBorder="1" applyAlignment="1">
      <alignment horizontal="center" wrapText="1"/>
    </xf>
    <xf numFmtId="0" fontId="0" fillId="2" borderId="26" xfId="0" applyNumberFormat="1" applyFill="1" applyBorder="1" applyAlignment="1">
      <alignment horizontal="center" wrapText="1"/>
    </xf>
    <xf numFmtId="0" fontId="0" fillId="2" borderId="24" xfId="0" applyNumberFormat="1" applyFill="1" applyBorder="1" applyAlignment="1">
      <alignment horizontal="center" wrapText="1"/>
    </xf>
    <xf numFmtId="3" fontId="0" fillId="2" borderId="27" xfId="0" applyNumberFormat="1" applyFill="1" applyBorder="1" applyAlignment="1">
      <alignment horizontal="center" wrapText="1"/>
    </xf>
    <xf numFmtId="3" fontId="0" fillId="0" borderId="11" xfId="0" applyNumberFormat="1" applyBorder="1"/>
    <xf numFmtId="3" fontId="0" fillId="0" borderId="38" xfId="0" applyNumberFormat="1" applyBorder="1"/>
    <xf numFmtId="3" fontId="0" fillId="0" borderId="51" xfId="0" applyNumberFormat="1" applyBorder="1"/>
    <xf numFmtId="3" fontId="0" fillId="0" borderId="67" xfId="0" applyNumberFormat="1" applyBorder="1"/>
    <xf numFmtId="3" fontId="0" fillId="0" borderId="25" xfId="0" applyNumberFormat="1" applyBorder="1"/>
    <xf numFmtId="3" fontId="0" fillId="0" borderId="56" xfId="0" applyNumberFormat="1" applyBorder="1"/>
    <xf numFmtId="0" fontId="0" fillId="0" borderId="51" xfId="0" applyBorder="1"/>
    <xf numFmtId="0" fontId="0" fillId="0" borderId="78" xfId="0" applyBorder="1"/>
    <xf numFmtId="0" fontId="0" fillId="0" borderId="19" xfId="0" applyBorder="1"/>
    <xf numFmtId="3" fontId="0" fillId="0" borderId="2" xfId="0" applyNumberFormat="1" applyBorder="1"/>
    <xf numFmtId="3" fontId="0" fillId="0" borderId="29" xfId="0" applyNumberFormat="1" applyBorder="1"/>
    <xf numFmtId="3" fontId="0" fillId="0" borderId="30" xfId="0" applyNumberFormat="1" applyBorder="1"/>
    <xf numFmtId="3" fontId="0" fillId="0" borderId="68" xfId="0" applyNumberFormat="1" applyBorder="1"/>
    <xf numFmtId="3" fontId="0" fillId="0" borderId="1" xfId="0" applyNumberFormat="1" applyBorder="1"/>
    <xf numFmtId="3" fontId="0" fillId="0" borderId="43" xfId="0" applyNumberFormat="1" applyBorder="1"/>
    <xf numFmtId="0" fontId="29" fillId="0" borderId="0" xfId="0" applyFont="1"/>
    <xf numFmtId="0" fontId="0" fillId="3" borderId="5" xfId="0" applyFill="1" applyBorder="1" applyAlignment="1">
      <alignment horizontal="right"/>
    </xf>
    <xf numFmtId="0" fontId="0" fillId="3" borderId="18" xfId="0" applyFill="1" applyBorder="1"/>
    <xf numFmtId="0" fontId="0" fillId="5" borderId="20" xfId="0" applyFill="1" applyBorder="1" applyProtection="1">
      <protection locked="0"/>
    </xf>
    <xf numFmtId="0" fontId="32" fillId="0" borderId="0" xfId="0" applyFont="1" applyBorder="1" applyAlignment="1"/>
    <xf numFmtId="0" fontId="16" fillId="0" borderId="0" xfId="0" applyFont="1" applyFill="1" applyBorder="1"/>
    <xf numFmtId="0" fontId="8" fillId="3" borderId="18" xfId="0" applyFont="1" applyFill="1" applyBorder="1"/>
    <xf numFmtId="0" fontId="13" fillId="0" borderId="0" xfId="0" applyFont="1" applyBorder="1" applyAlignment="1"/>
    <xf numFmtId="0" fontId="0" fillId="0" borderId="0" xfId="0" applyFill="1" applyBorder="1" applyAlignment="1">
      <alignment horizontal="center"/>
    </xf>
    <xf numFmtId="3" fontId="0" fillId="0" borderId="32" xfId="0" applyNumberFormat="1" applyFill="1" applyBorder="1" applyProtection="1">
      <protection locked="0"/>
    </xf>
    <xf numFmtId="3" fontId="0" fillId="0" borderId="51" xfId="0" applyNumberFormat="1" applyFill="1" applyBorder="1" applyProtection="1">
      <protection locked="0"/>
    </xf>
    <xf numFmtId="3" fontId="0" fillId="0" borderId="29" xfId="0" applyNumberFormat="1" applyFill="1" applyBorder="1" applyProtection="1">
      <protection locked="0"/>
    </xf>
    <xf numFmtId="3" fontId="0" fillId="0" borderId="30" xfId="0" applyNumberFormat="1" applyFill="1" applyBorder="1" applyProtection="1">
      <protection locked="0"/>
    </xf>
    <xf numFmtId="3" fontId="0" fillId="0" borderId="68" xfId="0" applyNumberFormat="1" applyFill="1" applyBorder="1" applyProtection="1">
      <protection locked="0"/>
    </xf>
    <xf numFmtId="3" fontId="0" fillId="0" borderId="5" xfId="0" applyNumberFormat="1" applyFill="1" applyBorder="1" applyProtection="1">
      <protection locked="0"/>
    </xf>
    <xf numFmtId="3" fontId="0" fillId="0" borderId="6" xfId="0" applyNumberFormat="1" applyFill="1" applyBorder="1" applyProtection="1">
      <protection locked="0"/>
    </xf>
    <xf numFmtId="3" fontId="0" fillId="0" borderId="69" xfId="0" applyNumberFormat="1" applyFill="1" applyBorder="1" applyProtection="1">
      <protection locked="0"/>
    </xf>
    <xf numFmtId="3" fontId="0" fillId="0" borderId="13" xfId="0" applyNumberFormat="1" applyFill="1" applyBorder="1" applyProtection="1">
      <protection locked="0"/>
    </xf>
    <xf numFmtId="3" fontId="0" fillId="0" borderId="33" xfId="0" applyNumberFormat="1" applyFill="1" applyBorder="1" applyProtection="1">
      <protection locked="0"/>
    </xf>
    <xf numFmtId="3" fontId="0" fillId="0" borderId="19" xfId="0" applyNumberFormat="1" applyFill="1" applyBorder="1" applyProtection="1">
      <protection locked="0"/>
    </xf>
    <xf numFmtId="3" fontId="0" fillId="0" borderId="18" xfId="0" applyNumberFormat="1" applyFill="1" applyBorder="1" applyProtection="1">
      <protection locked="0"/>
    </xf>
    <xf numFmtId="0" fontId="0" fillId="20" borderId="15" xfId="0" applyFill="1" applyBorder="1"/>
    <xf numFmtId="0" fontId="0" fillId="20" borderId="0" xfId="0" applyFill="1"/>
    <xf numFmtId="0" fontId="2" fillId="12" borderId="0" xfId="0" applyFont="1" applyFill="1"/>
    <xf numFmtId="0" fontId="0" fillId="22" borderId="0" xfId="0" applyFill="1"/>
    <xf numFmtId="0" fontId="22" fillId="22" borderId="30" xfId="0" applyNumberFormat="1" applyFont="1" applyFill="1" applyBorder="1" applyAlignment="1" applyProtection="1">
      <alignment horizontal="center" vertical="center"/>
    </xf>
    <xf numFmtId="0" fontId="0" fillId="22" borderId="30" xfId="0" applyFill="1" applyBorder="1" applyAlignment="1">
      <alignment horizontal="center"/>
    </xf>
    <xf numFmtId="0" fontId="22" fillId="22" borderId="12" xfId="0" applyNumberFormat="1" applyFont="1" applyFill="1" applyBorder="1" applyAlignment="1" applyProtection="1">
      <alignment horizontal="center" vertical="top" wrapText="1"/>
    </xf>
    <xf numFmtId="0" fontId="0" fillId="22" borderId="15" xfId="0" applyFill="1" applyBorder="1" applyAlignment="1">
      <alignment horizontal="center"/>
    </xf>
    <xf numFmtId="0" fontId="22" fillId="22" borderId="12" xfId="0" quotePrefix="1" applyNumberFormat="1" applyFont="1" applyFill="1" applyBorder="1" applyAlignment="1" applyProtection="1">
      <alignment horizontal="center"/>
    </xf>
    <xf numFmtId="0" fontId="0" fillId="22" borderId="12" xfId="0" applyFill="1" applyBorder="1" applyAlignment="1">
      <alignment horizontal="center"/>
    </xf>
    <xf numFmtId="0" fontId="0" fillId="22" borderId="12" xfId="0" applyFill="1" applyBorder="1"/>
    <xf numFmtId="0" fontId="0" fillId="22" borderId="80" xfId="0" applyFill="1" applyBorder="1"/>
    <xf numFmtId="0" fontId="0" fillId="22" borderId="80" xfId="0" applyFill="1" applyBorder="1" applyAlignment="1">
      <alignment horizontal="center"/>
    </xf>
    <xf numFmtId="0" fontId="0" fillId="22" borderId="81" xfId="0" applyFill="1" applyBorder="1"/>
    <xf numFmtId="166" fontId="1" fillId="22" borderId="68" xfId="0" applyNumberFormat="1" applyFont="1" applyFill="1" applyBorder="1" applyAlignment="1">
      <alignment vertical="top" wrapText="1"/>
    </xf>
    <xf numFmtId="166" fontId="1" fillId="22" borderId="30" xfId="0" applyNumberFormat="1" applyFont="1" applyFill="1" applyBorder="1"/>
    <xf numFmtId="166" fontId="0" fillId="22" borderId="30" xfId="0" applyNumberFormat="1" applyFill="1" applyBorder="1"/>
    <xf numFmtId="166" fontId="2" fillId="22" borderId="30" xfId="0" applyNumberFormat="1" applyFont="1" applyFill="1" applyBorder="1"/>
    <xf numFmtId="0" fontId="0" fillId="0" borderId="41" xfId="0" applyFill="1" applyBorder="1" applyProtection="1">
      <protection locked="0"/>
    </xf>
    <xf numFmtId="0" fontId="0" fillId="0" borderId="61" xfId="0" applyFill="1" applyBorder="1" applyProtection="1">
      <protection locked="0"/>
    </xf>
    <xf numFmtId="0" fontId="0" fillId="0" borderId="42" xfId="0" applyFill="1" applyBorder="1" applyProtection="1">
      <protection locked="0"/>
    </xf>
    <xf numFmtId="0" fontId="0" fillId="0" borderId="62" xfId="0" applyFill="1" applyBorder="1" applyProtection="1">
      <protection locked="0"/>
    </xf>
    <xf numFmtId="0" fontId="0" fillId="0" borderId="24" xfId="0" applyFill="1" applyBorder="1" applyProtection="1">
      <protection locked="0"/>
    </xf>
    <xf numFmtId="9" fontId="0" fillId="0" borderId="31" xfId="0" applyNumberFormat="1" applyFill="1" applyBorder="1" applyProtection="1">
      <protection locked="0"/>
    </xf>
    <xf numFmtId="9" fontId="0" fillId="0" borderId="5" xfId="0" applyNumberFormat="1" applyFill="1" applyBorder="1" applyProtection="1">
      <protection locked="0"/>
    </xf>
    <xf numFmtId="170" fontId="2" fillId="8" borderId="26" xfId="0" applyNumberFormat="1" applyFont="1" applyFill="1" applyBorder="1" applyAlignment="1">
      <alignment horizontal="center" vertical="center" wrapText="1"/>
    </xf>
    <xf numFmtId="0" fontId="1" fillId="0" borderId="0" xfId="0" applyFont="1" applyAlignment="1">
      <alignment vertical="center"/>
    </xf>
    <xf numFmtId="0" fontId="2" fillId="0" borderId="0" xfId="0" applyFont="1" applyBorder="1" applyAlignment="1">
      <alignment vertical="center"/>
    </xf>
    <xf numFmtId="0" fontId="1" fillId="0" borderId="0" xfId="0" applyFont="1" applyBorder="1" applyAlignment="1">
      <alignment vertical="center"/>
    </xf>
    <xf numFmtId="0" fontId="2" fillId="0" borderId="0" xfId="0" applyFont="1" applyFill="1" applyBorder="1" applyAlignment="1">
      <alignment horizontal="left" vertical="center"/>
    </xf>
    <xf numFmtId="10" fontId="34" fillId="14" borderId="30" xfId="0" applyNumberFormat="1" applyFont="1" applyFill="1" applyBorder="1" applyAlignment="1">
      <alignment horizontal="center" vertical="center" wrapText="1"/>
    </xf>
    <xf numFmtId="10" fontId="1" fillId="14" borderId="27" xfId="2" applyNumberFormat="1" applyFont="1" applyFill="1" applyBorder="1" applyAlignment="1">
      <alignment vertical="center"/>
    </xf>
    <xf numFmtId="10" fontId="1" fillId="14" borderId="28" xfId="2" applyNumberFormat="1" applyFont="1" applyFill="1" applyBorder="1" applyAlignment="1">
      <alignment vertical="center"/>
    </xf>
    <xf numFmtId="9" fontId="1" fillId="0" borderId="26" xfId="2" applyFont="1" applyBorder="1" applyAlignment="1">
      <alignment vertical="center"/>
    </xf>
    <xf numFmtId="0" fontId="1" fillId="0" borderId="74" xfId="0" applyFont="1" applyBorder="1" applyAlignment="1">
      <alignment vertical="center"/>
    </xf>
    <xf numFmtId="0" fontId="1" fillId="0" borderId="74" xfId="0" applyFont="1" applyFill="1" applyBorder="1" applyAlignment="1">
      <alignment vertical="center"/>
    </xf>
    <xf numFmtId="0" fontId="1" fillId="17" borderId="26" xfId="0" applyFont="1" applyFill="1" applyBorder="1" applyAlignment="1">
      <alignment vertical="center"/>
    </xf>
    <xf numFmtId="0" fontId="1" fillId="6" borderId="34" xfId="0" applyFont="1" applyFill="1" applyBorder="1" applyAlignment="1">
      <alignment vertical="center"/>
    </xf>
    <xf numFmtId="0" fontId="2" fillId="2" borderId="26" xfId="0" applyFont="1" applyFill="1" applyBorder="1" applyAlignment="1">
      <alignment horizontal="center" vertical="center" wrapText="1"/>
    </xf>
    <xf numFmtId="0" fontId="2" fillId="0" borderId="0" xfId="0" applyFont="1" applyAlignment="1">
      <alignment horizontal="center" vertical="center" wrapText="1"/>
    </xf>
    <xf numFmtId="0" fontId="1" fillId="2" borderId="40"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72" xfId="0" applyFont="1" applyFill="1" applyBorder="1" applyAlignment="1">
      <alignment horizontal="center" vertical="center" wrapText="1"/>
    </xf>
    <xf numFmtId="0" fontId="1" fillId="2" borderId="73" xfId="0" applyFont="1" applyFill="1" applyBorder="1" applyAlignment="1">
      <alignment horizontal="center" vertical="center" wrapText="1"/>
    </xf>
    <xf numFmtId="0" fontId="1" fillId="2" borderId="75" xfId="0" applyFont="1" applyFill="1" applyBorder="1" applyAlignment="1">
      <alignment horizontal="center" vertical="center" wrapText="1"/>
    </xf>
    <xf numFmtId="0" fontId="1" fillId="2" borderId="70" xfId="0" applyFont="1" applyFill="1" applyBorder="1" applyAlignment="1">
      <alignment horizontal="center" vertical="center" wrapText="1"/>
    </xf>
    <xf numFmtId="0" fontId="1" fillId="0" borderId="0" xfId="0" applyFont="1" applyAlignment="1">
      <alignment horizontal="center" vertical="center" wrapText="1"/>
    </xf>
    <xf numFmtId="0" fontId="1" fillId="2" borderId="8"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57" xfId="0" applyFont="1" applyFill="1" applyBorder="1" applyAlignment="1">
      <alignment horizontal="center" vertical="center" wrapText="1"/>
    </xf>
    <xf numFmtId="0" fontId="1" fillId="0" borderId="11" xfId="0" applyFont="1" applyFill="1" applyBorder="1" applyAlignment="1">
      <alignment vertical="center"/>
    </xf>
    <xf numFmtId="2" fontId="1" fillId="14" borderId="30" xfId="0" applyNumberFormat="1" applyFont="1" applyFill="1" applyBorder="1" applyAlignment="1">
      <alignment vertical="center"/>
    </xf>
    <xf numFmtId="9" fontId="1" fillId="16" borderId="61" xfId="2" applyFont="1" applyFill="1" applyBorder="1" applyAlignment="1" applyProtection="1">
      <alignment vertical="center"/>
      <protection locked="0"/>
    </xf>
    <xf numFmtId="9" fontId="1" fillId="5" borderId="11" xfId="2" applyFont="1" applyFill="1" applyBorder="1" applyAlignment="1" applyProtection="1">
      <alignment vertical="center"/>
      <protection locked="0"/>
    </xf>
    <xf numFmtId="9" fontId="1" fillId="0" borderId="25" xfId="2" applyFont="1" applyBorder="1" applyAlignment="1">
      <alignment vertical="center"/>
    </xf>
    <xf numFmtId="0" fontId="1" fillId="5" borderId="25" xfId="0" applyFont="1" applyFill="1" applyBorder="1" applyAlignment="1" applyProtection="1">
      <alignment vertical="center"/>
      <protection locked="0"/>
    </xf>
    <xf numFmtId="0" fontId="1" fillId="0" borderId="39" xfId="0" applyFont="1" applyFill="1" applyBorder="1" applyAlignment="1">
      <alignment vertical="center"/>
    </xf>
    <xf numFmtId="9" fontId="1" fillId="5" borderId="39" xfId="0" applyNumberFormat="1" applyFont="1" applyFill="1" applyBorder="1" applyAlignment="1" applyProtection="1">
      <alignment vertical="center"/>
      <protection locked="0"/>
    </xf>
    <xf numFmtId="0" fontId="1" fillId="0" borderId="25" xfId="0" applyFont="1" applyBorder="1" applyAlignment="1">
      <alignment vertical="center"/>
    </xf>
    <xf numFmtId="0" fontId="1" fillId="0" borderId="2" xfId="0" applyFont="1" applyBorder="1" applyAlignment="1">
      <alignment vertical="center"/>
    </xf>
    <xf numFmtId="9" fontId="1" fillId="0" borderId="1" xfId="2" applyFont="1" applyBorder="1" applyAlignment="1">
      <alignment vertical="center"/>
    </xf>
    <xf numFmtId="0" fontId="1" fillId="5" borderId="3" xfId="0" applyFont="1" applyFill="1" applyBorder="1" applyAlignment="1" applyProtection="1">
      <alignment vertical="center"/>
      <protection locked="0"/>
    </xf>
    <xf numFmtId="0" fontId="1" fillId="0" borderId="2" xfId="0" applyFont="1" applyFill="1" applyBorder="1" applyAlignment="1">
      <alignment vertical="center"/>
    </xf>
    <xf numFmtId="9" fontId="1" fillId="5" borderId="2" xfId="0" applyNumberFormat="1" applyFont="1" applyFill="1" applyBorder="1" applyAlignment="1" applyProtection="1">
      <alignment vertical="center"/>
      <protection locked="0"/>
    </xf>
    <xf numFmtId="0" fontId="1" fillId="0" borderId="1" xfId="0" applyFont="1" applyBorder="1" applyAlignment="1">
      <alignment vertical="center"/>
    </xf>
    <xf numFmtId="0" fontId="1" fillId="14" borderId="1" xfId="0" applyFont="1" applyFill="1" applyBorder="1" applyAlignment="1">
      <alignment vertical="center"/>
    </xf>
    <xf numFmtId="0" fontId="1" fillId="0" borderId="8" xfId="0" applyFont="1" applyBorder="1" applyAlignment="1">
      <alignment vertical="center"/>
    </xf>
    <xf numFmtId="0" fontId="1" fillId="14" borderId="20" xfId="0" applyFont="1" applyFill="1" applyBorder="1" applyAlignment="1">
      <alignment vertical="center"/>
    </xf>
    <xf numFmtId="9" fontId="1" fillId="5" borderId="8" xfId="2" applyFont="1" applyFill="1" applyBorder="1" applyAlignment="1" applyProtection="1">
      <alignment vertical="center"/>
      <protection locked="0"/>
    </xf>
    <xf numFmtId="9" fontId="1" fillId="5" borderId="20" xfId="2" applyFont="1" applyFill="1" applyBorder="1" applyAlignment="1" applyProtection="1">
      <alignment vertical="center"/>
      <protection locked="0"/>
    </xf>
    <xf numFmtId="9" fontId="1" fillId="0" borderId="20" xfId="2" applyFont="1" applyBorder="1" applyAlignment="1">
      <alignment vertical="center"/>
    </xf>
    <xf numFmtId="0" fontId="1" fillId="5" borderId="20" xfId="0" applyFont="1" applyFill="1" applyBorder="1" applyAlignment="1" applyProtection="1">
      <alignment vertical="center"/>
      <protection locked="0"/>
    </xf>
    <xf numFmtId="0" fontId="1" fillId="5" borderId="70" xfId="0" applyFont="1" applyFill="1" applyBorder="1" applyAlignment="1" applyProtection="1">
      <alignment vertical="center"/>
      <protection locked="0"/>
    </xf>
    <xf numFmtId="0" fontId="1" fillId="0" borderId="8" xfId="0" applyFont="1" applyFill="1" applyBorder="1" applyAlignment="1">
      <alignment vertical="center"/>
    </xf>
    <xf numFmtId="9" fontId="1" fillId="5" borderId="8" xfId="0" applyNumberFormat="1" applyFont="1" applyFill="1" applyBorder="1" applyAlignment="1" applyProtection="1">
      <alignment vertical="center"/>
      <protection locked="0"/>
    </xf>
    <xf numFmtId="0" fontId="1" fillId="0" borderId="20" xfId="0" applyFont="1" applyBorder="1" applyAlignment="1">
      <alignment vertical="center"/>
    </xf>
    <xf numFmtId="0" fontId="0" fillId="7" borderId="0" xfId="0" applyFill="1" applyBorder="1" applyAlignment="1">
      <alignment vertical="center"/>
    </xf>
    <xf numFmtId="3" fontId="0" fillId="7" borderId="0" xfId="0" applyNumberFormat="1" applyFill="1" applyAlignment="1">
      <alignment vertical="center"/>
    </xf>
    <xf numFmtId="170" fontId="0" fillId="7" borderId="0" xfId="0" applyNumberFormat="1" applyFill="1" applyAlignment="1">
      <alignment vertical="center"/>
    </xf>
    <xf numFmtId="3" fontId="0" fillId="7" borderId="0" xfId="0" applyNumberFormat="1" applyFill="1" applyBorder="1" applyAlignment="1">
      <alignment vertical="center"/>
    </xf>
    <xf numFmtId="3" fontId="0" fillId="14" borderId="0" xfId="0" applyNumberFormat="1" applyFill="1" applyAlignment="1">
      <alignment vertical="center"/>
    </xf>
    <xf numFmtId="0" fontId="0" fillId="7" borderId="0" xfId="0" applyFill="1" applyAlignment="1">
      <alignment vertical="center"/>
    </xf>
    <xf numFmtId="3" fontId="4" fillId="7" borderId="0" xfId="0" applyNumberFormat="1" applyFont="1" applyFill="1" applyAlignment="1">
      <alignment vertical="center"/>
    </xf>
    <xf numFmtId="3" fontId="2" fillId="7" borderId="0" xfId="0" applyNumberFormat="1" applyFont="1" applyFill="1" applyAlignment="1">
      <alignment vertical="center"/>
    </xf>
    <xf numFmtId="3" fontId="2" fillId="7" borderId="0" xfId="0" applyNumberFormat="1" applyFont="1" applyFill="1" applyBorder="1" applyAlignment="1">
      <alignment horizontal="left" vertical="center"/>
    </xf>
    <xf numFmtId="170" fontId="2" fillId="7" borderId="0" xfId="0" applyNumberFormat="1" applyFont="1" applyFill="1" applyBorder="1" applyAlignment="1">
      <alignment horizontal="left" vertical="center"/>
    </xf>
    <xf numFmtId="3" fontId="2" fillId="7" borderId="45" xfId="0" applyNumberFormat="1" applyFont="1" applyFill="1" applyBorder="1" applyAlignment="1">
      <alignment vertical="center"/>
    </xf>
    <xf numFmtId="3" fontId="2" fillId="7" borderId="46" xfId="0" applyNumberFormat="1" applyFont="1" applyFill="1" applyBorder="1" applyAlignment="1">
      <alignment vertical="center"/>
    </xf>
    <xf numFmtId="3" fontId="2" fillId="7" borderId="34" xfId="0" applyNumberFormat="1" applyFont="1" applyFill="1" applyBorder="1" applyAlignment="1">
      <alignment vertical="center"/>
    </xf>
    <xf numFmtId="3" fontId="15" fillId="7" borderId="0" xfId="0" applyNumberFormat="1" applyFont="1" applyFill="1" applyAlignment="1">
      <alignment vertical="center"/>
    </xf>
    <xf numFmtId="3" fontId="0" fillId="11" borderId="0" xfId="0" applyNumberFormat="1" applyFill="1" applyBorder="1" applyAlignment="1">
      <alignment vertical="center"/>
    </xf>
    <xf numFmtId="0" fontId="2" fillId="7" borderId="0" xfId="0" applyFont="1" applyFill="1" applyAlignment="1">
      <alignment vertical="center" wrapText="1"/>
    </xf>
    <xf numFmtId="0" fontId="0" fillId="14" borderId="0" xfId="0" applyFill="1" applyAlignment="1">
      <alignment vertical="center"/>
    </xf>
    <xf numFmtId="0" fontId="13" fillId="7" borderId="0" xfId="0" applyFont="1" applyFill="1" applyAlignment="1">
      <alignment vertical="center" wrapText="1"/>
    </xf>
    <xf numFmtId="3" fontId="0" fillId="0" borderId="0" xfId="0" applyNumberFormat="1" applyAlignment="1">
      <alignment vertical="center"/>
    </xf>
    <xf numFmtId="3" fontId="2" fillId="11" borderId="0" xfId="0" applyNumberFormat="1" applyFont="1" applyFill="1" applyBorder="1" applyAlignment="1">
      <alignment vertical="center"/>
    </xf>
    <xf numFmtId="170" fontId="0" fillId="11" borderId="0" xfId="0" applyNumberFormat="1" applyFill="1" applyBorder="1" applyAlignment="1">
      <alignment horizontal="center" vertical="center"/>
    </xf>
    <xf numFmtId="3" fontId="0" fillId="11" borderId="0" xfId="0" applyNumberFormat="1" applyFill="1" applyBorder="1" applyAlignment="1">
      <alignment horizontal="center" vertical="center"/>
    </xf>
    <xf numFmtId="0" fontId="0" fillId="7" borderId="0" xfId="0" applyFill="1" applyAlignment="1">
      <alignment vertical="center" wrapText="1"/>
    </xf>
    <xf numFmtId="3" fontId="13" fillId="2" borderId="49" xfId="0" applyNumberFormat="1" applyFont="1" applyFill="1" applyBorder="1" applyAlignment="1">
      <alignment horizontal="center" vertical="center" wrapText="1"/>
    </xf>
    <xf numFmtId="3" fontId="13" fillId="2" borderId="7" xfId="0" applyNumberFormat="1" applyFont="1" applyFill="1" applyBorder="1" applyAlignment="1">
      <alignment horizontal="center" vertical="center" wrapText="1"/>
    </xf>
    <xf numFmtId="3" fontId="13" fillId="2" borderId="12" xfId="0" applyNumberFormat="1" applyFont="1" applyFill="1" applyBorder="1" applyAlignment="1">
      <alignment horizontal="center" vertical="center" wrapText="1"/>
    </xf>
    <xf numFmtId="3" fontId="13" fillId="2" borderId="1" xfId="0" applyNumberFormat="1" applyFont="1" applyFill="1" applyBorder="1" applyAlignment="1">
      <alignment horizontal="center" vertical="center" wrapText="1"/>
    </xf>
    <xf numFmtId="3" fontId="13" fillId="2" borderId="22" xfId="0" applyNumberFormat="1" applyFont="1" applyFill="1" applyBorder="1" applyAlignment="1">
      <alignment horizontal="center" vertical="center" wrapText="1"/>
    </xf>
    <xf numFmtId="3" fontId="13" fillId="2" borderId="0" xfId="0" applyNumberFormat="1" applyFont="1" applyFill="1" applyBorder="1" applyAlignment="1">
      <alignment horizontal="center" vertical="center" wrapText="1"/>
    </xf>
    <xf numFmtId="3" fontId="13" fillId="11" borderId="0" xfId="0" applyNumberFormat="1" applyFont="1" applyFill="1" applyBorder="1" applyAlignment="1">
      <alignment horizontal="center" vertical="center" wrapText="1"/>
    </xf>
    <xf numFmtId="170" fontId="13" fillId="8" borderId="26" xfId="0" applyNumberFormat="1" applyFont="1" applyFill="1" applyBorder="1" applyAlignment="1">
      <alignment horizontal="center" vertical="center" wrapText="1"/>
    </xf>
    <xf numFmtId="3" fontId="13" fillId="8" borderId="26" xfId="0" applyNumberFormat="1" applyFont="1" applyFill="1" applyBorder="1" applyAlignment="1">
      <alignment horizontal="center" vertical="center" wrapText="1"/>
    </xf>
    <xf numFmtId="3" fontId="0" fillId="2" borderId="8" xfId="0" applyNumberFormat="1" applyFill="1" applyBorder="1" applyAlignment="1">
      <alignment horizontal="center" vertical="center" wrapText="1"/>
    </xf>
    <xf numFmtId="3" fontId="0" fillId="2" borderId="5" xfId="0" applyNumberFormat="1" applyFill="1" applyBorder="1" applyAlignment="1">
      <alignment horizontal="center" vertical="center" wrapText="1"/>
    </xf>
    <xf numFmtId="3" fontId="0" fillId="2" borderId="6" xfId="0" applyNumberFormat="1" applyFill="1" applyBorder="1" applyAlignment="1">
      <alignment horizontal="center" vertical="center" wrapText="1"/>
    </xf>
    <xf numFmtId="3" fontId="0" fillId="2" borderId="20" xfId="0" applyNumberFormat="1" applyFill="1" applyBorder="1" applyAlignment="1">
      <alignment horizontal="center" vertical="center" wrapText="1"/>
    </xf>
    <xf numFmtId="3" fontId="0" fillId="2" borderId="62" xfId="0" applyNumberFormat="1" applyFill="1" applyBorder="1" applyAlignment="1">
      <alignment horizontal="center" vertical="center" wrapText="1"/>
    </xf>
    <xf numFmtId="3" fontId="0" fillId="11" borderId="0" xfId="0" applyNumberFormat="1" applyFill="1" applyBorder="1" applyAlignment="1">
      <alignment horizontal="center" vertical="center" wrapText="1"/>
    </xf>
    <xf numFmtId="170" fontId="0" fillId="8" borderId="26" xfId="0" applyNumberFormat="1" applyFill="1" applyBorder="1" applyAlignment="1">
      <alignment horizontal="center" vertical="center" wrapText="1"/>
    </xf>
    <xf numFmtId="3" fontId="0" fillId="8" borderId="26" xfId="0" applyNumberFormat="1" applyFill="1" applyBorder="1" applyAlignment="1">
      <alignment horizontal="center" vertical="center" wrapText="1"/>
    </xf>
    <xf numFmtId="3" fontId="0" fillId="0" borderId="35" xfId="0" applyNumberFormat="1" applyBorder="1" applyAlignment="1">
      <alignment vertical="center" wrapText="1"/>
    </xf>
    <xf numFmtId="3" fontId="0" fillId="0" borderId="27" xfId="0" applyNumberFormat="1" applyBorder="1" applyAlignment="1">
      <alignment vertical="center" wrapText="1"/>
    </xf>
    <xf numFmtId="3" fontId="0" fillId="0" borderId="28" xfId="0" applyNumberFormat="1" applyBorder="1" applyAlignment="1">
      <alignment vertical="center" wrapText="1"/>
    </xf>
    <xf numFmtId="3" fontId="0" fillId="0" borderId="26" xfId="0" applyNumberFormat="1" applyBorder="1" applyAlignment="1">
      <alignment vertical="center" wrapText="1"/>
    </xf>
    <xf numFmtId="3" fontId="0" fillId="0" borderId="52" xfId="0" applyNumberFormat="1" applyBorder="1" applyAlignment="1">
      <alignment vertical="center" wrapText="1"/>
    </xf>
    <xf numFmtId="3" fontId="0" fillId="0" borderId="36" xfId="0" applyNumberFormat="1" applyBorder="1" applyAlignment="1">
      <alignment vertical="center" wrapText="1"/>
    </xf>
    <xf numFmtId="3" fontId="0" fillId="11" borderId="0" xfId="0" applyNumberFormat="1" applyFill="1" applyBorder="1" applyAlignment="1">
      <alignment vertical="center" wrapText="1"/>
    </xf>
    <xf numFmtId="170" fontId="0" fillId="0" borderId="22" xfId="0" applyNumberFormat="1" applyFill="1" applyBorder="1" applyAlignment="1">
      <alignment vertical="center" wrapText="1"/>
    </xf>
    <xf numFmtId="3" fontId="0" fillId="0" borderId="22" xfId="0" applyNumberFormat="1" applyFill="1" applyBorder="1" applyAlignment="1">
      <alignment vertical="center" wrapText="1"/>
    </xf>
    <xf numFmtId="1" fontId="0" fillId="0" borderId="25" xfId="0" applyNumberFormat="1" applyFill="1" applyBorder="1" applyAlignment="1" applyProtection="1">
      <alignment vertical="center"/>
      <protection locked="0"/>
    </xf>
    <xf numFmtId="3" fontId="0" fillId="0" borderId="56" xfId="0" applyNumberFormat="1" applyFill="1" applyBorder="1" applyAlignment="1">
      <alignment vertical="center"/>
    </xf>
    <xf numFmtId="3" fontId="0" fillId="0" borderId="51" xfId="0" applyNumberFormat="1" applyFill="1" applyBorder="1" applyAlignment="1">
      <alignment vertical="center"/>
    </xf>
    <xf numFmtId="3" fontId="0" fillId="0" borderId="25" xfId="0" applyNumberFormat="1" applyFill="1" applyBorder="1" applyAlignment="1">
      <alignment vertical="center"/>
    </xf>
    <xf numFmtId="3" fontId="0" fillId="0" borderId="3" xfId="0" applyNumberFormat="1" applyFill="1" applyBorder="1" applyAlignment="1">
      <alignment vertical="center"/>
    </xf>
    <xf numFmtId="3" fontId="0" fillId="0" borderId="47" xfId="0" applyNumberFormat="1" applyFill="1" applyBorder="1" applyAlignment="1">
      <alignment vertical="center"/>
    </xf>
    <xf numFmtId="3" fontId="0" fillId="0" borderId="25" xfId="0" applyNumberFormat="1" applyFill="1" applyBorder="1" applyAlignment="1" applyProtection="1">
      <alignment vertical="center"/>
    </xf>
    <xf numFmtId="170" fontId="0" fillId="8" borderId="25" xfId="0" applyNumberFormat="1" applyFill="1" applyBorder="1" applyAlignment="1">
      <alignment vertical="center"/>
    </xf>
    <xf numFmtId="171" fontId="0" fillId="7" borderId="0" xfId="0" applyNumberFormat="1" applyFill="1" applyAlignment="1">
      <alignment vertical="center"/>
    </xf>
    <xf numFmtId="3" fontId="0" fillId="8" borderId="25" xfId="0" applyNumberFormat="1" applyFill="1" applyBorder="1" applyAlignment="1">
      <alignment vertical="center"/>
    </xf>
    <xf numFmtId="1" fontId="0" fillId="0" borderId="1" xfId="0" applyNumberFormat="1" applyBorder="1" applyAlignment="1">
      <alignment vertical="center"/>
    </xf>
    <xf numFmtId="3" fontId="0" fillId="0" borderId="43" xfId="0" applyNumberFormat="1" applyFill="1" applyBorder="1" applyAlignment="1">
      <alignment vertical="center"/>
    </xf>
    <xf numFmtId="3" fontId="0" fillId="0" borderId="30" xfId="0" applyNumberFormat="1" applyFill="1" applyBorder="1" applyAlignment="1">
      <alignment vertical="center"/>
    </xf>
    <xf numFmtId="3" fontId="0" fillId="0" borderId="1" xfId="0" applyNumberFormat="1" applyFill="1" applyBorder="1" applyAlignment="1">
      <alignment vertical="center"/>
    </xf>
    <xf numFmtId="3" fontId="0" fillId="0" borderId="48" xfId="0" applyNumberFormat="1" applyFill="1" applyBorder="1" applyAlignment="1">
      <alignment vertical="center"/>
    </xf>
    <xf numFmtId="3" fontId="0" fillId="0" borderId="1" xfId="0" applyNumberFormat="1" applyFill="1" applyBorder="1" applyAlignment="1" applyProtection="1">
      <alignment vertical="center"/>
    </xf>
    <xf numFmtId="170" fontId="0" fillId="8" borderId="1" xfId="0" applyNumberFormat="1" applyFill="1" applyBorder="1" applyAlignment="1">
      <alignment vertical="center"/>
    </xf>
    <xf numFmtId="3" fontId="0" fillId="8" borderId="1" xfId="0" applyNumberFormat="1" applyFill="1" applyBorder="1" applyAlignment="1">
      <alignment vertical="center"/>
    </xf>
    <xf numFmtId="1" fontId="0" fillId="0" borderId="20" xfId="0" applyNumberFormat="1" applyBorder="1" applyAlignment="1">
      <alignment vertical="center"/>
    </xf>
    <xf numFmtId="3" fontId="0" fillId="0" borderId="63" xfId="0" applyNumberFormat="1" applyFill="1" applyBorder="1" applyAlignment="1">
      <alignment vertical="center"/>
    </xf>
    <xf numFmtId="3" fontId="0" fillId="0" borderId="6" xfId="0" applyNumberFormat="1" applyFill="1" applyBorder="1" applyAlignment="1">
      <alignment vertical="center"/>
    </xf>
    <xf numFmtId="3" fontId="0" fillId="0" borderId="20" xfId="0" applyNumberFormat="1" applyFill="1" applyBorder="1" applyAlignment="1">
      <alignment vertical="center"/>
    </xf>
    <xf numFmtId="3" fontId="0" fillId="0" borderId="20" xfId="0" applyNumberFormat="1" applyFill="1" applyBorder="1" applyAlignment="1" applyProtection="1">
      <alignment vertical="center"/>
    </xf>
    <xf numFmtId="170" fontId="0" fillId="8" borderId="20" xfId="0" applyNumberFormat="1" applyFill="1" applyBorder="1" applyAlignment="1">
      <alignment vertical="center"/>
    </xf>
    <xf numFmtId="3" fontId="0" fillId="0" borderId="64" xfId="0" applyNumberFormat="1" applyFill="1" applyBorder="1" applyAlignment="1">
      <alignment vertical="center"/>
    </xf>
    <xf numFmtId="3" fontId="0" fillId="8" borderId="20" xfId="0" applyNumberFormat="1" applyFill="1" applyBorder="1" applyAlignment="1">
      <alignment vertical="center"/>
    </xf>
    <xf numFmtId="0" fontId="2" fillId="2" borderId="25" xfId="0" applyFont="1" applyFill="1" applyBorder="1" applyAlignment="1">
      <alignment horizontal="center" vertical="center" wrapText="1"/>
    </xf>
    <xf numFmtId="0" fontId="2" fillId="2" borderId="34" xfId="0" applyFont="1" applyFill="1" applyBorder="1" applyAlignment="1">
      <alignment horizontal="center" vertical="center"/>
    </xf>
    <xf numFmtId="0" fontId="0" fillId="0" borderId="0" xfId="0" applyAlignment="1">
      <alignment vertical="center"/>
    </xf>
    <xf numFmtId="0" fontId="4" fillId="0" borderId="0" xfId="0" applyFont="1" applyAlignment="1">
      <alignment vertical="center"/>
    </xf>
    <xf numFmtId="0" fontId="2" fillId="2" borderId="26" xfId="0" applyFont="1" applyFill="1" applyBorder="1" applyAlignment="1">
      <alignment horizontal="center" vertical="center"/>
    </xf>
    <xf numFmtId="0" fontId="2" fillId="2" borderId="17"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19" borderId="17" xfId="0" applyFont="1" applyFill="1" applyBorder="1" applyAlignment="1">
      <alignment horizontal="center" vertical="center" wrapText="1"/>
    </xf>
    <xf numFmtId="0" fontId="2" fillId="19" borderId="13" xfId="0" applyFont="1" applyFill="1" applyBorder="1" applyAlignment="1">
      <alignment horizontal="center" vertical="center" wrapText="1"/>
    </xf>
    <xf numFmtId="0" fontId="2" fillId="19" borderId="4" xfId="0" applyFont="1" applyFill="1" applyBorder="1" applyAlignment="1">
      <alignment horizontal="center" vertical="center" wrapText="1"/>
    </xf>
    <xf numFmtId="0" fontId="2" fillId="0" borderId="0" xfId="0" applyFont="1" applyAlignment="1">
      <alignment vertical="center" wrapText="1"/>
    </xf>
    <xf numFmtId="0" fontId="0" fillId="2" borderId="14"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20" xfId="0" applyFill="1" applyBorder="1" applyAlignment="1">
      <alignment vertical="center" wrapText="1"/>
    </xf>
    <xf numFmtId="0" fontId="0" fillId="0" borderId="0" xfId="0" applyAlignment="1">
      <alignment vertical="center" wrapText="1"/>
    </xf>
    <xf numFmtId="0" fontId="0" fillId="2" borderId="26" xfId="0" applyFill="1" applyBorder="1" applyAlignment="1">
      <alignment horizontal="center" vertical="center" wrapText="1"/>
    </xf>
    <xf numFmtId="0" fontId="0" fillId="3" borderId="17" xfId="0" applyFill="1" applyBorder="1" applyAlignment="1">
      <alignment horizontal="center" vertical="center" wrapText="1"/>
    </xf>
    <xf numFmtId="0" fontId="0" fillId="3" borderId="1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26" xfId="0" applyFill="1" applyBorder="1" applyAlignment="1">
      <alignment vertical="center" wrapText="1"/>
    </xf>
    <xf numFmtId="0" fontId="0" fillId="5" borderId="27" xfId="0" applyFill="1" applyBorder="1" applyAlignment="1" applyProtection="1">
      <alignment horizontal="center" vertical="center" wrapText="1"/>
      <protection locked="0"/>
    </xf>
    <xf numFmtId="0" fontId="0" fillId="5" borderId="28" xfId="0" applyFill="1" applyBorder="1" applyAlignment="1" applyProtection="1">
      <alignment horizontal="center" vertical="center" wrapText="1"/>
      <protection locked="0"/>
    </xf>
    <xf numFmtId="0" fontId="0" fillId="5" borderId="21" xfId="0" applyFill="1" applyBorder="1" applyAlignment="1" applyProtection="1">
      <alignment vertical="center" wrapText="1"/>
      <protection locked="0"/>
    </xf>
    <xf numFmtId="0" fontId="0" fillId="5" borderId="26" xfId="0" applyFill="1" applyBorder="1" applyAlignment="1" applyProtection="1">
      <alignment vertical="center" wrapText="1"/>
      <protection locked="0"/>
    </xf>
    <xf numFmtId="0" fontId="0" fillId="2" borderId="7" xfId="0" applyFill="1" applyBorder="1" applyAlignment="1">
      <alignment horizontal="center" vertical="center" wrapText="1"/>
    </xf>
    <xf numFmtId="0" fontId="0" fillId="2" borderId="12" xfId="0" applyFill="1" applyBorder="1" applyAlignment="1">
      <alignment horizontal="center" vertical="center" wrapText="1"/>
    </xf>
    <xf numFmtId="0" fontId="0" fillId="2" borderId="23" xfId="0" applyFill="1" applyBorder="1" applyAlignment="1">
      <alignment horizontal="center" vertical="center" wrapText="1"/>
    </xf>
    <xf numFmtId="0" fontId="0" fillId="2" borderId="52" xfId="0" applyFill="1" applyBorder="1" applyAlignment="1">
      <alignment vertical="center" wrapText="1"/>
    </xf>
    <xf numFmtId="0" fontId="0" fillId="2" borderId="31" xfId="0" applyFill="1" applyBorder="1" applyAlignment="1">
      <alignment horizontal="center" vertical="center" wrapText="1"/>
    </xf>
    <xf numFmtId="0" fontId="0" fillId="2" borderId="25" xfId="0" applyFill="1" applyBorder="1" applyAlignment="1">
      <alignment vertical="center" wrapText="1"/>
    </xf>
    <xf numFmtId="9" fontId="0" fillId="5" borderId="29" xfId="2" applyFont="1" applyFill="1" applyBorder="1" applyAlignment="1" applyProtection="1">
      <alignment horizontal="center" vertical="center" wrapText="1"/>
      <protection locked="0"/>
    </xf>
    <xf numFmtId="9" fontId="0" fillId="5" borderId="30" xfId="2" applyFont="1" applyFill="1" applyBorder="1" applyAlignment="1" applyProtection="1">
      <alignment horizontal="center" vertical="center" wrapText="1"/>
      <protection locked="0"/>
    </xf>
    <xf numFmtId="9" fontId="0" fillId="5" borderId="29" xfId="3" applyFont="1" applyFill="1" applyBorder="1" applyAlignment="1" applyProtection="1">
      <alignment horizontal="center" vertical="center" wrapText="1"/>
      <protection locked="0"/>
    </xf>
    <xf numFmtId="9" fontId="0" fillId="5" borderId="30" xfId="3" applyFont="1" applyFill="1" applyBorder="1" applyAlignment="1" applyProtection="1">
      <alignment horizontal="center" vertical="center" wrapText="1"/>
      <protection locked="0"/>
    </xf>
    <xf numFmtId="0" fontId="0" fillId="5" borderId="1" xfId="0" applyFill="1" applyBorder="1" applyAlignment="1" applyProtection="1">
      <alignment vertical="center" wrapText="1"/>
      <protection locked="0"/>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1" xfId="0" applyFill="1" applyBorder="1" applyAlignment="1">
      <alignment horizontal="center" vertical="center" wrapText="1"/>
    </xf>
    <xf numFmtId="0" fontId="0" fillId="0" borderId="11" xfId="0" applyFill="1" applyBorder="1" applyAlignment="1">
      <alignment horizontal="center" vertical="center"/>
    </xf>
    <xf numFmtId="9" fontId="0" fillId="5" borderId="38" xfId="0" applyNumberFormat="1" applyFill="1" applyBorder="1" applyAlignment="1" applyProtection="1">
      <alignment vertical="center"/>
      <protection locked="0"/>
    </xf>
    <xf numFmtId="9" fontId="0" fillId="5" borderId="51" xfId="0" applyNumberFormat="1" applyFill="1" applyBorder="1" applyAlignment="1" applyProtection="1">
      <alignment vertical="center"/>
      <protection locked="0"/>
    </xf>
    <xf numFmtId="9" fontId="0" fillId="0" borderId="19" xfId="0" applyNumberFormat="1" applyFill="1" applyBorder="1" applyAlignment="1">
      <alignment vertical="center"/>
    </xf>
    <xf numFmtId="0" fontId="0" fillId="5" borderId="3" xfId="0" applyFill="1" applyBorder="1" applyAlignment="1" applyProtection="1">
      <alignment vertical="center"/>
      <protection locked="0"/>
    </xf>
    <xf numFmtId="2" fontId="0" fillId="0" borderId="3" xfId="0" applyNumberFormat="1" applyFill="1" applyBorder="1" applyAlignment="1">
      <alignment vertical="center"/>
    </xf>
    <xf numFmtId="2" fontId="0" fillId="0" borderId="55" xfId="0" applyNumberFormat="1" applyFill="1" applyBorder="1" applyAlignment="1">
      <alignment vertical="center"/>
    </xf>
    <xf numFmtId="0" fontId="0" fillId="0" borderId="2" xfId="0" applyBorder="1" applyAlignment="1">
      <alignment horizontal="center" vertical="center"/>
    </xf>
    <xf numFmtId="9" fontId="0" fillId="5" borderId="29" xfId="0" applyNumberFormat="1" applyFill="1" applyBorder="1" applyAlignment="1" applyProtection="1">
      <alignment vertical="center"/>
      <protection locked="0"/>
    </xf>
    <xf numFmtId="9" fontId="0" fillId="5" borderId="30" xfId="0" applyNumberFormat="1" applyFill="1" applyBorder="1" applyAlignment="1" applyProtection="1">
      <alignment vertical="center"/>
      <protection locked="0"/>
    </xf>
    <xf numFmtId="9" fontId="0" fillId="0" borderId="9" xfId="0" applyNumberFormat="1" applyFill="1" applyBorder="1" applyAlignment="1">
      <alignment vertical="center"/>
    </xf>
    <xf numFmtId="0" fontId="0" fillId="5" borderId="1" xfId="0" applyFill="1" applyBorder="1" applyAlignment="1" applyProtection="1">
      <alignment vertical="center"/>
      <protection locked="0"/>
    </xf>
    <xf numFmtId="0" fontId="0" fillId="0" borderId="8" xfId="0" applyBorder="1" applyAlignment="1">
      <alignment horizontal="center" vertical="center"/>
    </xf>
    <xf numFmtId="9" fontId="0" fillId="5" borderId="5" xfId="0" applyNumberFormat="1" applyFill="1" applyBorder="1" applyAlignment="1" applyProtection="1">
      <alignment vertical="center"/>
      <protection locked="0"/>
    </xf>
    <xf numFmtId="9" fontId="0" fillId="5" borderId="6" xfId="0" applyNumberFormat="1" applyFill="1" applyBorder="1" applyAlignment="1" applyProtection="1">
      <alignment vertical="center"/>
      <protection locked="0"/>
    </xf>
    <xf numFmtId="9" fontId="0" fillId="0" borderId="18" xfId="0" applyNumberFormat="1" applyFill="1" applyBorder="1" applyAlignment="1">
      <alignment vertical="center"/>
    </xf>
    <xf numFmtId="0" fontId="0" fillId="5" borderId="20" xfId="0" applyFill="1" applyBorder="1" applyAlignment="1" applyProtection="1">
      <alignment vertical="center"/>
      <protection locked="0"/>
    </xf>
    <xf numFmtId="2" fontId="0" fillId="0" borderId="20" xfId="0" applyNumberFormat="1" applyFill="1" applyBorder="1" applyAlignment="1">
      <alignment vertical="center"/>
    </xf>
    <xf numFmtId="0" fontId="0" fillId="0" borderId="0" xfId="0" applyFill="1" applyAlignment="1">
      <alignment vertical="center"/>
    </xf>
    <xf numFmtId="43" fontId="0" fillId="0" borderId="31" xfId="4" applyFont="1" applyFill="1" applyBorder="1" applyProtection="1">
      <protection locked="0"/>
    </xf>
    <xf numFmtId="43" fontId="0" fillId="0" borderId="29" xfId="4" applyFont="1" applyFill="1" applyBorder="1" applyProtection="1">
      <protection locked="0"/>
    </xf>
    <xf numFmtId="43" fontId="0" fillId="0" borderId="31" xfId="4" applyFont="1" applyBorder="1" applyProtection="1"/>
    <xf numFmtId="43" fontId="0" fillId="0" borderId="29" xfId="4" applyFont="1" applyBorder="1" applyProtection="1"/>
    <xf numFmtId="4" fontId="0" fillId="0" borderId="29" xfId="0" applyNumberFormat="1" applyFill="1" applyBorder="1" applyProtection="1">
      <protection locked="0"/>
    </xf>
    <xf numFmtId="10" fontId="1" fillId="14" borderId="0" xfId="2" applyNumberFormat="1" applyFont="1" applyFill="1" applyAlignment="1">
      <alignment vertical="center"/>
    </xf>
    <xf numFmtId="0" fontId="0" fillId="3" borderId="78" xfId="0" applyFill="1" applyBorder="1"/>
    <xf numFmtId="0" fontId="0" fillId="3" borderId="82" xfId="0" applyFill="1" applyBorder="1"/>
    <xf numFmtId="0" fontId="0" fillId="5" borderId="47" xfId="0" applyFill="1" applyBorder="1" applyProtection="1">
      <protection locked="0"/>
    </xf>
    <xf numFmtId="0" fontId="0" fillId="5" borderId="48" xfId="0" applyFill="1" applyBorder="1" applyProtection="1">
      <protection locked="0"/>
    </xf>
    <xf numFmtId="0" fontId="0" fillId="5" borderId="30" xfId="0" applyFill="1" applyBorder="1" applyProtection="1">
      <protection locked="0"/>
    </xf>
    <xf numFmtId="0" fontId="21" fillId="2" borderId="0" xfId="0" applyFont="1" applyFill="1" applyAlignment="1">
      <alignment horizontal="center"/>
    </xf>
    <xf numFmtId="0" fontId="22" fillId="2" borderId="0" xfId="0" applyFont="1" applyFill="1" applyAlignment="1">
      <alignment horizontal="center" vertical="top" wrapText="1"/>
    </xf>
    <xf numFmtId="0" fontId="2" fillId="23" borderId="68" xfId="0" applyFont="1" applyFill="1" applyBorder="1" applyAlignment="1">
      <alignment horizontal="left"/>
    </xf>
    <xf numFmtId="0" fontId="2" fillId="23" borderId="42" xfId="0" applyFont="1" applyFill="1" applyBorder="1" applyAlignment="1">
      <alignment horizontal="left"/>
    </xf>
    <xf numFmtId="0" fontId="2" fillId="23" borderId="43" xfId="0" applyFont="1" applyFill="1" applyBorder="1" applyAlignment="1">
      <alignment horizontal="left"/>
    </xf>
    <xf numFmtId="166" fontId="2" fillId="22" borderId="30" xfId="0" applyNumberFormat="1" applyFont="1" applyFill="1" applyBorder="1" applyAlignment="1">
      <alignment horizontal="center"/>
    </xf>
    <xf numFmtId="0" fontId="33" fillId="21" borderId="30" xfId="0" applyFont="1" applyFill="1" applyBorder="1" applyAlignment="1">
      <alignment horizontal="right" wrapText="1" indent="1"/>
    </xf>
    <xf numFmtId="0" fontId="2" fillId="21" borderId="30" xfId="0" applyFont="1" applyFill="1" applyBorder="1" applyAlignment="1">
      <alignment horizontal="left" wrapText="1" indent="1"/>
    </xf>
    <xf numFmtId="0" fontId="2" fillId="22" borderId="15" xfId="0" applyFont="1" applyFill="1" applyBorder="1" applyAlignment="1">
      <alignment horizontal="center" vertical="center" wrapText="1"/>
    </xf>
    <xf numFmtId="0" fontId="2" fillId="22" borderId="12" xfId="0" applyFont="1" applyFill="1" applyBorder="1" applyAlignment="1">
      <alignment horizontal="center" vertical="center" wrapText="1"/>
    </xf>
    <xf numFmtId="0" fontId="2" fillId="22" borderId="79" xfId="0" applyFont="1" applyFill="1" applyBorder="1" applyAlignment="1">
      <alignment horizontal="center" vertical="center" wrapText="1"/>
    </xf>
    <xf numFmtId="0" fontId="2" fillId="5" borderId="45" xfId="0" applyFont="1" applyFill="1" applyBorder="1" applyAlignment="1" applyProtection="1">
      <alignment horizontal="left"/>
      <protection locked="0"/>
    </xf>
    <xf numFmtId="0" fontId="2" fillId="5" borderId="46" xfId="0" applyFont="1" applyFill="1" applyBorder="1" applyAlignment="1" applyProtection="1">
      <alignment horizontal="left"/>
      <protection locked="0"/>
    </xf>
    <xf numFmtId="0" fontId="2" fillId="5" borderId="34" xfId="0" applyFont="1" applyFill="1" applyBorder="1" applyAlignment="1" applyProtection="1">
      <alignment horizontal="left"/>
      <protection locked="0"/>
    </xf>
    <xf numFmtId="0" fontId="2" fillId="5" borderId="40" xfId="0" applyFont="1" applyFill="1" applyBorder="1" applyAlignment="1" applyProtection="1">
      <protection locked="0"/>
    </xf>
    <xf numFmtId="0" fontId="2" fillId="0" borderId="74" xfId="0" applyFont="1" applyBorder="1" applyAlignment="1" applyProtection="1">
      <protection locked="0"/>
    </xf>
    <xf numFmtId="0" fontId="2" fillId="0" borderId="76" xfId="0" applyFont="1" applyBorder="1" applyAlignment="1" applyProtection="1">
      <protection locked="0"/>
    </xf>
    <xf numFmtId="0" fontId="2" fillId="2" borderId="35" xfId="0" applyFont="1" applyFill="1" applyBorder="1" applyAlignment="1">
      <alignment horizontal="center" wrapText="1"/>
    </xf>
    <xf numFmtId="0" fontId="2" fillId="2" borderId="37" xfId="0" applyFont="1" applyFill="1" applyBorder="1" applyAlignment="1">
      <alignment horizontal="center" wrapText="1"/>
    </xf>
    <xf numFmtId="0" fontId="30" fillId="0" borderId="66" xfId="0" applyFont="1" applyFill="1" applyBorder="1" applyAlignment="1">
      <alignment horizontal="center"/>
    </xf>
    <xf numFmtId="0" fontId="30" fillId="0" borderId="46" xfId="0" applyFont="1" applyFill="1" applyBorder="1" applyAlignment="1">
      <alignment horizontal="center"/>
    </xf>
    <xf numFmtId="0" fontId="30" fillId="0" borderId="34" xfId="0" applyFont="1" applyFill="1" applyBorder="1" applyAlignment="1">
      <alignment horizontal="center"/>
    </xf>
    <xf numFmtId="0" fontId="31" fillId="0" borderId="45" xfId="0" applyFont="1" applyBorder="1" applyAlignment="1" applyProtection="1">
      <alignment horizontal="center"/>
      <protection locked="0"/>
    </xf>
    <xf numFmtId="0" fontId="31" fillId="0" borderId="34" xfId="0" applyFont="1" applyBorder="1" applyAlignment="1" applyProtection="1">
      <alignment horizontal="center"/>
      <protection locked="0"/>
    </xf>
    <xf numFmtId="0" fontId="2" fillId="2" borderId="31" xfId="0" applyFont="1" applyFill="1" applyBorder="1" applyAlignment="1">
      <alignment horizontal="center"/>
    </xf>
    <xf numFmtId="0" fontId="2" fillId="2" borderId="33" xfId="0" applyFont="1" applyFill="1" applyBorder="1" applyAlignment="1">
      <alignment horizontal="center"/>
    </xf>
    <xf numFmtId="0" fontId="2" fillId="2" borderId="39"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2" fillId="2" borderId="47" xfId="0" applyFont="1" applyFill="1" applyBorder="1" applyAlignment="1">
      <alignment horizontal="center" vertical="center" wrapText="1"/>
    </xf>
    <xf numFmtId="0" fontId="4" fillId="0" borderId="0" xfId="0" applyFont="1" applyAlignment="1">
      <alignment horizontal="center" vertical="center"/>
    </xf>
    <xf numFmtId="0" fontId="2" fillId="2" borderId="45" xfId="0" applyFont="1" applyFill="1" applyBorder="1" applyAlignment="1">
      <alignment horizontal="center" vertical="center"/>
    </xf>
    <xf numFmtId="0" fontId="2" fillId="2" borderId="46"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52" xfId="0" applyFont="1" applyFill="1" applyBorder="1" applyAlignment="1">
      <alignment horizontal="center" vertical="center" wrapText="1"/>
    </xf>
    <xf numFmtId="0" fontId="2" fillId="2" borderId="22"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2" fillId="2" borderId="77" xfId="0" applyFont="1" applyFill="1" applyBorder="1" applyAlignment="1">
      <alignment horizontal="center" vertical="center" wrapText="1"/>
    </xf>
    <xf numFmtId="0" fontId="2" fillId="19" borderId="45" xfId="0" applyFont="1" applyFill="1" applyBorder="1" applyAlignment="1">
      <alignment horizontal="center" vertical="center"/>
    </xf>
    <xf numFmtId="0" fontId="2" fillId="19" borderId="46" xfId="0" applyFont="1" applyFill="1" applyBorder="1" applyAlignment="1">
      <alignment horizontal="center" vertical="center"/>
    </xf>
    <xf numFmtId="0" fontId="2" fillId="19" borderId="34" xfId="0" applyFont="1" applyFill="1" applyBorder="1" applyAlignment="1">
      <alignment horizontal="center" vertical="center"/>
    </xf>
    <xf numFmtId="0" fontId="2" fillId="2" borderId="25" xfId="0" applyFont="1" applyFill="1" applyBorder="1" applyAlignment="1">
      <alignment horizontal="center" vertical="center" wrapText="1"/>
    </xf>
    <xf numFmtId="0" fontId="2" fillId="2" borderId="20" xfId="0" applyFont="1" applyFill="1" applyBorder="1" applyAlignment="1">
      <alignment horizontal="center" vertical="center" wrapText="1"/>
    </xf>
    <xf numFmtId="0" fontId="2" fillId="6" borderId="45" xfId="0" applyFont="1" applyFill="1" applyBorder="1" applyAlignment="1">
      <alignment horizontal="center" vertical="center"/>
    </xf>
    <xf numFmtId="0" fontId="2" fillId="6" borderId="46" xfId="0" applyFont="1" applyFill="1" applyBorder="1" applyAlignment="1">
      <alignment horizontal="center" vertical="center"/>
    </xf>
    <xf numFmtId="0" fontId="2" fillId="0" borderId="45" xfId="0" applyFont="1" applyBorder="1" applyAlignment="1">
      <alignment horizontal="left"/>
    </xf>
    <xf numFmtId="0" fontId="2" fillId="0" borderId="46" xfId="0" applyFont="1" applyBorder="1" applyAlignment="1">
      <alignment horizontal="left"/>
    </xf>
    <xf numFmtId="0" fontId="2" fillId="2" borderId="40" xfId="0" applyFont="1" applyFill="1" applyBorder="1" applyAlignment="1">
      <alignment horizontal="center"/>
    </xf>
    <xf numFmtId="0" fontId="2" fillId="2" borderId="74" xfId="0" applyFont="1" applyFill="1" applyBorder="1" applyAlignment="1">
      <alignment horizontal="center"/>
    </xf>
    <xf numFmtId="0" fontId="2" fillId="2" borderId="76" xfId="0" applyFont="1" applyFill="1" applyBorder="1" applyAlignment="1">
      <alignment horizontal="center"/>
    </xf>
    <xf numFmtId="0" fontId="2" fillId="2" borderId="3" xfId="0" applyFont="1" applyFill="1" applyBorder="1" applyAlignment="1">
      <alignment horizontal="center" vertical="center" wrapText="1"/>
    </xf>
    <xf numFmtId="0" fontId="2" fillId="2" borderId="45" xfId="0" applyFont="1" applyFill="1" applyBorder="1" applyAlignment="1">
      <alignment horizontal="center"/>
    </xf>
    <xf numFmtId="0" fontId="2" fillId="2" borderId="46" xfId="0" applyFont="1" applyFill="1" applyBorder="1" applyAlignment="1">
      <alignment horizontal="center"/>
    </xf>
    <xf numFmtId="0" fontId="2" fillId="2" borderId="34" xfId="0" applyFont="1" applyFill="1" applyBorder="1" applyAlignment="1">
      <alignment horizontal="center"/>
    </xf>
    <xf numFmtId="3" fontId="2" fillId="2" borderId="45" xfId="0" applyNumberFormat="1" applyFont="1" applyFill="1" applyBorder="1" applyAlignment="1">
      <alignment horizontal="center" vertical="center"/>
    </xf>
    <xf numFmtId="3" fontId="2" fillId="2" borderId="46" xfId="0" applyNumberFormat="1" applyFont="1" applyFill="1" applyBorder="1" applyAlignment="1">
      <alignment horizontal="center" vertical="center"/>
    </xf>
    <xf numFmtId="3" fontId="2" fillId="2" borderId="34" xfId="0" applyNumberFormat="1" applyFont="1" applyFill="1" applyBorder="1" applyAlignment="1">
      <alignment horizontal="center" vertical="center"/>
    </xf>
    <xf numFmtId="0" fontId="2" fillId="2" borderId="27" xfId="0" applyFont="1" applyFill="1" applyBorder="1" applyAlignment="1">
      <alignment horizontal="center"/>
    </xf>
    <xf numFmtId="0" fontId="2" fillId="2" borderId="28" xfId="0" applyFont="1" applyFill="1" applyBorder="1" applyAlignment="1">
      <alignment horizontal="center"/>
    </xf>
    <xf numFmtId="0" fontId="2" fillId="2" borderId="66" xfId="0" applyFont="1" applyFill="1" applyBorder="1" applyAlignment="1">
      <alignment horizontal="center"/>
    </xf>
    <xf numFmtId="0" fontId="2" fillId="2" borderId="21" xfId="0" applyFont="1" applyFill="1" applyBorder="1" applyAlignment="1">
      <alignment horizontal="center"/>
    </xf>
    <xf numFmtId="3" fontId="2" fillId="2" borderId="24" xfId="0" applyNumberFormat="1" applyFont="1" applyFill="1" applyBorder="1" applyAlignment="1">
      <alignment horizontal="center"/>
    </xf>
    <xf numFmtId="3" fontId="2" fillId="2" borderId="28" xfId="0" applyNumberFormat="1" applyFont="1" applyFill="1" applyBorder="1" applyAlignment="1">
      <alignment horizontal="center"/>
    </xf>
    <xf numFmtId="3" fontId="2" fillId="2" borderId="21" xfId="0" applyNumberFormat="1" applyFont="1" applyFill="1" applyBorder="1" applyAlignment="1">
      <alignment horizontal="center"/>
    </xf>
    <xf numFmtId="3" fontId="2" fillId="0" borderId="45" xfId="0" applyNumberFormat="1" applyFont="1" applyBorder="1" applyAlignment="1">
      <alignment horizontal="left"/>
    </xf>
    <xf numFmtId="3" fontId="2" fillId="0" borderId="46" xfId="0" applyNumberFormat="1" applyFont="1" applyBorder="1" applyAlignment="1">
      <alignment horizontal="left"/>
    </xf>
    <xf numFmtId="3" fontId="2" fillId="0" borderId="34" xfId="0" applyNumberFormat="1" applyFont="1" applyBorder="1" applyAlignment="1">
      <alignment horizontal="left"/>
    </xf>
    <xf numFmtId="3" fontId="0" fillId="0" borderId="0" xfId="0" applyNumberFormat="1" applyFill="1" applyBorder="1" applyAlignment="1">
      <alignment horizontal="center"/>
    </xf>
    <xf numFmtId="0" fontId="0" fillId="0" borderId="0" xfId="0" applyFill="1" applyBorder="1" applyAlignment="1">
      <alignment horizontal="center"/>
    </xf>
    <xf numFmtId="0" fontId="2" fillId="6" borderId="52" xfId="0" applyFont="1" applyFill="1" applyBorder="1" applyAlignment="1">
      <alignment horizontal="center" wrapText="1"/>
    </xf>
    <xf numFmtId="0" fontId="2" fillId="6" borderId="22" xfId="0" applyFont="1" applyFill="1" applyBorder="1" applyAlignment="1">
      <alignment horizontal="center" wrapText="1"/>
    </xf>
    <xf numFmtId="0" fontId="2" fillId="6" borderId="70" xfId="0" applyFont="1" applyFill="1" applyBorder="1" applyAlignment="1">
      <alignment horizontal="center" wrapText="1"/>
    </xf>
    <xf numFmtId="0" fontId="2" fillId="6" borderId="17" xfId="0" applyFont="1" applyFill="1" applyBorder="1" applyAlignment="1">
      <alignment horizontal="left" vertical="top" wrapText="1"/>
    </xf>
    <xf numFmtId="0" fontId="2" fillId="6" borderId="38" xfId="0" applyFont="1" applyFill="1" applyBorder="1" applyAlignment="1">
      <alignment horizontal="left" vertical="top" wrapText="1"/>
    </xf>
    <xf numFmtId="0" fontId="2" fillId="6" borderId="53" xfId="0" applyFont="1" applyFill="1" applyBorder="1" applyAlignment="1">
      <alignment horizontal="center" vertical="top" wrapText="1"/>
    </xf>
    <xf numFmtId="0" fontId="2" fillId="6" borderId="45" xfId="0" applyFont="1" applyFill="1" applyBorder="1" applyAlignment="1">
      <alignment horizontal="center"/>
    </xf>
    <xf numFmtId="0" fontId="2" fillId="6" borderId="34" xfId="0" applyFont="1" applyFill="1" applyBorder="1" applyAlignment="1">
      <alignment horizontal="center"/>
    </xf>
    <xf numFmtId="0" fontId="8" fillId="6" borderId="46" xfId="0" applyFont="1" applyFill="1" applyBorder="1" applyAlignment="1">
      <alignment horizontal="center"/>
    </xf>
    <xf numFmtId="0" fontId="2" fillId="0" borderId="0" xfId="0" applyFont="1" applyAlignment="1">
      <alignment horizontal="left" wrapText="1" shrinkToFit="1"/>
    </xf>
    <xf numFmtId="0" fontId="2" fillId="6" borderId="39" xfId="0" applyFont="1" applyFill="1" applyBorder="1" applyAlignment="1">
      <alignment horizontal="center"/>
    </xf>
    <xf numFmtId="0" fontId="2" fillId="6" borderId="41" xfId="0" applyFont="1" applyFill="1" applyBorder="1" applyAlignment="1">
      <alignment horizontal="center"/>
    </xf>
    <xf numFmtId="0" fontId="2" fillId="6" borderId="47" xfId="0" applyFont="1" applyFill="1" applyBorder="1" applyAlignment="1">
      <alignment horizontal="center"/>
    </xf>
    <xf numFmtId="0" fontId="8" fillId="0" borderId="45" xfId="0" applyFont="1" applyBorder="1" applyAlignment="1">
      <alignment horizontal="center"/>
    </xf>
    <xf numFmtId="0" fontId="8" fillId="0" borderId="34" xfId="0" applyFont="1" applyBorder="1" applyAlignment="1">
      <alignment horizontal="center"/>
    </xf>
    <xf numFmtId="0" fontId="0" fillId="0" borderId="45" xfId="0" applyBorder="1" applyAlignment="1">
      <alignment horizontal="center"/>
    </xf>
    <xf numFmtId="0" fontId="0" fillId="0" borderId="34" xfId="0" applyBorder="1" applyAlignment="1">
      <alignment horizontal="center"/>
    </xf>
    <xf numFmtId="167" fontId="8" fillId="0" borderId="69" xfId="0" applyNumberFormat="1" applyFont="1" applyBorder="1" applyAlignment="1">
      <alignment horizontal="center"/>
    </xf>
    <xf numFmtId="167" fontId="8" fillId="0" borderId="64" xfId="0" applyNumberFormat="1" applyFont="1" applyBorder="1" applyAlignment="1">
      <alignment horizontal="center"/>
    </xf>
    <xf numFmtId="0" fontId="8" fillId="0" borderId="0" xfId="0" applyFont="1" applyAlignment="1">
      <alignment wrapText="1"/>
    </xf>
    <xf numFmtId="0" fontId="0" fillId="0" borderId="0" xfId="0" applyAlignment="1">
      <alignment wrapText="1"/>
    </xf>
    <xf numFmtId="0" fontId="2" fillId="6" borderId="67" xfId="0" applyFont="1" applyFill="1" applyBorder="1" applyAlignment="1">
      <alignment horizontal="center"/>
    </xf>
    <xf numFmtId="167" fontId="2" fillId="6" borderId="68" xfId="0" applyNumberFormat="1" applyFont="1" applyFill="1" applyBorder="1" applyAlignment="1">
      <alignment horizontal="center"/>
    </xf>
    <xf numFmtId="167" fontId="2" fillId="6" borderId="48" xfId="0" applyNumberFormat="1" applyFont="1" applyFill="1" applyBorder="1" applyAlignment="1">
      <alignment horizontal="center"/>
    </xf>
    <xf numFmtId="167" fontId="8" fillId="0" borderId="68" xfId="0" applyNumberFormat="1" applyFont="1" applyBorder="1" applyAlignment="1">
      <alignment horizontal="center"/>
    </xf>
    <xf numFmtId="167" fontId="8" fillId="0" borderId="48" xfId="0" applyNumberFormat="1" applyFont="1" applyBorder="1" applyAlignment="1">
      <alignment horizontal="center"/>
    </xf>
    <xf numFmtId="0" fontId="2" fillId="6" borderId="2" xfId="0" applyFont="1" applyFill="1" applyBorder="1" applyAlignment="1">
      <alignment horizontal="left" vertical="top" wrapText="1"/>
    </xf>
    <xf numFmtId="0" fontId="2" fillId="6" borderId="42" xfId="0" applyFont="1" applyFill="1" applyBorder="1" applyAlignment="1">
      <alignment horizontal="left" vertical="top" wrapText="1"/>
    </xf>
    <xf numFmtId="0" fontId="2" fillId="6" borderId="48" xfId="0" applyFont="1" applyFill="1" applyBorder="1" applyAlignment="1">
      <alignment horizontal="left" vertical="top" wrapText="1"/>
    </xf>
  </cellXfs>
  <cellStyles count="5">
    <cellStyle name="Comma" xfId="4" builtinId="3"/>
    <cellStyle name="Comma 2" xfId="1"/>
    <cellStyle name="Normal" xfId="0" builtinId="0"/>
    <cellStyle name="Percent" xfId="2" builtinId="5"/>
    <cellStyle name="Percent 2" xfId="3"/>
  </cellStyles>
  <dxfs count="4">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
      <fill>
        <patternFill>
          <bgColor indexed="42"/>
        </patternFill>
      </fill>
      <border>
        <left style="thin">
          <color indexed="64"/>
        </left>
        <right style="thin">
          <color indexed="64"/>
        </right>
        <top style="thin">
          <color indexed="64"/>
        </top>
        <bottom style="thin">
          <color indexed="64"/>
        </bottom>
      </border>
    </dxf>
  </dxfs>
  <tableStyles count="0" defaultTableStyle="TableStyleMedium2" defaultPivotStyle="PivotStyleLight16"/>
  <colors>
    <mruColors>
      <color rgb="FFC6E6A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ctrlProps/ctrlProp1.xml><?xml version="1.0" encoding="utf-8"?>
<formControlPr xmlns="http://schemas.microsoft.com/office/spreadsheetml/2009/9/main" objectType="Drop" dropLines="4" dropStyle="combo" dx="16" fmlaLink="selected" fmlaRange="Defaults!$B$17:$B$20" sel="4" val="0"/>
</file>

<file path=xl/ctrlProps/ctrlProp2.xml><?xml version="1.0" encoding="utf-8"?>
<formControlPr xmlns="http://schemas.microsoft.com/office/spreadsheetml/2009/9/main" objectType="Drop" dropLines="2" dropStyle="combo" dx="16" fmlaLink="Select2" fmlaRange="Defaults!$Q$22:$Q$23" sel="1" val="0"/>
</file>

<file path=xl/ctrlProps/ctrlProp3.xml><?xml version="1.0" encoding="utf-8"?>
<formControlPr xmlns="http://schemas.microsoft.com/office/spreadsheetml/2009/9/main" objectType="Drop" dropLines="41" dropStyle="combo" dx="16" fmlaLink="Select3" fmlaRange="Defaults!$V$8:$V$26" sel="3" val="0"/>
</file>

<file path=xl/ctrlProps/ctrlProp4.xml><?xml version="1.0" encoding="utf-8"?>
<formControlPr xmlns="http://schemas.microsoft.com/office/spreadsheetml/2009/9/main" objectType="Drop" dropLines="2" dropStyle="combo" dx="16" fmlaLink="Select2" fmlaRange="Defaults!$Q$22:$Q$23" sel="1" val="0"/>
</file>

<file path=xl/drawings/_rels/drawing1.x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9</xdr:col>
      <xdr:colOff>9525</xdr:colOff>
      <xdr:row>4</xdr:row>
      <xdr:rowOff>114300</xdr:rowOff>
    </xdr:to>
    <xdr:pic>
      <xdr:nvPicPr>
        <xdr:cNvPr id="11273" name="Picture 3" descr="NGGIP">
          <a:extLst>
            <a:ext uri="{FF2B5EF4-FFF2-40B4-BE49-F238E27FC236}">
              <a16:creationId xmlns:a16="http://schemas.microsoft.com/office/drawing/2014/main" xmlns="" id="{00000000-0008-0000-0000-0000092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0"/>
          <a:ext cx="6553200" cy="762000"/>
        </a:xfrm>
        <a:prstGeom prst="rect">
          <a:avLst/>
        </a:prstGeom>
        <a:noFill/>
        <a:ln w="9525">
          <a:noFill/>
          <a:miter lim="800000"/>
          <a:headEnd/>
          <a:tailEnd/>
        </a:ln>
      </xdr:spPr>
    </xdr:pic>
    <xdr:clientData/>
  </xdr:twoCellAnchor>
  <mc:AlternateContent xmlns:mc="http://schemas.openxmlformats.org/markup-compatibility/2006">
    <mc:Choice xmlns:a14="http://schemas.microsoft.com/office/drawing/2010/main" Requires="a14">
      <xdr:twoCellAnchor editAs="oneCell">
        <xdr:from>
          <xdr:col>0</xdr:col>
          <xdr:colOff>0</xdr:colOff>
          <xdr:row>11</xdr:row>
          <xdr:rowOff>104775</xdr:rowOff>
        </xdr:from>
        <xdr:to>
          <xdr:col>9</xdr:col>
          <xdr:colOff>352425</xdr:colOff>
          <xdr:row>120</xdr:row>
          <xdr:rowOff>9525</xdr:rowOff>
        </xdr:to>
        <xdr:sp macro="" textlink="">
          <xdr:nvSpPr>
            <xdr:cNvPr id="11268" name="Object 4" hidden="1">
              <a:extLst>
                <a:ext uri="{63B3BB69-23CF-44E3-9099-C40C66FF867C}">
                  <a14:compatExt spid="_x0000_s11268"/>
                </a:ext>
                <a:ext uri="{FF2B5EF4-FFF2-40B4-BE49-F238E27FC236}">
                  <a16:creationId xmlns:a16="http://schemas.microsoft.com/office/drawing/2014/main" xmlns="" id="{00000000-0008-0000-0000-0000042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1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1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2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2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3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3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4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4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95250</xdr:colOff>
          <xdr:row>31</xdr:row>
          <xdr:rowOff>0</xdr:rowOff>
        </xdr:from>
        <xdr:to>
          <xdr:col>4</xdr:col>
          <xdr:colOff>0</xdr:colOff>
          <xdr:row>32</xdr:row>
          <xdr:rowOff>57150</xdr:rowOff>
        </xdr:to>
        <xdr:sp macro="" textlink="">
          <xdr:nvSpPr>
            <xdr:cNvPr id="14344" name="Drop Down 8" hidden="1">
              <a:extLst>
                <a:ext uri="{63B3BB69-23CF-44E3-9099-C40C66FF867C}">
                  <a14:compatExt spid="_x0000_s14344"/>
                </a:ext>
                <a:ext uri="{FF2B5EF4-FFF2-40B4-BE49-F238E27FC236}">
                  <a16:creationId xmlns:a16="http://schemas.microsoft.com/office/drawing/2014/main" xmlns="" id="{00000000-0008-0000-0100-000008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95250</xdr:colOff>
          <xdr:row>12</xdr:row>
          <xdr:rowOff>0</xdr:rowOff>
        </xdr:from>
        <xdr:to>
          <xdr:col>4</xdr:col>
          <xdr:colOff>0</xdr:colOff>
          <xdr:row>13</xdr:row>
          <xdr:rowOff>57150</xdr:rowOff>
        </xdr:to>
        <xdr:sp macro="" textlink="">
          <xdr:nvSpPr>
            <xdr:cNvPr id="14345" name="Drop Down 9" hidden="1">
              <a:extLst>
                <a:ext uri="{63B3BB69-23CF-44E3-9099-C40C66FF867C}">
                  <a14:compatExt spid="_x0000_s14345"/>
                </a:ext>
                <a:ext uri="{FF2B5EF4-FFF2-40B4-BE49-F238E27FC236}">
                  <a16:creationId xmlns:a16="http://schemas.microsoft.com/office/drawing/2014/main" xmlns="" id="{00000000-0008-0000-0100-000009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28575</xdr:colOff>
          <xdr:row>4</xdr:row>
          <xdr:rowOff>0</xdr:rowOff>
        </xdr:from>
        <xdr:to>
          <xdr:col>6</xdr:col>
          <xdr:colOff>0</xdr:colOff>
          <xdr:row>5</xdr:row>
          <xdr:rowOff>28575</xdr:rowOff>
        </xdr:to>
        <xdr:sp macro="" textlink="">
          <xdr:nvSpPr>
            <xdr:cNvPr id="14348" name="Drop Down 12" hidden="1">
              <a:extLst>
                <a:ext uri="{63B3BB69-23CF-44E3-9099-C40C66FF867C}">
                  <a14:compatExt spid="_x0000_s14348"/>
                </a:ext>
                <a:ext uri="{FF2B5EF4-FFF2-40B4-BE49-F238E27FC236}">
                  <a16:creationId xmlns:a16="http://schemas.microsoft.com/office/drawing/2014/main" xmlns="" id="{00000000-0008-0000-0100-00000C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95250</xdr:colOff>
          <xdr:row>12</xdr:row>
          <xdr:rowOff>0</xdr:rowOff>
        </xdr:from>
        <xdr:to>
          <xdr:col>8</xdr:col>
          <xdr:colOff>647700</xdr:colOff>
          <xdr:row>13</xdr:row>
          <xdr:rowOff>57150</xdr:rowOff>
        </xdr:to>
        <xdr:sp macro="" textlink="">
          <xdr:nvSpPr>
            <xdr:cNvPr id="14381" name="Drop Down 45" hidden="1">
              <a:extLst>
                <a:ext uri="{63B3BB69-23CF-44E3-9099-C40C66FF867C}">
                  <a14:compatExt spid="_x0000_s14381"/>
                </a:ext>
                <a:ext uri="{FF2B5EF4-FFF2-40B4-BE49-F238E27FC236}">
                  <a16:creationId xmlns:a16="http://schemas.microsoft.com/office/drawing/2014/main" xmlns="" id="{00000000-0008-0000-0100-00002D3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12</xdr:col>
      <xdr:colOff>0</xdr:colOff>
      <xdr:row>7</xdr:row>
      <xdr:rowOff>76200</xdr:rowOff>
    </xdr:from>
    <xdr:to>
      <xdr:col>15</xdr:col>
      <xdr:colOff>9525</xdr:colOff>
      <xdr:row>10</xdr:row>
      <xdr:rowOff>114300</xdr:rowOff>
    </xdr:to>
    <xdr:sp macro="" textlink="">
      <xdr:nvSpPr>
        <xdr:cNvPr id="2" name="TextBox 1">
          <a:extLst>
            <a:ext uri="{FF2B5EF4-FFF2-40B4-BE49-F238E27FC236}">
              <a16:creationId xmlns:a16="http://schemas.microsoft.com/office/drawing/2014/main" xmlns="" id="{00000000-0008-0000-0700-000002000000}"/>
            </a:ext>
          </a:extLst>
        </xdr:cNvPr>
        <xdr:cNvSpPr txBox="1"/>
      </xdr:nvSpPr>
      <xdr:spPr>
        <a:xfrm>
          <a:off x="5953125" y="13430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28</xdr:col>
      <xdr:colOff>581025</xdr:colOff>
      <xdr:row>7</xdr:row>
      <xdr:rowOff>66675</xdr:rowOff>
    </xdr:from>
    <xdr:to>
      <xdr:col>32</xdr:col>
      <xdr:colOff>0</xdr:colOff>
      <xdr:row>10</xdr:row>
      <xdr:rowOff>104775</xdr:rowOff>
    </xdr:to>
    <xdr:sp macro="" textlink="">
      <xdr:nvSpPr>
        <xdr:cNvPr id="3" name="TextBox 2">
          <a:extLst>
            <a:ext uri="{FF2B5EF4-FFF2-40B4-BE49-F238E27FC236}">
              <a16:creationId xmlns:a16="http://schemas.microsoft.com/office/drawing/2014/main" xmlns="" id="{00000000-0008-0000-0700-000003000000}"/>
            </a:ext>
          </a:extLst>
        </xdr:cNvPr>
        <xdr:cNvSpPr txBox="1"/>
      </xdr:nvSpPr>
      <xdr:spPr>
        <a:xfrm>
          <a:off x="13887450" y="1333500"/>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5</xdr:row>
      <xdr:rowOff>38100</xdr:rowOff>
    </xdr:from>
    <xdr:to>
      <xdr:col>8</xdr:col>
      <xdr:colOff>0</xdr:colOff>
      <xdr:row>95</xdr:row>
      <xdr:rowOff>19050</xdr:rowOff>
    </xdr:to>
    <xdr:sp macro="" textlink="">
      <xdr:nvSpPr>
        <xdr:cNvPr id="12289" name="Text Box 1">
          <a:extLst>
            <a:ext uri="{FF2B5EF4-FFF2-40B4-BE49-F238E27FC236}">
              <a16:creationId xmlns:a16="http://schemas.microsoft.com/office/drawing/2014/main" xmlns="" id="{00000000-0008-0000-0A00-000001300000}"/>
            </a:ext>
          </a:extLst>
        </xdr:cNvPr>
        <xdr:cNvSpPr txBox="1">
          <a:spLocks noChangeArrowheads="1"/>
        </xdr:cNvSpPr>
      </xdr:nvSpPr>
      <xdr:spPr bwMode="auto">
        <a:xfrm>
          <a:off x="47625" y="695325"/>
          <a:ext cx="5800725" cy="14554200"/>
        </a:xfrm>
        <a:prstGeom prst="rect">
          <a:avLst/>
        </a:prstGeom>
        <a:noFill/>
        <a:ln>
          <a:noFill/>
        </a:ln>
        <a:extLst/>
      </xdr:spPr>
      <xdr:txBody>
        <a:bodyPr vertOverflow="clip" wrap="square" lIns="27432" tIns="22860" rIns="0" bIns="0" anchor="t" upright="1"/>
        <a:lstStyle/>
        <a:p>
          <a:pPr algn="l" rtl="0">
            <a:defRPr sz="1000"/>
          </a:pPr>
          <a:r>
            <a:rPr lang="id-ID" sz="1000" b="1" i="0" u="none" strike="noStrike" baseline="0">
              <a:solidFill>
                <a:srgbClr val="000000"/>
              </a:solidFill>
              <a:latin typeface="Arial"/>
              <a:cs typeface="Arial"/>
            </a:rPr>
            <a:t>Theory and equations</a:t>
          </a:r>
          <a:endParaRPr lang="id-ID" sz="1000" b="0" i="0" u="none" strike="noStrike" baseline="0">
            <a:solidFill>
              <a:srgbClr val="000000"/>
            </a:solidFill>
            <a:latin typeface="Arial"/>
            <a:cs typeface="Arial"/>
          </a:endParaRP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basic equation for the first order decay model is:</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                  DDOCm = DDOCm(0) * e^-kt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where DDOCm(0) is the mass of decomposable degradable organic carbon (DOC) at the start of the reaction, when t=0 and e^-kt=1, k is the reaction constant and t is the time in years. DDOCm is the mass of DDOC at any time.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From equation (I) it is easy to see that at the end of year 1 (going from point 0 to point 1 on the time axis) the mass of DDOC left not decomposed in the SWDS is: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(2)                  DDOCm(1) = DDOCm(0)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and the mass of DDOC decomposed into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and CO</a:t>
          </a:r>
          <a:r>
            <a:rPr lang="id-ID" sz="1000" b="0" i="0" u="none" strike="noStrike" baseline="-25000">
              <a:solidFill>
                <a:srgbClr val="000000"/>
              </a:solidFill>
              <a:latin typeface="Arial"/>
              <a:cs typeface="Arial"/>
            </a:rPr>
            <a:t>2</a:t>
          </a:r>
          <a:r>
            <a:rPr lang="id-ID" sz="1000" b="0" i="0" u="none" strike="noStrike" baseline="0">
              <a:solidFill>
                <a:srgbClr val="000000"/>
              </a:solidFill>
              <a:latin typeface="Arial"/>
              <a:cs typeface="Arial"/>
            </a:rPr>
            <a:t> will be: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(3)                 DDOCmdecomp(1) = DDOCm(0) * (1 -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In a first order reaction, the amount of product (here decomposed DDOCm) is always proportional to the amount of reactant (here DDOCm). This means that it does not matter when the DDOCm was deposited. This also means that when the amount of DDOCm accumulated in the SWDS, plus last year's deposit, is known,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production can be calculated as if every year is year number one in the time series. Then all calculations can be done by equations (2) and (3) in a simple spreadsheet.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default assumption is that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from all the waste deposited each year begins on the 1st of January in the year after deposition. This is the same as an average six month delay until substantial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generation begins (the time it takes for anaerobic conditions to become well established). However, the worksheet includes the possibility of an earlier start to the reaction, in the year of deposition of the waste. This requires separate calculations for the deposition year. For longer delay times than 6 months, DDOCmd in the columns F and G cells in the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calculating sheets, have to be readdressed one cell down, and the number 13 in exp2 has to be changed to 25 (7 to 18 months delay time).</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equations used in these spreadsheets are: (As the mathematics of every waste fraction/category is the same, indexing for fraction/category is omitted for equations 4-9.)</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To calculate mass of decomposable DOC (DDOCm) from amount of waste material (W):</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(4)  DDOCmd(T), = W(T) •  DOC * DOCf    •  MCF</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remaining not decomposed at the end of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(5) DDOCmrem(T) = DDOCmd(T) •  e^(-k • ((13-M)/12)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deposited DDOCm decomposed during deposition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(6)  DDOCmdec(T) = DDOCmd(T) •  (1 – e^(-k • ((13-M)/12)))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DDOCm accumulated in the SWDS at the end of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(7) DDOCma(T) = DDOCmrem(T) + ( DDOCma(T-1) •  e^-k)</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total amount of DDOCm decomposed in year 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(8) DDOCmdecomp(T) = DDOCmdec(T)  + (DDOCma(T-1) •  (1 - e^-k)) </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from DOC decomposed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(9)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DDOCmdecomp(T)   •  F  • 16/12</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The amount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(10)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emitted in year T = (</a:t>
          </a:r>
          <a:r>
            <a:rPr lang="el-GR" sz="1000" b="0" i="0" u="none" strike="noStrike" baseline="0">
              <a:solidFill>
                <a:srgbClr val="000000"/>
              </a:solidFill>
              <a:latin typeface="Arial"/>
              <a:cs typeface="Arial"/>
            </a:rPr>
            <a:t>Σ</a:t>
          </a:r>
          <a:r>
            <a:rPr lang="id-ID" sz="1000" b="0" i="0" u="none" strike="noStrike" baseline="0">
              <a:solidFill>
                <a:srgbClr val="000000"/>
              </a:solidFill>
              <a:latin typeface="Arial"/>
              <a:cs typeface="Arial"/>
            </a:rPr>
            <a:t>xCH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(x,T) – R(T)) •  (1- OX(T))</a:t>
          </a:r>
        </a:p>
        <a:p>
          <a:pPr algn="l" rtl="0">
            <a:defRPr sz="1000"/>
          </a:pPr>
          <a:endParaRPr lang="id-ID" sz="1000" b="0" i="0" u="none" strike="noStrike" baseline="0">
            <a:solidFill>
              <a:srgbClr val="000000"/>
            </a:solidFill>
            <a:latin typeface="Arial"/>
            <a:cs typeface="Arial"/>
          </a:endParaRPr>
        </a:p>
        <a:p>
          <a:pPr algn="l" rtl="0">
            <a:defRPr sz="1000"/>
          </a:pPr>
          <a:r>
            <a:rPr lang="id-ID" sz="1000" b="0" i="0" u="none" strike="noStrike" baseline="0">
              <a:solidFill>
                <a:srgbClr val="000000"/>
              </a:solidFill>
              <a:latin typeface="Arial"/>
              <a:cs typeface="Arial"/>
            </a:rPr>
            <a:t> Where: </a:t>
          </a:r>
        </a:p>
        <a:p>
          <a:pPr algn="l" rtl="0">
            <a:defRPr sz="1000"/>
          </a:pPr>
          <a:r>
            <a:rPr lang="id-ID" sz="1000" b="0" i="0" u="none" strike="noStrike" baseline="0">
              <a:solidFill>
                <a:srgbClr val="000000"/>
              </a:solidFill>
              <a:latin typeface="Arial"/>
              <a:cs typeface="Arial"/>
            </a:rPr>
            <a:t>          T = the year of inventory</a:t>
          </a:r>
        </a:p>
        <a:p>
          <a:pPr algn="l" rtl="0">
            <a:defRPr sz="1000"/>
          </a:pPr>
          <a:r>
            <a:rPr lang="id-ID" sz="1000" b="0" i="0" u="none" strike="noStrike" baseline="0">
              <a:solidFill>
                <a:srgbClr val="000000"/>
              </a:solidFill>
              <a:latin typeface="Arial"/>
              <a:cs typeface="Arial"/>
            </a:rPr>
            <a:t>          x = material fraction/waste category</a:t>
          </a:r>
        </a:p>
        <a:p>
          <a:pPr algn="l" rtl="0">
            <a:defRPr sz="1000"/>
          </a:pPr>
          <a:r>
            <a:rPr lang="id-ID" sz="1000" b="0" i="0" u="none" strike="noStrike" baseline="0">
              <a:solidFill>
                <a:srgbClr val="000000"/>
              </a:solidFill>
              <a:latin typeface="Arial"/>
              <a:cs typeface="Arial"/>
            </a:rPr>
            <a:t>          W(T) = amount deposited in year T</a:t>
          </a:r>
        </a:p>
        <a:p>
          <a:pPr algn="l" rtl="0">
            <a:defRPr sz="1000"/>
          </a:pPr>
          <a:r>
            <a:rPr lang="id-ID" sz="1000" b="0" i="0" u="none" strike="noStrike" baseline="0">
              <a:solidFill>
                <a:srgbClr val="000000"/>
              </a:solidFill>
              <a:latin typeface="Arial"/>
              <a:cs typeface="Arial"/>
            </a:rPr>
            <a:t>          MCF = Methane Correction Factor</a:t>
          </a:r>
        </a:p>
        <a:p>
          <a:pPr algn="l" rtl="0">
            <a:defRPr sz="1000"/>
          </a:pPr>
          <a:r>
            <a:rPr lang="id-ID" sz="1000" b="0" i="0" u="none" strike="noStrike" baseline="0">
              <a:solidFill>
                <a:srgbClr val="000000"/>
              </a:solidFill>
              <a:latin typeface="Arial"/>
              <a:cs typeface="Arial"/>
            </a:rPr>
            <a:t>          DOC = Degradable organic carbon (under aerobic conditions)</a:t>
          </a:r>
        </a:p>
        <a:p>
          <a:pPr algn="l" rtl="0">
            <a:defRPr sz="1000"/>
          </a:pPr>
          <a:r>
            <a:rPr lang="id-ID" sz="1000" b="0" i="0" u="none" strike="noStrike" baseline="0">
              <a:solidFill>
                <a:srgbClr val="000000"/>
              </a:solidFill>
              <a:latin typeface="Arial"/>
              <a:cs typeface="Arial"/>
            </a:rPr>
            <a:t>          DOCf = Fraction of DOC decomposing under anaerobic conditions</a:t>
          </a:r>
        </a:p>
        <a:p>
          <a:pPr algn="l" rtl="0">
            <a:defRPr sz="1000"/>
          </a:pPr>
          <a:r>
            <a:rPr lang="id-ID" sz="1000" b="0" i="0" u="none" strike="noStrike" baseline="0">
              <a:solidFill>
                <a:srgbClr val="000000"/>
              </a:solidFill>
              <a:latin typeface="Arial"/>
              <a:cs typeface="Arial"/>
            </a:rPr>
            <a:t>          DDOC = Decomposable Degradable Organic Carbon (under anaerobic conditions)</a:t>
          </a:r>
        </a:p>
        <a:p>
          <a:pPr algn="l" rtl="0">
            <a:defRPr sz="1000"/>
          </a:pPr>
          <a:r>
            <a:rPr lang="id-ID" sz="1000" b="0" i="0" u="none" strike="noStrike" baseline="0">
              <a:solidFill>
                <a:srgbClr val="000000"/>
              </a:solidFill>
              <a:latin typeface="Arial"/>
              <a:cs typeface="Arial"/>
            </a:rPr>
            <a:t>          DDOCmd(T) = mass of DDOC deposited year T</a:t>
          </a:r>
        </a:p>
        <a:p>
          <a:pPr algn="l" rtl="0">
            <a:defRPr sz="1000"/>
          </a:pPr>
          <a:r>
            <a:rPr lang="id-ID" sz="1000" b="0" i="0" u="none" strike="noStrike" baseline="0">
              <a:solidFill>
                <a:srgbClr val="000000"/>
              </a:solidFill>
              <a:latin typeface="Arial"/>
              <a:cs typeface="Arial"/>
            </a:rPr>
            <a:t>          DDOCmrem(T) = mass of DDOC deposited in inventory year T, remaining not decomposed at the           </a:t>
          </a:r>
        </a:p>
        <a:p>
          <a:pPr algn="l" rtl="0">
            <a:defRPr sz="1000"/>
          </a:pPr>
          <a:r>
            <a:rPr lang="id-ID" sz="1000" b="0" i="0" u="none" strike="noStrike" baseline="0">
              <a:solidFill>
                <a:srgbClr val="000000"/>
              </a:solidFill>
              <a:latin typeface="Arial"/>
              <a:cs typeface="Arial"/>
            </a:rPr>
            <a:t>                                   end of year.</a:t>
          </a:r>
        </a:p>
        <a:p>
          <a:pPr algn="l" rtl="0">
            <a:defRPr sz="1000"/>
          </a:pPr>
          <a:r>
            <a:rPr lang="id-ID" sz="1000" b="0" i="0" u="none" strike="noStrike" baseline="0">
              <a:solidFill>
                <a:srgbClr val="000000"/>
              </a:solidFill>
              <a:latin typeface="Arial"/>
              <a:cs typeface="Arial"/>
            </a:rPr>
            <a:t>          DDOCmdec(T) = mass of DDOC deposited in inventory year T, decomposed during the year.</a:t>
          </a:r>
        </a:p>
        <a:p>
          <a:pPr algn="l" rtl="0">
            <a:defRPr sz="1000"/>
          </a:pPr>
          <a:r>
            <a:rPr lang="id-ID" sz="1000" b="0" i="0" u="none" strike="noStrike" baseline="0">
              <a:solidFill>
                <a:srgbClr val="000000"/>
              </a:solidFill>
              <a:latin typeface="Arial"/>
              <a:cs typeface="Arial"/>
            </a:rPr>
            <a:t>          DDOCma(T) = total mass of DDOC left not decomposed at end of year T.        </a:t>
          </a:r>
        </a:p>
        <a:p>
          <a:pPr algn="l" rtl="0">
            <a:defRPr sz="1000"/>
          </a:pPr>
          <a:r>
            <a:rPr lang="id-ID" sz="1000" b="0" i="0" u="none" strike="noStrike" baseline="0">
              <a:solidFill>
                <a:srgbClr val="000000"/>
              </a:solidFill>
              <a:latin typeface="Arial"/>
              <a:cs typeface="Arial"/>
            </a:rPr>
            <a:t>          DDOCma(T-1) = total mass of DDOC left not decomposed at end of year T-1.</a:t>
          </a:r>
        </a:p>
        <a:p>
          <a:pPr algn="l" rtl="0">
            <a:defRPr sz="1000"/>
          </a:pPr>
          <a:r>
            <a:rPr lang="id-ID" sz="1000" b="0" i="0" u="none" strike="noStrike" baseline="0">
              <a:solidFill>
                <a:srgbClr val="000000"/>
              </a:solidFill>
              <a:latin typeface="Arial"/>
              <a:cs typeface="Arial"/>
            </a:rPr>
            <a:t>          DDOCmdecomp(T) = total mass of DDOC decomposed in year T.</a:t>
          </a:r>
        </a:p>
        <a:p>
          <a:pPr algn="l" rtl="0">
            <a:defRPr sz="1000"/>
          </a:pPr>
          <a:r>
            <a:rPr lang="id-ID" sz="1000" b="0" i="0" u="none" strike="noStrike" baseline="0">
              <a:solidFill>
                <a:srgbClr val="000000"/>
              </a:solidFill>
              <a:latin typeface="Arial"/>
              <a:cs typeface="Arial"/>
            </a:rPr>
            <a:t>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generated(T) =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generated in year T</a:t>
          </a:r>
        </a:p>
        <a:p>
          <a:pPr algn="l" rtl="0">
            <a:defRPr sz="1000"/>
          </a:pPr>
          <a:r>
            <a:rPr lang="id-ID" sz="1000" b="0" i="0" u="none" strike="noStrike" baseline="0">
              <a:solidFill>
                <a:srgbClr val="000000"/>
              </a:solidFill>
              <a:latin typeface="Arial"/>
              <a:cs typeface="Arial"/>
            </a:rPr>
            <a:t>          F = Fraction of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by volume in generated landfill gas</a:t>
          </a:r>
        </a:p>
        <a:p>
          <a:pPr algn="l" rtl="0">
            <a:defRPr sz="1000"/>
          </a:pPr>
          <a:r>
            <a:rPr lang="id-ID" sz="1000" b="0" i="0" u="none" strike="noStrike" baseline="0">
              <a:solidFill>
                <a:srgbClr val="000000"/>
              </a:solidFill>
              <a:latin typeface="Arial"/>
              <a:cs typeface="Arial"/>
            </a:rPr>
            <a:t>          16/12 = Molecular weight ratio CH4/C </a:t>
          </a:r>
        </a:p>
        <a:p>
          <a:pPr algn="l" rtl="0">
            <a:defRPr sz="1000"/>
          </a:pPr>
          <a:r>
            <a:rPr lang="id-ID" sz="1000" b="0" i="0" u="none" strike="noStrike" baseline="0">
              <a:solidFill>
                <a:srgbClr val="000000"/>
              </a:solidFill>
              <a:latin typeface="Arial"/>
              <a:cs typeface="Arial"/>
            </a:rPr>
            <a:t>          R(T) = Recovered CH</a:t>
          </a:r>
          <a:r>
            <a:rPr lang="id-ID" sz="1000" b="0" i="0" u="none" strike="noStrike" baseline="-25000">
              <a:solidFill>
                <a:srgbClr val="000000"/>
              </a:solidFill>
              <a:latin typeface="Arial"/>
              <a:cs typeface="Arial"/>
            </a:rPr>
            <a:t>4</a:t>
          </a:r>
          <a:r>
            <a:rPr lang="id-ID" sz="1000" b="0" i="0" u="none" strike="noStrike" baseline="0">
              <a:solidFill>
                <a:srgbClr val="000000"/>
              </a:solidFill>
              <a:latin typeface="Arial"/>
              <a:cs typeface="Arial"/>
            </a:rPr>
            <a:t> in year T</a:t>
          </a:r>
        </a:p>
        <a:p>
          <a:pPr algn="l" rtl="0">
            <a:defRPr sz="1000"/>
          </a:pPr>
          <a:r>
            <a:rPr lang="id-ID" sz="1000" b="0" i="0" u="none" strike="noStrike" baseline="0">
              <a:solidFill>
                <a:srgbClr val="000000"/>
              </a:solidFill>
              <a:latin typeface="Arial"/>
              <a:cs typeface="Arial"/>
            </a:rPr>
            <a:t>          OX(T) = Oxidation factor in year T (fraction)</a:t>
          </a:r>
        </a:p>
        <a:p>
          <a:pPr algn="l" rtl="0">
            <a:defRPr sz="1000"/>
          </a:pPr>
          <a:r>
            <a:rPr lang="id-ID" sz="1000" b="0" i="0" u="none" strike="noStrike" baseline="0">
              <a:solidFill>
                <a:srgbClr val="000000"/>
              </a:solidFill>
              <a:latin typeface="Arial"/>
              <a:cs typeface="Arial"/>
            </a:rPr>
            <a:t>          k = rate of reaction constant </a:t>
          </a:r>
        </a:p>
        <a:p>
          <a:pPr algn="l" rtl="0">
            <a:defRPr sz="1000"/>
          </a:pPr>
          <a:r>
            <a:rPr lang="id-ID" sz="1000" b="0" i="0" u="none" strike="noStrike" baseline="0">
              <a:solidFill>
                <a:srgbClr val="000000"/>
              </a:solidFill>
              <a:latin typeface="Arial"/>
              <a:cs typeface="Arial"/>
            </a:rPr>
            <a:t>          M = Month of reaction start (= delay time + 7)</a:t>
          </a:r>
        </a:p>
        <a:p>
          <a:pPr algn="l" rtl="0">
            <a:defRPr sz="1000"/>
          </a:pPr>
          <a:endParaRPr lang="id-ID" sz="1000" b="0" i="0" u="none" strike="noStrike" baseline="0">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C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C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D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D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E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E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0F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0F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47625</xdr:colOff>
      <xdr:row>3</xdr:row>
      <xdr:rowOff>104775</xdr:rowOff>
    </xdr:from>
    <xdr:to>
      <xdr:col>3</xdr:col>
      <xdr:colOff>523875</xdr:colOff>
      <xdr:row>5</xdr:row>
      <xdr:rowOff>85725</xdr:rowOff>
    </xdr:to>
    <xdr:sp macro="" textlink="">
      <xdr:nvSpPr>
        <xdr:cNvPr id="2" name="TextBox 1">
          <a:extLst>
            <a:ext uri="{FF2B5EF4-FFF2-40B4-BE49-F238E27FC236}">
              <a16:creationId xmlns:a16="http://schemas.microsoft.com/office/drawing/2014/main" xmlns="" id="{00000000-0008-0000-1000-000002000000}"/>
            </a:ext>
          </a:extLst>
        </xdr:cNvPr>
        <xdr:cNvSpPr txBox="1"/>
      </xdr:nvSpPr>
      <xdr:spPr>
        <a:xfrm>
          <a:off x="285750" y="65722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Dry Basis</a:t>
          </a:r>
        </a:p>
      </xdr:txBody>
    </xdr:sp>
    <xdr:clientData/>
  </xdr:twoCellAnchor>
  <xdr:twoCellAnchor>
    <xdr:from>
      <xdr:col>14</xdr:col>
      <xdr:colOff>0</xdr:colOff>
      <xdr:row>3</xdr:row>
      <xdr:rowOff>47625</xdr:rowOff>
    </xdr:from>
    <xdr:to>
      <xdr:col>16</xdr:col>
      <xdr:colOff>209550</xdr:colOff>
      <xdr:row>5</xdr:row>
      <xdr:rowOff>28575</xdr:rowOff>
    </xdr:to>
    <xdr:sp macro="" textlink="">
      <xdr:nvSpPr>
        <xdr:cNvPr id="3" name="TextBox 2">
          <a:extLst>
            <a:ext uri="{FF2B5EF4-FFF2-40B4-BE49-F238E27FC236}">
              <a16:creationId xmlns:a16="http://schemas.microsoft.com/office/drawing/2014/main" xmlns="" id="{00000000-0008-0000-1000-000003000000}"/>
            </a:ext>
          </a:extLst>
        </xdr:cNvPr>
        <xdr:cNvSpPr txBox="1"/>
      </xdr:nvSpPr>
      <xdr:spPr>
        <a:xfrm>
          <a:off x="8258175" y="600075"/>
          <a:ext cx="1428750" cy="523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d-ID" sz="2400" b="1">
              <a:solidFill>
                <a:srgbClr val="FF0000"/>
              </a:solidFill>
            </a:rPr>
            <a:t>Wet Basis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C\IPCC2006\Volume%205%20Waste\IPCC_Waste_Mod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GIZ_GELAMAI/8_RAD%20GRK%20Revisi/Perhitungan%20BAU%20Baseline%20dan%20Mitigasi_Hitung%20Ulang/Limbah/Hitungan%20Limbah_Historis_IW/Berau/BERAU_Hitungan%20BaU-skenario-Rekap%20Emisi.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BERAU_Hitungan%20BaU-skenario-Rekap%20Emisi_2011-203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row r="41">
          <cell r="E41">
            <v>1.3333333333333333</v>
          </cell>
        </row>
        <row r="43">
          <cell r="E43">
            <v>0</v>
          </cell>
        </row>
      </sheetData>
      <sheetData sheetId="2"/>
      <sheetData sheetId="3"/>
      <sheetData sheetId="4"/>
      <sheetData sheetId="5"/>
      <sheetData sheetId="6"/>
      <sheetData sheetId="7"/>
      <sheetData sheetId="8"/>
      <sheetData sheetId="9"/>
      <sheetData sheetId="10">
        <row r="5">
          <cell r="W5">
            <v>13</v>
          </cell>
        </row>
        <row r="8">
          <cell r="D8">
            <v>0.04</v>
          </cell>
          <cell r="E8" t="str">
            <v>0.03–0.05</v>
          </cell>
          <cell r="F8">
            <v>0.06</v>
          </cell>
          <cell r="G8" t="str">
            <v>0.05–0.07</v>
          </cell>
          <cell r="H8">
            <v>4.4999999999999998E-2</v>
          </cell>
          <cell r="I8" t="str">
            <v>0.04–0.06</v>
          </cell>
          <cell r="J8">
            <v>7.0000000000000007E-2</v>
          </cell>
          <cell r="K8" t="str">
            <v>0.06–0.085</v>
          </cell>
          <cell r="P8">
            <v>0.15</v>
          </cell>
          <cell r="Q8" t="str">
            <v>0.08-0.20</v>
          </cell>
          <cell r="W8">
            <v>18.8</v>
          </cell>
          <cell r="X8">
            <v>3.5</v>
          </cell>
          <cell r="Y8">
            <v>26.2</v>
          </cell>
          <cell r="Z8">
            <v>3.5</v>
          </cell>
          <cell r="AD8">
            <v>1</v>
          </cell>
          <cell r="AE8">
            <v>47</v>
          </cell>
          <cell r="AF8">
            <v>0.55000000000000004</v>
          </cell>
          <cell r="AG8">
            <v>0.55000000000000004</v>
          </cell>
          <cell r="AH8">
            <v>0.14000000000000001</v>
          </cell>
        </row>
        <row r="9">
          <cell r="D9">
            <v>0.02</v>
          </cell>
          <cell r="E9" t="str">
            <v>0.01–0.03</v>
          </cell>
          <cell r="F9">
            <v>0.03</v>
          </cell>
          <cell r="G9" t="str">
            <v>0.02–0.04</v>
          </cell>
          <cell r="H9">
            <v>2.5000000000000001E-2</v>
          </cell>
          <cell r="I9" t="str">
            <v>0.02–0.04</v>
          </cell>
          <cell r="J9">
            <v>3.5000000000000003E-2</v>
          </cell>
          <cell r="K9" t="str">
            <v>0.03–0.05</v>
          </cell>
          <cell r="P9">
            <v>0.2</v>
          </cell>
          <cell r="Q9" t="str">
            <v>0.18-0.22</v>
          </cell>
          <cell r="W9">
            <v>11.3</v>
          </cell>
          <cell r="X9">
            <v>2.5</v>
          </cell>
          <cell r="Y9">
            <v>40.299999999999997</v>
          </cell>
          <cell r="Z9">
            <v>7.9</v>
          </cell>
          <cell r="AD9">
            <v>0.8</v>
          </cell>
          <cell r="AE9">
            <v>37.20000000000001</v>
          </cell>
          <cell r="AF9">
            <v>0.21</v>
          </cell>
          <cell r="AG9">
            <v>0.74</v>
          </cell>
          <cell r="AH9">
            <v>0.15</v>
          </cell>
        </row>
        <row r="10">
          <cell r="D10">
            <v>0.05</v>
          </cell>
          <cell r="E10" t="str">
            <v>0.04–0.06</v>
          </cell>
          <cell r="F10">
            <v>0.1</v>
          </cell>
          <cell r="G10" t="str">
            <v>0.06–0.1</v>
          </cell>
          <cell r="H10">
            <v>6.5000000000000002E-2</v>
          </cell>
          <cell r="I10" t="str">
            <v>0.05–0.08</v>
          </cell>
          <cell r="J10">
            <v>0.17</v>
          </cell>
          <cell r="K10" t="str">
            <v>0.15–0.2</v>
          </cell>
          <cell r="P10">
            <v>0.4</v>
          </cell>
          <cell r="Q10" t="str">
            <v>0.36-0.45</v>
          </cell>
          <cell r="W10">
            <v>12.9</v>
          </cell>
          <cell r="X10">
            <v>2.7</v>
          </cell>
          <cell r="Y10">
            <v>43.5</v>
          </cell>
          <cell r="Z10">
            <v>9.9</v>
          </cell>
          <cell r="AD10">
            <v>0.9</v>
          </cell>
          <cell r="AE10">
            <v>30.099999999999994</v>
          </cell>
          <cell r="AF10">
            <v>0.27</v>
          </cell>
          <cell r="AG10">
            <v>0.59</v>
          </cell>
          <cell r="AH10">
            <v>0.17</v>
          </cell>
        </row>
        <row r="11">
          <cell r="D11">
            <v>0.06</v>
          </cell>
          <cell r="E11" t="str">
            <v>0.05–0.08</v>
          </cell>
          <cell r="F11">
            <v>0.185</v>
          </cell>
          <cell r="G11" t="str">
            <v>0.1–0.2</v>
          </cell>
          <cell r="H11">
            <v>8.5000000000000006E-2</v>
          </cell>
          <cell r="I11" t="str">
            <v>0.07–0.1</v>
          </cell>
          <cell r="J11">
            <v>0.4</v>
          </cell>
          <cell r="K11" t="str">
            <v xml:space="preserve">0.17–0.7 </v>
          </cell>
          <cell r="P11">
            <v>0.43</v>
          </cell>
          <cell r="Q11" t="str">
            <v>0.39-0.46</v>
          </cell>
          <cell r="W11">
            <v>18</v>
          </cell>
          <cell r="X11">
            <v>2.9</v>
          </cell>
          <cell r="Y11">
            <v>41.1</v>
          </cell>
          <cell r="Z11">
            <v>9.8000000000000007</v>
          </cell>
          <cell r="AD11">
            <v>0.6</v>
          </cell>
          <cell r="AE11">
            <v>27.600000000000009</v>
          </cell>
          <cell r="AF11">
            <v>0.42055555555555557</v>
          </cell>
          <cell r="AG11">
            <v>0.676111111111111</v>
          </cell>
          <cell r="AH11">
            <v>0.19</v>
          </cell>
        </row>
        <row r="12">
          <cell r="D12">
            <v>0.05</v>
          </cell>
          <cell r="E12" t="str">
            <v>0.04–0.06</v>
          </cell>
          <cell r="F12">
            <v>0.09</v>
          </cell>
          <cell r="G12" t="str">
            <v>0.08–0.1</v>
          </cell>
          <cell r="H12">
            <v>6.5000000000000002E-2</v>
          </cell>
          <cell r="I12" t="str">
            <v>0.05–0.08</v>
          </cell>
          <cell r="J12">
            <v>0.17</v>
          </cell>
          <cell r="K12" t="str">
            <v>0.15–0.2</v>
          </cell>
          <cell r="P12">
            <v>0.24</v>
          </cell>
          <cell r="Q12" t="str">
            <v>0.20-0.40</v>
          </cell>
          <cell r="W12">
            <v>7.7</v>
          </cell>
          <cell r="X12">
            <v>1.7</v>
          </cell>
          <cell r="Y12">
            <v>53.9</v>
          </cell>
          <cell r="Z12">
            <v>7</v>
          </cell>
          <cell r="AD12">
            <v>1.1000000000000001</v>
          </cell>
          <cell r="AE12">
            <v>28.600000000000009</v>
          </cell>
          <cell r="AF12">
            <v>0.28999999999999998</v>
          </cell>
          <cell r="AG12">
            <v>0.69</v>
          </cell>
          <cell r="AH12">
            <v>0.15</v>
          </cell>
        </row>
        <row r="13">
          <cell r="P13">
            <v>0.24</v>
          </cell>
          <cell r="Q13" t="str">
            <v>0.18-0.32</v>
          </cell>
          <cell r="W13">
            <v>16.8</v>
          </cell>
          <cell r="X13">
            <v>2.5</v>
          </cell>
          <cell r="Y13">
            <v>43.4</v>
          </cell>
          <cell r="Z13">
            <v>6.5</v>
          </cell>
          <cell r="AE13">
            <v>30.799999999999997</v>
          </cell>
          <cell r="AF13">
            <v>0.28999999999999998</v>
          </cell>
          <cell r="AG13">
            <v>0.69</v>
          </cell>
          <cell r="AH13">
            <v>0.17</v>
          </cell>
        </row>
        <row r="14">
          <cell r="P14">
            <v>0.05</v>
          </cell>
          <cell r="Q14" t="str">
            <v>0.04-0.05</v>
          </cell>
          <cell r="W14">
            <v>16.5</v>
          </cell>
          <cell r="X14">
            <v>2.5</v>
          </cell>
          <cell r="Y14">
            <v>51.1</v>
          </cell>
          <cell r="Z14">
            <v>2</v>
          </cell>
          <cell r="AE14">
            <v>27.900000000000006</v>
          </cell>
          <cell r="AF14">
            <v>0.28999999999999998</v>
          </cell>
          <cell r="AG14">
            <v>0.69</v>
          </cell>
          <cell r="AH14">
            <v>0.16</v>
          </cell>
        </row>
        <row r="15">
          <cell r="P15">
            <v>0.39</v>
          </cell>
          <cell r="Q15" t="str">
            <v>0.39</v>
          </cell>
          <cell r="W15">
            <v>25</v>
          </cell>
          <cell r="Y15">
            <v>23</v>
          </cell>
          <cell r="Z15">
            <v>15</v>
          </cell>
          <cell r="AE15">
            <v>37</v>
          </cell>
          <cell r="AF15">
            <v>0.28999999999999998</v>
          </cell>
          <cell r="AG15">
            <v>0.69</v>
          </cell>
          <cell r="AH15">
            <v>0.2</v>
          </cell>
        </row>
        <row r="16">
          <cell r="P16">
            <v>0.18</v>
          </cell>
          <cell r="Q16" t="str">
            <v>0.12-0.28</v>
          </cell>
          <cell r="W16">
            <v>9.8000000000000007</v>
          </cell>
          <cell r="X16">
            <v>1</v>
          </cell>
          <cell r="Y16">
            <v>40.4</v>
          </cell>
          <cell r="Z16">
            <v>4.4000000000000004</v>
          </cell>
          <cell r="AE16">
            <v>44.4</v>
          </cell>
          <cell r="AF16">
            <v>0.28999999999999998</v>
          </cell>
          <cell r="AG16">
            <v>0.69</v>
          </cell>
          <cell r="AH16">
            <v>0.12</v>
          </cell>
        </row>
        <row r="17">
          <cell r="G17">
            <v>2</v>
          </cell>
          <cell r="P17">
            <v>0.15</v>
          </cell>
          <cell r="Q17" t="str">
            <v>0-0.54</v>
          </cell>
          <cell r="W17">
            <v>21.8</v>
          </cell>
          <cell r="X17">
            <v>4.7</v>
          </cell>
          <cell r="Y17">
            <v>30.1</v>
          </cell>
          <cell r="Z17">
            <v>7.5</v>
          </cell>
          <cell r="AD17">
            <v>1.4</v>
          </cell>
          <cell r="AE17">
            <v>34.5</v>
          </cell>
          <cell r="AF17">
            <v>0.38</v>
          </cell>
          <cell r="AG17">
            <v>0.9</v>
          </cell>
          <cell r="AH17">
            <v>0.18</v>
          </cell>
        </row>
        <row r="18">
          <cell r="W18">
            <v>30.6</v>
          </cell>
          <cell r="X18">
            <v>2</v>
          </cell>
          <cell r="Y18">
            <v>23.8</v>
          </cell>
          <cell r="Z18">
            <v>10</v>
          </cell>
          <cell r="AE18">
            <v>33.599999999999994</v>
          </cell>
          <cell r="AF18">
            <v>0.64</v>
          </cell>
          <cell r="AG18">
            <v>0.47</v>
          </cell>
          <cell r="AH18">
            <v>0.21</v>
          </cell>
        </row>
        <row r="19">
          <cell r="W19">
            <v>17</v>
          </cell>
          <cell r="Y19">
            <v>36.9</v>
          </cell>
          <cell r="Z19">
            <v>10.6</v>
          </cell>
          <cell r="AE19">
            <v>35.5</v>
          </cell>
          <cell r="AF19">
            <v>0.52</v>
          </cell>
          <cell r="AG19">
            <v>0.85</v>
          </cell>
          <cell r="AH19">
            <v>0.17</v>
          </cell>
        </row>
        <row r="20">
          <cell r="O20">
            <v>1</v>
          </cell>
          <cell r="W20">
            <v>27.5</v>
          </cell>
          <cell r="Y20">
            <v>24.2</v>
          </cell>
          <cell r="Z20">
            <v>11</v>
          </cell>
          <cell r="AE20">
            <v>37.299999999999997</v>
          </cell>
          <cell r="AF20">
            <v>0.56000000000000005</v>
          </cell>
          <cell r="AG20">
            <v>0.47</v>
          </cell>
          <cell r="AH20">
            <v>0.19</v>
          </cell>
        </row>
        <row r="21">
          <cell r="W21">
            <v>30</v>
          </cell>
          <cell r="Y21">
            <v>36</v>
          </cell>
          <cell r="Z21">
            <v>24</v>
          </cell>
          <cell r="AE21">
            <v>10</v>
          </cell>
          <cell r="AF21">
            <v>0.69</v>
          </cell>
          <cell r="AG21">
            <v>0.85</v>
          </cell>
          <cell r="AH21">
            <v>0.28000000000000003</v>
          </cell>
        </row>
        <row r="22">
          <cell r="W22">
            <v>6</v>
          </cell>
          <cell r="Y22">
            <v>67.5</v>
          </cell>
          <cell r="Z22">
            <v>2.5</v>
          </cell>
          <cell r="AE22">
            <v>24</v>
          </cell>
          <cell r="AF22">
            <v>0.69</v>
          </cell>
          <cell r="AG22">
            <v>0.85</v>
          </cell>
          <cell r="AH22">
            <v>0.14000000000000001</v>
          </cell>
        </row>
        <row r="23">
          <cell r="W23">
            <v>23.2</v>
          </cell>
          <cell r="X23">
            <v>3.9</v>
          </cell>
          <cell r="Y23">
            <v>33.9</v>
          </cell>
          <cell r="Z23">
            <v>6.2</v>
          </cell>
          <cell r="AD23">
            <v>1.4</v>
          </cell>
          <cell r="AE23">
            <v>31.399999999999991</v>
          </cell>
          <cell r="AF23">
            <v>0.65</v>
          </cell>
          <cell r="AG23">
            <v>0.57999999999999996</v>
          </cell>
          <cell r="AH23">
            <v>0.19</v>
          </cell>
        </row>
        <row r="24">
          <cell r="W24">
            <v>13.7</v>
          </cell>
          <cell r="X24">
            <v>2.6</v>
          </cell>
          <cell r="Y24">
            <v>43.8</v>
          </cell>
          <cell r="Z24">
            <v>13.5</v>
          </cell>
          <cell r="AD24">
            <v>1.8</v>
          </cell>
          <cell r="AE24">
            <v>24.600000000000009</v>
          </cell>
          <cell r="AF24">
            <v>0.21</v>
          </cell>
          <cell r="AG24">
            <v>0.5</v>
          </cell>
          <cell r="AH24">
            <v>0.19</v>
          </cell>
        </row>
        <row r="25">
          <cell r="W25">
            <v>17.100000000000001</v>
          </cell>
          <cell r="X25">
            <v>2.6</v>
          </cell>
          <cell r="Y25">
            <v>44.9</v>
          </cell>
          <cell r="Z25">
            <v>4.7</v>
          </cell>
          <cell r="AD25">
            <v>0.7</v>
          </cell>
          <cell r="AE25">
            <v>30</v>
          </cell>
          <cell r="AF25">
            <v>0.26</v>
          </cell>
          <cell r="AG25">
            <v>0.54</v>
          </cell>
          <cell r="AH25">
            <v>0.16</v>
          </cell>
        </row>
        <row r="26">
          <cell r="W26">
            <v>17</v>
          </cell>
          <cell r="X26">
            <v>5.0999999999999996</v>
          </cell>
          <cell r="Y26">
            <v>46.9</v>
          </cell>
          <cell r="Z26">
            <v>2.4</v>
          </cell>
          <cell r="AD26">
            <v>1.9</v>
          </cell>
          <cell r="AE26">
            <v>26.699999999999989</v>
          </cell>
          <cell r="AF26">
            <v>0.49</v>
          </cell>
          <cell r="AG26">
            <v>0.83</v>
          </cell>
          <cell r="AH26">
            <v>0.17</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Frksi pengelolaan smph Mitigasi"/>
      <sheetName val="Rekapitulasi BaU Emisi GRK"/>
      <sheetName val="Rekap Emisi GRK dari Sawit"/>
      <sheetName val="Rekaptlasi Mitigasi Emisi GRK"/>
    </sheetNames>
    <sheetDataSet>
      <sheetData sheetId="0"/>
      <sheetData sheetId="1">
        <row r="30">
          <cell r="B30">
            <v>8.1682642359999988</v>
          </cell>
        </row>
        <row r="31">
          <cell r="B31">
            <v>8.621399907999999</v>
          </cell>
        </row>
        <row r="32">
          <cell r="B32">
            <v>9.1091674959999995</v>
          </cell>
        </row>
        <row r="33">
          <cell r="B33">
            <v>9.2759292120000012</v>
          </cell>
        </row>
        <row r="34">
          <cell r="B34">
            <v>9.7867152019999999</v>
          </cell>
        </row>
        <row r="35">
          <cell r="B35">
            <v>10.490549784000001</v>
          </cell>
        </row>
        <row r="36">
          <cell r="B36">
            <v>10.917468121999999</v>
          </cell>
        </row>
        <row r="37">
          <cell r="B37">
            <v>11.356834478000001</v>
          </cell>
        </row>
        <row r="38">
          <cell r="B38">
            <v>11.807744805999999</v>
          </cell>
        </row>
        <row r="39">
          <cell r="B39">
            <v>12.268738724</v>
          </cell>
        </row>
        <row r="40">
          <cell r="B40">
            <v>12.453511817999999</v>
          </cell>
        </row>
      </sheetData>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bulan sampah"/>
      <sheetName val="Fraksi pengelolaan sampah BaU"/>
      <sheetName val="Rekapitulasi BaU Emisi GRK"/>
      <sheetName val="Rekap BAU Emisi Industri Sawitt"/>
      <sheetName val="Frksi pengelolaan smph Mitigasi"/>
      <sheetName val="Rekaptlasi Mitigasi Emisi GRK"/>
    </sheetNames>
    <sheetDataSet>
      <sheetData sheetId="0"/>
      <sheetData sheetId="1">
        <row r="29">
          <cell r="B29">
            <v>11.75803492</v>
          </cell>
        </row>
        <row r="30">
          <cell r="B30">
            <v>12.111434720000002</v>
          </cell>
        </row>
        <row r="31">
          <cell r="B31">
            <v>12.478869360000001</v>
          </cell>
        </row>
        <row r="32">
          <cell r="B32">
            <v>12.84775806</v>
          </cell>
        </row>
        <row r="33">
          <cell r="B33">
            <v>13.206215460000001</v>
          </cell>
        </row>
        <row r="34">
          <cell r="B34">
            <v>13.581426160000003</v>
          </cell>
        </row>
        <row r="35">
          <cell r="B35">
            <v>14.053755424000002</v>
          </cell>
        </row>
        <row r="36">
          <cell r="B36">
            <v>14.439643981999998</v>
          </cell>
        </row>
        <row r="37">
          <cell r="B37">
            <v>14.825532540000001</v>
          </cell>
        </row>
        <row r="38">
          <cell r="B38">
            <v>15.211421097999999</v>
          </cell>
        </row>
        <row r="39">
          <cell r="B39">
            <v>15.597309655999998</v>
          </cell>
        </row>
        <row r="40">
          <cell r="B40">
            <v>15.983198213999998</v>
          </cell>
        </row>
        <row r="41">
          <cell r="B41">
            <v>16.369086771999999</v>
          </cell>
        </row>
        <row r="42">
          <cell r="B42">
            <v>16.754975330000001</v>
          </cell>
        </row>
        <row r="43">
          <cell r="B43">
            <v>17.140863888000002</v>
          </cell>
        </row>
        <row r="44">
          <cell r="B44">
            <v>17.526752446</v>
          </cell>
        </row>
        <row r="45">
          <cell r="B45">
            <v>17.912641003999997</v>
          </cell>
        </row>
        <row r="46">
          <cell r="B46">
            <v>18.298529561999999</v>
          </cell>
        </row>
        <row r="47">
          <cell r="B47">
            <v>18.68441812</v>
          </cell>
        </row>
        <row r="48">
          <cell r="B48">
            <v>19.070306678000005</v>
          </cell>
        </row>
      </sheetData>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Microsoft_Word_97_-_2003_Document1.doc"/><Relationship Id="rId2" Type="http://schemas.openxmlformats.org/officeDocument/2006/relationships/vmlDrawing" Target="../drawings/vmlDrawing1.vml"/><Relationship Id="rId1" Type="http://schemas.openxmlformats.org/officeDocument/2006/relationships/drawing" Target="../drawings/drawing1.xml"/><Relationship Id="rId4" Type="http://schemas.openxmlformats.org/officeDocument/2006/relationships/image" Target="../media/image1.emf"/></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10.v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1.vml"/><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2.vml"/><Relationship Id="rId1" Type="http://schemas.openxmlformats.org/officeDocument/2006/relationships/drawing" Target="../drawings/drawing6.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3.vml"/><Relationship Id="rId1" Type="http://schemas.openxmlformats.org/officeDocument/2006/relationships/drawing" Target="../drawings/drawing7.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4.vml"/><Relationship Id="rId1" Type="http://schemas.openxmlformats.org/officeDocument/2006/relationships/drawing" Target="../drawings/drawing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5.vml"/><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6.vml"/><Relationship Id="rId1" Type="http://schemas.openxmlformats.org/officeDocument/2006/relationships/drawing" Target="../drawings/drawing10.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7.vml"/><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7"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drawing" Target="../drawings/drawing2.xml"/><Relationship Id="rId6" Type="http://schemas.openxmlformats.org/officeDocument/2006/relationships/ctrlProp" Target="../ctrlProps/ctrlProp4.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8.vml"/><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9.vml"/><Relationship Id="rId1" Type="http://schemas.openxmlformats.org/officeDocument/2006/relationships/drawing" Target="../drawings/drawing13.x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tabColor indexed="44"/>
    <pageSetUpPr fitToPage="1"/>
  </sheetPr>
  <dimension ref="B7:K135"/>
  <sheetViews>
    <sheetView topLeftCell="A16" workbookViewId="0">
      <selection activeCell="B7" sqref="B7:I7"/>
    </sheetView>
  </sheetViews>
  <sheetFormatPr defaultColWidth="11.42578125" defaultRowHeight="12.75"/>
  <cols>
    <col min="1" max="1" width="1.85546875" style="10" customWidth="1"/>
    <col min="2" max="7" width="11.42578125" style="10" customWidth="1"/>
    <col min="8" max="8" width="18.140625" style="10" customWidth="1"/>
    <col min="9" max="16384" width="11.42578125" style="10"/>
  </cols>
  <sheetData>
    <row r="7" spans="2:11" ht="18">
      <c r="B7" s="781" t="s">
        <v>212</v>
      </c>
      <c r="C7" s="781"/>
      <c r="D7" s="781"/>
      <c r="E7" s="781"/>
      <c r="F7" s="781"/>
      <c r="G7" s="781"/>
      <c r="H7" s="781"/>
      <c r="I7" s="781"/>
      <c r="J7" s="360"/>
      <c r="K7" s="360"/>
    </row>
    <row r="8" spans="2:11" s="9" customFormat="1">
      <c r="B8" s="10"/>
      <c r="C8" s="10"/>
      <c r="D8" s="10"/>
      <c r="E8" s="10"/>
      <c r="F8" s="10"/>
      <c r="G8" s="10"/>
      <c r="H8" s="10"/>
      <c r="I8" s="10"/>
      <c r="J8" s="10"/>
      <c r="K8" s="10"/>
    </row>
    <row r="9" spans="2:11" ht="44.1" customHeight="1">
      <c r="B9" s="782" t="s">
        <v>227</v>
      </c>
      <c r="C9" s="782"/>
      <c r="D9" s="782"/>
      <c r="E9" s="782"/>
      <c r="F9" s="782"/>
      <c r="G9" s="782"/>
      <c r="H9" s="782"/>
      <c r="I9" s="782"/>
      <c r="J9" s="361"/>
      <c r="K9" s="361"/>
    </row>
    <row r="10" spans="2:11" ht="14.45" customHeight="1">
      <c r="I10" s="362" t="s">
        <v>213</v>
      </c>
    </row>
    <row r="11" spans="2:11" ht="6.75" customHeight="1"/>
    <row r="135" spans="9:9">
      <c r="I135" s="362"/>
    </row>
  </sheetData>
  <sheetProtection password="CF65" sheet="1" objects="1" scenarios="1"/>
  <customSheetViews>
    <customSheetView guid="{B400968E-E9A7-41C3-9739-36597C9C6BC6}" showRuler="0" topLeftCell="A24">
      <selection activeCell="J28" sqref="J28"/>
      <pageMargins left="0.7" right="0.7" top="0.75" bottom="0.75" header="0.3" footer="0.3"/>
      <pageSetup paperSize="9" orientation="portrait"/>
      <headerFooter alignWithMargins="0"/>
    </customSheetView>
  </customSheetViews>
  <mergeCells count="2">
    <mergeCell ref="B7:I7"/>
    <mergeCell ref="B9:I9"/>
  </mergeCells>
  <phoneticPr fontId="16" type="noConversion"/>
  <pageMargins left="0.75" right="0.75" top="0.75" bottom="0.75" header="0.5" footer="0.5"/>
  <headerFooter alignWithMargins="0">
    <oddFooter>Page &amp;P of &amp;N</oddFooter>
  </headerFooter>
  <drawing r:id="rId1"/>
  <legacyDrawing r:id="rId2"/>
  <oleObjects>
    <mc:AlternateContent xmlns:mc="http://schemas.openxmlformats.org/markup-compatibility/2006">
      <mc:Choice Requires="x14">
        <oleObject progId="Word.Document.8" shapeId="11268" r:id="rId3">
          <objectPr defaultSize="0" autoPict="0" r:id="rId4">
            <anchor moveWithCells="1">
              <from>
                <xdr:col>0</xdr:col>
                <xdr:colOff>0</xdr:colOff>
                <xdr:row>11</xdr:row>
                <xdr:rowOff>104775</xdr:rowOff>
              </from>
              <to>
                <xdr:col>9</xdr:col>
                <xdr:colOff>352425</xdr:colOff>
                <xdr:row>120</xdr:row>
                <xdr:rowOff>9525</xdr:rowOff>
              </to>
            </anchor>
          </objectPr>
        </oleObject>
      </mc:Choice>
      <mc:Fallback>
        <oleObject progId="Word.Document.8" shapeId="11268" r:id="rId3"/>
      </mc:Fallback>
    </mc:AlternateContent>
  </oleObjec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O98"/>
  <sheetViews>
    <sheetView showGridLines="0" workbookViewId="0">
      <selection activeCell="Q21" sqref="Q21"/>
    </sheetView>
  </sheetViews>
  <sheetFormatPr defaultColWidth="11.42578125" defaultRowHeight="12.75"/>
  <cols>
    <col min="1" max="1" width="4" style="6" customWidth="1"/>
    <col min="2" max="2" width="7.42578125" style="488" customWidth="1"/>
    <col min="3" max="3" width="8.85546875" style="433" customWidth="1"/>
    <col min="4" max="4" width="8.28515625" style="433" customWidth="1"/>
    <col min="5" max="5" width="9.85546875" style="433" customWidth="1"/>
    <col min="6" max="6" width="9.140625" style="433" customWidth="1"/>
    <col min="7" max="9" width="8.42578125" style="433" customWidth="1"/>
    <col min="10" max="10" width="8.140625" style="433" customWidth="1"/>
    <col min="11" max="11" width="9.140625" style="433" customWidth="1"/>
    <col min="12" max="13" width="8.85546875" style="6" customWidth="1"/>
    <col min="14" max="14" width="12.28515625" style="433" customWidth="1"/>
    <col min="15" max="15" width="13.85546875" style="6" customWidth="1"/>
    <col min="16" max="16384" width="11.42578125" style="6"/>
  </cols>
  <sheetData>
    <row r="1" spans="2:15" ht="13.5" thickBot="1"/>
    <row r="2" spans="2:15" ht="13.5" thickBot="1">
      <c r="C2" s="490" t="s">
        <v>265</v>
      </c>
      <c r="D2" s="845" t="str">
        <f>city</f>
        <v xml:space="preserve">Berau </v>
      </c>
      <c r="E2" s="846"/>
      <c r="F2" s="847"/>
    </row>
    <row r="3" spans="2:15" ht="13.5" thickBot="1">
      <c r="C3" s="490" t="s">
        <v>276</v>
      </c>
      <c r="D3" s="845" t="str">
        <f>province</f>
        <v>Kalimantan Timur</v>
      </c>
      <c r="E3" s="846"/>
      <c r="F3" s="847"/>
    </row>
    <row r="4" spans="2:15" ht="13.5" thickBot="1">
      <c r="B4" s="489"/>
      <c r="C4" s="490" t="s">
        <v>30</v>
      </c>
      <c r="D4" s="845">
        <f>country</f>
        <v>0</v>
      </c>
      <c r="E4" s="846"/>
      <c r="F4" s="847"/>
      <c r="H4" s="848"/>
      <c r="I4" s="848"/>
      <c r="J4" s="848"/>
      <c r="K4" s="848"/>
    </row>
    <row r="5" spans="2:15">
      <c r="B5" s="489"/>
      <c r="H5" s="849"/>
      <c r="I5" s="849"/>
      <c r="J5" s="849"/>
      <c r="K5" s="849"/>
    </row>
    <row r="6" spans="2:15" s="39" customFormat="1" ht="15.75">
      <c r="C6" s="491" t="s">
        <v>291</v>
      </c>
      <c r="D6" s="491"/>
      <c r="E6" s="491"/>
      <c r="F6" s="492"/>
      <c r="G6" s="492"/>
      <c r="H6" s="492"/>
      <c r="I6" s="492"/>
      <c r="J6" s="492"/>
      <c r="K6" s="492"/>
      <c r="N6" s="492"/>
    </row>
    <row r="7" spans="2:15">
      <c r="C7" s="493" t="s">
        <v>292</v>
      </c>
      <c r="D7" s="493"/>
      <c r="E7" s="493"/>
    </row>
    <row r="8" spans="2:15" ht="13.5" thickBot="1">
      <c r="B8" s="493"/>
    </row>
    <row r="9" spans="2:15" ht="13.5" thickBot="1">
      <c r="B9" s="493"/>
      <c r="C9" s="494" t="s">
        <v>293</v>
      </c>
      <c r="D9" s="493"/>
    </row>
    <row r="10" spans="2:15">
      <c r="B10" s="493"/>
      <c r="C10" s="495" t="s">
        <v>95</v>
      </c>
      <c r="D10" s="496">
        <f>Parameters!R26</f>
        <v>0</v>
      </c>
      <c r="E10" s="497" t="s">
        <v>6</v>
      </c>
      <c r="F10" s="496">
        <f>Parameters!R15</f>
        <v>0.15</v>
      </c>
      <c r="G10" s="498" t="s">
        <v>267</v>
      </c>
      <c r="H10" s="499">
        <f>Parameters!R21</f>
        <v>0.24</v>
      </c>
      <c r="I10" s="500"/>
      <c r="J10" s="500"/>
      <c r="K10" s="500"/>
      <c r="L10" s="501"/>
    </row>
    <row r="11" spans="2:15">
      <c r="B11" s="493"/>
      <c r="C11" s="502" t="s">
        <v>262</v>
      </c>
      <c r="D11" s="503">
        <f>Parameters!R16</f>
        <v>0.4</v>
      </c>
      <c r="E11" s="504" t="s">
        <v>261</v>
      </c>
      <c r="F11" s="503">
        <f>Parameters!R17</f>
        <v>0.2</v>
      </c>
      <c r="G11" s="505" t="s">
        <v>146</v>
      </c>
      <c r="H11" s="506">
        <f>Parameters!R27</f>
        <v>0.05</v>
      </c>
      <c r="I11" s="500"/>
      <c r="J11" s="500"/>
      <c r="K11" s="500"/>
      <c r="L11" s="501"/>
    </row>
    <row r="12" spans="2:15" ht="13.5" thickBot="1">
      <c r="B12" s="493"/>
      <c r="C12" s="507" t="s">
        <v>2</v>
      </c>
      <c r="D12" s="508">
        <f>Parameters!R20</f>
        <v>0.43</v>
      </c>
      <c r="E12" s="509" t="s">
        <v>16</v>
      </c>
      <c r="F12" s="508">
        <f>Parameters!R18</f>
        <v>0.24</v>
      </c>
      <c r="G12" s="509" t="s">
        <v>294</v>
      </c>
      <c r="H12" s="510">
        <f>Parameters!R28</f>
        <v>0.15</v>
      </c>
      <c r="I12" s="500"/>
      <c r="J12" s="500"/>
      <c r="K12" s="500"/>
      <c r="L12" s="258"/>
    </row>
    <row r="13" spans="2:15">
      <c r="B13" s="493"/>
    </row>
    <row r="14" spans="2:15" ht="13.5" thickBot="1">
      <c r="B14" s="511"/>
    </row>
    <row r="15" spans="2:15" s="518" customFormat="1" ht="39" thickBot="1">
      <c r="B15" s="512" t="s">
        <v>1</v>
      </c>
      <c r="C15" s="512" t="s">
        <v>95</v>
      </c>
      <c r="D15" s="439" t="s">
        <v>295</v>
      </c>
      <c r="E15" s="440" t="s">
        <v>261</v>
      </c>
      <c r="F15" s="440" t="s">
        <v>262</v>
      </c>
      <c r="G15" s="440" t="s">
        <v>2</v>
      </c>
      <c r="H15" s="440" t="s">
        <v>16</v>
      </c>
      <c r="I15" s="513" t="s">
        <v>267</v>
      </c>
      <c r="J15" s="514" t="s">
        <v>146</v>
      </c>
      <c r="K15" s="515" t="s">
        <v>296</v>
      </c>
      <c r="L15" s="440" t="s">
        <v>297</v>
      </c>
      <c r="M15" s="441" t="s">
        <v>298</v>
      </c>
      <c r="N15" s="516" t="s">
        <v>284</v>
      </c>
      <c r="O15" s="517" t="s">
        <v>299</v>
      </c>
    </row>
    <row r="16" spans="2:15" s="518" customFormat="1" ht="13.5" thickBot="1">
      <c r="B16" s="519"/>
      <c r="C16" s="33" t="s">
        <v>15</v>
      </c>
      <c r="D16" s="448" t="s">
        <v>15</v>
      </c>
      <c r="E16" s="446" t="s">
        <v>15</v>
      </c>
      <c r="F16" s="446" t="s">
        <v>15</v>
      </c>
      <c r="G16" s="446" t="s">
        <v>15</v>
      </c>
      <c r="H16" s="446" t="s">
        <v>15</v>
      </c>
      <c r="I16" s="520" t="s">
        <v>15</v>
      </c>
      <c r="J16" s="521" t="s">
        <v>15</v>
      </c>
      <c r="K16" s="522" t="s">
        <v>15</v>
      </c>
      <c r="L16" s="446" t="s">
        <v>15</v>
      </c>
      <c r="M16" s="447" t="s">
        <v>15</v>
      </c>
      <c r="N16" s="523" t="s">
        <v>15</v>
      </c>
      <c r="O16" s="447" t="s">
        <v>15</v>
      </c>
    </row>
    <row r="17" spans="2:15">
      <c r="B17" s="461"/>
      <c r="C17" s="524"/>
      <c r="D17" s="525"/>
      <c r="E17" s="526"/>
      <c r="F17" s="526"/>
      <c r="G17" s="526"/>
      <c r="H17" s="526"/>
      <c r="I17" s="527"/>
      <c r="J17" s="528"/>
      <c r="K17" s="529"/>
      <c r="L17" s="530"/>
      <c r="M17" s="531"/>
      <c r="N17" s="525"/>
      <c r="O17" s="532"/>
    </row>
    <row r="18" spans="2:15">
      <c r="B18" s="470">
        <f>year</f>
        <v>1950</v>
      </c>
      <c r="C18" s="533">
        <f>Amnt_Deposited!O14*$D$10*(1-DOCF)*MSW!E19</f>
        <v>0</v>
      </c>
      <c r="D18" s="534">
        <f>Amnt_Deposited!C14*$F$10*(1-DOCF)*Food!E19</f>
        <v>0.26648962069949994</v>
      </c>
      <c r="E18" s="535">
        <f>Amnt_Deposited!F14*$F$11*(1-DOCF)*Garden!E19</f>
        <v>0</v>
      </c>
      <c r="F18" s="535">
        <f>Amnt_Deposited!D14*$D$11*(1-DOCF)*Paper!E19</f>
        <v>0.21074121728880002</v>
      </c>
      <c r="G18" s="535">
        <f>Amnt_Deposited!G14*$D$12*(1-DOCF)*Wood!E19</f>
        <v>0.17386150426325997</v>
      </c>
      <c r="H18" s="535">
        <f>Amnt_Deposited!H14*$F$12*(1-DOCF)*Textiles!E19</f>
        <v>2.6465176124639993E-2</v>
      </c>
      <c r="I18" s="536">
        <f>Amnt_Deposited!E14*$H$10*(1-DOCF)*Nappies!E19</f>
        <v>0</v>
      </c>
      <c r="J18" s="537">
        <f>Amnt_Deposited!N14*$H$11*(1-DOCF)*Sludge!E19</f>
        <v>0</v>
      </c>
      <c r="K18" s="538">
        <f>Amnt_Deposited!P14*$H$12*(1-DOCF)*Industry!E19</f>
        <v>0</v>
      </c>
      <c r="L18" s="535">
        <f>Amnt_Deposited!P14*Parameters!$E$58*$D$11*(1-DOCF)*Industry!E19</f>
        <v>0</v>
      </c>
      <c r="M18" s="536">
        <f>Amnt_Deposited!P14*Parameters!$E$59*$D$12*(1-DOCF)*Industry!E19</f>
        <v>0</v>
      </c>
      <c r="N18" s="471">
        <f t="shared" ref="N18:N49" si="0">IF(Select2=2,C18+J18+K18, D18+E18+F18+G18+H18+I18+J18+K18)</f>
        <v>0.67755751837619993</v>
      </c>
      <c r="O18" s="473">
        <f t="shared" ref="O18:O81" si="1">O17+N18</f>
        <v>0.67755751837619993</v>
      </c>
    </row>
    <row r="19" spans="2:15">
      <c r="B19" s="470">
        <f>B18+1</f>
        <v>1951</v>
      </c>
      <c r="C19" s="533">
        <f>Amnt_Deposited!O15*$D$10*(1-DOCF)*MSW!E20</f>
        <v>0</v>
      </c>
      <c r="D19" s="534">
        <f>Amnt_Deposited!C15*$F$10*(1-DOCF)*Food!E20</f>
        <v>0.28127317199849994</v>
      </c>
      <c r="E19" s="535">
        <f>Amnt_Deposited!F15*$F$11*(1-DOCF)*Garden!E20</f>
        <v>0</v>
      </c>
      <c r="F19" s="535">
        <f>Amnt_Deposited!D15*$D$11*(1-DOCF)*Paper!E20</f>
        <v>0.22243211762639997</v>
      </c>
      <c r="G19" s="535">
        <f>Amnt_Deposited!G15*$D$12*(1-DOCF)*Wood!E20</f>
        <v>0.18350649704177999</v>
      </c>
      <c r="H19" s="535">
        <f>Amnt_Deposited!H15*$F$12*(1-DOCF)*Textiles!E20</f>
        <v>2.7933335701919994E-2</v>
      </c>
      <c r="I19" s="536">
        <f>Amnt_Deposited!E15*$H$10*(1-DOCF)*Nappies!E20</f>
        <v>0</v>
      </c>
      <c r="J19" s="537">
        <f>Amnt_Deposited!N15*$H$11*(1-DOCF)*Sludge!E20</f>
        <v>0</v>
      </c>
      <c r="K19" s="538">
        <f>Amnt_Deposited!P15*$H$12*(1-DOCF)*Industry!D20</f>
        <v>0</v>
      </c>
      <c r="L19" s="535">
        <f>Amnt_Deposited!P15*Parameters!$E$58*$D$11*(1-DOCF)*Industry!E20</f>
        <v>0</v>
      </c>
      <c r="M19" s="536">
        <f>Amnt_Deposited!P15*Parameters!$E$59*$D$12*(1-DOCF)*Industry!E20</f>
        <v>0</v>
      </c>
      <c r="N19" s="471">
        <f t="shared" si="0"/>
        <v>0.71514512236859995</v>
      </c>
      <c r="O19" s="473">
        <f t="shared" si="1"/>
        <v>1.3927026407447998</v>
      </c>
    </row>
    <row r="20" spans="2:15">
      <c r="B20" s="470">
        <f t="shared" ref="B20:B83" si="2">B19+1</f>
        <v>1952</v>
      </c>
      <c r="C20" s="533">
        <f>Amnt_Deposited!O16*$D$10*(1-DOCF)*MSW!E21</f>
        <v>0</v>
      </c>
      <c r="D20" s="534">
        <f>Amnt_Deposited!C16*$F$10*(1-DOCF)*Food!E21</f>
        <v>0.29718658955699995</v>
      </c>
      <c r="E20" s="535">
        <f>Amnt_Deposited!F16*$F$11*(1-DOCF)*Garden!E21</f>
        <v>0</v>
      </c>
      <c r="F20" s="535">
        <f>Amnt_Deposited!D16*$D$11*(1-DOCF)*Paper!E21</f>
        <v>0.23501652139679999</v>
      </c>
      <c r="G20" s="535">
        <f>Amnt_Deposited!G16*$D$12*(1-DOCF)*Wood!E21</f>
        <v>0.19388863015235999</v>
      </c>
      <c r="H20" s="535">
        <f>Amnt_Deposited!H16*$F$12*(1-DOCF)*Textiles!E21</f>
        <v>2.9513702687039997E-2</v>
      </c>
      <c r="I20" s="536">
        <f>Amnt_Deposited!E16*$H$10*(1-DOCF)*Nappies!E21</f>
        <v>0</v>
      </c>
      <c r="J20" s="537">
        <f>Amnt_Deposited!N16*$H$11*(1-DOCF)*Sludge!E21</f>
        <v>0</v>
      </c>
      <c r="K20" s="538">
        <f>Amnt_Deposited!P16*$H$12*(1-DOCF)*Industry!D21</f>
        <v>0</v>
      </c>
      <c r="L20" s="535">
        <f>Amnt_Deposited!P16*Parameters!$E$58*$D$11*(1-DOCF)*Industry!E21</f>
        <v>0</v>
      </c>
      <c r="M20" s="536">
        <f>Amnt_Deposited!P16*Parameters!$E$59*$D$12*(1-DOCF)*Industry!E21</f>
        <v>0</v>
      </c>
      <c r="N20" s="471">
        <f t="shared" si="0"/>
        <v>0.75560544379319994</v>
      </c>
      <c r="O20" s="473">
        <f t="shared" si="1"/>
        <v>2.1483080845379998</v>
      </c>
    </row>
    <row r="21" spans="2:15">
      <c r="B21" s="470">
        <f t="shared" si="2"/>
        <v>1953</v>
      </c>
      <c r="C21" s="533">
        <f>Amnt_Deposited!O17*$D$10*(1-DOCF)*MSW!E22</f>
        <v>0</v>
      </c>
      <c r="D21" s="534">
        <f>Amnt_Deposited!C17*$F$10*(1-DOCF)*Food!E22</f>
        <v>0.30262719054150006</v>
      </c>
      <c r="E21" s="535">
        <f>Amnt_Deposited!F17*$F$11*(1-DOCF)*Garden!E22</f>
        <v>0</v>
      </c>
      <c r="F21" s="535">
        <f>Amnt_Deposited!D17*$D$11*(1-DOCF)*Paper!E22</f>
        <v>0.23931897366960003</v>
      </c>
      <c r="G21" s="535">
        <f>Amnt_Deposited!G17*$D$12*(1-DOCF)*Wood!E22</f>
        <v>0.19743815327742004</v>
      </c>
      <c r="H21" s="535">
        <f>Amnt_Deposited!H17*$F$12*(1-DOCF)*Textiles!E22</f>
        <v>3.0054010646880003E-2</v>
      </c>
      <c r="I21" s="536">
        <f>Amnt_Deposited!E17*$H$10*(1-DOCF)*Nappies!E22</f>
        <v>0</v>
      </c>
      <c r="J21" s="537">
        <f>Amnt_Deposited!N17*$H$11*(1-DOCF)*Sludge!E22</f>
        <v>0</v>
      </c>
      <c r="K21" s="538">
        <f>Amnt_Deposited!P17*$H$12*(1-DOCF)*Industry!D22</f>
        <v>0</v>
      </c>
      <c r="L21" s="535">
        <f>Amnt_Deposited!P17*Parameters!$E$58*$D$11*(1-DOCF)*Industry!E22</f>
        <v>0</v>
      </c>
      <c r="M21" s="536">
        <f>Amnt_Deposited!P17*Parameters!$E$59*$D$12*(1-DOCF)*Industry!E22</f>
        <v>0</v>
      </c>
      <c r="N21" s="471">
        <f t="shared" si="0"/>
        <v>0.76943832813540014</v>
      </c>
      <c r="O21" s="473">
        <f t="shared" si="1"/>
        <v>2.9177464126734001</v>
      </c>
    </row>
    <row r="22" spans="2:15">
      <c r="B22" s="470">
        <f t="shared" si="2"/>
        <v>1954</v>
      </c>
      <c r="C22" s="533">
        <f>Amnt_Deposited!O18*$D$10*(1-DOCF)*MSW!E23</f>
        <v>0</v>
      </c>
      <c r="D22" s="534">
        <f>Amnt_Deposited!C18*$F$10*(1-DOCF)*Food!E23</f>
        <v>0.31929158346525</v>
      </c>
      <c r="E22" s="535">
        <f>Amnt_Deposited!F18*$F$11*(1-DOCF)*Garden!E23</f>
        <v>0</v>
      </c>
      <c r="F22" s="535">
        <f>Amnt_Deposited!D18*$D$11*(1-DOCF)*Paper!E23</f>
        <v>0.25249725221160002</v>
      </c>
      <c r="G22" s="535">
        <f>Amnt_Deposited!G18*$D$12*(1-DOCF)*Wood!E23</f>
        <v>0.20831023307457</v>
      </c>
      <c r="H22" s="535">
        <f>Amnt_Deposited!H18*$F$12*(1-DOCF)*Textiles!E23</f>
        <v>3.1708957254480002E-2</v>
      </c>
      <c r="I22" s="536">
        <f>Amnt_Deposited!E18*$H$10*(1-DOCF)*Nappies!E23</f>
        <v>0</v>
      </c>
      <c r="J22" s="537">
        <f>Amnt_Deposited!N18*$H$11*(1-DOCF)*Sludge!E23</f>
        <v>0</v>
      </c>
      <c r="K22" s="538">
        <f>Amnt_Deposited!P18*$H$12*(1-DOCF)*Industry!D23</f>
        <v>0</v>
      </c>
      <c r="L22" s="535">
        <f>Amnt_Deposited!P18*Parameters!$E$58*$D$11*(1-DOCF)*Industry!E23</f>
        <v>0</v>
      </c>
      <c r="M22" s="536">
        <f>Amnt_Deposited!P18*Parameters!$E$59*$D$12*(1-DOCF)*Industry!E23</f>
        <v>0</v>
      </c>
      <c r="N22" s="471">
        <f t="shared" si="0"/>
        <v>0.81180802600589996</v>
      </c>
      <c r="O22" s="473">
        <f t="shared" si="1"/>
        <v>3.7295544386793003</v>
      </c>
    </row>
    <row r="23" spans="2:15">
      <c r="B23" s="470">
        <f t="shared" si="2"/>
        <v>1955</v>
      </c>
      <c r="C23" s="533">
        <f>Amnt_Deposited!O19*$D$10*(1-DOCF)*MSW!E24</f>
        <v>0</v>
      </c>
      <c r="D23" s="534">
        <f>Amnt_Deposited!C19*$F$10*(1-DOCF)*Food!E24</f>
        <v>0.34225418670300001</v>
      </c>
      <c r="E23" s="535">
        <f>Amnt_Deposited!F19*$F$11*(1-DOCF)*Garden!E24</f>
        <v>0</v>
      </c>
      <c r="F23" s="535">
        <f>Amnt_Deposited!D19*$D$11*(1-DOCF)*Paper!E24</f>
        <v>0.27065618442720002</v>
      </c>
      <c r="G23" s="535">
        <f>Amnt_Deposited!G19*$D$12*(1-DOCF)*Wood!E24</f>
        <v>0.22329135215244</v>
      </c>
      <c r="H23" s="535">
        <f>Amnt_Deposited!H19*$F$12*(1-DOCF)*Textiles!E24</f>
        <v>3.398938130016E-2</v>
      </c>
      <c r="I23" s="536">
        <f>Amnt_Deposited!E19*$H$10*(1-DOCF)*Nappies!E24</f>
        <v>0</v>
      </c>
      <c r="J23" s="537">
        <f>Amnt_Deposited!N19*$H$11*(1-DOCF)*Sludge!E24</f>
        <v>0</v>
      </c>
      <c r="K23" s="538">
        <f>Amnt_Deposited!P19*$H$12*(1-DOCF)*Industry!D24</f>
        <v>0</v>
      </c>
      <c r="L23" s="535">
        <f>Amnt_Deposited!P19*Parameters!$E$58*$D$11*(1-DOCF)*Industry!E24</f>
        <v>0</v>
      </c>
      <c r="M23" s="536">
        <f>Amnt_Deposited!P19*Parameters!$E$59*$D$12*(1-DOCF)*Industry!E24</f>
        <v>0</v>
      </c>
      <c r="N23" s="471">
        <f t="shared" si="0"/>
        <v>0.87019110458280002</v>
      </c>
      <c r="O23" s="473">
        <f t="shared" si="1"/>
        <v>4.5997455432621006</v>
      </c>
    </row>
    <row r="24" spans="2:15">
      <c r="B24" s="470">
        <f t="shared" si="2"/>
        <v>1956</v>
      </c>
      <c r="C24" s="533">
        <f>Amnt_Deposited!O20*$D$10*(1-DOCF)*MSW!E25</f>
        <v>0</v>
      </c>
      <c r="D24" s="534">
        <f>Amnt_Deposited!C20*$F$10*(1-DOCF)*Food!E25</f>
        <v>0.35618239748024993</v>
      </c>
      <c r="E24" s="535">
        <f>Amnt_Deposited!F20*$F$11*(1-DOCF)*Garden!E25</f>
        <v>0</v>
      </c>
      <c r="F24" s="535">
        <f>Amnt_Deposited!D20*$D$11*(1-DOCF)*Paper!E25</f>
        <v>0.2816706775476</v>
      </c>
      <c r="G24" s="535">
        <f>Amnt_Deposited!G20*$D$12*(1-DOCF)*Wood!E25</f>
        <v>0.23237830897676998</v>
      </c>
      <c r="H24" s="535">
        <f>Amnt_Deposited!H20*$F$12*(1-DOCF)*Textiles!E25</f>
        <v>3.5372596715279994E-2</v>
      </c>
      <c r="I24" s="536">
        <f>Amnt_Deposited!E20*$H$10*(1-DOCF)*Nappies!E25</f>
        <v>0</v>
      </c>
      <c r="J24" s="537">
        <f>Amnt_Deposited!N20*$H$11*(1-DOCF)*Sludge!E25</f>
        <v>0</v>
      </c>
      <c r="K24" s="538">
        <f>Amnt_Deposited!P20*$H$12*(1-DOCF)*Industry!D25</f>
        <v>0</v>
      </c>
      <c r="L24" s="535">
        <f>Amnt_Deposited!P20*Parameters!$E$58*$D$11*(1-DOCF)*Industry!E25</f>
        <v>0</v>
      </c>
      <c r="M24" s="536">
        <f>Amnt_Deposited!P20*Parameters!$E$59*$D$12*(1-DOCF)*Industry!E25</f>
        <v>0</v>
      </c>
      <c r="N24" s="471">
        <f t="shared" si="0"/>
        <v>0.90560398071989989</v>
      </c>
      <c r="O24" s="473">
        <f t="shared" si="1"/>
        <v>5.5053495239820007</v>
      </c>
    </row>
    <row r="25" spans="2:15">
      <c r="B25" s="470">
        <f t="shared" si="2"/>
        <v>1957</v>
      </c>
      <c r="C25" s="533">
        <f>Amnt_Deposited!O21*$D$10*(1-DOCF)*MSW!E26</f>
        <v>0</v>
      </c>
      <c r="D25" s="534">
        <f>Amnt_Deposited!C21*$F$10*(1-DOCF)*Food!E26</f>
        <v>0.37051672484475001</v>
      </c>
      <c r="E25" s="535">
        <f>Amnt_Deposited!F21*$F$11*(1-DOCF)*Garden!E26</f>
        <v>0</v>
      </c>
      <c r="F25" s="535">
        <f>Amnt_Deposited!D21*$D$11*(1-DOCF)*Paper!E26</f>
        <v>0.29300632953240008</v>
      </c>
      <c r="G25" s="535">
        <f>Amnt_Deposited!G21*$D$12*(1-DOCF)*Wood!E26</f>
        <v>0.24173022186423004</v>
      </c>
      <c r="H25" s="535">
        <f>Amnt_Deposited!H21*$F$12*(1-DOCF)*Textiles!E26</f>
        <v>3.6796143708720003E-2</v>
      </c>
      <c r="I25" s="536">
        <f>Amnt_Deposited!E21*$H$10*(1-DOCF)*Nappies!E26</f>
        <v>0</v>
      </c>
      <c r="J25" s="537">
        <f>Amnt_Deposited!N21*$H$11*(1-DOCF)*Sludge!E26</f>
        <v>0</v>
      </c>
      <c r="K25" s="538">
        <f>Amnt_Deposited!P21*$H$12*(1-DOCF)*Industry!D26</f>
        <v>0</v>
      </c>
      <c r="L25" s="535">
        <f>Amnt_Deposited!P21*Parameters!$E$58*$D$11*(1-DOCF)*Industry!E26</f>
        <v>0</v>
      </c>
      <c r="M25" s="536">
        <f>Amnt_Deposited!P21*Parameters!$E$59*$D$12*(1-DOCF)*Industry!E26</f>
        <v>0</v>
      </c>
      <c r="N25" s="471">
        <f t="shared" si="0"/>
        <v>0.94204941995010005</v>
      </c>
      <c r="O25" s="473">
        <f t="shared" si="1"/>
        <v>6.4473989439321011</v>
      </c>
    </row>
    <row r="26" spans="2:15">
      <c r="B26" s="470">
        <f t="shared" si="2"/>
        <v>1958</v>
      </c>
      <c r="C26" s="533">
        <f>Amnt_Deposited!O22*$D$10*(1-DOCF)*MSW!E27</f>
        <v>0</v>
      </c>
      <c r="D26" s="534">
        <f>Amnt_Deposited!C22*$F$10*(1-DOCF)*Food!E27</f>
        <v>0.38522767429574994</v>
      </c>
      <c r="E26" s="535">
        <f>Amnt_Deposited!F22*$F$11*(1-DOCF)*Garden!E27</f>
        <v>0</v>
      </c>
      <c r="F26" s="535">
        <f>Amnt_Deposited!D22*$D$11*(1-DOCF)*Paper!E27</f>
        <v>0.3046398159948</v>
      </c>
      <c r="G26" s="535">
        <f>Amnt_Deposited!G22*$D$12*(1-DOCF)*Wood!E27</f>
        <v>0.25132784819570997</v>
      </c>
      <c r="H26" s="535">
        <f>Amnt_Deposited!H22*$F$12*(1-DOCF)*Textiles!E27</f>
        <v>3.8257093171439993E-2</v>
      </c>
      <c r="I26" s="536">
        <f>Amnt_Deposited!E22*$H$10*(1-DOCF)*Nappies!E27</f>
        <v>0</v>
      </c>
      <c r="J26" s="537">
        <f>Amnt_Deposited!N22*$H$11*(1-DOCF)*Sludge!E27</f>
        <v>0</v>
      </c>
      <c r="K26" s="538">
        <f>Amnt_Deposited!P22*$H$12*(1-DOCF)*Industry!D27</f>
        <v>0</v>
      </c>
      <c r="L26" s="535">
        <f>Amnt_Deposited!P22*Parameters!$E$58*$D$11*(1-DOCF)*Industry!E27</f>
        <v>0</v>
      </c>
      <c r="M26" s="536">
        <f>Amnt_Deposited!P22*Parameters!$E$59*$D$12*(1-DOCF)*Industry!E27</f>
        <v>0</v>
      </c>
      <c r="N26" s="471">
        <f t="shared" si="0"/>
        <v>0.97945243165769991</v>
      </c>
      <c r="O26" s="473">
        <f t="shared" si="1"/>
        <v>7.4268513755898011</v>
      </c>
    </row>
    <row r="27" spans="2:15">
      <c r="B27" s="470">
        <f t="shared" si="2"/>
        <v>1959</v>
      </c>
      <c r="C27" s="533">
        <f>Amnt_Deposited!O23*$D$10*(1-DOCF)*MSW!E28</f>
        <v>0</v>
      </c>
      <c r="D27" s="534">
        <f>Amnt_Deposited!C23*$F$10*(1-DOCF)*Food!E28</f>
        <v>0.40026760087050001</v>
      </c>
      <c r="E27" s="535">
        <f>Amnt_Deposited!F23*$F$11*(1-DOCF)*Garden!E28</f>
        <v>0</v>
      </c>
      <c r="F27" s="535">
        <f>Amnt_Deposited!D23*$D$11*(1-DOCF)*Paper!E28</f>
        <v>0.31653345907920005</v>
      </c>
      <c r="G27" s="535">
        <f>Amnt_Deposited!G23*$D$12*(1-DOCF)*Wood!E28</f>
        <v>0.26114010374033997</v>
      </c>
      <c r="H27" s="535">
        <f>Amnt_Deposited!H23*$F$12*(1-DOCF)*Textiles!E28</f>
        <v>3.975071346576E-2</v>
      </c>
      <c r="I27" s="536">
        <f>Amnt_Deposited!E23*$H$10*(1-DOCF)*Nappies!E28</f>
        <v>0</v>
      </c>
      <c r="J27" s="537">
        <f>Amnt_Deposited!N23*$H$11*(1-DOCF)*Sludge!E28</f>
        <v>0</v>
      </c>
      <c r="K27" s="538">
        <f>Amnt_Deposited!P23*$H$12*(1-DOCF)*Industry!D28</f>
        <v>0</v>
      </c>
      <c r="L27" s="535">
        <f>Amnt_Deposited!P23*Parameters!$E$58*$D$11*(1-DOCF)*Industry!E28</f>
        <v>0</v>
      </c>
      <c r="M27" s="536">
        <f>Amnt_Deposited!P23*Parameters!$E$59*$D$12*(1-DOCF)*Industry!E28</f>
        <v>0</v>
      </c>
      <c r="N27" s="471">
        <f t="shared" si="0"/>
        <v>1.0176918771558001</v>
      </c>
      <c r="O27" s="473">
        <f t="shared" si="1"/>
        <v>8.4445432527456017</v>
      </c>
    </row>
    <row r="28" spans="2:15">
      <c r="B28" s="470">
        <f t="shared" si="2"/>
        <v>1960</v>
      </c>
      <c r="C28" s="533">
        <f>Amnt_Deposited!O24*$D$10*(1-DOCF)*MSW!E29</f>
        <v>0</v>
      </c>
      <c r="D28" s="534">
        <f>Amnt_Deposited!C24*$F$10*(1-DOCF)*Food!E29</f>
        <v>0.40629582306224993</v>
      </c>
      <c r="E28" s="535">
        <f>Amnt_Deposited!F24*$F$11*(1-DOCF)*Garden!E29</f>
        <v>0</v>
      </c>
      <c r="F28" s="535">
        <f>Amnt_Deposited!D24*$D$11*(1-DOCF)*Paper!E29</f>
        <v>0.32130060490440004</v>
      </c>
      <c r="G28" s="535">
        <f>Amnt_Deposited!G24*$D$12*(1-DOCF)*Wood!E29</f>
        <v>0.26507299904613002</v>
      </c>
      <c r="H28" s="535">
        <f>Amnt_Deposited!H24*$F$12*(1-DOCF)*Textiles!E29</f>
        <v>4.0349378290319995E-2</v>
      </c>
      <c r="I28" s="536">
        <f>Amnt_Deposited!E24*$H$10*(1-DOCF)*Nappies!E29</f>
        <v>0</v>
      </c>
      <c r="J28" s="537">
        <f>Amnt_Deposited!N24*$H$11*(1-DOCF)*Sludge!E29</f>
        <v>0</v>
      </c>
      <c r="K28" s="538">
        <f>Amnt_Deposited!P24*$H$12*(1-DOCF)*Industry!D29</f>
        <v>0</v>
      </c>
      <c r="L28" s="535">
        <f>Amnt_Deposited!P24*Parameters!$E$58*$D$11*(1-DOCF)*Industry!E29</f>
        <v>0</v>
      </c>
      <c r="M28" s="536">
        <f>Amnt_Deposited!P24*Parameters!$E$59*$D$12*(1-DOCF)*Industry!E29</f>
        <v>0</v>
      </c>
      <c r="N28" s="471">
        <f t="shared" si="0"/>
        <v>1.0330188053031</v>
      </c>
      <c r="O28" s="473">
        <f t="shared" si="1"/>
        <v>9.4775620580487008</v>
      </c>
    </row>
    <row r="29" spans="2:15">
      <c r="B29" s="470">
        <f t="shared" si="2"/>
        <v>1961</v>
      </c>
      <c r="C29" s="533">
        <f>Amnt_Deposited!O25*$D$10*(1-DOCF)*MSW!E30</f>
        <v>0</v>
      </c>
      <c r="D29" s="534">
        <f>Amnt_Deposited!C25*$F$10*(1-DOCF)*Food!E30</f>
        <v>0.383605889265</v>
      </c>
      <c r="E29" s="535">
        <f>Amnt_Deposited!F25*$F$11*(1-DOCF)*Garden!E30</f>
        <v>0</v>
      </c>
      <c r="F29" s="535">
        <f>Amnt_Deposited!D25*$D$11*(1-DOCF)*Paper!E30</f>
        <v>0.303357300936</v>
      </c>
      <c r="G29" s="535">
        <f>Amnt_Deposited!G25*$D$12*(1-DOCF)*Wood!E30</f>
        <v>0.25026977327220001</v>
      </c>
      <c r="H29" s="535">
        <f>Amnt_Deposited!H25*$F$12*(1-DOCF)*Textiles!E30</f>
        <v>3.8096033140799998E-2</v>
      </c>
      <c r="I29" s="536">
        <f>Amnt_Deposited!E25*$H$10*(1-DOCF)*Nappies!E30</f>
        <v>0</v>
      </c>
      <c r="J29" s="537">
        <f>Amnt_Deposited!N25*$H$11*(1-DOCF)*Sludge!E30</f>
        <v>0</v>
      </c>
      <c r="K29" s="538">
        <f>Amnt_Deposited!P25*$H$12*(1-DOCF)*Industry!D30</f>
        <v>0</v>
      </c>
      <c r="L29" s="535">
        <f>Amnt_Deposited!P25*Parameters!$E$58*$D$11*(1-DOCF)*Industry!E30</f>
        <v>0</v>
      </c>
      <c r="M29" s="536">
        <f>Amnt_Deposited!P25*Parameters!$E$59*$D$12*(1-DOCF)*Industry!E30</f>
        <v>0</v>
      </c>
      <c r="N29" s="471">
        <f t="shared" si="0"/>
        <v>0.97532899661400008</v>
      </c>
      <c r="O29" s="473">
        <f t="shared" si="1"/>
        <v>10.4528910546627</v>
      </c>
    </row>
    <row r="30" spans="2:15">
      <c r="B30" s="470">
        <f t="shared" si="2"/>
        <v>1962</v>
      </c>
      <c r="C30" s="533">
        <f>Amnt_Deposited!O26*$D$10*(1-DOCF)*MSW!E31</f>
        <v>0</v>
      </c>
      <c r="D30" s="534">
        <f>Amnt_Deposited!C26*$F$10*(1-DOCF)*Food!E31</f>
        <v>0.39513555774000003</v>
      </c>
      <c r="E30" s="535">
        <f>Amnt_Deposited!F26*$F$11*(1-DOCF)*Garden!E31</f>
        <v>0</v>
      </c>
      <c r="F30" s="535">
        <f>Amnt_Deposited!D26*$D$11*(1-DOCF)*Paper!E31</f>
        <v>0.31247501577600012</v>
      </c>
      <c r="G30" s="535">
        <f>Amnt_Deposited!G26*$D$12*(1-DOCF)*Wood!E31</f>
        <v>0.25779188801520003</v>
      </c>
      <c r="H30" s="535">
        <f>Amnt_Deposited!H26*$F$12*(1-DOCF)*Textiles!E31</f>
        <v>3.9241048492800003E-2</v>
      </c>
      <c r="I30" s="536">
        <f>Amnt_Deposited!E26*$H$10*(1-DOCF)*Nappies!E31</f>
        <v>0</v>
      </c>
      <c r="J30" s="537">
        <f>Amnt_Deposited!N26*$H$11*(1-DOCF)*Sludge!E31</f>
        <v>0</v>
      </c>
      <c r="K30" s="538">
        <f>Amnt_Deposited!P26*$H$12*(1-DOCF)*Industry!D31</f>
        <v>0</v>
      </c>
      <c r="L30" s="535">
        <f>Amnt_Deposited!P26*Parameters!$E$58*$D$11*(1-DOCF)*Industry!E31</f>
        <v>0</v>
      </c>
      <c r="M30" s="536">
        <f>Amnt_Deposited!P26*Parameters!$E$59*$D$12*(1-DOCF)*Industry!E31</f>
        <v>0</v>
      </c>
      <c r="N30" s="471">
        <f t="shared" si="0"/>
        <v>1.0046435100240001</v>
      </c>
      <c r="O30" s="473">
        <f t="shared" si="1"/>
        <v>11.4575345646867</v>
      </c>
    </row>
    <row r="31" spans="2:15">
      <c r="B31" s="470">
        <f t="shared" si="2"/>
        <v>1963</v>
      </c>
      <c r="C31" s="533">
        <f>Amnt_Deposited!O27*$D$10*(1-DOCF)*MSW!E32</f>
        <v>0</v>
      </c>
      <c r="D31" s="534">
        <f>Amnt_Deposited!C27*$F$10*(1-DOCF)*Food!E32</f>
        <v>0.40712311287000003</v>
      </c>
      <c r="E31" s="535">
        <f>Amnt_Deposited!F27*$F$11*(1-DOCF)*Garden!E32</f>
        <v>0</v>
      </c>
      <c r="F31" s="535">
        <f>Amnt_Deposited!D27*$D$11*(1-DOCF)*Paper!E32</f>
        <v>0.32195482948800008</v>
      </c>
      <c r="G31" s="535">
        <f>Amnt_Deposited!G27*$D$12*(1-DOCF)*Wood!E32</f>
        <v>0.26561273432760008</v>
      </c>
      <c r="H31" s="535">
        <f>Amnt_Deposited!H27*$F$12*(1-DOCF)*Textiles!E32</f>
        <v>4.04315367264E-2</v>
      </c>
      <c r="I31" s="536">
        <f>Amnt_Deposited!E27*$H$10*(1-DOCF)*Nappies!E32</f>
        <v>0</v>
      </c>
      <c r="J31" s="537">
        <f>Amnt_Deposited!N27*$H$11*(1-DOCF)*Sludge!E32</f>
        <v>0</v>
      </c>
      <c r="K31" s="538">
        <f>Amnt_Deposited!P27*$H$12*(1-DOCF)*Industry!D32</f>
        <v>0</v>
      </c>
      <c r="L31" s="535">
        <f>Amnt_Deposited!P27*Parameters!$E$58*$D$11*(1-DOCF)*Industry!E32</f>
        <v>0</v>
      </c>
      <c r="M31" s="536">
        <f>Amnt_Deposited!P27*Parameters!$E$59*$D$12*(1-DOCF)*Industry!E32</f>
        <v>0</v>
      </c>
      <c r="N31" s="471">
        <f t="shared" si="0"/>
        <v>1.0351222134120002</v>
      </c>
      <c r="O31" s="473">
        <f t="shared" si="1"/>
        <v>12.4926567780987</v>
      </c>
    </row>
    <row r="32" spans="2:15">
      <c r="B32" s="470">
        <f t="shared" si="2"/>
        <v>1964</v>
      </c>
      <c r="C32" s="533">
        <f>Amnt_Deposited!O28*$D$10*(1-DOCF)*MSW!E33</f>
        <v>0</v>
      </c>
      <c r="D32" s="534">
        <f>Amnt_Deposited!C28*$F$10*(1-DOCF)*Food!E33</f>
        <v>0.41915810670750003</v>
      </c>
      <c r="E32" s="535">
        <f>Amnt_Deposited!F28*$F$11*(1-DOCF)*Garden!E33</f>
        <v>0</v>
      </c>
      <c r="F32" s="535">
        <f>Amnt_Deposited!D28*$D$11*(1-DOCF)*Paper!E33</f>
        <v>0.331472157948</v>
      </c>
      <c r="G32" s="535">
        <f>Amnt_Deposited!G28*$D$12*(1-DOCF)*Wood!E33</f>
        <v>0.27346453030710005</v>
      </c>
      <c r="H32" s="535">
        <f>Amnt_Deposited!H28*$F$12*(1-DOCF)*Textiles!E33</f>
        <v>4.1626736114400001E-2</v>
      </c>
      <c r="I32" s="536">
        <f>Amnt_Deposited!E28*$H$10*(1-DOCF)*Nappies!E33</f>
        <v>0</v>
      </c>
      <c r="J32" s="537">
        <f>Amnt_Deposited!N28*$H$11*(1-DOCF)*Sludge!E33</f>
        <v>0</v>
      </c>
      <c r="K32" s="538">
        <f>Amnt_Deposited!P28*$H$12*(1-DOCF)*Industry!D33</f>
        <v>0</v>
      </c>
      <c r="L32" s="535">
        <f>Amnt_Deposited!P28*Parameters!$E$58*$D$11*(1-DOCF)*Industry!E33</f>
        <v>0</v>
      </c>
      <c r="M32" s="536">
        <f>Amnt_Deposited!P28*Parameters!$E$59*$D$12*(1-DOCF)*Industry!E33</f>
        <v>0</v>
      </c>
      <c r="N32" s="471">
        <f t="shared" si="0"/>
        <v>1.0657215310770001</v>
      </c>
      <c r="O32" s="473">
        <f t="shared" si="1"/>
        <v>13.558378309175701</v>
      </c>
    </row>
    <row r="33" spans="2:15">
      <c r="B33" s="470">
        <f t="shared" si="2"/>
        <v>1965</v>
      </c>
      <c r="C33" s="533">
        <f>Amnt_Deposited!O29*$D$10*(1-DOCF)*MSW!E34</f>
        <v>0</v>
      </c>
      <c r="D33" s="534">
        <f>Amnt_Deposited!C29*$F$10*(1-DOCF)*Food!E34</f>
        <v>0.43085277938250005</v>
      </c>
      <c r="E33" s="535">
        <f>Amnt_Deposited!F29*$F$11*(1-DOCF)*Garden!E34</f>
        <v>0</v>
      </c>
      <c r="F33" s="535">
        <f>Amnt_Deposited!D29*$D$11*(1-DOCF)*Paper!E34</f>
        <v>0.34072035886800006</v>
      </c>
      <c r="G33" s="535">
        <f>Amnt_Deposited!G29*$D$12*(1-DOCF)*Wood!E34</f>
        <v>0.28109429606610004</v>
      </c>
      <c r="H33" s="535">
        <f>Amnt_Deposited!H29*$F$12*(1-DOCF)*Textiles!E34</f>
        <v>4.2788138090400003E-2</v>
      </c>
      <c r="I33" s="536">
        <f>Amnt_Deposited!E29*$H$10*(1-DOCF)*Nappies!E34</f>
        <v>0</v>
      </c>
      <c r="J33" s="537">
        <f>Amnt_Deposited!N29*$H$11*(1-DOCF)*Sludge!E34</f>
        <v>0</v>
      </c>
      <c r="K33" s="538">
        <f>Amnt_Deposited!P29*$H$12*(1-DOCF)*Industry!D34</f>
        <v>0</v>
      </c>
      <c r="L33" s="535">
        <f>Amnt_Deposited!P29*Parameters!$E$58*$D$11*(1-DOCF)*Industry!E34</f>
        <v>0</v>
      </c>
      <c r="M33" s="536">
        <f>Amnt_Deposited!P29*Parameters!$E$59*$D$12*(1-DOCF)*Industry!E34</f>
        <v>0</v>
      </c>
      <c r="N33" s="471">
        <f t="shared" si="0"/>
        <v>1.0954555724070001</v>
      </c>
      <c r="O33" s="473">
        <f t="shared" si="1"/>
        <v>14.653833881582701</v>
      </c>
    </row>
    <row r="34" spans="2:15">
      <c r="B34" s="470">
        <f t="shared" si="2"/>
        <v>1966</v>
      </c>
      <c r="C34" s="533">
        <f>Amnt_Deposited!O30*$D$10*(1-DOCF)*MSW!E35</f>
        <v>0</v>
      </c>
      <c r="D34" s="534">
        <f>Amnt_Deposited!C30*$F$10*(1-DOCF)*Food!E35</f>
        <v>0.44309402847000007</v>
      </c>
      <c r="E34" s="535">
        <f>Amnt_Deposited!F30*$F$11*(1-DOCF)*Garden!E35</f>
        <v>0</v>
      </c>
      <c r="F34" s="535">
        <f>Amnt_Deposited!D30*$D$11*(1-DOCF)*Paper!E35</f>
        <v>0.35040079492800014</v>
      </c>
      <c r="G34" s="535">
        <f>Amnt_Deposited!G30*$D$12*(1-DOCF)*Wood!E35</f>
        <v>0.28908065581560005</v>
      </c>
      <c r="H34" s="535">
        <f>Amnt_Deposited!H30*$F$12*(1-DOCF)*Textiles!E35</f>
        <v>4.4003820758400009E-2</v>
      </c>
      <c r="I34" s="536">
        <f>Amnt_Deposited!E30*$H$10*(1-DOCF)*Nappies!E35</f>
        <v>0</v>
      </c>
      <c r="J34" s="537">
        <f>Amnt_Deposited!N30*$H$11*(1-DOCF)*Sludge!E35</f>
        <v>0</v>
      </c>
      <c r="K34" s="538">
        <f>Amnt_Deposited!P30*$H$12*(1-DOCF)*Industry!D35</f>
        <v>0</v>
      </c>
      <c r="L34" s="535">
        <f>Amnt_Deposited!P30*Parameters!$E$58*$D$11*(1-DOCF)*Industry!E35</f>
        <v>0</v>
      </c>
      <c r="M34" s="536">
        <f>Amnt_Deposited!P30*Parameters!$E$59*$D$12*(1-DOCF)*Industry!E35</f>
        <v>0</v>
      </c>
      <c r="N34" s="471">
        <f t="shared" si="0"/>
        <v>1.1265792999720001</v>
      </c>
      <c r="O34" s="473">
        <f t="shared" si="1"/>
        <v>15.780413181554701</v>
      </c>
    </row>
    <row r="35" spans="2:15">
      <c r="B35" s="470">
        <f t="shared" si="2"/>
        <v>1967</v>
      </c>
      <c r="C35" s="533">
        <f>Amnt_Deposited!O31*$D$10*(1-DOCF)*MSW!E36</f>
        <v>0</v>
      </c>
      <c r="D35" s="534">
        <f>Amnt_Deposited!C31*$F$10*(1-DOCF)*Food!E36</f>
        <v>0.45850377070800002</v>
      </c>
      <c r="E35" s="535">
        <f>Amnt_Deposited!F31*$F$11*(1-DOCF)*Garden!E36</f>
        <v>0</v>
      </c>
      <c r="F35" s="535">
        <f>Amnt_Deposited!D31*$D$11*(1-DOCF)*Paper!E36</f>
        <v>0.36258688993920007</v>
      </c>
      <c r="G35" s="535">
        <f>Amnt_Deposited!G31*$D$12*(1-DOCF)*Wood!E36</f>
        <v>0.29913418419984006</v>
      </c>
      <c r="H35" s="535">
        <f>Amnt_Deposited!H31*$F$12*(1-DOCF)*Textiles!E36</f>
        <v>4.5534167573759998E-2</v>
      </c>
      <c r="I35" s="536">
        <f>Amnt_Deposited!E31*$H$10*(1-DOCF)*Nappies!E36</f>
        <v>0</v>
      </c>
      <c r="J35" s="537">
        <f>Amnt_Deposited!N31*$H$11*(1-DOCF)*Sludge!E36</f>
        <v>0</v>
      </c>
      <c r="K35" s="538">
        <f>Amnt_Deposited!P31*$H$12*(1-DOCF)*Industry!D36</f>
        <v>0</v>
      </c>
      <c r="L35" s="535">
        <f>Amnt_Deposited!P31*Parameters!$E$58*$D$11*(1-DOCF)*Industry!E36</f>
        <v>0</v>
      </c>
      <c r="M35" s="536">
        <f>Amnt_Deposited!P31*Parameters!$E$59*$D$12*(1-DOCF)*Industry!E36</f>
        <v>0</v>
      </c>
      <c r="N35" s="471">
        <f t="shared" si="0"/>
        <v>1.1657590124208002</v>
      </c>
      <c r="O35" s="473">
        <f t="shared" si="1"/>
        <v>16.946172193975503</v>
      </c>
    </row>
    <row r="36" spans="2:15">
      <c r="B36" s="470">
        <f t="shared" si="2"/>
        <v>1968</v>
      </c>
      <c r="C36" s="533">
        <f>Amnt_Deposited!O32*$D$10*(1-DOCF)*MSW!E37</f>
        <v>0</v>
      </c>
      <c r="D36" s="534">
        <f>Amnt_Deposited!C32*$F$10*(1-DOCF)*Food!E37</f>
        <v>0.47109338491274988</v>
      </c>
      <c r="E36" s="535">
        <f>Amnt_Deposited!F32*$F$11*(1-DOCF)*Garden!E37</f>
        <v>0</v>
      </c>
      <c r="F36" s="535">
        <f>Amnt_Deposited!D32*$D$11*(1-DOCF)*Paper!E37</f>
        <v>0.37254281473559997</v>
      </c>
      <c r="G36" s="535">
        <f>Amnt_Deposited!G32*$D$12*(1-DOCF)*Wood!E37</f>
        <v>0.30734782215686995</v>
      </c>
      <c r="H36" s="535">
        <f>Amnt_Deposited!H32*$F$12*(1-DOCF)*Textiles!E37</f>
        <v>4.678444650167999E-2</v>
      </c>
      <c r="I36" s="536">
        <f>Amnt_Deposited!E32*$H$10*(1-DOCF)*Nappies!E37</f>
        <v>0</v>
      </c>
      <c r="J36" s="537">
        <f>Amnt_Deposited!N32*$H$11*(1-DOCF)*Sludge!E37</f>
        <v>0</v>
      </c>
      <c r="K36" s="538">
        <f>Amnt_Deposited!P32*$H$12*(1-DOCF)*Industry!D37</f>
        <v>0</v>
      </c>
      <c r="L36" s="535">
        <f>Amnt_Deposited!P32*Parameters!$E$58*$D$11*(1-DOCF)*Industry!E37</f>
        <v>0</v>
      </c>
      <c r="M36" s="536">
        <f>Amnt_Deposited!P32*Parameters!$E$59*$D$12*(1-DOCF)*Industry!E37</f>
        <v>0</v>
      </c>
      <c r="N36" s="471">
        <f t="shared" si="0"/>
        <v>1.1977684683068999</v>
      </c>
      <c r="O36" s="473">
        <f t="shared" si="1"/>
        <v>18.143940662282404</v>
      </c>
    </row>
    <row r="37" spans="2:15">
      <c r="B37" s="470">
        <f t="shared" si="2"/>
        <v>1969</v>
      </c>
      <c r="C37" s="533">
        <f>Amnt_Deposited!O33*$D$10*(1-DOCF)*MSW!E38</f>
        <v>0</v>
      </c>
      <c r="D37" s="534">
        <f>Amnt_Deposited!C33*$F$10*(1-DOCF)*Food!E38</f>
        <v>0.48368299911750001</v>
      </c>
      <c r="E37" s="535">
        <f>Amnt_Deposited!F33*$F$11*(1-DOCF)*Garden!E38</f>
        <v>0</v>
      </c>
      <c r="F37" s="535">
        <f>Amnt_Deposited!D33*$D$11*(1-DOCF)*Paper!E38</f>
        <v>0.38249873953200009</v>
      </c>
      <c r="G37" s="535">
        <f>Amnt_Deposited!G33*$D$12*(1-DOCF)*Wood!E38</f>
        <v>0.31556146011390002</v>
      </c>
      <c r="H37" s="535">
        <f>Amnt_Deposited!H33*$F$12*(1-DOCF)*Textiles!E38</f>
        <v>4.8034725429600002E-2</v>
      </c>
      <c r="I37" s="536">
        <f>Amnt_Deposited!E33*$H$10*(1-DOCF)*Nappies!E38</f>
        <v>0</v>
      </c>
      <c r="J37" s="537">
        <f>Amnt_Deposited!N33*$H$11*(1-DOCF)*Sludge!E38</f>
        <v>0</v>
      </c>
      <c r="K37" s="538">
        <f>Amnt_Deposited!P33*$H$12*(1-DOCF)*Industry!D38</f>
        <v>0</v>
      </c>
      <c r="L37" s="535">
        <f>Amnt_Deposited!P33*Parameters!$E$58*$D$11*(1-DOCF)*Industry!E38</f>
        <v>0</v>
      </c>
      <c r="M37" s="536">
        <f>Amnt_Deposited!P33*Parameters!$E$59*$D$12*(1-DOCF)*Industry!E38</f>
        <v>0</v>
      </c>
      <c r="N37" s="471">
        <f t="shared" si="0"/>
        <v>1.2297779241930002</v>
      </c>
      <c r="O37" s="473">
        <f t="shared" si="1"/>
        <v>19.373718586475405</v>
      </c>
    </row>
    <row r="38" spans="2:15">
      <c r="B38" s="470">
        <f t="shared" si="2"/>
        <v>1970</v>
      </c>
      <c r="C38" s="533">
        <f>Amnt_Deposited!O34*$D$10*(1-DOCF)*MSW!E39</f>
        <v>0</v>
      </c>
      <c r="D38" s="534">
        <f>Amnt_Deposited!C34*$F$10*(1-DOCF)*Food!E39</f>
        <v>0.49627261332224992</v>
      </c>
      <c r="E38" s="535">
        <f>Amnt_Deposited!F34*$F$11*(1-DOCF)*Garden!E39</f>
        <v>0</v>
      </c>
      <c r="F38" s="535">
        <f>Amnt_Deposited!D34*$D$11*(1-DOCF)*Paper!E39</f>
        <v>0.39245466432839998</v>
      </c>
      <c r="G38" s="535">
        <f>Amnt_Deposited!G34*$D$12*(1-DOCF)*Wood!E39</f>
        <v>0.32377509807092997</v>
      </c>
      <c r="H38" s="535">
        <f>Amnt_Deposited!H34*$F$12*(1-DOCF)*Textiles!E39</f>
        <v>4.9285004357519993E-2</v>
      </c>
      <c r="I38" s="536">
        <f>Amnt_Deposited!E34*$H$10*(1-DOCF)*Nappies!E39</f>
        <v>0</v>
      </c>
      <c r="J38" s="537">
        <f>Amnt_Deposited!N34*$H$11*(1-DOCF)*Sludge!E39</f>
        <v>0</v>
      </c>
      <c r="K38" s="538">
        <f>Amnt_Deposited!P34*$H$12*(1-DOCF)*Industry!D39</f>
        <v>0</v>
      </c>
      <c r="L38" s="535">
        <f>Amnt_Deposited!P34*Parameters!$E$58*$D$11*(1-DOCF)*Industry!E39</f>
        <v>0</v>
      </c>
      <c r="M38" s="536">
        <f>Amnt_Deposited!P34*Parameters!$E$59*$D$12*(1-DOCF)*Industry!E39</f>
        <v>0</v>
      </c>
      <c r="N38" s="471">
        <f t="shared" si="0"/>
        <v>1.2617873800790997</v>
      </c>
      <c r="O38" s="473">
        <f t="shared" si="1"/>
        <v>20.635505966554504</v>
      </c>
    </row>
    <row r="39" spans="2:15">
      <c r="B39" s="470">
        <f t="shared" si="2"/>
        <v>1971</v>
      </c>
      <c r="C39" s="533">
        <f>Amnt_Deposited!O35*$D$10*(1-DOCF)*MSW!E40</f>
        <v>0</v>
      </c>
      <c r="D39" s="534">
        <f>Amnt_Deposited!C35*$F$10*(1-DOCF)*Food!E40</f>
        <v>0.50886222752699994</v>
      </c>
      <c r="E39" s="535">
        <f>Amnt_Deposited!F35*$F$11*(1-DOCF)*Garden!E40</f>
        <v>0</v>
      </c>
      <c r="F39" s="535">
        <f>Amnt_Deposited!D35*$D$11*(1-DOCF)*Paper!E40</f>
        <v>0.40241058912479999</v>
      </c>
      <c r="G39" s="535">
        <f>Amnt_Deposited!G35*$D$12*(1-DOCF)*Wood!E40</f>
        <v>0.33198873602795997</v>
      </c>
      <c r="H39" s="535">
        <f>Amnt_Deposited!H35*$F$12*(1-DOCF)*Textiles!E40</f>
        <v>5.0535283285439991E-2</v>
      </c>
      <c r="I39" s="536">
        <f>Amnt_Deposited!E35*$H$10*(1-DOCF)*Nappies!E40</f>
        <v>0</v>
      </c>
      <c r="J39" s="537">
        <f>Amnt_Deposited!N35*$H$11*(1-DOCF)*Sludge!E40</f>
        <v>0</v>
      </c>
      <c r="K39" s="538">
        <f>Amnt_Deposited!P35*$H$12*(1-DOCF)*Industry!D40</f>
        <v>0</v>
      </c>
      <c r="L39" s="535">
        <f>Amnt_Deposited!P35*Parameters!$E$58*$D$11*(1-DOCF)*Industry!E40</f>
        <v>0</v>
      </c>
      <c r="M39" s="536">
        <f>Amnt_Deposited!P35*Parameters!$E$59*$D$12*(1-DOCF)*Industry!E40</f>
        <v>0</v>
      </c>
      <c r="N39" s="471">
        <f t="shared" si="0"/>
        <v>1.2937968359651999</v>
      </c>
      <c r="O39" s="473">
        <f t="shared" si="1"/>
        <v>21.929302802519704</v>
      </c>
    </row>
    <row r="40" spans="2:15">
      <c r="B40" s="470">
        <f t="shared" si="2"/>
        <v>1972</v>
      </c>
      <c r="C40" s="533">
        <f>Amnt_Deposited!O36*$D$10*(1-DOCF)*MSW!E41</f>
        <v>0</v>
      </c>
      <c r="D40" s="534">
        <f>Amnt_Deposited!C36*$F$10*(1-DOCF)*Food!E41</f>
        <v>0.52145184173174985</v>
      </c>
      <c r="E40" s="535">
        <f>Amnt_Deposited!F36*$F$11*(1-DOCF)*Garden!E41</f>
        <v>0</v>
      </c>
      <c r="F40" s="535">
        <f>Amnt_Deposited!D36*$D$11*(1-DOCF)*Paper!E41</f>
        <v>0.41236651392119994</v>
      </c>
      <c r="G40" s="535">
        <f>Amnt_Deposited!G36*$D$12*(1-DOCF)*Wood!E41</f>
        <v>0.34020237398498998</v>
      </c>
      <c r="H40" s="535">
        <f>Amnt_Deposited!H36*$F$12*(1-DOCF)*Textiles!E41</f>
        <v>5.178556221335999E-2</v>
      </c>
      <c r="I40" s="536">
        <f>Amnt_Deposited!E36*$H$10*(1-DOCF)*Nappies!E41</f>
        <v>0</v>
      </c>
      <c r="J40" s="537">
        <f>Amnt_Deposited!N36*$H$11*(1-DOCF)*Sludge!E41</f>
        <v>0</v>
      </c>
      <c r="K40" s="538">
        <f>Amnt_Deposited!P36*$H$12*(1-DOCF)*Industry!D41</f>
        <v>0</v>
      </c>
      <c r="L40" s="535">
        <f>Amnt_Deposited!P36*Parameters!$E$58*$D$11*(1-DOCF)*Industry!E41</f>
        <v>0</v>
      </c>
      <c r="M40" s="536">
        <f>Amnt_Deposited!P36*Parameters!$E$59*$D$12*(1-DOCF)*Industry!E41</f>
        <v>0</v>
      </c>
      <c r="N40" s="471">
        <f t="shared" si="0"/>
        <v>1.3258062918512998</v>
      </c>
      <c r="O40" s="473">
        <f t="shared" si="1"/>
        <v>23.255109094371004</v>
      </c>
    </row>
    <row r="41" spans="2:15">
      <c r="B41" s="470">
        <f t="shared" si="2"/>
        <v>1973</v>
      </c>
      <c r="C41" s="533">
        <f>Amnt_Deposited!O37*$D$10*(1-DOCF)*MSW!E42</f>
        <v>0</v>
      </c>
      <c r="D41" s="534">
        <f>Amnt_Deposited!C37*$F$10*(1-DOCF)*Food!E42</f>
        <v>0.53404145593649999</v>
      </c>
      <c r="E41" s="535">
        <f>Amnt_Deposited!F37*$F$11*(1-DOCF)*Garden!E42</f>
        <v>0</v>
      </c>
      <c r="F41" s="535">
        <f>Amnt_Deposited!D37*$D$11*(1-DOCF)*Paper!E42</f>
        <v>0.4223224387176</v>
      </c>
      <c r="G41" s="535">
        <f>Amnt_Deposited!G37*$D$12*(1-DOCF)*Wood!E42</f>
        <v>0.34841601194201999</v>
      </c>
      <c r="H41" s="535">
        <f>Amnt_Deposited!H37*$F$12*(1-DOCF)*Textiles!E42</f>
        <v>5.3035841141279995E-2</v>
      </c>
      <c r="I41" s="536">
        <f>Amnt_Deposited!E37*$H$10*(1-DOCF)*Nappies!E42</f>
        <v>0</v>
      </c>
      <c r="J41" s="537">
        <f>Amnt_Deposited!N37*$H$11*(1-DOCF)*Sludge!E42</f>
        <v>0</v>
      </c>
      <c r="K41" s="538">
        <f>Amnt_Deposited!P37*$H$12*(1-DOCF)*Industry!D42</f>
        <v>0</v>
      </c>
      <c r="L41" s="535">
        <f>Amnt_Deposited!P37*Parameters!$E$58*$D$11*(1-DOCF)*Industry!E42</f>
        <v>0</v>
      </c>
      <c r="M41" s="536">
        <f>Amnt_Deposited!P37*Parameters!$E$59*$D$12*(1-DOCF)*Industry!E42</f>
        <v>0</v>
      </c>
      <c r="N41" s="471">
        <f t="shared" si="0"/>
        <v>1.3578157477373998</v>
      </c>
      <c r="O41" s="473">
        <f t="shared" si="1"/>
        <v>24.612924842108406</v>
      </c>
    </row>
    <row r="42" spans="2:15">
      <c r="B42" s="470">
        <f t="shared" si="2"/>
        <v>1974</v>
      </c>
      <c r="C42" s="533">
        <f>Amnt_Deposited!O38*$D$10*(1-DOCF)*MSW!E43</f>
        <v>0</v>
      </c>
      <c r="D42" s="534">
        <f>Amnt_Deposited!C38*$F$10*(1-DOCF)*Food!E43</f>
        <v>0.54663107014125001</v>
      </c>
      <c r="E42" s="535">
        <f>Amnt_Deposited!F38*$F$11*(1-DOCF)*Garden!E43</f>
        <v>0</v>
      </c>
      <c r="F42" s="535">
        <f>Amnt_Deposited!D38*$D$11*(1-DOCF)*Paper!E43</f>
        <v>0.43227836351400006</v>
      </c>
      <c r="G42" s="535">
        <f>Amnt_Deposited!G38*$D$12*(1-DOCF)*Wood!E43</f>
        <v>0.35662964989904999</v>
      </c>
      <c r="H42" s="535">
        <f>Amnt_Deposited!H38*$F$12*(1-DOCF)*Textiles!E43</f>
        <v>5.42861200692E-2</v>
      </c>
      <c r="I42" s="536">
        <f>Amnt_Deposited!E38*$H$10*(1-DOCF)*Nappies!E43</f>
        <v>0</v>
      </c>
      <c r="J42" s="537">
        <f>Amnt_Deposited!N38*$H$11*(1-DOCF)*Sludge!E43</f>
        <v>0</v>
      </c>
      <c r="K42" s="538">
        <f>Amnt_Deposited!P38*$H$12*(1-DOCF)*Industry!D43</f>
        <v>0</v>
      </c>
      <c r="L42" s="535">
        <f>Amnt_Deposited!P38*Parameters!$E$58*$D$11*(1-DOCF)*Industry!E43</f>
        <v>0</v>
      </c>
      <c r="M42" s="536">
        <f>Amnt_Deposited!P38*Parameters!$E$59*$D$12*(1-DOCF)*Industry!E43</f>
        <v>0</v>
      </c>
      <c r="N42" s="471">
        <f t="shared" si="0"/>
        <v>1.3898252036235001</v>
      </c>
      <c r="O42" s="473">
        <f t="shared" si="1"/>
        <v>26.002750045731904</v>
      </c>
    </row>
    <row r="43" spans="2:15">
      <c r="B43" s="470">
        <f t="shared" si="2"/>
        <v>1975</v>
      </c>
      <c r="C43" s="533">
        <f>Amnt_Deposited!O39*$D$10*(1-DOCF)*MSW!E44</f>
        <v>0</v>
      </c>
      <c r="D43" s="534">
        <f>Amnt_Deposited!C39*$F$10*(1-DOCF)*Food!E44</f>
        <v>0.55922068434600003</v>
      </c>
      <c r="E43" s="535">
        <f>Amnt_Deposited!F39*$F$11*(1-DOCF)*Garden!E44</f>
        <v>0</v>
      </c>
      <c r="F43" s="535">
        <f>Amnt_Deposited!D39*$D$11*(1-DOCF)*Paper!E44</f>
        <v>0.44223428831040013</v>
      </c>
      <c r="G43" s="535">
        <f>Amnt_Deposited!G39*$D$12*(1-DOCF)*Wood!E44</f>
        <v>0.36484328785608006</v>
      </c>
      <c r="H43" s="535">
        <f>Amnt_Deposited!H39*$F$12*(1-DOCF)*Textiles!E44</f>
        <v>5.5536398997120005E-2</v>
      </c>
      <c r="I43" s="536">
        <f>Amnt_Deposited!E39*$H$10*(1-DOCF)*Nappies!E44</f>
        <v>0</v>
      </c>
      <c r="J43" s="537">
        <f>Amnt_Deposited!N39*$H$11*(1-DOCF)*Sludge!E44</f>
        <v>0</v>
      </c>
      <c r="K43" s="538">
        <f>Amnt_Deposited!P39*$H$12*(1-DOCF)*Industry!D44</f>
        <v>0</v>
      </c>
      <c r="L43" s="535">
        <f>Amnt_Deposited!P39*Parameters!$E$58*$D$11*(1-DOCF)*Industry!E44</f>
        <v>0</v>
      </c>
      <c r="M43" s="536">
        <f>Amnt_Deposited!P39*Parameters!$E$59*$D$12*(1-DOCF)*Industry!E44</f>
        <v>0</v>
      </c>
      <c r="N43" s="471">
        <f t="shared" si="0"/>
        <v>1.4218346595096003</v>
      </c>
      <c r="O43" s="473">
        <f t="shared" si="1"/>
        <v>27.424584705241504</v>
      </c>
    </row>
    <row r="44" spans="2:15">
      <c r="B44" s="470">
        <f t="shared" si="2"/>
        <v>1976</v>
      </c>
      <c r="C44" s="533">
        <f>Amnt_Deposited!O40*$D$10*(1-DOCF)*MSW!E45</f>
        <v>0</v>
      </c>
      <c r="D44" s="534">
        <f>Amnt_Deposited!C40*$F$10*(1-DOCF)*Food!E45</f>
        <v>0.57181029855074994</v>
      </c>
      <c r="E44" s="535">
        <f>Amnt_Deposited!F40*$F$11*(1-DOCF)*Garden!E45</f>
        <v>0</v>
      </c>
      <c r="F44" s="535">
        <f>Amnt_Deposited!D40*$D$11*(1-DOCF)*Paper!E45</f>
        <v>0.45219021310680002</v>
      </c>
      <c r="G44" s="535">
        <f>Amnt_Deposited!G40*$D$12*(1-DOCF)*Wood!E45</f>
        <v>0.37305692581311001</v>
      </c>
      <c r="H44" s="535">
        <f>Amnt_Deposited!H40*$F$12*(1-DOCF)*Textiles!E45</f>
        <v>5.6786677925039997E-2</v>
      </c>
      <c r="I44" s="536">
        <f>Amnt_Deposited!E40*$H$10*(1-DOCF)*Nappies!E45</f>
        <v>0</v>
      </c>
      <c r="J44" s="537">
        <f>Amnt_Deposited!N40*$H$11*(1-DOCF)*Sludge!E45</f>
        <v>0</v>
      </c>
      <c r="K44" s="538">
        <f>Amnt_Deposited!P40*$H$12*(1-DOCF)*Industry!D45</f>
        <v>0</v>
      </c>
      <c r="L44" s="535">
        <f>Amnt_Deposited!P40*Parameters!$E$58*$D$11*(1-DOCF)*Industry!E45</f>
        <v>0</v>
      </c>
      <c r="M44" s="536">
        <f>Amnt_Deposited!P40*Parameters!$E$59*$D$12*(1-DOCF)*Industry!E45</f>
        <v>0</v>
      </c>
      <c r="N44" s="471">
        <f t="shared" si="0"/>
        <v>1.4538441153956998</v>
      </c>
      <c r="O44" s="473">
        <f t="shared" si="1"/>
        <v>28.878428820637204</v>
      </c>
    </row>
    <row r="45" spans="2:15">
      <c r="B45" s="470">
        <f t="shared" si="2"/>
        <v>1977</v>
      </c>
      <c r="C45" s="533">
        <f>Amnt_Deposited!O41*$D$10*(1-DOCF)*MSW!E46</f>
        <v>0</v>
      </c>
      <c r="D45" s="534">
        <f>Amnt_Deposited!C41*$F$10*(1-DOCF)*Food!E46</f>
        <v>0.58439991275549985</v>
      </c>
      <c r="E45" s="535">
        <f>Amnt_Deposited!F41*$F$11*(1-DOCF)*Garden!E46</f>
        <v>0</v>
      </c>
      <c r="F45" s="535">
        <f>Amnt_Deposited!D41*$D$11*(1-DOCF)*Paper!E46</f>
        <v>0.46214613790319997</v>
      </c>
      <c r="G45" s="535">
        <f>Amnt_Deposited!G41*$D$12*(1-DOCF)*Wood!E46</f>
        <v>0.38127056377013996</v>
      </c>
      <c r="H45" s="535">
        <f>Amnt_Deposited!H41*$F$12*(1-DOCF)*Textiles!E46</f>
        <v>5.8036956852959988E-2</v>
      </c>
      <c r="I45" s="536">
        <f>Amnt_Deposited!E41*$H$10*(1-DOCF)*Nappies!E46</f>
        <v>0</v>
      </c>
      <c r="J45" s="537">
        <f>Amnt_Deposited!N41*$H$11*(1-DOCF)*Sludge!E46</f>
        <v>0</v>
      </c>
      <c r="K45" s="538">
        <f>Amnt_Deposited!P41*$H$12*(1-DOCF)*Industry!D46</f>
        <v>0</v>
      </c>
      <c r="L45" s="535">
        <f>Amnt_Deposited!P41*Parameters!$E$58*$D$11*(1-DOCF)*Industry!E46</f>
        <v>0</v>
      </c>
      <c r="M45" s="536">
        <f>Amnt_Deposited!P41*Parameters!$E$59*$D$12*(1-DOCF)*Industry!E46</f>
        <v>0</v>
      </c>
      <c r="N45" s="471">
        <f t="shared" si="0"/>
        <v>1.4858535712817997</v>
      </c>
      <c r="O45" s="473">
        <f t="shared" si="1"/>
        <v>30.364282391919005</v>
      </c>
    </row>
    <row r="46" spans="2:15">
      <c r="B46" s="470">
        <f t="shared" si="2"/>
        <v>1978</v>
      </c>
      <c r="C46" s="533">
        <f>Amnt_Deposited!O42*$D$10*(1-DOCF)*MSW!E47</f>
        <v>0</v>
      </c>
      <c r="D46" s="534">
        <f>Amnt_Deposited!C42*$F$10*(1-DOCF)*Food!E47</f>
        <v>0.59698952696024998</v>
      </c>
      <c r="E46" s="535">
        <f>Amnt_Deposited!F42*$F$11*(1-DOCF)*Garden!E47</f>
        <v>0</v>
      </c>
      <c r="F46" s="535">
        <f>Amnt_Deposited!D42*$D$11*(1-DOCF)*Paper!E47</f>
        <v>0.47210206269960003</v>
      </c>
      <c r="G46" s="535">
        <f>Amnt_Deposited!G42*$D$12*(1-DOCF)*Wood!E47</f>
        <v>0.38948420172716997</v>
      </c>
      <c r="H46" s="535">
        <f>Amnt_Deposited!H42*$F$12*(1-DOCF)*Textiles!E47</f>
        <v>5.9287235780879993E-2</v>
      </c>
      <c r="I46" s="536">
        <f>Amnt_Deposited!E42*$H$10*(1-DOCF)*Nappies!E47</f>
        <v>0</v>
      </c>
      <c r="J46" s="537">
        <f>Amnt_Deposited!N42*$H$11*(1-DOCF)*Sludge!E47</f>
        <v>0</v>
      </c>
      <c r="K46" s="538">
        <f>Amnt_Deposited!P42*$H$12*(1-DOCF)*Industry!D47</f>
        <v>0</v>
      </c>
      <c r="L46" s="535">
        <f>Amnt_Deposited!P42*Parameters!$E$58*$D$11*(1-DOCF)*Industry!E47</f>
        <v>0</v>
      </c>
      <c r="M46" s="536">
        <f>Amnt_Deposited!P42*Parameters!$E$59*$D$12*(1-DOCF)*Industry!E47</f>
        <v>0</v>
      </c>
      <c r="N46" s="471">
        <f t="shared" si="0"/>
        <v>1.5178630271679001</v>
      </c>
      <c r="O46" s="473">
        <f t="shared" si="1"/>
        <v>31.882145419086903</v>
      </c>
    </row>
    <row r="47" spans="2:15">
      <c r="B47" s="470">
        <f t="shared" si="2"/>
        <v>1979</v>
      </c>
      <c r="C47" s="533">
        <f>Amnt_Deposited!O43*$D$10*(1-DOCF)*MSW!E48</f>
        <v>0</v>
      </c>
      <c r="D47" s="534">
        <f>Amnt_Deposited!C43*$F$10*(1-DOCF)*Food!E48</f>
        <v>0.60957914116499989</v>
      </c>
      <c r="E47" s="535">
        <f>Amnt_Deposited!F43*$F$11*(1-DOCF)*Garden!E48</f>
        <v>0</v>
      </c>
      <c r="F47" s="535">
        <f>Amnt_Deposited!D43*$D$11*(1-DOCF)*Paper!E48</f>
        <v>0.48205798749600004</v>
      </c>
      <c r="G47" s="535">
        <f>Amnt_Deposited!G43*$D$12*(1-DOCF)*Wood!E48</f>
        <v>0.39769783968420003</v>
      </c>
      <c r="H47" s="535">
        <f>Amnt_Deposited!H43*$F$12*(1-DOCF)*Textiles!E48</f>
        <v>6.0537514708799992E-2</v>
      </c>
      <c r="I47" s="536">
        <f>Amnt_Deposited!E43*$H$10*(1-DOCF)*Nappies!E48</f>
        <v>0</v>
      </c>
      <c r="J47" s="537">
        <f>Amnt_Deposited!N43*$H$11*(1-DOCF)*Sludge!E48</f>
        <v>0</v>
      </c>
      <c r="K47" s="538">
        <f>Amnt_Deposited!P43*$H$12*(1-DOCF)*Industry!D48</f>
        <v>0</v>
      </c>
      <c r="L47" s="535">
        <f>Amnt_Deposited!P43*Parameters!$E$58*$D$11*(1-DOCF)*Industry!E48</f>
        <v>0</v>
      </c>
      <c r="M47" s="536">
        <f>Amnt_Deposited!P43*Parameters!$E$59*$D$12*(1-DOCF)*Industry!E48</f>
        <v>0</v>
      </c>
      <c r="N47" s="471">
        <f t="shared" si="0"/>
        <v>1.549872483054</v>
      </c>
      <c r="O47" s="473">
        <f t="shared" si="1"/>
        <v>33.432017902140906</v>
      </c>
    </row>
    <row r="48" spans="2:15">
      <c r="B48" s="470">
        <f t="shared" si="2"/>
        <v>1980</v>
      </c>
      <c r="C48" s="533">
        <f>Amnt_Deposited!O44*$D$10*(1-DOCF)*MSW!E49</f>
        <v>0</v>
      </c>
      <c r="D48" s="534">
        <f>Amnt_Deposited!C44*$F$10*(1-DOCF)*Food!E49</f>
        <v>0.62216875536975025</v>
      </c>
      <c r="E48" s="535">
        <f>Amnt_Deposited!F44*$F$11*(1-DOCF)*Garden!E49</f>
        <v>0</v>
      </c>
      <c r="F48" s="535">
        <f>Amnt_Deposited!D44*$D$11*(1-DOCF)*Paper!E49</f>
        <v>0.49201391229240016</v>
      </c>
      <c r="G48" s="535">
        <f>Amnt_Deposited!G44*$D$12*(1-DOCF)*Wood!E49</f>
        <v>0.40591147764123015</v>
      </c>
      <c r="H48" s="535">
        <f>Amnt_Deposited!H44*$F$12*(1-DOCF)*Textiles!E49</f>
        <v>6.1787793636720018E-2</v>
      </c>
      <c r="I48" s="536">
        <f>Amnt_Deposited!E44*$H$10*(1-DOCF)*Nappies!E49</f>
        <v>0</v>
      </c>
      <c r="J48" s="537">
        <f>Amnt_Deposited!N44*$H$11*(1-DOCF)*Sludge!E49</f>
        <v>0</v>
      </c>
      <c r="K48" s="538">
        <f>Amnt_Deposited!P44*$H$12*(1-DOCF)*Industry!D49</f>
        <v>0</v>
      </c>
      <c r="L48" s="535">
        <f>Amnt_Deposited!P44*Parameters!$E$58*$D$11*(1-DOCF)*Industry!E49</f>
        <v>0</v>
      </c>
      <c r="M48" s="536">
        <f>Amnt_Deposited!P44*Parameters!$E$59*$D$12*(1-DOCF)*Industry!E49</f>
        <v>0</v>
      </c>
      <c r="N48" s="471">
        <f t="shared" si="0"/>
        <v>1.5818819389401007</v>
      </c>
      <c r="O48" s="473">
        <f t="shared" si="1"/>
        <v>35.013899841081006</v>
      </c>
    </row>
    <row r="49" spans="2:15">
      <c r="B49" s="470">
        <f t="shared" si="2"/>
        <v>1981</v>
      </c>
      <c r="C49" s="533">
        <f>Amnt_Deposited!O45*$D$10*(1-DOCF)*MSW!E50</f>
        <v>0</v>
      </c>
      <c r="D49" s="534">
        <f>Amnt_Deposited!C45*$F$10*(1-DOCF)*Food!E50</f>
        <v>0</v>
      </c>
      <c r="E49" s="535">
        <f>Amnt_Deposited!F45*$F$11*(1-DOCF)*Garden!E50</f>
        <v>0</v>
      </c>
      <c r="F49" s="535">
        <f>Amnt_Deposited!D45*$D$11*(1-DOCF)*Paper!E50</f>
        <v>0</v>
      </c>
      <c r="G49" s="535">
        <f>Amnt_Deposited!G45*$D$12*(1-DOCF)*Wood!E50</f>
        <v>0</v>
      </c>
      <c r="H49" s="535">
        <f>Amnt_Deposited!H45*$F$12*(1-DOCF)*Textiles!E50</f>
        <v>0</v>
      </c>
      <c r="I49" s="536">
        <f>Amnt_Deposited!E45*$H$10*(1-DOCF)*Nappies!E50</f>
        <v>0</v>
      </c>
      <c r="J49" s="537">
        <f>Amnt_Deposited!N45*$H$11*(1-DOCF)*Sludge!E50</f>
        <v>0</v>
      </c>
      <c r="K49" s="538">
        <f>Amnt_Deposited!P45*$H$12*(1-DOCF)*Industry!D50</f>
        <v>0</v>
      </c>
      <c r="L49" s="535">
        <f>Amnt_Deposited!P45*Parameters!$E$58*$D$11*(1-DOCF)*Industry!E50</f>
        <v>0</v>
      </c>
      <c r="M49" s="536">
        <f>Amnt_Deposited!P45*Parameters!$E$59*$D$12*(1-DOCF)*Industry!E50</f>
        <v>0</v>
      </c>
      <c r="N49" s="471">
        <f t="shared" si="0"/>
        <v>0</v>
      </c>
      <c r="O49" s="473">
        <f t="shared" si="1"/>
        <v>35.013899841081006</v>
      </c>
    </row>
    <row r="50" spans="2:15">
      <c r="B50" s="470">
        <f t="shared" si="2"/>
        <v>1982</v>
      </c>
      <c r="C50" s="533">
        <f>Amnt_Deposited!O46*$D$10*(1-DOCF)*MSW!E51</f>
        <v>0</v>
      </c>
      <c r="D50" s="534">
        <f>Amnt_Deposited!C46*$F$10*(1-DOCF)*Food!E51</f>
        <v>0</v>
      </c>
      <c r="E50" s="535">
        <f>Amnt_Deposited!F46*$F$11*(1-DOCF)*Garden!E51</f>
        <v>0</v>
      </c>
      <c r="F50" s="535">
        <f>Amnt_Deposited!D46*$D$11*(1-DOCF)*Paper!E51</f>
        <v>0</v>
      </c>
      <c r="G50" s="535">
        <f>Amnt_Deposited!G46*$D$12*(1-DOCF)*Wood!E51</f>
        <v>0</v>
      </c>
      <c r="H50" s="535">
        <f>Amnt_Deposited!H46*$F$12*(1-DOCF)*Textiles!E51</f>
        <v>0</v>
      </c>
      <c r="I50" s="536">
        <f>Amnt_Deposited!E46*$H$10*(1-DOCF)*Nappies!E51</f>
        <v>0</v>
      </c>
      <c r="J50" s="537">
        <f>Amnt_Deposited!N46*$H$11*(1-DOCF)*Sludge!E51</f>
        <v>0</v>
      </c>
      <c r="K50" s="538">
        <f>Amnt_Deposited!P46*$H$12*(1-DOCF)*Industry!D51</f>
        <v>0</v>
      </c>
      <c r="L50" s="535">
        <f>Amnt_Deposited!P46*Parameters!$E$58*$D$11*(1-DOCF)*Industry!E51</f>
        <v>0</v>
      </c>
      <c r="M50" s="536">
        <f>Amnt_Deposited!P46*Parameters!$E$59*$D$12*(1-DOCF)*Industry!E51</f>
        <v>0</v>
      </c>
      <c r="N50" s="471">
        <f t="shared" ref="N50:N81" si="3">IF(Select2=2,C50+J50+K50, D50+E50+F50+G50+H50+I50+J50+K50)</f>
        <v>0</v>
      </c>
      <c r="O50" s="473">
        <f t="shared" si="1"/>
        <v>35.013899841081006</v>
      </c>
    </row>
    <row r="51" spans="2:15">
      <c r="B51" s="470">
        <f t="shared" si="2"/>
        <v>1983</v>
      </c>
      <c r="C51" s="533">
        <f>Amnt_Deposited!O47*$D$10*(1-DOCF)*MSW!E52</f>
        <v>0</v>
      </c>
      <c r="D51" s="534">
        <f>Amnt_Deposited!C47*$F$10*(1-DOCF)*Food!E52</f>
        <v>0</v>
      </c>
      <c r="E51" s="535">
        <f>Amnt_Deposited!F47*$F$11*(1-DOCF)*Garden!E52</f>
        <v>0</v>
      </c>
      <c r="F51" s="535">
        <f>Amnt_Deposited!D47*$D$11*(1-DOCF)*Paper!E52</f>
        <v>0</v>
      </c>
      <c r="G51" s="535">
        <f>Amnt_Deposited!G47*$D$12*(1-DOCF)*Wood!E52</f>
        <v>0</v>
      </c>
      <c r="H51" s="535">
        <f>Amnt_Deposited!H47*$F$12*(1-DOCF)*Textiles!E52</f>
        <v>0</v>
      </c>
      <c r="I51" s="536">
        <f>Amnt_Deposited!E47*$H$10*(1-DOCF)*Nappies!E52</f>
        <v>0</v>
      </c>
      <c r="J51" s="537">
        <f>Amnt_Deposited!N47*$H$11*(1-DOCF)*Sludge!E52</f>
        <v>0</v>
      </c>
      <c r="K51" s="538">
        <f>Amnt_Deposited!P47*$H$12*(1-DOCF)*Industry!D52</f>
        <v>0</v>
      </c>
      <c r="L51" s="535">
        <f>Amnt_Deposited!P47*Parameters!$E$58*$D$11*(1-DOCF)*Industry!E52</f>
        <v>0</v>
      </c>
      <c r="M51" s="536">
        <f>Amnt_Deposited!P47*Parameters!$E$59*$D$12*(1-DOCF)*Industry!E52</f>
        <v>0</v>
      </c>
      <c r="N51" s="471">
        <f t="shared" si="3"/>
        <v>0</v>
      </c>
      <c r="O51" s="473">
        <f t="shared" si="1"/>
        <v>35.013899841081006</v>
      </c>
    </row>
    <row r="52" spans="2:15">
      <c r="B52" s="470">
        <f t="shared" si="2"/>
        <v>1984</v>
      </c>
      <c r="C52" s="533">
        <f>Amnt_Deposited!O48*$D$10*(1-DOCF)*MSW!E53</f>
        <v>0</v>
      </c>
      <c r="D52" s="534">
        <f>Amnt_Deposited!C48*$F$10*(1-DOCF)*Food!E53</f>
        <v>0</v>
      </c>
      <c r="E52" s="535">
        <f>Amnt_Deposited!F48*$F$11*(1-DOCF)*Garden!E53</f>
        <v>0</v>
      </c>
      <c r="F52" s="535">
        <f>Amnt_Deposited!D48*$D$11*(1-DOCF)*Paper!E53</f>
        <v>0</v>
      </c>
      <c r="G52" s="535">
        <f>Amnt_Deposited!G48*$D$12*(1-DOCF)*Wood!E53</f>
        <v>0</v>
      </c>
      <c r="H52" s="535">
        <f>Amnt_Deposited!H48*$F$12*(1-DOCF)*Textiles!E53</f>
        <v>0</v>
      </c>
      <c r="I52" s="536">
        <f>Amnt_Deposited!E48*$H$10*(1-DOCF)*Nappies!E53</f>
        <v>0</v>
      </c>
      <c r="J52" s="537">
        <f>Amnt_Deposited!N48*$H$11*(1-DOCF)*Sludge!E53</f>
        <v>0</v>
      </c>
      <c r="K52" s="538">
        <f>Amnt_Deposited!P48*$H$12*(1-DOCF)*Industry!D53</f>
        <v>0</v>
      </c>
      <c r="L52" s="535">
        <f>Amnt_Deposited!P48*Parameters!$E$58*$D$11*(1-DOCF)*Industry!E53</f>
        <v>0</v>
      </c>
      <c r="M52" s="536">
        <f>Amnt_Deposited!P48*Parameters!$E$59*$D$12*(1-DOCF)*Industry!E53</f>
        <v>0</v>
      </c>
      <c r="N52" s="471">
        <f t="shared" si="3"/>
        <v>0</v>
      </c>
      <c r="O52" s="473">
        <f t="shared" si="1"/>
        <v>35.013899841081006</v>
      </c>
    </row>
    <row r="53" spans="2:15">
      <c r="B53" s="470">
        <f t="shared" si="2"/>
        <v>1985</v>
      </c>
      <c r="C53" s="533">
        <f>Amnt_Deposited!O49*$D$10*(1-DOCF)*MSW!E54</f>
        <v>0</v>
      </c>
      <c r="D53" s="534">
        <f>Amnt_Deposited!C49*$F$10*(1-DOCF)*Food!E54</f>
        <v>0</v>
      </c>
      <c r="E53" s="535">
        <f>Amnt_Deposited!F49*$F$11*(1-DOCF)*Garden!E54</f>
        <v>0</v>
      </c>
      <c r="F53" s="535">
        <f>Amnt_Deposited!D49*$D$11*(1-DOCF)*Paper!E54</f>
        <v>0</v>
      </c>
      <c r="G53" s="535">
        <f>Amnt_Deposited!G49*$D$12*(1-DOCF)*Wood!E54</f>
        <v>0</v>
      </c>
      <c r="H53" s="535">
        <f>Amnt_Deposited!H49*$F$12*(1-DOCF)*Textiles!E54</f>
        <v>0</v>
      </c>
      <c r="I53" s="536">
        <f>Amnt_Deposited!E49*$H$10*(1-DOCF)*Nappies!E54</f>
        <v>0</v>
      </c>
      <c r="J53" s="537">
        <f>Amnt_Deposited!N49*$H$11*(1-DOCF)*Sludge!E54</f>
        <v>0</v>
      </c>
      <c r="K53" s="538">
        <f>Amnt_Deposited!P49*$H$12*(1-DOCF)*Industry!D54</f>
        <v>0</v>
      </c>
      <c r="L53" s="535">
        <f>Amnt_Deposited!P49*Parameters!$E$58*$D$11*(1-DOCF)*Industry!E54</f>
        <v>0</v>
      </c>
      <c r="M53" s="536">
        <f>Amnt_Deposited!P49*Parameters!$E$59*$D$12*(1-DOCF)*Industry!E54</f>
        <v>0</v>
      </c>
      <c r="N53" s="471">
        <f t="shared" si="3"/>
        <v>0</v>
      </c>
      <c r="O53" s="473">
        <f t="shared" si="1"/>
        <v>35.013899841081006</v>
      </c>
    </row>
    <row r="54" spans="2:15">
      <c r="B54" s="470">
        <f t="shared" si="2"/>
        <v>1986</v>
      </c>
      <c r="C54" s="533">
        <f>Amnt_Deposited!O50*$D$10*(1-DOCF)*MSW!E55</f>
        <v>0</v>
      </c>
      <c r="D54" s="534">
        <f>Amnt_Deposited!C50*$F$10*(1-DOCF)*Food!E55</f>
        <v>0</v>
      </c>
      <c r="E54" s="535">
        <f>Amnt_Deposited!F50*$F$11*(1-DOCF)*Garden!E55</f>
        <v>0</v>
      </c>
      <c r="F54" s="535">
        <f>Amnt_Deposited!D50*$D$11*(1-DOCF)*Paper!E55</f>
        <v>0</v>
      </c>
      <c r="G54" s="535">
        <f>Amnt_Deposited!G50*$D$12*(1-DOCF)*Wood!E55</f>
        <v>0</v>
      </c>
      <c r="H54" s="535">
        <f>Amnt_Deposited!H50*$F$12*(1-DOCF)*Textiles!E55</f>
        <v>0</v>
      </c>
      <c r="I54" s="536">
        <f>Amnt_Deposited!E50*$H$10*(1-DOCF)*Nappies!E55</f>
        <v>0</v>
      </c>
      <c r="J54" s="537">
        <f>Amnt_Deposited!N50*$H$11*(1-DOCF)*Sludge!E55</f>
        <v>0</v>
      </c>
      <c r="K54" s="538">
        <f>Amnt_Deposited!P50*$H$12*(1-DOCF)*Industry!D55</f>
        <v>0</v>
      </c>
      <c r="L54" s="535">
        <f>Amnt_Deposited!P50*Parameters!$E$58*$D$11*(1-DOCF)*Industry!E55</f>
        <v>0</v>
      </c>
      <c r="M54" s="536">
        <f>Amnt_Deposited!P50*Parameters!$E$59*$D$12*(1-DOCF)*Industry!E55</f>
        <v>0</v>
      </c>
      <c r="N54" s="471">
        <f t="shared" si="3"/>
        <v>0</v>
      </c>
      <c r="O54" s="473">
        <f t="shared" si="1"/>
        <v>35.013899841081006</v>
      </c>
    </row>
    <row r="55" spans="2:15">
      <c r="B55" s="470">
        <f t="shared" si="2"/>
        <v>1987</v>
      </c>
      <c r="C55" s="533">
        <f>Amnt_Deposited!O51*$D$10*(1-DOCF)*MSW!E56</f>
        <v>0</v>
      </c>
      <c r="D55" s="534">
        <f>Amnt_Deposited!C51*$F$10*(1-DOCF)*Food!E56</f>
        <v>0</v>
      </c>
      <c r="E55" s="535">
        <f>Amnt_Deposited!F51*$F$11*(1-DOCF)*Garden!E56</f>
        <v>0</v>
      </c>
      <c r="F55" s="535">
        <f>Amnt_Deposited!D51*$D$11*(1-DOCF)*Paper!E56</f>
        <v>0</v>
      </c>
      <c r="G55" s="535">
        <f>Amnt_Deposited!G51*$D$12*(1-DOCF)*Wood!E56</f>
        <v>0</v>
      </c>
      <c r="H55" s="535">
        <f>Amnt_Deposited!H51*$F$12*(1-DOCF)*Textiles!E56</f>
        <v>0</v>
      </c>
      <c r="I55" s="536">
        <f>Amnt_Deposited!E51*$H$10*(1-DOCF)*Nappies!E56</f>
        <v>0</v>
      </c>
      <c r="J55" s="537">
        <f>Amnt_Deposited!N51*$H$11*(1-DOCF)*Sludge!E56</f>
        <v>0</v>
      </c>
      <c r="K55" s="538">
        <f>Amnt_Deposited!P51*$H$12*(1-DOCF)*Industry!D56</f>
        <v>0</v>
      </c>
      <c r="L55" s="535">
        <f>Amnt_Deposited!P51*Parameters!$E$58*$D$11*(1-DOCF)*Industry!E56</f>
        <v>0</v>
      </c>
      <c r="M55" s="536">
        <f>Amnt_Deposited!P51*Parameters!$E$59*$D$12*(1-DOCF)*Industry!E56</f>
        <v>0</v>
      </c>
      <c r="N55" s="471">
        <f t="shared" si="3"/>
        <v>0</v>
      </c>
      <c r="O55" s="473">
        <f t="shared" si="1"/>
        <v>35.013899841081006</v>
      </c>
    </row>
    <row r="56" spans="2:15">
      <c r="B56" s="470">
        <f t="shared" si="2"/>
        <v>1988</v>
      </c>
      <c r="C56" s="533">
        <f>Amnt_Deposited!O52*$D$10*(1-DOCF)*MSW!E57</f>
        <v>0</v>
      </c>
      <c r="D56" s="534">
        <f>Amnt_Deposited!C52*$F$10*(1-DOCF)*Food!E57</f>
        <v>0</v>
      </c>
      <c r="E56" s="535">
        <f>Amnt_Deposited!F52*$F$11*(1-DOCF)*Garden!E57</f>
        <v>0</v>
      </c>
      <c r="F56" s="535">
        <f>Amnt_Deposited!D52*$D$11*(1-DOCF)*Paper!E57</f>
        <v>0</v>
      </c>
      <c r="G56" s="535">
        <f>Amnt_Deposited!G52*$D$12*(1-DOCF)*Wood!E57</f>
        <v>0</v>
      </c>
      <c r="H56" s="535">
        <f>Amnt_Deposited!H52*$F$12*(1-DOCF)*Textiles!E57</f>
        <v>0</v>
      </c>
      <c r="I56" s="536">
        <f>Amnt_Deposited!E52*$H$10*(1-DOCF)*Nappies!E57</f>
        <v>0</v>
      </c>
      <c r="J56" s="537">
        <f>Amnt_Deposited!N52*$H$11*(1-DOCF)*Sludge!E57</f>
        <v>0</v>
      </c>
      <c r="K56" s="538">
        <f>Amnt_Deposited!P52*$H$12*(1-DOCF)*Industry!D57</f>
        <v>0</v>
      </c>
      <c r="L56" s="535">
        <f>Amnt_Deposited!P52*Parameters!$E$58*$D$11*(1-DOCF)*Industry!E57</f>
        <v>0</v>
      </c>
      <c r="M56" s="536">
        <f>Amnt_Deposited!P52*Parameters!$E$59*$D$12*(1-DOCF)*Industry!E57</f>
        <v>0</v>
      </c>
      <c r="N56" s="471">
        <f t="shared" si="3"/>
        <v>0</v>
      </c>
      <c r="O56" s="473">
        <f t="shared" si="1"/>
        <v>35.013899841081006</v>
      </c>
    </row>
    <row r="57" spans="2:15">
      <c r="B57" s="470">
        <f t="shared" si="2"/>
        <v>1989</v>
      </c>
      <c r="C57" s="533">
        <f>Amnt_Deposited!O53*$D$10*(1-DOCF)*MSW!E58</f>
        <v>0</v>
      </c>
      <c r="D57" s="534">
        <f>Amnt_Deposited!C53*$F$10*(1-DOCF)*Food!E58</f>
        <v>0</v>
      </c>
      <c r="E57" s="535">
        <f>Amnt_Deposited!F53*$F$11*(1-DOCF)*Garden!E58</f>
        <v>0</v>
      </c>
      <c r="F57" s="535">
        <f>Amnt_Deposited!D53*$D$11*(1-DOCF)*Paper!E58</f>
        <v>0</v>
      </c>
      <c r="G57" s="535">
        <f>Amnt_Deposited!G53*$D$12*(1-DOCF)*Wood!E58</f>
        <v>0</v>
      </c>
      <c r="H57" s="535">
        <f>Amnt_Deposited!H53*$F$12*(1-DOCF)*Textiles!E58</f>
        <v>0</v>
      </c>
      <c r="I57" s="536">
        <f>Amnt_Deposited!E53*$H$10*(1-DOCF)*Nappies!E58</f>
        <v>0</v>
      </c>
      <c r="J57" s="537">
        <f>Amnt_Deposited!N53*$H$11*(1-DOCF)*Sludge!E58</f>
        <v>0</v>
      </c>
      <c r="K57" s="538">
        <f>Amnt_Deposited!P53*$H$12*(1-DOCF)*Industry!D58</f>
        <v>0</v>
      </c>
      <c r="L57" s="535">
        <f>Amnt_Deposited!P53*Parameters!$E$58*$D$11*(1-DOCF)*Industry!E58</f>
        <v>0</v>
      </c>
      <c r="M57" s="536">
        <f>Amnt_Deposited!P53*Parameters!$E$59*$D$12*(1-DOCF)*Industry!E58</f>
        <v>0</v>
      </c>
      <c r="N57" s="471">
        <f t="shared" si="3"/>
        <v>0</v>
      </c>
      <c r="O57" s="473">
        <f t="shared" si="1"/>
        <v>35.013899841081006</v>
      </c>
    </row>
    <row r="58" spans="2:15">
      <c r="B58" s="470">
        <f t="shared" si="2"/>
        <v>1990</v>
      </c>
      <c r="C58" s="533">
        <f>Amnt_Deposited!O54*$D$10*(1-DOCF)*MSW!E59</f>
        <v>0</v>
      </c>
      <c r="D58" s="534">
        <f>Amnt_Deposited!C54*$F$10*(1-DOCF)*Food!E59</f>
        <v>0</v>
      </c>
      <c r="E58" s="535">
        <f>Amnt_Deposited!F54*$F$11*(1-DOCF)*Garden!E59</f>
        <v>0</v>
      </c>
      <c r="F58" s="535">
        <f>Amnt_Deposited!D54*$D$11*(1-DOCF)*Paper!E59</f>
        <v>0</v>
      </c>
      <c r="G58" s="535">
        <f>Amnt_Deposited!G54*$D$12*(1-DOCF)*Wood!E59</f>
        <v>0</v>
      </c>
      <c r="H58" s="535">
        <f>Amnt_Deposited!H54*$F$12*(1-DOCF)*Textiles!E59</f>
        <v>0</v>
      </c>
      <c r="I58" s="536">
        <f>Amnt_Deposited!E54*$H$10*(1-DOCF)*Nappies!E59</f>
        <v>0</v>
      </c>
      <c r="J58" s="537">
        <f>Amnt_Deposited!N54*$H$11*(1-DOCF)*Sludge!E59</f>
        <v>0</v>
      </c>
      <c r="K58" s="538">
        <f>Amnt_Deposited!P54*$H$12*(1-DOCF)*Industry!D59</f>
        <v>0</v>
      </c>
      <c r="L58" s="535">
        <f>Amnt_Deposited!P54*Parameters!$E$58*$D$11*(1-DOCF)*Industry!E59</f>
        <v>0</v>
      </c>
      <c r="M58" s="536">
        <f>Amnt_Deposited!P54*Parameters!$E$59*$D$12*(1-DOCF)*Industry!E59</f>
        <v>0</v>
      </c>
      <c r="N58" s="471">
        <f t="shared" si="3"/>
        <v>0</v>
      </c>
      <c r="O58" s="473">
        <f t="shared" si="1"/>
        <v>35.013899841081006</v>
      </c>
    </row>
    <row r="59" spans="2:15">
      <c r="B59" s="470">
        <f t="shared" si="2"/>
        <v>1991</v>
      </c>
      <c r="C59" s="533">
        <f>Amnt_Deposited!O55*$D$10*(1-DOCF)*MSW!E60</f>
        <v>0</v>
      </c>
      <c r="D59" s="534">
        <f>Amnt_Deposited!C55*$F$10*(1-DOCF)*Food!E60</f>
        <v>0</v>
      </c>
      <c r="E59" s="535">
        <f>Amnt_Deposited!F55*$F$11*(1-DOCF)*Garden!E60</f>
        <v>0</v>
      </c>
      <c r="F59" s="535">
        <f>Amnt_Deposited!D55*$D$11*(1-DOCF)*Paper!E60</f>
        <v>0</v>
      </c>
      <c r="G59" s="535">
        <f>Amnt_Deposited!G55*$D$12*(1-DOCF)*Wood!E60</f>
        <v>0</v>
      </c>
      <c r="H59" s="535">
        <f>Amnt_Deposited!H55*$F$12*(1-DOCF)*Textiles!E60</f>
        <v>0</v>
      </c>
      <c r="I59" s="536">
        <f>Amnt_Deposited!E55*$H$10*(1-DOCF)*Nappies!E60</f>
        <v>0</v>
      </c>
      <c r="J59" s="537">
        <f>Amnt_Deposited!N55*$H$11*(1-DOCF)*Sludge!E60</f>
        <v>0</v>
      </c>
      <c r="K59" s="538">
        <f>Amnt_Deposited!P55*$H$12*(1-DOCF)*Industry!D60</f>
        <v>0</v>
      </c>
      <c r="L59" s="535">
        <f>Amnt_Deposited!P55*Parameters!$E$58*$D$11*(1-DOCF)*Industry!E60</f>
        <v>0</v>
      </c>
      <c r="M59" s="536">
        <f>Amnt_Deposited!P55*Parameters!$E$59*$D$12*(1-DOCF)*Industry!E60</f>
        <v>0</v>
      </c>
      <c r="N59" s="471">
        <f t="shared" si="3"/>
        <v>0</v>
      </c>
      <c r="O59" s="473">
        <f t="shared" si="1"/>
        <v>35.013899841081006</v>
      </c>
    </row>
    <row r="60" spans="2:15">
      <c r="B60" s="470">
        <f t="shared" si="2"/>
        <v>1992</v>
      </c>
      <c r="C60" s="533">
        <f>Amnt_Deposited!O56*$D$10*(1-DOCF)*MSW!E61</f>
        <v>0</v>
      </c>
      <c r="D60" s="534">
        <f>Amnt_Deposited!C56*$F$10*(1-DOCF)*Food!E61</f>
        <v>0</v>
      </c>
      <c r="E60" s="535">
        <f>Amnt_Deposited!F56*$F$11*(1-DOCF)*Garden!E61</f>
        <v>0</v>
      </c>
      <c r="F60" s="535">
        <f>Amnt_Deposited!D56*$D$11*(1-DOCF)*Paper!E61</f>
        <v>0</v>
      </c>
      <c r="G60" s="535">
        <f>Amnt_Deposited!G56*$D$12*(1-DOCF)*Wood!E61</f>
        <v>0</v>
      </c>
      <c r="H60" s="535">
        <f>Amnt_Deposited!H56*$F$12*(1-DOCF)*Textiles!E61</f>
        <v>0</v>
      </c>
      <c r="I60" s="536">
        <f>Amnt_Deposited!E56*$H$10*(1-DOCF)*Nappies!E61</f>
        <v>0</v>
      </c>
      <c r="J60" s="537">
        <f>Amnt_Deposited!N56*$H$11*(1-DOCF)*Sludge!E61</f>
        <v>0</v>
      </c>
      <c r="K60" s="538">
        <f>Amnt_Deposited!P56*$H$12*(1-DOCF)*Industry!D61</f>
        <v>0</v>
      </c>
      <c r="L60" s="535">
        <f>Amnt_Deposited!P56*Parameters!$E$58*$D$11*(1-DOCF)*Industry!E61</f>
        <v>0</v>
      </c>
      <c r="M60" s="536">
        <f>Amnt_Deposited!P56*Parameters!$E$59*$D$12*(1-DOCF)*Industry!E61</f>
        <v>0</v>
      </c>
      <c r="N60" s="471">
        <f t="shared" si="3"/>
        <v>0</v>
      </c>
      <c r="O60" s="473">
        <f t="shared" si="1"/>
        <v>35.013899841081006</v>
      </c>
    </row>
    <row r="61" spans="2:15">
      <c r="B61" s="470">
        <f t="shared" si="2"/>
        <v>1993</v>
      </c>
      <c r="C61" s="533">
        <f>Amnt_Deposited!O57*$D$10*(1-DOCF)*MSW!E62</f>
        <v>0</v>
      </c>
      <c r="D61" s="534">
        <f>Amnt_Deposited!C57*$F$10*(1-DOCF)*Food!E62</f>
        <v>0</v>
      </c>
      <c r="E61" s="535">
        <f>Amnt_Deposited!F57*$F$11*(1-DOCF)*Garden!E62</f>
        <v>0</v>
      </c>
      <c r="F61" s="535">
        <f>Amnt_Deposited!D57*$D$11*(1-DOCF)*Paper!E62</f>
        <v>0</v>
      </c>
      <c r="G61" s="535">
        <f>Amnt_Deposited!G57*$D$12*(1-DOCF)*Wood!E62</f>
        <v>0</v>
      </c>
      <c r="H61" s="535">
        <f>Amnt_Deposited!H57*$F$12*(1-DOCF)*Textiles!E62</f>
        <v>0</v>
      </c>
      <c r="I61" s="536">
        <f>Amnt_Deposited!E57*$H$10*(1-DOCF)*Nappies!E62</f>
        <v>0</v>
      </c>
      <c r="J61" s="537">
        <f>Amnt_Deposited!N57*$H$11*(1-DOCF)*Sludge!E62</f>
        <v>0</v>
      </c>
      <c r="K61" s="538">
        <f>Amnt_Deposited!P57*$H$12*(1-DOCF)*Industry!D62</f>
        <v>0</v>
      </c>
      <c r="L61" s="535">
        <f>Amnt_Deposited!P57*Parameters!$E$58*$D$11*(1-DOCF)*Industry!E62</f>
        <v>0</v>
      </c>
      <c r="M61" s="536">
        <f>Amnt_Deposited!P57*Parameters!$E$59*$D$12*(1-DOCF)*Industry!E62</f>
        <v>0</v>
      </c>
      <c r="N61" s="471">
        <f t="shared" si="3"/>
        <v>0</v>
      </c>
      <c r="O61" s="473">
        <f t="shared" si="1"/>
        <v>35.013899841081006</v>
      </c>
    </row>
    <row r="62" spans="2:15">
      <c r="B62" s="470">
        <f t="shared" si="2"/>
        <v>1994</v>
      </c>
      <c r="C62" s="533">
        <f>Amnt_Deposited!O58*$D$10*(1-DOCF)*MSW!E63</f>
        <v>0</v>
      </c>
      <c r="D62" s="534">
        <f>Amnt_Deposited!C58*$F$10*(1-DOCF)*Food!E63</f>
        <v>0</v>
      </c>
      <c r="E62" s="535">
        <f>Amnt_Deposited!F58*$F$11*(1-DOCF)*Garden!E63</f>
        <v>0</v>
      </c>
      <c r="F62" s="535">
        <f>Amnt_Deposited!D58*$D$11*(1-DOCF)*Paper!E63</f>
        <v>0</v>
      </c>
      <c r="G62" s="535">
        <f>Amnt_Deposited!G58*$D$12*(1-DOCF)*Wood!E63</f>
        <v>0</v>
      </c>
      <c r="H62" s="535">
        <f>Amnt_Deposited!H58*$F$12*(1-DOCF)*Textiles!E63</f>
        <v>0</v>
      </c>
      <c r="I62" s="536">
        <f>Amnt_Deposited!E58*$H$10*(1-DOCF)*Nappies!E63</f>
        <v>0</v>
      </c>
      <c r="J62" s="537">
        <f>Amnt_Deposited!N58*$H$11*(1-DOCF)*Sludge!E63</f>
        <v>0</v>
      </c>
      <c r="K62" s="538">
        <f>Amnt_Deposited!P58*$H$12*(1-DOCF)*Industry!D63</f>
        <v>0</v>
      </c>
      <c r="L62" s="535">
        <f>Amnt_Deposited!P58*Parameters!$E$58*$D$11*(1-DOCF)*Industry!E63</f>
        <v>0</v>
      </c>
      <c r="M62" s="536">
        <f>Amnt_Deposited!P58*Parameters!$E$59*$D$12*(1-DOCF)*Industry!E63</f>
        <v>0</v>
      </c>
      <c r="N62" s="471">
        <f t="shared" si="3"/>
        <v>0</v>
      </c>
      <c r="O62" s="473">
        <f t="shared" si="1"/>
        <v>35.013899841081006</v>
      </c>
    </row>
    <row r="63" spans="2:15">
      <c r="B63" s="470">
        <f t="shared" si="2"/>
        <v>1995</v>
      </c>
      <c r="C63" s="533">
        <f>Amnt_Deposited!O59*$D$10*(1-DOCF)*MSW!E64</f>
        <v>0</v>
      </c>
      <c r="D63" s="534">
        <f>Amnt_Deposited!C59*$F$10*(1-DOCF)*Food!E64</f>
        <v>0</v>
      </c>
      <c r="E63" s="535">
        <f>Amnt_Deposited!F59*$F$11*(1-DOCF)*Garden!E64</f>
        <v>0</v>
      </c>
      <c r="F63" s="535">
        <f>Amnt_Deposited!D59*$D$11*(1-DOCF)*Paper!E64</f>
        <v>0</v>
      </c>
      <c r="G63" s="535">
        <f>Amnt_Deposited!G59*$D$12*(1-DOCF)*Wood!E64</f>
        <v>0</v>
      </c>
      <c r="H63" s="535">
        <f>Amnt_Deposited!H59*$F$12*(1-DOCF)*Textiles!E64</f>
        <v>0</v>
      </c>
      <c r="I63" s="536">
        <f>Amnt_Deposited!E59*$H$10*(1-DOCF)*Nappies!E64</f>
        <v>0</v>
      </c>
      <c r="J63" s="537">
        <f>Amnt_Deposited!N59*$H$11*(1-DOCF)*Sludge!E64</f>
        <v>0</v>
      </c>
      <c r="K63" s="538">
        <f>Amnt_Deposited!P59*$H$12*(1-DOCF)*Industry!D64</f>
        <v>0</v>
      </c>
      <c r="L63" s="535">
        <f>Amnt_Deposited!P59*Parameters!$E$58*$D$11*(1-DOCF)*Industry!E64</f>
        <v>0</v>
      </c>
      <c r="M63" s="536">
        <f>Amnt_Deposited!P59*Parameters!$E$59*$D$12*(1-DOCF)*Industry!E64</f>
        <v>0</v>
      </c>
      <c r="N63" s="471">
        <f t="shared" si="3"/>
        <v>0</v>
      </c>
      <c r="O63" s="473">
        <f t="shared" si="1"/>
        <v>35.013899841081006</v>
      </c>
    </row>
    <row r="64" spans="2:15">
      <c r="B64" s="470">
        <f t="shared" si="2"/>
        <v>1996</v>
      </c>
      <c r="C64" s="533">
        <f>Amnt_Deposited!O60*$D$10*(1-DOCF)*MSW!E65</f>
        <v>0</v>
      </c>
      <c r="D64" s="534">
        <f>Amnt_Deposited!C60*$F$10*(1-DOCF)*Food!E65</f>
        <v>0</v>
      </c>
      <c r="E64" s="535">
        <f>Amnt_Deposited!F60*$F$11*(1-DOCF)*Garden!E65</f>
        <v>0</v>
      </c>
      <c r="F64" s="535">
        <f>Amnt_Deposited!D60*$D$11*(1-DOCF)*Paper!E65</f>
        <v>0</v>
      </c>
      <c r="G64" s="535">
        <f>Amnt_Deposited!G60*$D$12*(1-DOCF)*Wood!E65</f>
        <v>0</v>
      </c>
      <c r="H64" s="535">
        <f>Amnt_Deposited!H60*$F$12*(1-DOCF)*Textiles!E65</f>
        <v>0</v>
      </c>
      <c r="I64" s="536">
        <f>Amnt_Deposited!E60*$H$10*(1-DOCF)*Nappies!E65</f>
        <v>0</v>
      </c>
      <c r="J64" s="537">
        <f>Amnt_Deposited!N60*$H$11*(1-DOCF)*Sludge!E65</f>
        <v>0</v>
      </c>
      <c r="K64" s="538">
        <f>Amnt_Deposited!P60*$H$12*(1-DOCF)*Industry!D65</f>
        <v>0</v>
      </c>
      <c r="L64" s="535">
        <f>Amnt_Deposited!P60*Parameters!$E$58*$D$11*(1-DOCF)*Industry!E65</f>
        <v>0</v>
      </c>
      <c r="M64" s="536">
        <f>Amnt_Deposited!P60*Parameters!$E$59*$D$12*(1-DOCF)*Industry!E65</f>
        <v>0</v>
      </c>
      <c r="N64" s="471">
        <f t="shared" si="3"/>
        <v>0</v>
      </c>
      <c r="O64" s="473">
        <f t="shared" si="1"/>
        <v>35.013899841081006</v>
      </c>
    </row>
    <row r="65" spans="2:15">
      <c r="B65" s="470">
        <f t="shared" si="2"/>
        <v>1997</v>
      </c>
      <c r="C65" s="533">
        <f>Amnt_Deposited!O61*$D$10*(1-DOCF)*MSW!E66</f>
        <v>0</v>
      </c>
      <c r="D65" s="534">
        <f>Amnt_Deposited!C61*$F$10*(1-DOCF)*Food!E66</f>
        <v>0</v>
      </c>
      <c r="E65" s="535">
        <f>Amnt_Deposited!F61*$F$11*(1-DOCF)*Garden!E66</f>
        <v>0</v>
      </c>
      <c r="F65" s="535">
        <f>Amnt_Deposited!D61*$D$11*(1-DOCF)*Paper!E66</f>
        <v>0</v>
      </c>
      <c r="G65" s="535">
        <f>Amnt_Deposited!G61*$D$12*(1-DOCF)*Wood!E66</f>
        <v>0</v>
      </c>
      <c r="H65" s="535">
        <f>Amnt_Deposited!H61*$F$12*(1-DOCF)*Textiles!E66</f>
        <v>0</v>
      </c>
      <c r="I65" s="536">
        <f>Amnt_Deposited!E61*$H$10*(1-DOCF)*Nappies!E66</f>
        <v>0</v>
      </c>
      <c r="J65" s="537">
        <f>Amnt_Deposited!N61*$H$11*(1-DOCF)*Sludge!E66</f>
        <v>0</v>
      </c>
      <c r="K65" s="538">
        <f>Amnt_Deposited!P61*$H$12*(1-DOCF)*Industry!D66</f>
        <v>0</v>
      </c>
      <c r="L65" s="535">
        <f>Amnt_Deposited!P61*Parameters!$E$58*$D$11*(1-DOCF)*Industry!E66</f>
        <v>0</v>
      </c>
      <c r="M65" s="536">
        <f>Amnt_Deposited!P61*Parameters!$E$59*$D$12*(1-DOCF)*Industry!E66</f>
        <v>0</v>
      </c>
      <c r="N65" s="471">
        <f t="shared" si="3"/>
        <v>0</v>
      </c>
      <c r="O65" s="473">
        <f t="shared" si="1"/>
        <v>35.013899841081006</v>
      </c>
    </row>
    <row r="66" spans="2:15">
      <c r="B66" s="470">
        <f t="shared" si="2"/>
        <v>1998</v>
      </c>
      <c r="C66" s="533">
        <f>Amnt_Deposited!O62*$D$10*(1-DOCF)*MSW!E67</f>
        <v>0</v>
      </c>
      <c r="D66" s="534">
        <f>Amnt_Deposited!C62*$F$10*(1-DOCF)*Food!E67</f>
        <v>0</v>
      </c>
      <c r="E66" s="535">
        <f>Amnt_Deposited!F62*$F$11*(1-DOCF)*Garden!E67</f>
        <v>0</v>
      </c>
      <c r="F66" s="535">
        <f>Amnt_Deposited!D62*$D$11*(1-DOCF)*Paper!E67</f>
        <v>0</v>
      </c>
      <c r="G66" s="535">
        <f>Amnt_Deposited!G62*$D$12*(1-DOCF)*Wood!E67</f>
        <v>0</v>
      </c>
      <c r="H66" s="535">
        <f>Amnt_Deposited!H62*$F$12*(1-DOCF)*Textiles!E67</f>
        <v>0</v>
      </c>
      <c r="I66" s="536">
        <f>Amnt_Deposited!E62*$H$10*(1-DOCF)*Nappies!E67</f>
        <v>0</v>
      </c>
      <c r="J66" s="537">
        <f>Amnt_Deposited!N62*$H$11*(1-DOCF)*Sludge!E67</f>
        <v>0</v>
      </c>
      <c r="K66" s="538">
        <f>Amnt_Deposited!P62*$H$12*(1-DOCF)*Industry!D67</f>
        <v>0</v>
      </c>
      <c r="L66" s="535">
        <f>Amnt_Deposited!P62*Parameters!$E$58*$D$11*(1-DOCF)*Industry!E67</f>
        <v>0</v>
      </c>
      <c r="M66" s="536">
        <f>Amnt_Deposited!P62*Parameters!$E$59*$D$12*(1-DOCF)*Industry!E67</f>
        <v>0</v>
      </c>
      <c r="N66" s="471">
        <f t="shared" si="3"/>
        <v>0</v>
      </c>
      <c r="O66" s="473">
        <f t="shared" si="1"/>
        <v>35.013899841081006</v>
      </c>
    </row>
    <row r="67" spans="2:15">
      <c r="B67" s="470">
        <f t="shared" si="2"/>
        <v>1999</v>
      </c>
      <c r="C67" s="533">
        <f>Amnt_Deposited!O63*$D$10*(1-DOCF)*MSW!E68</f>
        <v>0</v>
      </c>
      <c r="D67" s="534">
        <f>Amnt_Deposited!C63*$F$10*(1-DOCF)*Food!E68</f>
        <v>0</v>
      </c>
      <c r="E67" s="535">
        <f>Amnt_Deposited!F63*$F$11*(1-DOCF)*Garden!E68</f>
        <v>0</v>
      </c>
      <c r="F67" s="535">
        <f>Amnt_Deposited!D63*$D$11*(1-DOCF)*Paper!E68</f>
        <v>0</v>
      </c>
      <c r="G67" s="535">
        <f>Amnt_Deposited!G63*$D$12*(1-DOCF)*Wood!E68</f>
        <v>0</v>
      </c>
      <c r="H67" s="535">
        <f>Amnt_Deposited!H63*$F$12*(1-DOCF)*Textiles!E68</f>
        <v>0</v>
      </c>
      <c r="I67" s="536">
        <f>Amnt_Deposited!E63*$H$10*(1-DOCF)*Nappies!E68</f>
        <v>0</v>
      </c>
      <c r="J67" s="537">
        <f>Amnt_Deposited!N63*$H$11*(1-DOCF)*Sludge!E68</f>
        <v>0</v>
      </c>
      <c r="K67" s="538">
        <f>Amnt_Deposited!P63*$H$12*(1-DOCF)*Industry!D68</f>
        <v>0</v>
      </c>
      <c r="L67" s="535">
        <f>Amnt_Deposited!P63*Parameters!$E$58*$D$11*(1-DOCF)*Industry!E68</f>
        <v>0</v>
      </c>
      <c r="M67" s="536">
        <f>Amnt_Deposited!P63*Parameters!$E$59*$D$12*(1-DOCF)*Industry!E68</f>
        <v>0</v>
      </c>
      <c r="N67" s="471">
        <f t="shared" si="3"/>
        <v>0</v>
      </c>
      <c r="O67" s="473">
        <f t="shared" si="1"/>
        <v>35.013899841081006</v>
      </c>
    </row>
    <row r="68" spans="2:15">
      <c r="B68" s="470">
        <f t="shared" si="2"/>
        <v>2000</v>
      </c>
      <c r="C68" s="533">
        <f>Amnt_Deposited!O64*$D$10*(1-DOCF)*MSW!E69</f>
        <v>0</v>
      </c>
      <c r="D68" s="534">
        <f>Amnt_Deposited!C64*$F$10*(1-DOCF)*Food!E69</f>
        <v>0</v>
      </c>
      <c r="E68" s="535">
        <f>Amnt_Deposited!F64*$F$11*(1-DOCF)*Garden!E69</f>
        <v>0</v>
      </c>
      <c r="F68" s="535">
        <f>Amnt_Deposited!D64*$D$11*(1-DOCF)*Paper!E69</f>
        <v>0</v>
      </c>
      <c r="G68" s="535">
        <f>Amnt_Deposited!G64*$D$12*(1-DOCF)*Wood!E69</f>
        <v>0</v>
      </c>
      <c r="H68" s="535">
        <f>Amnt_Deposited!H64*$F$12*(1-DOCF)*Textiles!E69</f>
        <v>0</v>
      </c>
      <c r="I68" s="536">
        <f>Amnt_Deposited!E64*$H$10*(1-DOCF)*Nappies!E69</f>
        <v>0</v>
      </c>
      <c r="J68" s="537">
        <f>Amnt_Deposited!N64*$H$11*(1-DOCF)*Sludge!E69</f>
        <v>0</v>
      </c>
      <c r="K68" s="538">
        <f>Amnt_Deposited!P64*$H$12*(1-DOCF)*Industry!D69</f>
        <v>0</v>
      </c>
      <c r="L68" s="535">
        <f>Amnt_Deposited!P64*Parameters!$E$58*$D$11*(1-DOCF)*Industry!E69</f>
        <v>0</v>
      </c>
      <c r="M68" s="536">
        <f>Amnt_Deposited!P64*Parameters!$E$59*$D$12*(1-DOCF)*Industry!E69</f>
        <v>0</v>
      </c>
      <c r="N68" s="471">
        <f t="shared" si="3"/>
        <v>0</v>
      </c>
      <c r="O68" s="473">
        <f t="shared" si="1"/>
        <v>35.013899841081006</v>
      </c>
    </row>
    <row r="69" spans="2:15">
      <c r="B69" s="470">
        <f t="shared" si="2"/>
        <v>2001</v>
      </c>
      <c r="C69" s="533">
        <f>Amnt_Deposited!O65*$D$10*(1-DOCF)*MSW!E70</f>
        <v>0</v>
      </c>
      <c r="D69" s="534">
        <f>Amnt_Deposited!C65*$F$10*(1-DOCF)*Food!E70</f>
        <v>0</v>
      </c>
      <c r="E69" s="535">
        <f>Amnt_Deposited!F65*$F$11*(1-DOCF)*Garden!E70</f>
        <v>0</v>
      </c>
      <c r="F69" s="535">
        <f>Amnt_Deposited!D65*$D$11*(1-DOCF)*Paper!E70</f>
        <v>0</v>
      </c>
      <c r="G69" s="535">
        <f>Amnt_Deposited!G65*$D$12*(1-DOCF)*Wood!E70</f>
        <v>0</v>
      </c>
      <c r="H69" s="535">
        <f>Amnt_Deposited!H65*$F$12*(1-DOCF)*Textiles!E70</f>
        <v>0</v>
      </c>
      <c r="I69" s="536">
        <f>Amnt_Deposited!E65*$H$10*(1-DOCF)*Nappies!E70</f>
        <v>0</v>
      </c>
      <c r="J69" s="537">
        <f>Amnt_Deposited!N65*$H$11*(1-DOCF)*Sludge!E70</f>
        <v>0</v>
      </c>
      <c r="K69" s="538">
        <f>Amnt_Deposited!P65*$H$12*(1-DOCF)*Industry!D70</f>
        <v>0</v>
      </c>
      <c r="L69" s="535">
        <f>Amnt_Deposited!P65*Parameters!$E$58*$D$11*(1-DOCF)*Industry!E70</f>
        <v>0</v>
      </c>
      <c r="M69" s="536">
        <f>Amnt_Deposited!P65*Parameters!$E$59*$D$12*(1-DOCF)*Industry!E70</f>
        <v>0</v>
      </c>
      <c r="N69" s="471">
        <f t="shared" si="3"/>
        <v>0</v>
      </c>
      <c r="O69" s="473">
        <f t="shared" si="1"/>
        <v>35.013899841081006</v>
      </c>
    </row>
    <row r="70" spans="2:15">
      <c r="B70" s="470">
        <f t="shared" si="2"/>
        <v>2002</v>
      </c>
      <c r="C70" s="533">
        <f>Amnt_Deposited!O66*$D$10*(1-DOCF)*MSW!E71</f>
        <v>0</v>
      </c>
      <c r="D70" s="534">
        <f>Amnt_Deposited!C66*$F$10*(1-DOCF)*Food!E71</f>
        <v>0</v>
      </c>
      <c r="E70" s="535">
        <f>Amnt_Deposited!F66*$F$11*(1-DOCF)*Garden!E71</f>
        <v>0</v>
      </c>
      <c r="F70" s="535">
        <f>Amnt_Deposited!D66*$D$11*(1-DOCF)*Paper!E71</f>
        <v>0</v>
      </c>
      <c r="G70" s="535">
        <f>Amnt_Deposited!G66*$D$12*(1-DOCF)*Wood!E71</f>
        <v>0</v>
      </c>
      <c r="H70" s="535">
        <f>Amnt_Deposited!H66*$F$12*(1-DOCF)*Textiles!E71</f>
        <v>0</v>
      </c>
      <c r="I70" s="536">
        <f>Amnt_Deposited!E66*$H$10*(1-DOCF)*Nappies!E71</f>
        <v>0</v>
      </c>
      <c r="J70" s="537">
        <f>Amnt_Deposited!N66*$H$11*(1-DOCF)*Sludge!E71</f>
        <v>0</v>
      </c>
      <c r="K70" s="538">
        <f>Amnt_Deposited!P66*$H$12*(1-DOCF)*Industry!D71</f>
        <v>0</v>
      </c>
      <c r="L70" s="535">
        <f>Amnt_Deposited!P66*Parameters!$E$58*$D$11*(1-DOCF)*Industry!E71</f>
        <v>0</v>
      </c>
      <c r="M70" s="536">
        <f>Amnt_Deposited!P66*Parameters!$E$59*$D$12*(1-DOCF)*Industry!E71</f>
        <v>0</v>
      </c>
      <c r="N70" s="471">
        <f t="shared" si="3"/>
        <v>0</v>
      </c>
      <c r="O70" s="473">
        <f t="shared" si="1"/>
        <v>35.013899841081006</v>
      </c>
    </row>
    <row r="71" spans="2:15">
      <c r="B71" s="470">
        <f t="shared" si="2"/>
        <v>2003</v>
      </c>
      <c r="C71" s="533">
        <f>Amnt_Deposited!O67*$D$10*(1-DOCF)*MSW!E72</f>
        <v>0</v>
      </c>
      <c r="D71" s="534">
        <f>Amnt_Deposited!C67*$F$10*(1-DOCF)*Food!E72</f>
        <v>0</v>
      </c>
      <c r="E71" s="535">
        <f>Amnt_Deposited!F67*$F$11*(1-DOCF)*Garden!E72</f>
        <v>0</v>
      </c>
      <c r="F71" s="535">
        <f>Amnt_Deposited!D67*$D$11*(1-DOCF)*Paper!E72</f>
        <v>0</v>
      </c>
      <c r="G71" s="535">
        <f>Amnt_Deposited!G67*$D$12*(1-DOCF)*Wood!E72</f>
        <v>0</v>
      </c>
      <c r="H71" s="535">
        <f>Amnt_Deposited!H67*$F$12*(1-DOCF)*Textiles!E72</f>
        <v>0</v>
      </c>
      <c r="I71" s="536">
        <f>Amnt_Deposited!E67*$H$10*(1-DOCF)*Nappies!E72</f>
        <v>0</v>
      </c>
      <c r="J71" s="537">
        <f>Amnt_Deposited!N67*$H$11*(1-DOCF)*Sludge!E72</f>
        <v>0</v>
      </c>
      <c r="K71" s="538">
        <f>Amnt_Deposited!P67*$H$12*(1-DOCF)*Industry!D72</f>
        <v>0</v>
      </c>
      <c r="L71" s="535">
        <f>Amnt_Deposited!P67*Parameters!$E$58*$D$11*(1-DOCF)*Industry!E72</f>
        <v>0</v>
      </c>
      <c r="M71" s="536">
        <f>Amnt_Deposited!P67*Parameters!$E$59*$D$12*(1-DOCF)*Industry!E72</f>
        <v>0</v>
      </c>
      <c r="N71" s="471">
        <f t="shared" si="3"/>
        <v>0</v>
      </c>
      <c r="O71" s="473">
        <f t="shared" si="1"/>
        <v>35.013899841081006</v>
      </c>
    </row>
    <row r="72" spans="2:15">
      <c r="B72" s="470">
        <f t="shared" si="2"/>
        <v>2004</v>
      </c>
      <c r="C72" s="533">
        <f>Amnt_Deposited!O68*$D$10*(1-DOCF)*MSW!E73</f>
        <v>0</v>
      </c>
      <c r="D72" s="534">
        <f>Amnt_Deposited!C68*$F$10*(1-DOCF)*Food!E73</f>
        <v>0</v>
      </c>
      <c r="E72" s="535">
        <f>Amnt_Deposited!F68*$F$11*(1-DOCF)*Garden!E73</f>
        <v>0</v>
      </c>
      <c r="F72" s="535">
        <f>Amnt_Deposited!D68*$D$11*(1-DOCF)*Paper!E73</f>
        <v>0</v>
      </c>
      <c r="G72" s="535">
        <f>Amnt_Deposited!G68*$D$12*(1-DOCF)*Wood!E73</f>
        <v>0</v>
      </c>
      <c r="H72" s="535">
        <f>Amnt_Deposited!H68*$F$12*(1-DOCF)*Textiles!E73</f>
        <v>0</v>
      </c>
      <c r="I72" s="536">
        <f>Amnt_Deposited!E68*$H$10*(1-DOCF)*Nappies!E73</f>
        <v>0</v>
      </c>
      <c r="J72" s="537">
        <f>Amnt_Deposited!N68*$H$11*(1-DOCF)*Sludge!E73</f>
        <v>0</v>
      </c>
      <c r="K72" s="538">
        <f>Amnt_Deposited!P68*$H$12*(1-DOCF)*Industry!D73</f>
        <v>0</v>
      </c>
      <c r="L72" s="535">
        <f>Amnt_Deposited!P68*Parameters!$E$58*$D$11*(1-DOCF)*Industry!E73</f>
        <v>0</v>
      </c>
      <c r="M72" s="536">
        <f>Amnt_Deposited!P68*Parameters!$E$59*$D$12*(1-DOCF)*Industry!E73</f>
        <v>0</v>
      </c>
      <c r="N72" s="471">
        <f t="shared" si="3"/>
        <v>0</v>
      </c>
      <c r="O72" s="473">
        <f t="shared" si="1"/>
        <v>35.013899841081006</v>
      </c>
    </row>
    <row r="73" spans="2:15">
      <c r="B73" s="470">
        <f t="shared" si="2"/>
        <v>2005</v>
      </c>
      <c r="C73" s="533">
        <f>Amnt_Deposited!O69*$D$10*(1-DOCF)*MSW!E74</f>
        <v>0</v>
      </c>
      <c r="D73" s="534">
        <f>Amnt_Deposited!C69*$F$10*(1-DOCF)*Food!E74</f>
        <v>0</v>
      </c>
      <c r="E73" s="535">
        <f>Amnt_Deposited!F69*$F$11*(1-DOCF)*Garden!E74</f>
        <v>0</v>
      </c>
      <c r="F73" s="535">
        <f>Amnt_Deposited!D69*$D$11*(1-DOCF)*Paper!E74</f>
        <v>0</v>
      </c>
      <c r="G73" s="535">
        <f>Amnt_Deposited!G69*$D$12*(1-DOCF)*Wood!E74</f>
        <v>0</v>
      </c>
      <c r="H73" s="535">
        <f>Amnt_Deposited!H69*$F$12*(1-DOCF)*Textiles!E74</f>
        <v>0</v>
      </c>
      <c r="I73" s="536">
        <f>Amnt_Deposited!E69*$H$10*(1-DOCF)*Nappies!E74</f>
        <v>0</v>
      </c>
      <c r="J73" s="537">
        <f>Amnt_Deposited!N69*$H$11*(1-DOCF)*Sludge!E74</f>
        <v>0</v>
      </c>
      <c r="K73" s="538">
        <f>Amnt_Deposited!P69*$H$12*(1-DOCF)*Industry!D74</f>
        <v>0</v>
      </c>
      <c r="L73" s="535">
        <f>Amnt_Deposited!P69*Parameters!$E$58*$D$11*(1-DOCF)*Industry!E74</f>
        <v>0</v>
      </c>
      <c r="M73" s="536">
        <f>Amnt_Deposited!P69*Parameters!$E$59*$D$12*(1-DOCF)*Industry!E74</f>
        <v>0</v>
      </c>
      <c r="N73" s="471">
        <f t="shared" si="3"/>
        <v>0</v>
      </c>
      <c r="O73" s="473">
        <f t="shared" si="1"/>
        <v>35.013899841081006</v>
      </c>
    </row>
    <row r="74" spans="2:15">
      <c r="B74" s="470">
        <f t="shared" si="2"/>
        <v>2006</v>
      </c>
      <c r="C74" s="533">
        <f>Amnt_Deposited!O70*$D$10*(1-DOCF)*MSW!E75</f>
        <v>0</v>
      </c>
      <c r="D74" s="534">
        <f>Amnt_Deposited!C70*$F$10*(1-DOCF)*Food!E75</f>
        <v>0</v>
      </c>
      <c r="E74" s="535">
        <f>Amnt_Deposited!F70*$F$11*(1-DOCF)*Garden!E75</f>
        <v>0</v>
      </c>
      <c r="F74" s="535">
        <f>Amnt_Deposited!D70*$D$11*(1-DOCF)*Paper!E75</f>
        <v>0</v>
      </c>
      <c r="G74" s="535">
        <f>Amnt_Deposited!G70*$D$12*(1-DOCF)*Wood!E75</f>
        <v>0</v>
      </c>
      <c r="H74" s="535">
        <f>Amnt_Deposited!H70*$F$12*(1-DOCF)*Textiles!E75</f>
        <v>0</v>
      </c>
      <c r="I74" s="536">
        <f>Amnt_Deposited!E70*$H$10*(1-DOCF)*Nappies!E75</f>
        <v>0</v>
      </c>
      <c r="J74" s="537">
        <f>Amnt_Deposited!N70*$H$11*(1-DOCF)*Sludge!E75</f>
        <v>0</v>
      </c>
      <c r="K74" s="538">
        <f>Amnt_Deposited!P70*$H$12*(1-DOCF)*Industry!D75</f>
        <v>0</v>
      </c>
      <c r="L74" s="535">
        <f>Amnt_Deposited!P70*Parameters!$E$58*$D$11*(1-DOCF)*Industry!E75</f>
        <v>0</v>
      </c>
      <c r="M74" s="536">
        <f>Amnt_Deposited!P70*Parameters!$E$59*$D$12*(1-DOCF)*Industry!E75</f>
        <v>0</v>
      </c>
      <c r="N74" s="471">
        <f t="shared" si="3"/>
        <v>0</v>
      </c>
      <c r="O74" s="473">
        <f t="shared" si="1"/>
        <v>35.013899841081006</v>
      </c>
    </row>
    <row r="75" spans="2:15">
      <c r="B75" s="470">
        <f t="shared" si="2"/>
        <v>2007</v>
      </c>
      <c r="C75" s="533">
        <f>Amnt_Deposited!O71*$D$10*(1-DOCF)*MSW!E76</f>
        <v>0</v>
      </c>
      <c r="D75" s="534">
        <f>Amnt_Deposited!C71*$F$10*(1-DOCF)*Food!E76</f>
        <v>0</v>
      </c>
      <c r="E75" s="535">
        <f>Amnt_Deposited!F71*$F$11*(1-DOCF)*Garden!E76</f>
        <v>0</v>
      </c>
      <c r="F75" s="535">
        <f>Amnt_Deposited!D71*$D$11*(1-DOCF)*Paper!E76</f>
        <v>0</v>
      </c>
      <c r="G75" s="535">
        <f>Amnt_Deposited!G71*$D$12*(1-DOCF)*Wood!E76</f>
        <v>0</v>
      </c>
      <c r="H75" s="535">
        <f>Amnt_Deposited!H71*$F$12*(1-DOCF)*Textiles!E76</f>
        <v>0</v>
      </c>
      <c r="I75" s="536">
        <f>Amnt_Deposited!E71*$H$10*(1-DOCF)*Nappies!E76</f>
        <v>0</v>
      </c>
      <c r="J75" s="537">
        <f>Amnt_Deposited!N71*$H$11*(1-DOCF)*Sludge!E76</f>
        <v>0</v>
      </c>
      <c r="K75" s="538">
        <f>Amnt_Deposited!P71*$H$12*(1-DOCF)*Industry!D76</f>
        <v>0</v>
      </c>
      <c r="L75" s="535">
        <f>Amnt_Deposited!P71*Parameters!$E$58*$D$11*(1-DOCF)*Industry!E76</f>
        <v>0</v>
      </c>
      <c r="M75" s="536">
        <f>Amnt_Deposited!P71*Parameters!$E$59*$D$12*(1-DOCF)*Industry!E76</f>
        <v>0</v>
      </c>
      <c r="N75" s="471">
        <f t="shared" si="3"/>
        <v>0</v>
      </c>
      <c r="O75" s="473">
        <f t="shared" si="1"/>
        <v>35.013899841081006</v>
      </c>
    </row>
    <row r="76" spans="2:15">
      <c r="B76" s="470">
        <f t="shared" si="2"/>
        <v>2008</v>
      </c>
      <c r="C76" s="533">
        <f>Amnt_Deposited!O72*$D$10*(1-DOCF)*MSW!E77</f>
        <v>0</v>
      </c>
      <c r="D76" s="534">
        <f>Amnt_Deposited!C72*$F$10*(1-DOCF)*Food!E77</f>
        <v>0</v>
      </c>
      <c r="E76" s="535">
        <f>Amnt_Deposited!F72*$F$11*(1-DOCF)*Garden!E77</f>
        <v>0</v>
      </c>
      <c r="F76" s="535">
        <f>Amnt_Deposited!D72*$D$11*(1-DOCF)*Paper!E77</f>
        <v>0</v>
      </c>
      <c r="G76" s="535">
        <f>Amnt_Deposited!G72*$D$12*(1-DOCF)*Wood!E77</f>
        <v>0</v>
      </c>
      <c r="H76" s="535">
        <f>Amnt_Deposited!H72*$F$12*(1-DOCF)*Textiles!E77</f>
        <v>0</v>
      </c>
      <c r="I76" s="536">
        <f>Amnt_Deposited!E72*$H$10*(1-DOCF)*Nappies!E77</f>
        <v>0</v>
      </c>
      <c r="J76" s="537">
        <f>Amnt_Deposited!N72*$H$11*(1-DOCF)*Sludge!E77</f>
        <v>0</v>
      </c>
      <c r="K76" s="538">
        <f>Amnt_Deposited!P72*$H$12*(1-DOCF)*Industry!D77</f>
        <v>0</v>
      </c>
      <c r="L76" s="535">
        <f>Amnt_Deposited!P72*Parameters!$E$58*$D$11*(1-DOCF)*Industry!E77</f>
        <v>0</v>
      </c>
      <c r="M76" s="536">
        <f>Amnt_Deposited!P72*Parameters!$E$59*$D$12*(1-DOCF)*Industry!E77</f>
        <v>0</v>
      </c>
      <c r="N76" s="471">
        <f t="shared" si="3"/>
        <v>0</v>
      </c>
      <c r="O76" s="473">
        <f t="shared" si="1"/>
        <v>35.013899841081006</v>
      </c>
    </row>
    <row r="77" spans="2:15">
      <c r="B77" s="470">
        <f t="shared" si="2"/>
        <v>2009</v>
      </c>
      <c r="C77" s="533">
        <f>Amnt_Deposited!O73*$D$10*(1-DOCF)*MSW!E78</f>
        <v>0</v>
      </c>
      <c r="D77" s="534">
        <f>Amnt_Deposited!C73*$F$10*(1-DOCF)*Food!E78</f>
        <v>0</v>
      </c>
      <c r="E77" s="535">
        <f>Amnt_Deposited!F73*$F$11*(1-DOCF)*Garden!E78</f>
        <v>0</v>
      </c>
      <c r="F77" s="535">
        <f>Amnt_Deposited!D73*$D$11*(1-DOCF)*Paper!E78</f>
        <v>0</v>
      </c>
      <c r="G77" s="535">
        <f>Amnt_Deposited!G73*$D$12*(1-DOCF)*Wood!E78</f>
        <v>0</v>
      </c>
      <c r="H77" s="535">
        <f>Amnt_Deposited!H73*$F$12*(1-DOCF)*Textiles!E78</f>
        <v>0</v>
      </c>
      <c r="I77" s="536">
        <f>Amnt_Deposited!E73*$H$10*(1-DOCF)*Nappies!E78</f>
        <v>0</v>
      </c>
      <c r="J77" s="537">
        <f>Amnt_Deposited!N73*$H$11*(1-DOCF)*Sludge!E78</f>
        <v>0</v>
      </c>
      <c r="K77" s="538">
        <f>Amnt_Deposited!P73*$H$12*(1-DOCF)*Industry!D78</f>
        <v>0</v>
      </c>
      <c r="L77" s="535">
        <f>Amnt_Deposited!P73*Parameters!$E$58*$D$11*(1-DOCF)*Industry!E78</f>
        <v>0</v>
      </c>
      <c r="M77" s="536">
        <f>Amnt_Deposited!P73*Parameters!$E$59*$D$12*(1-DOCF)*Industry!E78</f>
        <v>0</v>
      </c>
      <c r="N77" s="471">
        <f t="shared" si="3"/>
        <v>0</v>
      </c>
      <c r="O77" s="473">
        <f t="shared" si="1"/>
        <v>35.013899841081006</v>
      </c>
    </row>
    <row r="78" spans="2:15">
      <c r="B78" s="470">
        <f t="shared" si="2"/>
        <v>2010</v>
      </c>
      <c r="C78" s="533">
        <f>Amnt_Deposited!O74*$D$10*(1-DOCF)*MSW!E79</f>
        <v>0</v>
      </c>
      <c r="D78" s="534">
        <f>Amnt_Deposited!C74*$F$10*(1-DOCF)*Food!E79</f>
        <v>0</v>
      </c>
      <c r="E78" s="535">
        <f>Amnt_Deposited!F74*$F$11*(1-DOCF)*Garden!E79</f>
        <v>0</v>
      </c>
      <c r="F78" s="535">
        <f>Amnt_Deposited!D74*$D$11*(1-DOCF)*Paper!E79</f>
        <v>0</v>
      </c>
      <c r="G78" s="535">
        <f>Amnt_Deposited!G74*$D$12*(1-DOCF)*Wood!E79</f>
        <v>0</v>
      </c>
      <c r="H78" s="535">
        <f>Amnt_Deposited!H74*$F$12*(1-DOCF)*Textiles!E79</f>
        <v>0</v>
      </c>
      <c r="I78" s="536">
        <f>Amnt_Deposited!E74*$H$10*(1-DOCF)*Nappies!E79</f>
        <v>0</v>
      </c>
      <c r="J78" s="537">
        <f>Amnt_Deposited!N74*$H$11*(1-DOCF)*Sludge!E79</f>
        <v>0</v>
      </c>
      <c r="K78" s="538">
        <f>Amnt_Deposited!P74*$H$12*(1-DOCF)*Industry!D79</f>
        <v>0</v>
      </c>
      <c r="L78" s="535">
        <f>Amnt_Deposited!P74*Parameters!$E$58*$D$11*(1-DOCF)*Industry!E79</f>
        <v>0</v>
      </c>
      <c r="M78" s="536">
        <f>Amnt_Deposited!P74*Parameters!$E$59*$D$12*(1-DOCF)*Industry!E79</f>
        <v>0</v>
      </c>
      <c r="N78" s="471">
        <f t="shared" si="3"/>
        <v>0</v>
      </c>
      <c r="O78" s="473">
        <f t="shared" si="1"/>
        <v>35.013899841081006</v>
      </c>
    </row>
    <row r="79" spans="2:15">
      <c r="B79" s="470">
        <f t="shared" si="2"/>
        <v>2011</v>
      </c>
      <c r="C79" s="533">
        <f>Amnt_Deposited!O75*$D$10*(1-DOCF)*MSW!E80</f>
        <v>0</v>
      </c>
      <c r="D79" s="534">
        <f>Amnt_Deposited!C75*$F$10*(1-DOCF)*Food!E80</f>
        <v>0</v>
      </c>
      <c r="E79" s="535">
        <f>Amnt_Deposited!F75*$F$11*(1-DOCF)*Garden!E80</f>
        <v>0</v>
      </c>
      <c r="F79" s="535">
        <f>Amnt_Deposited!D75*$D$11*(1-DOCF)*Paper!E80</f>
        <v>0</v>
      </c>
      <c r="G79" s="535">
        <f>Amnt_Deposited!G75*$D$12*(1-DOCF)*Wood!E80</f>
        <v>0</v>
      </c>
      <c r="H79" s="535">
        <f>Amnt_Deposited!H75*$F$12*(1-DOCF)*Textiles!E80</f>
        <v>0</v>
      </c>
      <c r="I79" s="536">
        <f>Amnt_Deposited!E75*$H$10*(1-DOCF)*Nappies!E80</f>
        <v>0</v>
      </c>
      <c r="J79" s="537">
        <f>Amnt_Deposited!N75*$H$11*(1-DOCF)*Sludge!E80</f>
        <v>0</v>
      </c>
      <c r="K79" s="538">
        <f>Amnt_Deposited!P75*$H$12*(1-DOCF)*Industry!D80</f>
        <v>0</v>
      </c>
      <c r="L79" s="535">
        <f>Amnt_Deposited!P75*Parameters!$E$58*$D$11*(1-DOCF)*Industry!E80</f>
        <v>0</v>
      </c>
      <c r="M79" s="536">
        <f>Amnt_Deposited!P75*Parameters!$E$59*$D$12*(1-DOCF)*Industry!E80</f>
        <v>0</v>
      </c>
      <c r="N79" s="471">
        <f t="shared" si="3"/>
        <v>0</v>
      </c>
      <c r="O79" s="473">
        <f t="shared" si="1"/>
        <v>35.013899841081006</v>
      </c>
    </row>
    <row r="80" spans="2:15">
      <c r="B80" s="470">
        <f t="shared" si="2"/>
        <v>2012</v>
      </c>
      <c r="C80" s="533">
        <f>Amnt_Deposited!O76*$D$10*(1-DOCF)*MSW!E81</f>
        <v>0</v>
      </c>
      <c r="D80" s="534">
        <f>Amnt_Deposited!C76*$F$10*(1-DOCF)*Food!E81</f>
        <v>0</v>
      </c>
      <c r="E80" s="535">
        <f>Amnt_Deposited!F76*$F$11*(1-DOCF)*Garden!E81</f>
        <v>0</v>
      </c>
      <c r="F80" s="535">
        <f>Amnt_Deposited!D76*$D$11*(1-DOCF)*Paper!E81</f>
        <v>0</v>
      </c>
      <c r="G80" s="535">
        <f>Amnt_Deposited!G76*$D$12*(1-DOCF)*Wood!E81</f>
        <v>0</v>
      </c>
      <c r="H80" s="535">
        <f>Amnt_Deposited!H76*$F$12*(1-DOCF)*Textiles!E81</f>
        <v>0</v>
      </c>
      <c r="I80" s="536">
        <f>Amnt_Deposited!E76*$H$10*(1-DOCF)*Nappies!E81</f>
        <v>0</v>
      </c>
      <c r="J80" s="537">
        <f>Amnt_Deposited!N76*$H$11*(1-DOCF)*Sludge!E81</f>
        <v>0</v>
      </c>
      <c r="K80" s="538">
        <f>Amnt_Deposited!P76*$H$12*(1-DOCF)*Industry!D81</f>
        <v>0</v>
      </c>
      <c r="L80" s="535">
        <f>Amnt_Deposited!P76*Parameters!$E$58*$D$11*(1-DOCF)*Industry!E81</f>
        <v>0</v>
      </c>
      <c r="M80" s="536">
        <f>Amnt_Deposited!P76*Parameters!$E$59*$D$12*(1-DOCF)*Industry!E81</f>
        <v>0</v>
      </c>
      <c r="N80" s="471">
        <f t="shared" si="3"/>
        <v>0</v>
      </c>
      <c r="O80" s="473">
        <f t="shared" si="1"/>
        <v>35.013899841081006</v>
      </c>
    </row>
    <row r="81" spans="2:15">
      <c r="B81" s="470">
        <f t="shared" si="2"/>
        <v>2013</v>
      </c>
      <c r="C81" s="533">
        <f>Amnt_Deposited!O77*$D$10*(1-DOCF)*MSW!E82</f>
        <v>0</v>
      </c>
      <c r="D81" s="534">
        <f>Amnt_Deposited!C77*$F$10*(1-DOCF)*Food!E82</f>
        <v>0</v>
      </c>
      <c r="E81" s="535">
        <f>Amnt_Deposited!F77*$F$11*(1-DOCF)*Garden!E82</f>
        <v>0</v>
      </c>
      <c r="F81" s="535">
        <f>Amnt_Deposited!D77*$D$11*(1-DOCF)*Paper!E82</f>
        <v>0</v>
      </c>
      <c r="G81" s="535">
        <f>Amnt_Deposited!G77*$D$12*(1-DOCF)*Wood!E82</f>
        <v>0</v>
      </c>
      <c r="H81" s="535">
        <f>Amnt_Deposited!H77*$F$12*(1-DOCF)*Textiles!E82</f>
        <v>0</v>
      </c>
      <c r="I81" s="536">
        <f>Amnt_Deposited!E77*$H$10*(1-DOCF)*Nappies!E82</f>
        <v>0</v>
      </c>
      <c r="J81" s="537">
        <f>Amnt_Deposited!N77*$H$11*(1-DOCF)*Sludge!E82</f>
        <v>0</v>
      </c>
      <c r="K81" s="538">
        <f>Amnt_Deposited!P77*$H$12*(1-DOCF)*Industry!D82</f>
        <v>0</v>
      </c>
      <c r="L81" s="535">
        <f>Amnt_Deposited!P77*Parameters!$E$58*$D$11*(1-DOCF)*Industry!E82</f>
        <v>0</v>
      </c>
      <c r="M81" s="536">
        <f>Amnt_Deposited!P77*Parameters!$E$59*$D$12*(1-DOCF)*Industry!E82</f>
        <v>0</v>
      </c>
      <c r="N81" s="471">
        <f t="shared" si="3"/>
        <v>0</v>
      </c>
      <c r="O81" s="473">
        <f t="shared" si="1"/>
        <v>35.013899841081006</v>
      </c>
    </row>
    <row r="82" spans="2:15">
      <c r="B82" s="470">
        <f t="shared" si="2"/>
        <v>2014</v>
      </c>
      <c r="C82" s="533">
        <f>Amnt_Deposited!O78*$D$10*(1-DOCF)*MSW!E83</f>
        <v>0</v>
      </c>
      <c r="D82" s="534">
        <f>Amnt_Deposited!C78*$F$10*(1-DOCF)*Food!E83</f>
        <v>0</v>
      </c>
      <c r="E82" s="535">
        <f>Amnt_Deposited!F78*$F$11*(1-DOCF)*Garden!E83</f>
        <v>0</v>
      </c>
      <c r="F82" s="535">
        <f>Amnt_Deposited!D78*$D$11*(1-DOCF)*Paper!E83</f>
        <v>0</v>
      </c>
      <c r="G82" s="535">
        <f>Amnt_Deposited!G78*$D$12*(1-DOCF)*Wood!E83</f>
        <v>0</v>
      </c>
      <c r="H82" s="535">
        <f>Amnt_Deposited!H78*$F$12*(1-DOCF)*Textiles!E83</f>
        <v>0</v>
      </c>
      <c r="I82" s="536">
        <f>Amnt_Deposited!E78*$H$10*(1-DOCF)*Nappies!E83</f>
        <v>0</v>
      </c>
      <c r="J82" s="537">
        <f>Amnt_Deposited!N78*$H$11*(1-DOCF)*Sludge!E83</f>
        <v>0</v>
      </c>
      <c r="K82" s="538">
        <f>Amnt_Deposited!P78*$H$12*(1-DOCF)*Industry!D83</f>
        <v>0</v>
      </c>
      <c r="L82" s="535">
        <f>Amnt_Deposited!P78*Parameters!$E$58*$D$11*(1-DOCF)*Industry!E83</f>
        <v>0</v>
      </c>
      <c r="M82" s="536">
        <f>Amnt_Deposited!P78*Parameters!$E$59*$D$12*(1-DOCF)*Industry!E83</f>
        <v>0</v>
      </c>
      <c r="N82" s="471">
        <f t="shared" ref="N82:N98" si="4">IF(Select2=2,C82+J82+K82, D82+E82+F82+G82+H82+I82+J82+K82)</f>
        <v>0</v>
      </c>
      <c r="O82" s="473">
        <f t="shared" ref="O82:O98" si="5">O81+N82</f>
        <v>35.013899841081006</v>
      </c>
    </row>
    <row r="83" spans="2:15">
      <c r="B83" s="470">
        <f t="shared" si="2"/>
        <v>2015</v>
      </c>
      <c r="C83" s="533">
        <f>Amnt_Deposited!O79*$D$10*(1-DOCF)*MSW!E84</f>
        <v>0</v>
      </c>
      <c r="D83" s="534">
        <f>Amnt_Deposited!C79*$F$10*(1-DOCF)*Food!E84</f>
        <v>0</v>
      </c>
      <c r="E83" s="535">
        <f>Amnt_Deposited!F79*$F$11*(1-DOCF)*Garden!E84</f>
        <v>0</v>
      </c>
      <c r="F83" s="535">
        <f>Amnt_Deposited!D79*$D$11*(1-DOCF)*Paper!E84</f>
        <v>0</v>
      </c>
      <c r="G83" s="535">
        <f>Amnt_Deposited!G79*$D$12*(1-DOCF)*Wood!E84</f>
        <v>0</v>
      </c>
      <c r="H83" s="535">
        <f>Amnt_Deposited!H79*$F$12*(1-DOCF)*Textiles!E84</f>
        <v>0</v>
      </c>
      <c r="I83" s="536">
        <f>Amnt_Deposited!E79*$H$10*(1-DOCF)*Nappies!E84</f>
        <v>0</v>
      </c>
      <c r="J83" s="537">
        <f>Amnt_Deposited!N79*$H$11*(1-DOCF)*Sludge!E84</f>
        <v>0</v>
      </c>
      <c r="K83" s="538">
        <f>Amnt_Deposited!P79*$H$12*(1-DOCF)*Industry!D84</f>
        <v>0</v>
      </c>
      <c r="L83" s="535">
        <f>Amnt_Deposited!P79*Parameters!$E$58*$D$11*(1-DOCF)*Industry!E84</f>
        <v>0</v>
      </c>
      <c r="M83" s="536">
        <f>Amnt_Deposited!P79*Parameters!$E$59*$D$12*(1-DOCF)*Industry!E84</f>
        <v>0</v>
      </c>
      <c r="N83" s="471">
        <f t="shared" si="4"/>
        <v>0</v>
      </c>
      <c r="O83" s="473">
        <f t="shared" si="5"/>
        <v>35.013899841081006</v>
      </c>
    </row>
    <row r="84" spans="2:15">
      <c r="B84" s="470">
        <f t="shared" ref="B84:B98" si="6">B83+1</f>
        <v>2016</v>
      </c>
      <c r="C84" s="533">
        <f>Amnt_Deposited!O80*$D$10*(1-DOCF)*MSW!E85</f>
        <v>0</v>
      </c>
      <c r="D84" s="534">
        <f>Amnt_Deposited!C80*$F$10*(1-DOCF)*Food!E85</f>
        <v>0</v>
      </c>
      <c r="E84" s="535">
        <f>Amnt_Deposited!F80*$F$11*(1-DOCF)*Garden!E85</f>
        <v>0</v>
      </c>
      <c r="F84" s="535">
        <f>Amnt_Deposited!D80*$D$11*(1-DOCF)*Paper!E85</f>
        <v>0</v>
      </c>
      <c r="G84" s="535">
        <f>Amnt_Deposited!G80*$D$12*(1-DOCF)*Wood!E85</f>
        <v>0</v>
      </c>
      <c r="H84" s="535">
        <f>Amnt_Deposited!H80*$F$12*(1-DOCF)*Textiles!E85</f>
        <v>0</v>
      </c>
      <c r="I84" s="536">
        <f>Amnt_Deposited!E80*$H$10*(1-DOCF)*Nappies!E85</f>
        <v>0</v>
      </c>
      <c r="J84" s="537">
        <f>Amnt_Deposited!N80*$H$11*(1-DOCF)*Sludge!E85</f>
        <v>0</v>
      </c>
      <c r="K84" s="538">
        <f>Amnt_Deposited!P80*$H$12*(1-DOCF)*Industry!D85</f>
        <v>0</v>
      </c>
      <c r="L84" s="535">
        <f>Amnt_Deposited!P80*Parameters!$E$58*$D$11*(1-DOCF)*Industry!E85</f>
        <v>0</v>
      </c>
      <c r="M84" s="536">
        <f>Amnt_Deposited!P80*Parameters!$E$59*$D$12*(1-DOCF)*Industry!E85</f>
        <v>0</v>
      </c>
      <c r="N84" s="471">
        <f t="shared" si="4"/>
        <v>0</v>
      </c>
      <c r="O84" s="473">
        <f t="shared" si="5"/>
        <v>35.013899841081006</v>
      </c>
    </row>
    <row r="85" spans="2:15">
      <c r="B85" s="470">
        <f t="shared" si="6"/>
        <v>2017</v>
      </c>
      <c r="C85" s="533">
        <f>Amnt_Deposited!O81*$D$10*(1-DOCF)*MSW!E86</f>
        <v>0</v>
      </c>
      <c r="D85" s="534">
        <f>Amnt_Deposited!C81*$F$10*(1-DOCF)*Food!E86</f>
        <v>0</v>
      </c>
      <c r="E85" s="535">
        <f>Amnt_Deposited!F81*$F$11*(1-DOCF)*Garden!E86</f>
        <v>0</v>
      </c>
      <c r="F85" s="535">
        <f>Amnt_Deposited!D81*$D$11*(1-DOCF)*Paper!E86</f>
        <v>0</v>
      </c>
      <c r="G85" s="535">
        <f>Amnt_Deposited!G81*$D$12*(1-DOCF)*Wood!E86</f>
        <v>0</v>
      </c>
      <c r="H85" s="535">
        <f>Amnt_Deposited!H81*$F$12*(1-DOCF)*Textiles!E86</f>
        <v>0</v>
      </c>
      <c r="I85" s="536">
        <f>Amnt_Deposited!E81*$H$10*(1-DOCF)*Nappies!E86</f>
        <v>0</v>
      </c>
      <c r="J85" s="537">
        <f>Amnt_Deposited!N81*$H$11*(1-DOCF)*Sludge!E86</f>
        <v>0</v>
      </c>
      <c r="K85" s="538">
        <f>Amnt_Deposited!P81*$H$12*(1-DOCF)*Industry!D86</f>
        <v>0</v>
      </c>
      <c r="L85" s="535">
        <f>Amnt_Deposited!P81*Parameters!$E$58*$D$11*(1-DOCF)*Industry!E86</f>
        <v>0</v>
      </c>
      <c r="M85" s="536">
        <f>Amnt_Deposited!P81*Parameters!$E$59*$D$12*(1-DOCF)*Industry!E86</f>
        <v>0</v>
      </c>
      <c r="N85" s="471">
        <f t="shared" si="4"/>
        <v>0</v>
      </c>
      <c r="O85" s="473">
        <f t="shared" si="5"/>
        <v>35.013899841081006</v>
      </c>
    </row>
    <row r="86" spans="2:15">
      <c r="B86" s="470">
        <f t="shared" si="6"/>
        <v>2018</v>
      </c>
      <c r="C86" s="533">
        <f>Amnt_Deposited!O82*$D$10*(1-DOCF)*MSW!E87</f>
        <v>0</v>
      </c>
      <c r="D86" s="534">
        <f>Amnt_Deposited!C82*$F$10*(1-DOCF)*Food!E87</f>
        <v>0</v>
      </c>
      <c r="E86" s="535">
        <f>Amnt_Deposited!F82*$F$11*(1-DOCF)*Garden!E87</f>
        <v>0</v>
      </c>
      <c r="F86" s="535">
        <f>Amnt_Deposited!D82*$D$11*(1-DOCF)*Paper!E87</f>
        <v>0</v>
      </c>
      <c r="G86" s="535">
        <f>Amnt_Deposited!G82*$D$12*(1-DOCF)*Wood!E87</f>
        <v>0</v>
      </c>
      <c r="H86" s="535">
        <f>Amnt_Deposited!H82*$F$12*(1-DOCF)*Textiles!E87</f>
        <v>0</v>
      </c>
      <c r="I86" s="536">
        <f>Amnt_Deposited!E82*$H$10*(1-DOCF)*Nappies!E87</f>
        <v>0</v>
      </c>
      <c r="J86" s="537">
        <f>Amnt_Deposited!N82*$H$11*(1-DOCF)*Sludge!E87</f>
        <v>0</v>
      </c>
      <c r="K86" s="538">
        <f>Amnt_Deposited!P82*$H$12*(1-DOCF)*Industry!D87</f>
        <v>0</v>
      </c>
      <c r="L86" s="535">
        <f>Amnt_Deposited!P82*Parameters!$E$58*$D$11*(1-DOCF)*Industry!E87</f>
        <v>0</v>
      </c>
      <c r="M86" s="536">
        <f>Amnt_Deposited!P82*Parameters!$E$59*$D$12*(1-DOCF)*Industry!E87</f>
        <v>0</v>
      </c>
      <c r="N86" s="471">
        <f t="shared" si="4"/>
        <v>0</v>
      </c>
      <c r="O86" s="473">
        <f t="shared" si="5"/>
        <v>35.013899841081006</v>
      </c>
    </row>
    <row r="87" spans="2:15">
      <c r="B87" s="470">
        <f t="shared" si="6"/>
        <v>2019</v>
      </c>
      <c r="C87" s="533">
        <f>Amnt_Deposited!O83*$D$10*(1-DOCF)*MSW!E88</f>
        <v>0</v>
      </c>
      <c r="D87" s="534">
        <f>Amnt_Deposited!C83*$F$10*(1-DOCF)*Food!E88</f>
        <v>0</v>
      </c>
      <c r="E87" s="535">
        <f>Amnt_Deposited!F83*$F$11*(1-DOCF)*Garden!E88</f>
        <v>0</v>
      </c>
      <c r="F87" s="535">
        <f>Amnt_Deposited!D83*$D$11*(1-DOCF)*Paper!E88</f>
        <v>0</v>
      </c>
      <c r="G87" s="535">
        <f>Amnt_Deposited!G83*$D$12*(1-DOCF)*Wood!E88</f>
        <v>0</v>
      </c>
      <c r="H87" s="535">
        <f>Amnt_Deposited!H83*$F$12*(1-DOCF)*Textiles!E88</f>
        <v>0</v>
      </c>
      <c r="I87" s="536">
        <f>Amnt_Deposited!E83*$H$10*(1-DOCF)*Nappies!E88</f>
        <v>0</v>
      </c>
      <c r="J87" s="537">
        <f>Amnt_Deposited!N83*$H$11*(1-DOCF)*Sludge!E88</f>
        <v>0</v>
      </c>
      <c r="K87" s="538">
        <f>Amnt_Deposited!P83*$H$12*(1-DOCF)*Industry!D88</f>
        <v>0</v>
      </c>
      <c r="L87" s="535">
        <f>Amnt_Deposited!P83*Parameters!$E$58*$D$11*(1-DOCF)*Industry!E88</f>
        <v>0</v>
      </c>
      <c r="M87" s="536">
        <f>Amnt_Deposited!P83*Parameters!$E$59*$D$12*(1-DOCF)*Industry!E88</f>
        <v>0</v>
      </c>
      <c r="N87" s="471">
        <f t="shared" si="4"/>
        <v>0</v>
      </c>
      <c r="O87" s="473">
        <f t="shared" si="5"/>
        <v>35.013899841081006</v>
      </c>
    </row>
    <row r="88" spans="2:15">
      <c r="B88" s="470">
        <f t="shared" si="6"/>
        <v>2020</v>
      </c>
      <c r="C88" s="533">
        <f>Amnt_Deposited!O84*$D$10*(1-DOCF)*MSW!E89</f>
        <v>0</v>
      </c>
      <c r="D88" s="534">
        <f>Amnt_Deposited!C84*$F$10*(1-DOCF)*Food!E89</f>
        <v>0</v>
      </c>
      <c r="E88" s="535">
        <f>Amnt_Deposited!F84*$F$11*(1-DOCF)*Garden!E89</f>
        <v>0</v>
      </c>
      <c r="F88" s="535">
        <f>Amnt_Deposited!D84*$D$11*(1-DOCF)*Paper!E89</f>
        <v>0</v>
      </c>
      <c r="G88" s="535">
        <f>Amnt_Deposited!G84*$D$12*(1-DOCF)*Wood!E89</f>
        <v>0</v>
      </c>
      <c r="H88" s="535">
        <f>Amnt_Deposited!H84*$F$12*(1-DOCF)*Textiles!E89</f>
        <v>0</v>
      </c>
      <c r="I88" s="536">
        <f>Amnt_Deposited!E84*$H$10*(1-DOCF)*Nappies!E89</f>
        <v>0</v>
      </c>
      <c r="J88" s="537">
        <f>Amnt_Deposited!N84*$H$11*(1-DOCF)*Sludge!E89</f>
        <v>0</v>
      </c>
      <c r="K88" s="538">
        <f>Amnt_Deposited!P84*$H$12*(1-DOCF)*Industry!D89</f>
        <v>0</v>
      </c>
      <c r="L88" s="535">
        <f>Amnt_Deposited!P84*Parameters!$E$58*$D$11*(1-DOCF)*Industry!E89</f>
        <v>0</v>
      </c>
      <c r="M88" s="536">
        <f>Amnt_Deposited!P84*Parameters!$E$59*$D$12*(1-DOCF)*Industry!E89</f>
        <v>0</v>
      </c>
      <c r="N88" s="471">
        <f t="shared" si="4"/>
        <v>0</v>
      </c>
      <c r="O88" s="473">
        <f t="shared" si="5"/>
        <v>35.013899841081006</v>
      </c>
    </row>
    <row r="89" spans="2:15">
      <c r="B89" s="470">
        <f t="shared" si="6"/>
        <v>2021</v>
      </c>
      <c r="C89" s="533">
        <f>Amnt_Deposited!O85*$D$10*(1-DOCF)*MSW!E90</f>
        <v>0</v>
      </c>
      <c r="D89" s="534">
        <f>Amnt_Deposited!C85*$F$10*(1-DOCF)*Food!E90</f>
        <v>0</v>
      </c>
      <c r="E89" s="535">
        <f>Amnt_Deposited!F85*$F$11*(1-DOCF)*Garden!E90</f>
        <v>0</v>
      </c>
      <c r="F89" s="535">
        <f>Amnt_Deposited!D85*$D$11*(1-DOCF)*Paper!E90</f>
        <v>0</v>
      </c>
      <c r="G89" s="535">
        <f>Amnt_Deposited!G85*$D$12*(1-DOCF)*Wood!E90</f>
        <v>0</v>
      </c>
      <c r="H89" s="535">
        <f>Amnt_Deposited!H85*$F$12*(1-DOCF)*Textiles!E90</f>
        <v>0</v>
      </c>
      <c r="I89" s="536">
        <f>Amnt_Deposited!E85*$H$10*(1-DOCF)*Nappies!E90</f>
        <v>0</v>
      </c>
      <c r="J89" s="537">
        <f>Amnt_Deposited!N85*$H$11*(1-DOCF)*Sludge!E90</f>
        <v>0</v>
      </c>
      <c r="K89" s="538">
        <f>Amnt_Deposited!P85*$H$12*(1-DOCF)*Industry!D90</f>
        <v>0</v>
      </c>
      <c r="L89" s="535">
        <f>Amnt_Deposited!P85*Parameters!$E$58*$D$11*(1-DOCF)*Industry!E90</f>
        <v>0</v>
      </c>
      <c r="M89" s="536">
        <f>Amnt_Deposited!P85*Parameters!$E$59*$D$12*(1-DOCF)*Industry!E90</f>
        <v>0</v>
      </c>
      <c r="N89" s="471">
        <f t="shared" si="4"/>
        <v>0</v>
      </c>
      <c r="O89" s="473">
        <f t="shared" si="5"/>
        <v>35.013899841081006</v>
      </c>
    </row>
    <row r="90" spans="2:15">
      <c r="B90" s="470">
        <f t="shared" si="6"/>
        <v>2022</v>
      </c>
      <c r="C90" s="533">
        <f>Amnt_Deposited!O86*$D$10*(1-DOCF)*MSW!E91</f>
        <v>0</v>
      </c>
      <c r="D90" s="534">
        <f>Amnt_Deposited!C86*$F$10*(1-DOCF)*Food!E91</f>
        <v>0</v>
      </c>
      <c r="E90" s="535">
        <f>Amnt_Deposited!F86*$F$11*(1-DOCF)*Garden!E91</f>
        <v>0</v>
      </c>
      <c r="F90" s="535">
        <f>Amnt_Deposited!D86*$D$11*(1-DOCF)*Paper!E91</f>
        <v>0</v>
      </c>
      <c r="G90" s="535">
        <f>Amnt_Deposited!G86*$D$12*(1-DOCF)*Wood!E91</f>
        <v>0</v>
      </c>
      <c r="H90" s="535">
        <f>Amnt_Deposited!H86*$F$12*(1-DOCF)*Textiles!E91</f>
        <v>0</v>
      </c>
      <c r="I90" s="536">
        <f>Amnt_Deposited!E86*$H$10*(1-DOCF)*Nappies!E91</f>
        <v>0</v>
      </c>
      <c r="J90" s="537">
        <f>Amnt_Deposited!N86*$H$11*(1-DOCF)*Sludge!E91</f>
        <v>0</v>
      </c>
      <c r="K90" s="538">
        <f>Amnt_Deposited!P86*$H$12*(1-DOCF)*Industry!D91</f>
        <v>0</v>
      </c>
      <c r="L90" s="535">
        <f>Amnt_Deposited!P86*Parameters!$E$58*$D$11*(1-DOCF)*Industry!E91</f>
        <v>0</v>
      </c>
      <c r="M90" s="536">
        <f>Amnt_Deposited!P86*Parameters!$E$59*$D$12*(1-DOCF)*Industry!E91</f>
        <v>0</v>
      </c>
      <c r="N90" s="471">
        <f t="shared" si="4"/>
        <v>0</v>
      </c>
      <c r="O90" s="473">
        <f t="shared" si="5"/>
        <v>35.013899841081006</v>
      </c>
    </row>
    <row r="91" spans="2:15">
      <c r="B91" s="470">
        <f t="shared" si="6"/>
        <v>2023</v>
      </c>
      <c r="C91" s="533">
        <f>Amnt_Deposited!O87*$D$10*(1-DOCF)*MSW!E92</f>
        <v>0</v>
      </c>
      <c r="D91" s="534">
        <f>Amnt_Deposited!C87*$F$10*(1-DOCF)*Food!E92</f>
        <v>0</v>
      </c>
      <c r="E91" s="535">
        <f>Amnt_Deposited!F87*$F$11*(1-DOCF)*Garden!E92</f>
        <v>0</v>
      </c>
      <c r="F91" s="535">
        <f>Amnt_Deposited!D87*$D$11*(1-DOCF)*Paper!E92</f>
        <v>0</v>
      </c>
      <c r="G91" s="535">
        <f>Amnt_Deposited!G87*$D$12*(1-DOCF)*Wood!E92</f>
        <v>0</v>
      </c>
      <c r="H91" s="535">
        <f>Amnt_Deposited!H87*$F$12*(1-DOCF)*Textiles!E92</f>
        <v>0</v>
      </c>
      <c r="I91" s="536">
        <f>Amnt_Deposited!E87*$H$10*(1-DOCF)*Nappies!E92</f>
        <v>0</v>
      </c>
      <c r="J91" s="537">
        <f>Amnt_Deposited!N87*$H$11*(1-DOCF)*Sludge!E92</f>
        <v>0</v>
      </c>
      <c r="K91" s="538">
        <f>Amnt_Deposited!P87*$H$12*(1-DOCF)*Industry!D92</f>
        <v>0</v>
      </c>
      <c r="L91" s="535">
        <f>Amnt_Deposited!P87*Parameters!$E$58*$D$11*(1-DOCF)*Industry!E92</f>
        <v>0</v>
      </c>
      <c r="M91" s="536">
        <f>Amnt_Deposited!P87*Parameters!$E$59*$D$12*(1-DOCF)*Industry!E92</f>
        <v>0</v>
      </c>
      <c r="N91" s="471">
        <f t="shared" si="4"/>
        <v>0</v>
      </c>
      <c r="O91" s="473">
        <f t="shared" si="5"/>
        <v>35.013899841081006</v>
      </c>
    </row>
    <row r="92" spans="2:15">
      <c r="B92" s="470">
        <f t="shared" si="6"/>
        <v>2024</v>
      </c>
      <c r="C92" s="533">
        <f>Amnt_Deposited!O88*$D$10*(1-DOCF)*MSW!E93</f>
        <v>0</v>
      </c>
      <c r="D92" s="534">
        <f>Amnt_Deposited!C88*$F$10*(1-DOCF)*Food!E93</f>
        <v>0</v>
      </c>
      <c r="E92" s="535">
        <f>Amnt_Deposited!F88*$F$11*(1-DOCF)*Garden!E93</f>
        <v>0</v>
      </c>
      <c r="F92" s="535">
        <f>Amnt_Deposited!D88*$D$11*(1-DOCF)*Paper!E93</f>
        <v>0</v>
      </c>
      <c r="G92" s="535">
        <f>Amnt_Deposited!G88*$D$12*(1-DOCF)*Wood!E93</f>
        <v>0</v>
      </c>
      <c r="H92" s="535">
        <f>Amnt_Deposited!H88*$F$12*(1-DOCF)*Textiles!E93</f>
        <v>0</v>
      </c>
      <c r="I92" s="536">
        <f>Amnt_Deposited!E88*$H$10*(1-DOCF)*Nappies!E93</f>
        <v>0</v>
      </c>
      <c r="J92" s="537">
        <f>Amnt_Deposited!N88*$H$11*(1-DOCF)*Sludge!E93</f>
        <v>0</v>
      </c>
      <c r="K92" s="538">
        <f>Amnt_Deposited!P88*$H$12*(1-DOCF)*Industry!D93</f>
        <v>0</v>
      </c>
      <c r="L92" s="535">
        <f>Amnt_Deposited!P88*Parameters!$E$58*$D$11*(1-DOCF)*Industry!E93</f>
        <v>0</v>
      </c>
      <c r="M92" s="536">
        <f>Amnt_Deposited!P88*Parameters!$E$59*$D$12*(1-DOCF)*Industry!E93</f>
        <v>0</v>
      </c>
      <c r="N92" s="471">
        <f t="shared" si="4"/>
        <v>0</v>
      </c>
      <c r="O92" s="473">
        <f t="shared" si="5"/>
        <v>35.013899841081006</v>
      </c>
    </row>
    <row r="93" spans="2:15">
      <c r="B93" s="470">
        <f t="shared" si="6"/>
        <v>2025</v>
      </c>
      <c r="C93" s="533">
        <f>Amnt_Deposited!O89*$D$10*(1-DOCF)*MSW!E94</f>
        <v>0</v>
      </c>
      <c r="D93" s="534">
        <f>Amnt_Deposited!C89*$F$10*(1-DOCF)*Food!E94</f>
        <v>0</v>
      </c>
      <c r="E93" s="535">
        <f>Amnt_Deposited!F89*$F$11*(1-DOCF)*Garden!E94</f>
        <v>0</v>
      </c>
      <c r="F93" s="535">
        <f>Amnt_Deposited!D89*$D$11*(1-DOCF)*Paper!E94</f>
        <v>0</v>
      </c>
      <c r="G93" s="535">
        <f>Amnt_Deposited!G89*$D$12*(1-DOCF)*Wood!E94</f>
        <v>0</v>
      </c>
      <c r="H93" s="535">
        <f>Amnt_Deposited!H89*$F$12*(1-DOCF)*Textiles!E94</f>
        <v>0</v>
      </c>
      <c r="I93" s="536">
        <f>Amnt_Deposited!E89*$H$10*(1-DOCF)*Nappies!E94</f>
        <v>0</v>
      </c>
      <c r="J93" s="537">
        <f>Amnt_Deposited!N89*$H$11*(1-DOCF)*Sludge!E94</f>
        <v>0</v>
      </c>
      <c r="K93" s="538">
        <f>Amnt_Deposited!P89*$H$12*(1-DOCF)*Industry!D94</f>
        <v>0</v>
      </c>
      <c r="L93" s="535">
        <f>Amnt_Deposited!P89*Parameters!$E$58*$D$11*(1-DOCF)*Industry!E94</f>
        <v>0</v>
      </c>
      <c r="M93" s="536">
        <f>Amnt_Deposited!P89*Parameters!$E$59*$D$12*(1-DOCF)*Industry!E94</f>
        <v>0</v>
      </c>
      <c r="N93" s="471">
        <f t="shared" si="4"/>
        <v>0</v>
      </c>
      <c r="O93" s="473">
        <f t="shared" si="5"/>
        <v>35.013899841081006</v>
      </c>
    </row>
    <row r="94" spans="2:15">
      <c r="B94" s="470">
        <f t="shared" si="6"/>
        <v>2026</v>
      </c>
      <c r="C94" s="533">
        <f>Amnt_Deposited!O90*$D$10*(1-DOCF)*MSW!E95</f>
        <v>0</v>
      </c>
      <c r="D94" s="534">
        <f>Amnt_Deposited!C90*$F$10*(1-DOCF)*Food!E95</f>
        <v>0</v>
      </c>
      <c r="E94" s="535">
        <f>Amnt_Deposited!F90*$F$11*(1-DOCF)*Garden!E95</f>
        <v>0</v>
      </c>
      <c r="F94" s="535">
        <f>Amnt_Deposited!D90*$D$11*(1-DOCF)*Paper!E95</f>
        <v>0</v>
      </c>
      <c r="G94" s="535">
        <f>Amnt_Deposited!G90*$D$12*(1-DOCF)*Wood!E95</f>
        <v>0</v>
      </c>
      <c r="H94" s="535">
        <f>Amnt_Deposited!H90*$F$12*(1-DOCF)*Textiles!E95</f>
        <v>0</v>
      </c>
      <c r="I94" s="536">
        <f>Amnt_Deposited!E90*$H$10*(1-DOCF)*Nappies!E95</f>
        <v>0</v>
      </c>
      <c r="J94" s="537">
        <f>Amnt_Deposited!N90*$H$11*(1-DOCF)*Sludge!E95</f>
        <v>0</v>
      </c>
      <c r="K94" s="538">
        <f>Amnt_Deposited!P90*$H$12*(1-DOCF)*Industry!D95</f>
        <v>0</v>
      </c>
      <c r="L94" s="535">
        <f>Amnt_Deposited!P90*Parameters!$E$58*$D$11*(1-DOCF)*Industry!E95</f>
        <v>0</v>
      </c>
      <c r="M94" s="536">
        <f>Amnt_Deposited!P90*Parameters!$E$59*$D$12*(1-DOCF)*Industry!E95</f>
        <v>0</v>
      </c>
      <c r="N94" s="471">
        <f t="shared" si="4"/>
        <v>0</v>
      </c>
      <c r="O94" s="473">
        <f t="shared" si="5"/>
        <v>35.013899841081006</v>
      </c>
    </row>
    <row r="95" spans="2:15">
      <c r="B95" s="470">
        <f t="shared" si="6"/>
        <v>2027</v>
      </c>
      <c r="C95" s="533">
        <f>Amnt_Deposited!O91*$D$10*(1-DOCF)*MSW!E96</f>
        <v>0</v>
      </c>
      <c r="D95" s="534">
        <f>Amnt_Deposited!C91*$F$10*(1-DOCF)*Food!E96</f>
        <v>0</v>
      </c>
      <c r="E95" s="535">
        <f>Amnt_Deposited!F91*$F$11*(1-DOCF)*Garden!E96</f>
        <v>0</v>
      </c>
      <c r="F95" s="535">
        <f>Amnt_Deposited!D91*$D$11*(1-DOCF)*Paper!E96</f>
        <v>0</v>
      </c>
      <c r="G95" s="535">
        <f>Amnt_Deposited!G91*$D$12*(1-DOCF)*Wood!E96</f>
        <v>0</v>
      </c>
      <c r="H95" s="535">
        <f>Amnt_Deposited!H91*$F$12*(1-DOCF)*Textiles!E96</f>
        <v>0</v>
      </c>
      <c r="I95" s="536">
        <f>Amnt_Deposited!E91*$H$10*(1-DOCF)*Nappies!E96</f>
        <v>0</v>
      </c>
      <c r="J95" s="537">
        <f>Amnt_Deposited!N91*$H$11*(1-DOCF)*Sludge!E96</f>
        <v>0</v>
      </c>
      <c r="K95" s="538">
        <f>Amnt_Deposited!P91*$H$12*(1-DOCF)*Industry!D96</f>
        <v>0</v>
      </c>
      <c r="L95" s="535">
        <f>Amnt_Deposited!P91*Parameters!$E$58*$D$11*(1-DOCF)*Industry!E96</f>
        <v>0</v>
      </c>
      <c r="M95" s="536">
        <f>Amnt_Deposited!P91*Parameters!$E$59*$D$12*(1-DOCF)*Industry!E96</f>
        <v>0</v>
      </c>
      <c r="N95" s="471">
        <f t="shared" si="4"/>
        <v>0</v>
      </c>
      <c r="O95" s="473">
        <f t="shared" si="5"/>
        <v>35.013899841081006</v>
      </c>
    </row>
    <row r="96" spans="2:15">
      <c r="B96" s="470">
        <f t="shared" si="6"/>
        <v>2028</v>
      </c>
      <c r="C96" s="533">
        <f>Amnt_Deposited!O92*$D$10*(1-DOCF)*MSW!E97</f>
        <v>0</v>
      </c>
      <c r="D96" s="534">
        <f>Amnt_Deposited!C92*$F$10*(1-DOCF)*Food!E97</f>
        <v>0</v>
      </c>
      <c r="E96" s="535">
        <f>Amnt_Deposited!F92*$F$11*(1-DOCF)*Garden!E97</f>
        <v>0</v>
      </c>
      <c r="F96" s="535">
        <f>Amnt_Deposited!D92*$D$11*(1-DOCF)*Paper!E97</f>
        <v>0</v>
      </c>
      <c r="G96" s="535">
        <f>Amnt_Deposited!G92*$D$12*(1-DOCF)*Wood!E97</f>
        <v>0</v>
      </c>
      <c r="H96" s="535">
        <f>Amnt_Deposited!H92*$F$12*(1-DOCF)*Textiles!E97</f>
        <v>0</v>
      </c>
      <c r="I96" s="536">
        <f>Amnt_Deposited!E92*$H$10*(1-DOCF)*Nappies!E97</f>
        <v>0</v>
      </c>
      <c r="J96" s="537">
        <f>Amnt_Deposited!N92*$H$11*(1-DOCF)*Sludge!E97</f>
        <v>0</v>
      </c>
      <c r="K96" s="538">
        <f>Amnt_Deposited!P92*$H$12*(1-DOCF)*Industry!D97</f>
        <v>0</v>
      </c>
      <c r="L96" s="535">
        <f>Amnt_Deposited!P92*Parameters!$E$58*$D$11*(1-DOCF)*Industry!E97</f>
        <v>0</v>
      </c>
      <c r="M96" s="536">
        <f>Amnt_Deposited!P92*Parameters!$E$59*$D$12*(1-DOCF)*Industry!E97</f>
        <v>0</v>
      </c>
      <c r="N96" s="471">
        <f t="shared" si="4"/>
        <v>0</v>
      </c>
      <c r="O96" s="473">
        <f t="shared" si="5"/>
        <v>35.013899841081006</v>
      </c>
    </row>
    <row r="97" spans="2:15">
      <c r="B97" s="470">
        <f t="shared" si="6"/>
        <v>2029</v>
      </c>
      <c r="C97" s="533">
        <f>Amnt_Deposited!O93*$D$10*(1-DOCF)*MSW!E98</f>
        <v>0</v>
      </c>
      <c r="D97" s="534">
        <f>Amnt_Deposited!C93*$F$10*(1-DOCF)*Food!E98</f>
        <v>0</v>
      </c>
      <c r="E97" s="535">
        <f>Amnt_Deposited!F93*$F$11*(1-DOCF)*Garden!E98</f>
        <v>0</v>
      </c>
      <c r="F97" s="535">
        <f>Amnt_Deposited!D93*$D$11*(1-DOCF)*Paper!E98</f>
        <v>0</v>
      </c>
      <c r="G97" s="535">
        <f>Amnt_Deposited!G93*$D$12*(1-DOCF)*Wood!E98</f>
        <v>0</v>
      </c>
      <c r="H97" s="535">
        <f>Amnt_Deposited!H93*$F$12*(1-DOCF)*Textiles!E98</f>
        <v>0</v>
      </c>
      <c r="I97" s="536">
        <f>Amnt_Deposited!E93*$H$10*(1-DOCF)*Nappies!E98</f>
        <v>0</v>
      </c>
      <c r="J97" s="537">
        <f>Amnt_Deposited!N93*$H$11*(1-DOCF)*Sludge!E98</f>
        <v>0</v>
      </c>
      <c r="K97" s="538">
        <f>Amnt_Deposited!P93*$H$12*(1-DOCF)*Industry!D98</f>
        <v>0</v>
      </c>
      <c r="L97" s="535">
        <f>Amnt_Deposited!P93*Parameters!$E$58*$D$11*(1-DOCF)*Industry!E98</f>
        <v>0</v>
      </c>
      <c r="M97" s="536">
        <f>Amnt_Deposited!P93*Parameters!$E$59*$D$12*(1-DOCF)*Industry!E98</f>
        <v>0</v>
      </c>
      <c r="N97" s="471">
        <f t="shared" si="4"/>
        <v>0</v>
      </c>
      <c r="O97" s="473">
        <f t="shared" si="5"/>
        <v>35.013899841081006</v>
      </c>
    </row>
    <row r="98" spans="2:15" ht="13.5" thickBot="1">
      <c r="B98" s="479">
        <f t="shared" si="6"/>
        <v>2030</v>
      </c>
      <c r="C98" s="533">
        <f>Amnt_Deposited!O94*$D$10*(1-DOCF)*MSW!E99</f>
        <v>0</v>
      </c>
      <c r="D98" s="534">
        <f>Amnt_Deposited!C94*$F$10*(1-DOCF)*Food!E99</f>
        <v>0</v>
      </c>
      <c r="E98" s="535">
        <f>Amnt_Deposited!F94*$F$11*(1-DOCF)*Garden!E99</f>
        <v>0</v>
      </c>
      <c r="F98" s="535">
        <f>Amnt_Deposited!D94*$D$11*(1-DOCF)*Paper!E99</f>
        <v>0</v>
      </c>
      <c r="G98" s="535">
        <f>Amnt_Deposited!G94*$D$12*(1-DOCF)*Wood!E99</f>
        <v>0</v>
      </c>
      <c r="H98" s="535">
        <f>Amnt_Deposited!H94*$F$12*(1-DOCF)*Textiles!E99</f>
        <v>0</v>
      </c>
      <c r="I98" s="536">
        <f>Amnt_Deposited!E94*$H$10*(1-DOCF)*Nappies!E99</f>
        <v>0</v>
      </c>
      <c r="J98" s="537">
        <f>Amnt_Deposited!N94*$H$11*(1-DOCF)*Sludge!E99</f>
        <v>0</v>
      </c>
      <c r="K98" s="538">
        <f>Amnt_Deposited!P94*$H$12*(1-DOCF)*Industry!D99</f>
        <v>0</v>
      </c>
      <c r="L98" s="535">
        <f>Amnt_Deposited!P94*Parameters!$E$58*$D$11*(1-DOCF)*Industry!E99</f>
        <v>0</v>
      </c>
      <c r="M98" s="536">
        <f>Amnt_Deposited!P94*Parameters!$E$59*$D$12*(1-DOCF)*Industry!E99</f>
        <v>0</v>
      </c>
      <c r="N98" s="480">
        <f t="shared" si="4"/>
        <v>0</v>
      </c>
      <c r="O98" s="482">
        <f t="shared" si="5"/>
        <v>35.013899841081006</v>
      </c>
    </row>
  </sheetData>
  <mergeCells count="5">
    <mergeCell ref="D4:F4"/>
    <mergeCell ref="H4:K4"/>
    <mergeCell ref="H5:K5"/>
    <mergeCell ref="D3:F3"/>
    <mergeCell ref="D2:F2"/>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indexed="44"/>
  </sheetPr>
  <dimension ref="B1:M5"/>
  <sheetViews>
    <sheetView showGridLines="0" topLeftCell="A76" workbookViewId="0">
      <selection activeCell="L78" sqref="L78"/>
    </sheetView>
  </sheetViews>
  <sheetFormatPr defaultColWidth="11.42578125" defaultRowHeight="12.75"/>
  <cols>
    <col min="1" max="1" width="1" style="10" customWidth="1"/>
    <col min="2" max="7" width="11.42578125" style="10" customWidth="1"/>
    <col min="8" max="8" width="18.140625" style="10" customWidth="1"/>
    <col min="9" max="11" width="11.42578125" style="10" customWidth="1"/>
    <col min="12" max="12" width="8.7109375" style="10" customWidth="1"/>
    <col min="13" max="13" width="11.42578125" style="10" hidden="1" customWidth="1"/>
    <col min="14" max="16384" width="11.42578125" style="10"/>
  </cols>
  <sheetData>
    <row r="1" spans="2:5" ht="6.75" customHeight="1"/>
    <row r="2" spans="2:5" ht="15">
      <c r="B2" s="140" t="s">
        <v>17</v>
      </c>
    </row>
    <row r="3" spans="2:5" ht="9" customHeight="1"/>
    <row r="4" spans="2:5" ht="15.75">
      <c r="B4" s="11" t="s">
        <v>202</v>
      </c>
      <c r="D4" s="137"/>
      <c r="E4" s="137"/>
    </row>
    <row r="5" spans="2:5" ht="5.25" customHeight="1">
      <c r="B5" s="137"/>
      <c r="C5" s="137"/>
      <c r="D5" s="137"/>
      <c r="E5" s="137"/>
    </row>
  </sheetData>
  <sheetProtection password="CF65" sheet="1" objects="1" scenarios="1"/>
  <customSheetViews>
    <customSheetView guid="{B400968E-E9A7-41C3-9739-36597C9C6BC6}" showGridLines="0" showRuler="0" topLeftCell="A8">
      <selection activeCell="J11" sqref="J11"/>
      <pageMargins left="0.7" right="0.7" top="0.75" bottom="0.75" header="0.3" footer="0.3"/>
      <pageSetup paperSize="9" orientation="portrait"/>
      <headerFooter alignWithMargins="0"/>
    </customSheetView>
  </customSheetViews>
  <phoneticPr fontId="16" type="noConversion"/>
  <pageMargins left="0.75" right="0.75" top="0.75" bottom="0.75" header="0.5" footer="0.5"/>
  <headerFooter alignWithMargins="0"/>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0">
    <tabColor indexed="44"/>
  </sheetPr>
  <dimension ref="A1:AI64"/>
  <sheetViews>
    <sheetView showGridLines="0" workbookViewId="0">
      <pane ySplit="3" topLeftCell="A4" activePane="bottomLeft" state="frozen"/>
      <selection activeCell="E19" sqref="E19"/>
      <selection pane="bottomLeft" activeCell="W10" sqref="W10"/>
    </sheetView>
  </sheetViews>
  <sheetFormatPr defaultColWidth="8.85546875" defaultRowHeight="12.75"/>
  <cols>
    <col min="1" max="1" width="2.85546875" style="69" customWidth="1"/>
    <col min="2" max="2" width="16.42578125" style="69" customWidth="1"/>
    <col min="3" max="3" width="16" style="69" customWidth="1"/>
    <col min="4" max="4" width="12.140625" style="69" customWidth="1"/>
    <col min="5" max="5" width="11.7109375" style="69" customWidth="1"/>
    <col min="6" max="6" width="9.7109375" style="69" customWidth="1"/>
    <col min="7" max="7" width="11" style="69" customWidth="1"/>
    <col min="8" max="8" width="9.7109375" style="69" customWidth="1"/>
    <col min="9" max="9" width="11.42578125" style="69" customWidth="1"/>
    <col min="10" max="10" width="9.7109375" style="69" customWidth="1"/>
    <col min="11" max="11" width="12.140625" style="69" customWidth="1"/>
    <col min="12" max="12" width="9.7109375" style="69" customWidth="1"/>
    <col min="13" max="14" width="10.7109375" style="69" customWidth="1"/>
    <col min="15" max="15" width="16.140625" style="69" customWidth="1"/>
    <col min="16" max="21" width="8.85546875" style="69"/>
    <col min="22" max="22" width="19.42578125" style="149" customWidth="1"/>
    <col min="23" max="23" width="11" style="69" customWidth="1"/>
    <col min="24" max="24" width="10.140625" style="69" customWidth="1"/>
    <col min="25" max="31" width="9.7109375" style="69" customWidth="1"/>
    <col min="32" max="32" width="12.140625" style="69" customWidth="1"/>
    <col min="33" max="34" width="9.7109375" style="69" customWidth="1"/>
    <col min="35" max="16384" width="8.85546875" style="69"/>
  </cols>
  <sheetData>
    <row r="1" spans="1:35" ht="15">
      <c r="B1" s="71" t="s">
        <v>205</v>
      </c>
      <c r="O1" s="71" t="s">
        <v>112</v>
      </c>
      <c r="V1" s="71" t="s">
        <v>128</v>
      </c>
    </row>
    <row r="2" spans="1:35" ht="12.75" customHeight="1">
      <c r="B2" s="859" t="s">
        <v>52</v>
      </c>
      <c r="C2" s="859"/>
      <c r="D2" s="859"/>
      <c r="E2" s="859"/>
      <c r="F2" s="859"/>
      <c r="G2" s="859"/>
      <c r="H2" s="859"/>
    </row>
    <row r="3" spans="1:35" ht="13.5" thickBot="1">
      <c r="B3" s="859"/>
      <c r="C3" s="859"/>
      <c r="D3" s="859"/>
      <c r="E3" s="859"/>
      <c r="F3" s="859"/>
      <c r="G3" s="859"/>
      <c r="H3" s="859"/>
    </row>
    <row r="4" spans="1:35" ht="13.5" thickBot="1">
      <c r="P4" s="863" t="s">
        <v>242</v>
      </c>
      <c r="Q4" s="864"/>
      <c r="R4" s="865" t="s">
        <v>243</v>
      </c>
      <c r="S4" s="866"/>
      <c r="V4" s="172" t="s">
        <v>155</v>
      </c>
      <c r="W4" s="139">
        <f>P7</f>
        <v>0.44</v>
      </c>
      <c r="X4" s="234">
        <f>P9</f>
        <v>0.3</v>
      </c>
      <c r="Y4" s="234">
        <f>P6</f>
        <v>0.38</v>
      </c>
      <c r="Z4" s="234">
        <f>P11</f>
        <v>0.5</v>
      </c>
      <c r="AA4" s="234">
        <f>P8</f>
        <v>0.49</v>
      </c>
      <c r="AB4" s="234">
        <f>P12</f>
        <v>0.6</v>
      </c>
      <c r="AC4" s="234">
        <f>R18</f>
        <v>0.05</v>
      </c>
      <c r="AD4" s="234">
        <f>P10</f>
        <v>0.47</v>
      </c>
      <c r="AE4" s="235">
        <v>0</v>
      </c>
    </row>
    <row r="5" spans="1:35" ht="13.5" customHeight="1" thickBot="1">
      <c r="B5" s="72"/>
      <c r="C5" s="141"/>
      <c r="D5" s="860" t="s">
        <v>47</v>
      </c>
      <c r="E5" s="861"/>
      <c r="F5" s="861"/>
      <c r="G5" s="862"/>
      <c r="H5" s="861" t="s">
        <v>57</v>
      </c>
      <c r="I5" s="861"/>
      <c r="J5" s="861"/>
      <c r="K5" s="862"/>
      <c r="L5" s="135"/>
      <c r="M5" s="135"/>
      <c r="N5" s="135"/>
      <c r="O5" s="163"/>
      <c r="P5" s="207" t="s">
        <v>116</v>
      </c>
      <c r="Q5" s="208" t="s">
        <v>113</v>
      </c>
      <c r="R5" s="207" t="s">
        <v>116</v>
      </c>
      <c r="S5" s="208" t="s">
        <v>113</v>
      </c>
      <c r="V5" s="305" t="s">
        <v>118</v>
      </c>
      <c r="W5" s="306">
        <v>3</v>
      </c>
      <c r="AF5" s="850" t="s">
        <v>126</v>
      </c>
      <c r="AG5" s="850" t="s">
        <v>129</v>
      </c>
      <c r="AH5" s="850" t="s">
        <v>154</v>
      </c>
      <c r="AI5"/>
    </row>
    <row r="6" spans="1:35" ht="13.5" thickBot="1">
      <c r="B6" s="166"/>
      <c r="C6" s="152"/>
      <c r="D6" s="855" t="s">
        <v>45</v>
      </c>
      <c r="E6" s="855"/>
      <c r="F6" s="855" t="s">
        <v>46</v>
      </c>
      <c r="G6" s="855"/>
      <c r="H6" s="855" t="s">
        <v>45</v>
      </c>
      <c r="I6" s="855"/>
      <c r="J6" s="855" t="s">
        <v>99</v>
      </c>
      <c r="K6" s="855"/>
      <c r="L6" s="135"/>
      <c r="M6" s="135"/>
      <c r="N6" s="135"/>
      <c r="O6" s="203" t="s">
        <v>6</v>
      </c>
      <c r="P6" s="162">
        <v>0.38</v>
      </c>
      <c r="Q6" s="164" t="s">
        <v>234</v>
      </c>
      <c r="R6" s="162">
        <v>0.15</v>
      </c>
      <c r="S6" s="164" t="s">
        <v>244</v>
      </c>
      <c r="W6" s="856" t="s">
        <v>125</v>
      </c>
      <c r="X6" s="858"/>
      <c r="Y6" s="858"/>
      <c r="Z6" s="858"/>
      <c r="AA6" s="858"/>
      <c r="AB6" s="858"/>
      <c r="AC6" s="858"/>
      <c r="AD6" s="858"/>
      <c r="AE6" s="858"/>
      <c r="AF6" s="851"/>
      <c r="AG6" s="851"/>
      <c r="AH6" s="851"/>
      <c r="AI6"/>
    </row>
    <row r="7" spans="1:35" ht="26.25" thickBot="1">
      <c r="B7" s="856" t="s">
        <v>133</v>
      </c>
      <c r="C7" s="857"/>
      <c r="D7" s="207" t="s">
        <v>116</v>
      </c>
      <c r="E7" s="208" t="s">
        <v>113</v>
      </c>
      <c r="F7" s="209" t="s">
        <v>116</v>
      </c>
      <c r="G7" s="208" t="s">
        <v>113</v>
      </c>
      <c r="H7" s="209" t="s">
        <v>116</v>
      </c>
      <c r="I7" s="208" t="s">
        <v>113</v>
      </c>
      <c r="J7" s="209" t="s">
        <v>116</v>
      </c>
      <c r="K7" s="208" t="s">
        <v>113</v>
      </c>
      <c r="M7" s="134"/>
      <c r="N7" s="134"/>
      <c r="O7" s="204" t="s">
        <v>256</v>
      </c>
      <c r="P7" s="161">
        <v>0.44</v>
      </c>
      <c r="Q7" s="165" t="s">
        <v>235</v>
      </c>
      <c r="R7" s="161">
        <v>0.4</v>
      </c>
      <c r="S7" s="165" t="s">
        <v>245</v>
      </c>
      <c r="T7" s="171"/>
      <c r="V7" s="172"/>
      <c r="W7" s="192" t="s">
        <v>127</v>
      </c>
      <c r="X7" s="181" t="s">
        <v>16</v>
      </c>
      <c r="Y7" s="181" t="s">
        <v>6</v>
      </c>
      <c r="Z7" s="181" t="s">
        <v>2</v>
      </c>
      <c r="AA7" s="181" t="s">
        <v>139</v>
      </c>
      <c r="AB7" s="181" t="s">
        <v>140</v>
      </c>
      <c r="AC7" s="181" t="s">
        <v>135</v>
      </c>
      <c r="AD7" s="181" t="s">
        <v>141</v>
      </c>
      <c r="AE7" s="181" t="s">
        <v>142</v>
      </c>
      <c r="AF7" s="852"/>
      <c r="AG7" s="852"/>
      <c r="AH7" s="852"/>
      <c r="AI7"/>
    </row>
    <row r="8" spans="1:35" ht="25.5" customHeight="1">
      <c r="B8" s="853" t="s">
        <v>48</v>
      </c>
      <c r="C8" s="144" t="s">
        <v>56</v>
      </c>
      <c r="D8" s="90">
        <v>0.04</v>
      </c>
      <c r="E8" s="153" t="s">
        <v>169</v>
      </c>
      <c r="F8" s="167">
        <v>0.06</v>
      </c>
      <c r="G8" s="170" t="s">
        <v>170</v>
      </c>
      <c r="H8" s="90">
        <v>4.4999999999999998E-2</v>
      </c>
      <c r="I8" s="153" t="s">
        <v>167</v>
      </c>
      <c r="J8" s="167">
        <v>7.0000000000000007E-2</v>
      </c>
      <c r="K8" s="153" t="s">
        <v>176</v>
      </c>
      <c r="M8" s="136"/>
      <c r="N8" s="136"/>
      <c r="O8" s="204" t="s">
        <v>255</v>
      </c>
      <c r="P8" s="161">
        <v>0.49</v>
      </c>
      <c r="Q8" s="165" t="s">
        <v>236</v>
      </c>
      <c r="R8" s="161">
        <v>0.2</v>
      </c>
      <c r="S8" s="165" t="s">
        <v>246</v>
      </c>
      <c r="T8" s="171"/>
      <c r="U8" s="171">
        <v>1</v>
      </c>
      <c r="V8" s="174" t="s">
        <v>119</v>
      </c>
      <c r="W8" s="190">
        <v>18.8</v>
      </c>
      <c r="X8" s="191">
        <v>3.5</v>
      </c>
      <c r="Y8" s="191">
        <v>26.2</v>
      </c>
      <c r="Z8" s="191">
        <v>3.5</v>
      </c>
      <c r="AA8" s="191"/>
      <c r="AB8" s="191"/>
      <c r="AC8" s="191"/>
      <c r="AD8" s="191">
        <v>1</v>
      </c>
      <c r="AE8" s="191">
        <f>100-SUM(W8:AD8)</f>
        <v>47</v>
      </c>
      <c r="AF8" s="182">
        <v>0.55000000000000004</v>
      </c>
      <c r="AG8" s="185">
        <v>0.55000000000000004</v>
      </c>
      <c r="AH8" s="236">
        <f>ROUND((W8*W$4+X8*X$4+Y8*Y$4+Z8*Z$4+AA8*AA$4+AB8*AB$4+AC8*AC$4+AD8*AD$4)/100,2)</f>
        <v>0.21</v>
      </c>
      <c r="AI8"/>
    </row>
    <row r="9" spans="1:35" ht="25.5">
      <c r="B9" s="854"/>
      <c r="C9" s="195" t="s">
        <v>134</v>
      </c>
      <c r="D9" s="197">
        <v>0.02</v>
      </c>
      <c r="E9" s="198" t="s">
        <v>168</v>
      </c>
      <c r="F9" s="199">
        <v>0.03</v>
      </c>
      <c r="G9" s="200" t="s">
        <v>171</v>
      </c>
      <c r="H9" s="197">
        <v>2.5000000000000001E-2</v>
      </c>
      <c r="I9" s="198" t="s">
        <v>171</v>
      </c>
      <c r="J9" s="199">
        <v>3.5000000000000003E-2</v>
      </c>
      <c r="K9" s="198" t="s">
        <v>169</v>
      </c>
      <c r="M9" s="136"/>
      <c r="N9" s="136"/>
      <c r="O9" s="204" t="s">
        <v>16</v>
      </c>
      <c r="P9" s="161">
        <v>0.3</v>
      </c>
      <c r="Q9" s="165" t="s">
        <v>237</v>
      </c>
      <c r="R9" s="161">
        <v>0.24</v>
      </c>
      <c r="S9" s="165" t="s">
        <v>247</v>
      </c>
      <c r="T9" s="171"/>
      <c r="U9" s="171">
        <v>2</v>
      </c>
      <c r="V9" s="175" t="s">
        <v>214</v>
      </c>
      <c r="W9" s="176">
        <v>11.3</v>
      </c>
      <c r="X9" s="177">
        <v>2.5</v>
      </c>
      <c r="Y9" s="177">
        <v>40.299999999999997</v>
      </c>
      <c r="Z9" s="177">
        <v>7.9</v>
      </c>
      <c r="AA9" s="177"/>
      <c r="AB9" s="177"/>
      <c r="AC9" s="177"/>
      <c r="AD9" s="177">
        <v>0.8</v>
      </c>
      <c r="AE9" s="177">
        <f t="shared" ref="AE9:AE26" si="0">100-SUM(W9:AD9)</f>
        <v>37.20000000000001</v>
      </c>
      <c r="AF9" s="183">
        <v>0.21</v>
      </c>
      <c r="AG9" s="186">
        <v>0.74</v>
      </c>
      <c r="AH9" s="237">
        <f t="shared" ref="AH9:AH26" si="1">ROUND((W9*W$4+X9*X$4+Y9*Y$4+Z9*Z$4+AA9*AA$4+AB9*AB$4+AC9*AC$4+AD9*AD$4)/100,2)</f>
        <v>0.25</v>
      </c>
      <c r="AI9"/>
    </row>
    <row r="10" spans="1:35" ht="25.5" customHeight="1">
      <c r="B10" s="194" t="s">
        <v>49</v>
      </c>
      <c r="C10" s="195" t="s">
        <v>50</v>
      </c>
      <c r="D10" s="91">
        <v>0.05</v>
      </c>
      <c r="E10" s="154" t="s">
        <v>167</v>
      </c>
      <c r="F10" s="168">
        <v>0.1</v>
      </c>
      <c r="G10" s="155" t="s">
        <v>172</v>
      </c>
      <c r="H10" s="91">
        <v>6.5000000000000002E-2</v>
      </c>
      <c r="I10" s="154" t="s">
        <v>166</v>
      </c>
      <c r="J10" s="168">
        <v>0.17</v>
      </c>
      <c r="K10" s="154" t="s">
        <v>177</v>
      </c>
      <c r="M10" s="136"/>
      <c r="N10" s="136"/>
      <c r="O10" s="205" t="s">
        <v>229</v>
      </c>
      <c r="P10" s="201">
        <v>0.47</v>
      </c>
      <c r="Q10" s="202" t="s">
        <v>238</v>
      </c>
      <c r="R10" s="201">
        <v>0.39</v>
      </c>
      <c r="S10" s="202" t="s">
        <v>248</v>
      </c>
      <c r="T10" s="171"/>
      <c r="U10" s="171">
        <v>3</v>
      </c>
      <c r="V10" s="175" t="s">
        <v>120</v>
      </c>
      <c r="W10" s="176">
        <v>12.9</v>
      </c>
      <c r="X10" s="177">
        <v>2.7</v>
      </c>
      <c r="Y10" s="177">
        <v>43.5</v>
      </c>
      <c r="Z10" s="177">
        <v>9.9</v>
      </c>
      <c r="AA10" s="177"/>
      <c r="AB10" s="177"/>
      <c r="AC10" s="177"/>
      <c r="AD10" s="177">
        <v>0.9</v>
      </c>
      <c r="AE10" s="177">
        <f t="shared" si="0"/>
        <v>30.099999999999994</v>
      </c>
      <c r="AF10" s="183">
        <v>0.27</v>
      </c>
      <c r="AG10" s="186">
        <v>0.59</v>
      </c>
      <c r="AH10" s="237">
        <f t="shared" si="1"/>
        <v>0.28000000000000003</v>
      </c>
      <c r="AI10"/>
    </row>
    <row r="11" spans="1:35" ht="25.5" customHeight="1" thickBot="1">
      <c r="B11" s="196" t="s">
        <v>51</v>
      </c>
      <c r="C11" s="145" t="s">
        <v>79</v>
      </c>
      <c r="D11" s="91">
        <v>0.06</v>
      </c>
      <c r="E11" s="154" t="s">
        <v>166</v>
      </c>
      <c r="F11" s="168">
        <v>0.185</v>
      </c>
      <c r="G11" s="155" t="s">
        <v>173</v>
      </c>
      <c r="H11" s="92">
        <v>8.5000000000000006E-2</v>
      </c>
      <c r="I11" s="156" t="s">
        <v>175</v>
      </c>
      <c r="J11" s="169">
        <v>0.4</v>
      </c>
      <c r="K11" s="156" t="s">
        <v>165</v>
      </c>
      <c r="M11" s="136"/>
      <c r="N11" s="136"/>
      <c r="O11" s="205" t="s">
        <v>263</v>
      </c>
      <c r="P11" s="201">
        <v>0.5</v>
      </c>
      <c r="Q11" s="202" t="s">
        <v>259</v>
      </c>
      <c r="R11" s="201">
        <v>0.43</v>
      </c>
      <c r="S11" s="202" t="s">
        <v>257</v>
      </c>
      <c r="T11" s="171"/>
      <c r="U11" s="171">
        <v>4</v>
      </c>
      <c r="V11" s="175" t="s">
        <v>121</v>
      </c>
      <c r="W11" s="176">
        <v>18</v>
      </c>
      <c r="X11" s="177">
        <v>2.9</v>
      </c>
      <c r="Y11" s="177">
        <v>41.1</v>
      </c>
      <c r="Z11" s="177">
        <v>9.8000000000000007</v>
      </c>
      <c r="AA11" s="177"/>
      <c r="AB11" s="177"/>
      <c r="AC11" s="177"/>
      <c r="AD11" s="177">
        <v>0.6</v>
      </c>
      <c r="AE11" s="177">
        <f t="shared" si="0"/>
        <v>27.600000000000009</v>
      </c>
      <c r="AF11" s="183">
        <f>AF$32</f>
        <v>0.42055555555555557</v>
      </c>
      <c r="AG11" s="244">
        <f>AG$32</f>
        <v>0.676111111111111</v>
      </c>
      <c r="AH11" s="237">
        <f t="shared" si="1"/>
        <v>0.3</v>
      </c>
      <c r="AI11"/>
    </row>
    <row r="12" spans="1:35" ht="26.25" thickBot="1">
      <c r="B12" s="210" t="s">
        <v>136</v>
      </c>
      <c r="C12" s="211" t="s">
        <v>78</v>
      </c>
      <c r="D12" s="212">
        <v>0.05</v>
      </c>
      <c r="E12" s="213" t="s">
        <v>167</v>
      </c>
      <c r="F12" s="214">
        <v>0.09</v>
      </c>
      <c r="G12" s="215" t="s">
        <v>174</v>
      </c>
      <c r="H12" s="212">
        <v>6.5000000000000002E-2</v>
      </c>
      <c r="I12" s="213" t="s">
        <v>166</v>
      </c>
      <c r="J12" s="214">
        <v>0.17</v>
      </c>
      <c r="K12" s="213" t="s">
        <v>177</v>
      </c>
      <c r="M12" s="136"/>
      <c r="N12" s="136"/>
      <c r="O12" s="205" t="s">
        <v>267</v>
      </c>
      <c r="P12" s="201">
        <v>0.6</v>
      </c>
      <c r="Q12" s="202" t="s">
        <v>260</v>
      </c>
      <c r="R12" s="201">
        <v>0.24</v>
      </c>
      <c r="S12" s="202" t="s">
        <v>258</v>
      </c>
      <c r="U12" s="171">
        <v>5</v>
      </c>
      <c r="V12" s="175" t="s">
        <v>215</v>
      </c>
      <c r="W12" s="176">
        <v>7.7</v>
      </c>
      <c r="X12" s="177">
        <v>1.7</v>
      </c>
      <c r="Y12" s="177">
        <v>53.9</v>
      </c>
      <c r="Z12" s="177">
        <v>7</v>
      </c>
      <c r="AA12" s="177"/>
      <c r="AB12" s="177"/>
      <c r="AC12" s="177"/>
      <c r="AD12" s="177">
        <v>1.1000000000000001</v>
      </c>
      <c r="AE12" s="177">
        <f t="shared" si="0"/>
        <v>28.600000000000009</v>
      </c>
      <c r="AF12" s="183">
        <v>0.28999999999999998</v>
      </c>
      <c r="AG12" s="244">
        <v>0.69</v>
      </c>
      <c r="AH12" s="237">
        <f t="shared" si="1"/>
        <v>0.28000000000000003</v>
      </c>
      <c r="AI12"/>
    </row>
    <row r="13" spans="1:35" ht="12.75" customHeight="1">
      <c r="I13" s="73"/>
      <c r="M13" s="136"/>
      <c r="N13" s="136"/>
      <c r="O13" s="876" t="s">
        <v>264</v>
      </c>
      <c r="P13" s="877"/>
      <c r="Q13" s="877"/>
      <c r="R13" s="877"/>
      <c r="S13" s="878"/>
      <c r="U13" s="171">
        <v>6</v>
      </c>
      <c r="V13" s="175" t="s">
        <v>216</v>
      </c>
      <c r="W13" s="176">
        <v>16.8</v>
      </c>
      <c r="X13" s="177">
        <v>2.5</v>
      </c>
      <c r="Y13" s="177">
        <v>43.4</v>
      </c>
      <c r="Z13" s="177">
        <v>6.5</v>
      </c>
      <c r="AA13" s="178"/>
      <c r="AB13" s="177"/>
      <c r="AC13" s="177"/>
      <c r="AD13" s="178"/>
      <c r="AE13" s="177">
        <f t="shared" si="0"/>
        <v>30.799999999999997</v>
      </c>
      <c r="AF13" s="183">
        <v>0.28999999999999998</v>
      </c>
      <c r="AG13" s="244">
        <v>0.69</v>
      </c>
      <c r="AH13" s="237">
        <f t="shared" si="1"/>
        <v>0.28000000000000003</v>
      </c>
      <c r="AI13"/>
    </row>
    <row r="14" spans="1:35">
      <c r="A14" s="73"/>
      <c r="B14" s="74" t="s">
        <v>58</v>
      </c>
      <c r="C14" s="73"/>
      <c r="D14" s="73"/>
      <c r="E14" s="73"/>
      <c r="F14" s="73"/>
      <c r="G14" s="73"/>
      <c r="H14" s="73"/>
      <c r="I14" s="73"/>
      <c r="J14" s="73"/>
      <c r="K14" s="73"/>
      <c r="L14" s="73"/>
      <c r="M14" s="136"/>
      <c r="N14" s="136"/>
      <c r="O14" s="397" t="s">
        <v>230</v>
      </c>
      <c r="P14" s="201"/>
      <c r="Q14" s="202"/>
      <c r="R14" s="201"/>
      <c r="S14" s="202"/>
      <c r="U14" s="171">
        <v>7</v>
      </c>
      <c r="V14" s="175" t="s">
        <v>217</v>
      </c>
      <c r="W14" s="176">
        <v>16.5</v>
      </c>
      <c r="X14" s="177">
        <v>2.5</v>
      </c>
      <c r="Y14" s="177">
        <v>51.1</v>
      </c>
      <c r="Z14" s="177">
        <v>2</v>
      </c>
      <c r="AA14" s="178"/>
      <c r="AB14" s="177"/>
      <c r="AC14" s="177"/>
      <c r="AD14" s="178"/>
      <c r="AE14" s="177">
        <f t="shared" si="0"/>
        <v>27.900000000000006</v>
      </c>
      <c r="AF14" s="183">
        <v>0.28999999999999998</v>
      </c>
      <c r="AG14" s="244">
        <v>0.69</v>
      </c>
      <c r="AH14" s="237">
        <f t="shared" si="1"/>
        <v>0.28000000000000003</v>
      </c>
      <c r="AI14"/>
    </row>
    <row r="15" spans="1:35" ht="13.5" thickBot="1">
      <c r="M15" s="136"/>
      <c r="N15" s="136"/>
      <c r="O15" s="398" t="s">
        <v>231</v>
      </c>
      <c r="P15" s="201"/>
      <c r="Q15" s="202"/>
      <c r="R15" s="201"/>
      <c r="S15" s="202"/>
      <c r="U15" s="171">
        <v>8</v>
      </c>
      <c r="V15" s="175" t="s">
        <v>122</v>
      </c>
      <c r="W15" s="176">
        <v>25</v>
      </c>
      <c r="X15" s="177"/>
      <c r="Y15" s="177">
        <v>23</v>
      </c>
      <c r="Z15" s="177">
        <v>15</v>
      </c>
      <c r="AA15" s="177"/>
      <c r="AB15" s="177"/>
      <c r="AC15" s="177"/>
      <c r="AD15" s="177"/>
      <c r="AE15" s="177">
        <f t="shared" si="0"/>
        <v>37</v>
      </c>
      <c r="AF15" s="183">
        <v>0.28999999999999998</v>
      </c>
      <c r="AG15" s="244">
        <v>0.69</v>
      </c>
      <c r="AH15" s="237">
        <f t="shared" si="1"/>
        <v>0.27</v>
      </c>
      <c r="AI15"/>
    </row>
    <row r="16" spans="1:35" ht="13.5" thickBot="1">
      <c r="C16" s="75" t="s">
        <v>59</v>
      </c>
      <c r="D16" s="76" t="s">
        <v>60</v>
      </c>
      <c r="E16" s="77" t="s">
        <v>61</v>
      </c>
      <c r="G16" s="302" t="s">
        <v>62</v>
      </c>
      <c r="N16" s="136"/>
      <c r="O16" s="398" t="s">
        <v>232</v>
      </c>
      <c r="P16" s="201"/>
      <c r="Q16" s="202"/>
      <c r="R16" s="201"/>
      <c r="S16" s="202"/>
      <c r="U16" s="171">
        <v>9</v>
      </c>
      <c r="V16" s="175" t="s">
        <v>218</v>
      </c>
      <c r="W16" s="176">
        <v>9.8000000000000007</v>
      </c>
      <c r="X16" s="177">
        <v>1</v>
      </c>
      <c r="Y16" s="177">
        <v>40.4</v>
      </c>
      <c r="Z16" s="177">
        <v>4.4000000000000004</v>
      </c>
      <c r="AA16" s="177"/>
      <c r="AB16" s="177"/>
      <c r="AC16" s="177"/>
      <c r="AD16" s="177"/>
      <c r="AE16" s="177">
        <f t="shared" si="0"/>
        <v>44.4</v>
      </c>
      <c r="AF16" s="183">
        <v>0.28999999999999998</v>
      </c>
      <c r="AG16" s="244">
        <v>0.69</v>
      </c>
      <c r="AH16" s="237">
        <f t="shared" si="1"/>
        <v>0.22</v>
      </c>
      <c r="AI16"/>
    </row>
    <row r="17" spans="1:35" ht="13.5" thickBot="1">
      <c r="A17" s="69">
        <v>1</v>
      </c>
      <c r="B17" s="363" t="s">
        <v>44</v>
      </c>
      <c r="C17" s="78" t="s">
        <v>63</v>
      </c>
      <c r="D17" s="79"/>
      <c r="E17" s="80" t="s">
        <v>64</v>
      </c>
      <c r="G17" s="303">
        <v>4</v>
      </c>
      <c r="M17" s="73"/>
      <c r="O17" s="398" t="s">
        <v>233</v>
      </c>
      <c r="P17" s="201"/>
      <c r="Q17" s="202"/>
      <c r="R17" s="201"/>
      <c r="S17" s="202"/>
      <c r="U17" s="171">
        <v>10</v>
      </c>
      <c r="V17" s="175" t="s">
        <v>219</v>
      </c>
      <c r="W17" s="176">
        <v>21.8</v>
      </c>
      <c r="X17" s="177">
        <v>4.7</v>
      </c>
      <c r="Y17" s="177">
        <v>30.1</v>
      </c>
      <c r="Z17" s="177">
        <v>7.5</v>
      </c>
      <c r="AA17" s="177"/>
      <c r="AB17" s="177"/>
      <c r="AC17" s="177"/>
      <c r="AD17" s="177">
        <v>1.4</v>
      </c>
      <c r="AE17" s="177">
        <f t="shared" si="0"/>
        <v>34.5</v>
      </c>
      <c r="AF17" s="183">
        <v>0.38</v>
      </c>
      <c r="AG17" s="186">
        <v>0.9</v>
      </c>
      <c r="AH17" s="237">
        <f t="shared" si="1"/>
        <v>0.27</v>
      </c>
      <c r="AI17"/>
    </row>
    <row r="18" spans="1:35" ht="13.5" thickBot="1">
      <c r="A18" s="69">
        <v>2</v>
      </c>
      <c r="B18" s="363" t="s">
        <v>65</v>
      </c>
      <c r="C18" s="81" t="s">
        <v>63</v>
      </c>
      <c r="D18" s="82"/>
      <c r="E18" s="83" t="s">
        <v>66</v>
      </c>
      <c r="O18" s="204" t="s">
        <v>135</v>
      </c>
      <c r="P18" s="406"/>
      <c r="Q18" s="407" t="s">
        <v>277</v>
      </c>
      <c r="R18" s="406">
        <v>0.05</v>
      </c>
      <c r="S18" s="407" t="s">
        <v>137</v>
      </c>
      <c r="U18" s="171">
        <v>11</v>
      </c>
      <c r="V18" s="175" t="s">
        <v>220</v>
      </c>
      <c r="W18" s="176">
        <v>30.6</v>
      </c>
      <c r="X18" s="177">
        <v>2</v>
      </c>
      <c r="Y18" s="177">
        <v>23.8</v>
      </c>
      <c r="Z18" s="177">
        <v>10</v>
      </c>
      <c r="AA18" s="177"/>
      <c r="AB18" s="177"/>
      <c r="AC18" s="177"/>
      <c r="AD18" s="177"/>
      <c r="AE18" s="177">
        <f t="shared" si="0"/>
        <v>33.599999999999994</v>
      </c>
      <c r="AF18" s="183">
        <v>0.64</v>
      </c>
      <c r="AG18" s="186">
        <v>0.47</v>
      </c>
      <c r="AH18" s="237">
        <f t="shared" si="1"/>
        <v>0.28000000000000003</v>
      </c>
      <c r="AI18"/>
    </row>
    <row r="19" spans="1:35" s="73" customFormat="1" ht="26.25" thickBot="1">
      <c r="A19" s="69">
        <v>3</v>
      </c>
      <c r="B19" s="363" t="s">
        <v>67</v>
      </c>
      <c r="C19" s="81" t="s">
        <v>68</v>
      </c>
      <c r="D19" s="82" t="s">
        <v>69</v>
      </c>
      <c r="E19" s="83"/>
      <c r="F19" s="69"/>
      <c r="G19" s="69"/>
      <c r="H19" s="69"/>
      <c r="I19" s="69"/>
      <c r="J19" s="69"/>
      <c r="K19" s="69"/>
      <c r="L19" s="69"/>
      <c r="M19" s="69"/>
      <c r="O19" s="403" t="s">
        <v>143</v>
      </c>
      <c r="P19" s="404"/>
      <c r="Q19" s="405" t="s">
        <v>277</v>
      </c>
      <c r="R19" s="404">
        <v>0.18</v>
      </c>
      <c r="S19" s="405" t="s">
        <v>156</v>
      </c>
      <c r="U19" s="171">
        <v>12</v>
      </c>
      <c r="V19" s="175" t="s">
        <v>123</v>
      </c>
      <c r="W19" s="176">
        <v>17</v>
      </c>
      <c r="X19" s="177"/>
      <c r="Y19" s="177">
        <v>36.9</v>
      </c>
      <c r="Z19" s="177">
        <v>10.6</v>
      </c>
      <c r="AA19" s="177"/>
      <c r="AB19" s="177"/>
      <c r="AC19" s="177"/>
      <c r="AD19" s="177"/>
      <c r="AE19" s="177">
        <f t="shared" si="0"/>
        <v>35.5</v>
      </c>
      <c r="AF19" s="183">
        <v>0.52</v>
      </c>
      <c r="AG19" s="186">
        <v>0.85</v>
      </c>
      <c r="AH19" s="237">
        <f t="shared" si="1"/>
        <v>0.27</v>
      </c>
      <c r="AI19"/>
    </row>
    <row r="20" spans="1:35" ht="26.25" thickBot="1">
      <c r="A20" s="84">
        <v>4</v>
      </c>
      <c r="B20" s="363" t="s">
        <v>98</v>
      </c>
      <c r="C20" s="85" t="s">
        <v>68</v>
      </c>
      <c r="D20" s="86" t="s">
        <v>97</v>
      </c>
      <c r="E20" s="87"/>
      <c r="O20" s="206" t="s">
        <v>23</v>
      </c>
      <c r="P20" s="377"/>
      <c r="Q20" s="378" t="s">
        <v>277</v>
      </c>
      <c r="R20" s="377">
        <v>0.15</v>
      </c>
      <c r="S20" s="378" t="s">
        <v>138</v>
      </c>
      <c r="U20" s="171">
        <v>13</v>
      </c>
      <c r="V20" s="175" t="s">
        <v>221</v>
      </c>
      <c r="W20" s="176">
        <v>27.5</v>
      </c>
      <c r="X20" s="177"/>
      <c r="Y20" s="177">
        <v>24.2</v>
      </c>
      <c r="Z20" s="177">
        <v>11</v>
      </c>
      <c r="AA20" s="177"/>
      <c r="AB20" s="177"/>
      <c r="AC20" s="177"/>
      <c r="AD20" s="177"/>
      <c r="AE20" s="177">
        <f t="shared" si="0"/>
        <v>37.299999999999997</v>
      </c>
      <c r="AF20" s="183">
        <v>0.56000000000000005</v>
      </c>
      <c r="AG20" s="186">
        <v>0.47</v>
      </c>
      <c r="AH20" s="237">
        <f t="shared" si="1"/>
        <v>0.27</v>
      </c>
      <c r="AI20"/>
    </row>
    <row r="21" spans="1:35" ht="26.25" thickBot="1">
      <c r="A21" s="84"/>
      <c r="B21" s="134"/>
      <c r="C21" s="84"/>
      <c r="D21" s="84"/>
      <c r="E21" s="84"/>
      <c r="O21" s="73"/>
      <c r="P21" s="73"/>
      <c r="Q21" s="73"/>
      <c r="R21" s="73"/>
      <c r="U21" s="171">
        <v>14</v>
      </c>
      <c r="V21" s="175" t="s">
        <v>222</v>
      </c>
      <c r="W21" s="176">
        <v>30</v>
      </c>
      <c r="X21" s="177"/>
      <c r="Y21" s="177">
        <v>36</v>
      </c>
      <c r="Z21" s="177">
        <v>24</v>
      </c>
      <c r="AA21" s="177"/>
      <c r="AB21" s="177"/>
      <c r="AC21" s="177"/>
      <c r="AD21" s="177"/>
      <c r="AE21" s="177">
        <f t="shared" si="0"/>
        <v>10</v>
      </c>
      <c r="AF21" s="183">
        <v>0.69</v>
      </c>
      <c r="AG21" s="186">
        <v>0.85</v>
      </c>
      <c r="AH21" s="237">
        <f t="shared" si="1"/>
        <v>0.39</v>
      </c>
      <c r="AI21"/>
    </row>
    <row r="22" spans="1:35" ht="26.25" thickBot="1">
      <c r="O22" s="304" t="s">
        <v>114</v>
      </c>
      <c r="P22" s="69">
        <v>1</v>
      </c>
      <c r="Q22" s="69" t="s">
        <v>145</v>
      </c>
      <c r="U22" s="171">
        <v>15</v>
      </c>
      <c r="V22" s="175" t="s">
        <v>223</v>
      </c>
      <c r="W22" s="176">
        <v>6</v>
      </c>
      <c r="X22" s="177"/>
      <c r="Y22" s="177">
        <v>67.5</v>
      </c>
      <c r="Z22" s="177">
        <v>2.5</v>
      </c>
      <c r="AA22" s="177"/>
      <c r="AB22" s="177"/>
      <c r="AC22" s="177"/>
      <c r="AD22" s="177"/>
      <c r="AE22" s="177">
        <f t="shared" si="0"/>
        <v>24</v>
      </c>
      <c r="AF22" s="183">
        <v>0.69</v>
      </c>
      <c r="AG22" s="186">
        <v>0.85</v>
      </c>
      <c r="AH22" s="237">
        <f t="shared" si="1"/>
        <v>0.3</v>
      </c>
      <c r="AI22"/>
    </row>
    <row r="23" spans="1:35" ht="13.5" thickBot="1">
      <c r="B23" s="69" t="s">
        <v>53</v>
      </c>
      <c r="O23" s="303">
        <v>1</v>
      </c>
      <c r="P23" s="69">
        <v>2</v>
      </c>
      <c r="Q23" s="69" t="s">
        <v>144</v>
      </c>
      <c r="U23" s="171">
        <v>16</v>
      </c>
      <c r="V23" s="175" t="s">
        <v>224</v>
      </c>
      <c r="W23" s="176">
        <v>23.2</v>
      </c>
      <c r="X23" s="177">
        <v>3.9</v>
      </c>
      <c r="Y23" s="177">
        <v>33.9</v>
      </c>
      <c r="Z23" s="177">
        <v>6.2</v>
      </c>
      <c r="AA23" s="177"/>
      <c r="AB23" s="177"/>
      <c r="AC23" s="177"/>
      <c r="AD23" s="177">
        <v>1.4</v>
      </c>
      <c r="AE23" s="177">
        <f t="shared" si="0"/>
        <v>31.399999999999991</v>
      </c>
      <c r="AF23" s="183">
        <v>0.65</v>
      </c>
      <c r="AG23" s="186">
        <v>0.57999999999999996</v>
      </c>
      <c r="AH23" s="237">
        <f t="shared" si="1"/>
        <v>0.28000000000000003</v>
      </c>
      <c r="AI23"/>
    </row>
    <row r="24" spans="1:35">
      <c r="B24" s="69" t="s">
        <v>54</v>
      </c>
      <c r="S24" s="73"/>
      <c r="U24" s="171">
        <v>17</v>
      </c>
      <c r="V24" s="175" t="s">
        <v>225</v>
      </c>
      <c r="W24" s="176">
        <v>13.7</v>
      </c>
      <c r="X24" s="177">
        <v>2.6</v>
      </c>
      <c r="Y24" s="177">
        <v>43.8</v>
      </c>
      <c r="Z24" s="177">
        <v>13.5</v>
      </c>
      <c r="AA24" s="177"/>
      <c r="AB24" s="177"/>
      <c r="AC24" s="177"/>
      <c r="AD24" s="177">
        <v>1.8</v>
      </c>
      <c r="AE24" s="177">
        <f t="shared" si="0"/>
        <v>24.600000000000009</v>
      </c>
      <c r="AF24" s="183">
        <v>0.21</v>
      </c>
      <c r="AG24" s="186">
        <v>0.5</v>
      </c>
      <c r="AH24" s="237">
        <f t="shared" si="1"/>
        <v>0.31</v>
      </c>
      <c r="AI24"/>
    </row>
    <row r="25" spans="1:35">
      <c r="B25" s="69" t="s">
        <v>55</v>
      </c>
      <c r="O25" s="84"/>
      <c r="P25" s="399"/>
      <c r="Q25" s="399"/>
      <c r="R25" s="400"/>
      <c r="S25" s="400"/>
      <c r="U25" s="171">
        <v>18</v>
      </c>
      <c r="V25" s="175" t="s">
        <v>226</v>
      </c>
      <c r="W25" s="176">
        <v>17.100000000000001</v>
      </c>
      <c r="X25" s="177">
        <v>2.6</v>
      </c>
      <c r="Y25" s="177">
        <v>44.9</v>
      </c>
      <c r="Z25" s="177">
        <v>4.7</v>
      </c>
      <c r="AA25" s="177"/>
      <c r="AB25" s="177"/>
      <c r="AC25" s="177"/>
      <c r="AD25" s="177">
        <v>0.7</v>
      </c>
      <c r="AE25" s="177">
        <f t="shared" si="0"/>
        <v>30</v>
      </c>
      <c r="AF25" s="183">
        <v>0.26</v>
      </c>
      <c r="AG25" s="186">
        <v>0.54</v>
      </c>
      <c r="AH25" s="237">
        <f t="shared" si="1"/>
        <v>0.28000000000000003</v>
      </c>
      <c r="AI25"/>
    </row>
    <row r="26" spans="1:35" ht="13.5" thickBot="1">
      <c r="B26" s="869" t="s">
        <v>70</v>
      </c>
      <c r="C26" s="869"/>
      <c r="D26" s="869"/>
      <c r="E26" s="869"/>
      <c r="F26" s="869"/>
      <c r="G26" s="869"/>
      <c r="H26" s="869"/>
      <c r="O26" s="84"/>
      <c r="P26" s="401"/>
      <c r="Q26" s="399"/>
      <c r="R26" s="401"/>
      <c r="S26" s="399"/>
      <c r="U26" s="171">
        <v>19</v>
      </c>
      <c r="V26" s="175" t="s">
        <v>124</v>
      </c>
      <c r="W26" s="179">
        <v>17</v>
      </c>
      <c r="X26" s="180">
        <v>5.0999999999999996</v>
      </c>
      <c r="Y26" s="180">
        <v>46.9</v>
      </c>
      <c r="Z26" s="180">
        <v>2.4</v>
      </c>
      <c r="AA26" s="180"/>
      <c r="AB26" s="180"/>
      <c r="AC26" s="180"/>
      <c r="AD26" s="180">
        <v>1.9</v>
      </c>
      <c r="AE26" s="180">
        <f t="shared" si="0"/>
        <v>26.699999999999989</v>
      </c>
      <c r="AF26" s="184">
        <v>0.49</v>
      </c>
      <c r="AG26" s="187">
        <v>0.83</v>
      </c>
      <c r="AH26" s="238">
        <f t="shared" si="1"/>
        <v>0.28999999999999998</v>
      </c>
      <c r="AI26"/>
    </row>
    <row r="27" spans="1:35">
      <c r="B27" s="870"/>
      <c r="C27" s="870"/>
      <c r="D27" s="870"/>
      <c r="E27" s="870"/>
      <c r="F27" s="870"/>
      <c r="G27" s="870"/>
      <c r="H27" s="870"/>
      <c r="O27" s="84"/>
      <c r="P27" s="402"/>
      <c r="Q27" s="84"/>
      <c r="R27" s="84"/>
      <c r="S27" s="84"/>
      <c r="U27" s="171"/>
      <c r="V27" s="173"/>
    </row>
    <row r="28" spans="1:35">
      <c r="B28" s="870"/>
      <c r="C28" s="870"/>
      <c r="D28" s="870"/>
      <c r="E28" s="870"/>
      <c r="F28" s="870"/>
      <c r="G28" s="870"/>
      <c r="H28" s="870"/>
      <c r="O28" s="84"/>
      <c r="P28" s="402"/>
      <c r="Q28" s="84"/>
      <c r="R28" s="84"/>
      <c r="S28" s="84"/>
      <c r="V28" s="173"/>
    </row>
    <row r="29" spans="1:35">
      <c r="B29" s="870"/>
      <c r="C29" s="870"/>
      <c r="D29" s="870"/>
      <c r="E29" s="870"/>
      <c r="F29" s="870"/>
      <c r="G29" s="870"/>
      <c r="H29" s="870"/>
      <c r="O29" s="394"/>
      <c r="P29" s="395"/>
      <c r="Q29" s="396"/>
      <c r="R29" s="84"/>
      <c r="W29" s="188">
        <f>AVERAGE(W8:W26)</f>
        <v>17.931578947368422</v>
      </c>
      <c r="X29" s="188">
        <f t="shared" ref="X29:AE29" si="2">AVERAGE(X8:X26)</f>
        <v>2.871428571428571</v>
      </c>
      <c r="Y29" s="188">
        <f t="shared" si="2"/>
        <v>39.521052631578939</v>
      </c>
      <c r="Z29" s="188">
        <f t="shared" si="2"/>
        <v>8.3368421052631572</v>
      </c>
      <c r="AA29" s="188"/>
      <c r="AB29" s="188"/>
      <c r="AC29" s="188"/>
      <c r="AD29" s="188">
        <f t="shared" si="2"/>
        <v>1.1600000000000001</v>
      </c>
      <c r="AE29" s="188">
        <f t="shared" si="2"/>
        <v>31.484210526315792</v>
      </c>
      <c r="AF29" s="188">
        <f>SUM(W29:AE29)</f>
        <v>101.30511278195488</v>
      </c>
    </row>
    <row r="30" spans="1:35">
      <c r="B30" s="870"/>
      <c r="C30" s="870"/>
      <c r="D30" s="870"/>
      <c r="E30" s="870"/>
      <c r="F30" s="870"/>
      <c r="G30" s="870"/>
      <c r="H30" s="870"/>
      <c r="O30" s="394"/>
      <c r="P30" s="395"/>
      <c r="Q30" s="396"/>
      <c r="R30" s="84"/>
      <c r="W30" s="189">
        <f t="shared" ref="W30:AE30" si="3">W29/$AF$29</f>
        <v>0.17700566590319725</v>
      </c>
      <c r="X30" s="189">
        <f t="shared" si="3"/>
        <v>2.8344359850908222E-2</v>
      </c>
      <c r="Y30" s="189">
        <f t="shared" si="3"/>
        <v>0.39011903295189543</v>
      </c>
      <c r="Z30" s="189">
        <f t="shared" si="3"/>
        <v>8.229438649564555E-2</v>
      </c>
      <c r="AA30" s="189">
        <f t="shared" si="3"/>
        <v>0</v>
      </c>
      <c r="AB30" s="189">
        <f t="shared" si="3"/>
        <v>0</v>
      </c>
      <c r="AC30" s="189">
        <f t="shared" si="3"/>
        <v>0</v>
      </c>
      <c r="AD30" s="189">
        <f t="shared" si="3"/>
        <v>1.145055731290422E-2</v>
      </c>
      <c r="AE30" s="189">
        <f t="shared" si="3"/>
        <v>0.31078599748544938</v>
      </c>
    </row>
    <row r="31" spans="1:35" ht="13.5" thickBot="1">
      <c r="O31" s="394"/>
      <c r="P31" s="395"/>
      <c r="Q31" s="396"/>
      <c r="R31" s="84"/>
    </row>
    <row r="32" spans="1:35" ht="13.5" thickBot="1">
      <c r="B32" s="88" t="s">
        <v>71</v>
      </c>
      <c r="O32" s="394"/>
      <c r="P32" s="395"/>
      <c r="Q32" s="396"/>
      <c r="R32" s="84"/>
      <c r="AE32" s="139" t="s">
        <v>178</v>
      </c>
      <c r="AF32" s="245">
        <f>AVERAGE(AF12:AF26,AF8:AF10)</f>
        <v>0.42055555555555557</v>
      </c>
      <c r="AG32" s="266">
        <f>AVERAGE(AG12:AG26,AG8:AG10)</f>
        <v>0.676111111111111</v>
      </c>
      <c r="AH32" s="267">
        <f>AVERAGE(AH8:AH26)</f>
        <v>0.27947368421052637</v>
      </c>
    </row>
    <row r="33" spans="2:18">
      <c r="O33" s="394"/>
      <c r="P33" s="395"/>
      <c r="Q33" s="396"/>
      <c r="R33" s="84"/>
    </row>
    <row r="34" spans="2:18">
      <c r="B34" s="69" t="s">
        <v>72</v>
      </c>
      <c r="O34" s="394"/>
      <c r="P34" s="395"/>
      <c r="Q34" s="396"/>
      <c r="R34" s="84"/>
    </row>
    <row r="35" spans="2:18">
      <c r="O35" s="394"/>
      <c r="P35" s="395"/>
      <c r="Q35" s="396"/>
      <c r="R35" s="84"/>
    </row>
    <row r="36" spans="2:18">
      <c r="B36" s="5" t="s">
        <v>73</v>
      </c>
      <c r="O36" s="394"/>
      <c r="P36" s="395"/>
      <c r="Q36" s="396"/>
      <c r="R36" s="84"/>
    </row>
    <row r="37" spans="2:18" ht="13.5" thickBot="1">
      <c r="O37" s="394"/>
      <c r="P37" s="395"/>
      <c r="Q37" s="396"/>
      <c r="R37" s="84"/>
    </row>
    <row r="38" spans="2:18" ht="14.25">
      <c r="B38" s="89" t="s">
        <v>74</v>
      </c>
      <c r="C38" s="871" t="s">
        <v>75</v>
      </c>
      <c r="D38" s="862"/>
      <c r="O38" s="394"/>
      <c r="P38" s="395"/>
      <c r="Q38" s="396"/>
      <c r="R38" s="84"/>
    </row>
    <row r="39" spans="2:18">
      <c r="B39" s="142">
        <v>35</v>
      </c>
      <c r="C39" s="874">
        <f>LN(2)/B39</f>
        <v>1.980420515885558E-2</v>
      </c>
      <c r="D39" s="875"/>
    </row>
    <row r="40" spans="2:18" ht="27">
      <c r="B40" s="364" t="s">
        <v>76</v>
      </c>
      <c r="C40" s="872" t="s">
        <v>77</v>
      </c>
      <c r="D40" s="873"/>
    </row>
    <row r="41" spans="2:18" ht="13.5" thickBot="1">
      <c r="B41" s="143">
        <v>0.05</v>
      </c>
      <c r="C41" s="867">
        <f>LN(2)/B41</f>
        <v>13.862943611198904</v>
      </c>
      <c r="D41" s="868"/>
    </row>
    <row r="51" spans="2:8">
      <c r="B51"/>
      <c r="C51"/>
      <c r="D51"/>
      <c r="E51"/>
      <c r="F51"/>
      <c r="G51"/>
      <c r="H51"/>
    </row>
    <row r="52" spans="2:8">
      <c r="B52"/>
      <c r="C52"/>
      <c r="D52"/>
      <c r="E52"/>
      <c r="F52"/>
      <c r="G52"/>
      <c r="H52"/>
    </row>
    <row r="53" spans="2:8">
      <c r="B53"/>
      <c r="C53"/>
      <c r="D53"/>
      <c r="E53"/>
      <c r="F53"/>
      <c r="G53"/>
      <c r="H53"/>
    </row>
    <row r="54" spans="2:8">
      <c r="B54"/>
      <c r="C54"/>
      <c r="D54"/>
      <c r="E54"/>
      <c r="F54"/>
      <c r="G54"/>
      <c r="H54"/>
    </row>
    <row r="55" spans="2:8">
      <c r="B55"/>
      <c r="C55"/>
      <c r="D55"/>
      <c r="E55"/>
      <c r="F55"/>
      <c r="G55"/>
      <c r="H55"/>
    </row>
    <row r="56" spans="2:8">
      <c r="B56"/>
      <c r="C56"/>
      <c r="D56"/>
      <c r="E56"/>
      <c r="F56"/>
      <c r="G56"/>
      <c r="H56"/>
    </row>
    <row r="57" spans="2:8">
      <c r="B57"/>
      <c r="C57"/>
      <c r="D57"/>
      <c r="E57"/>
      <c r="F57"/>
      <c r="G57"/>
      <c r="H57"/>
    </row>
    <row r="58" spans="2:8">
      <c r="B58"/>
      <c r="C58"/>
      <c r="D58"/>
      <c r="E58"/>
      <c r="F58"/>
      <c r="G58"/>
      <c r="H58"/>
    </row>
    <row r="59" spans="2:8">
      <c r="B59"/>
      <c r="C59"/>
      <c r="D59"/>
      <c r="E59"/>
      <c r="F59"/>
      <c r="G59"/>
      <c r="H59"/>
    </row>
    <row r="60" spans="2:8">
      <c r="B60"/>
      <c r="C60"/>
      <c r="D60"/>
      <c r="E60"/>
      <c r="F60"/>
      <c r="G60"/>
      <c r="H60"/>
    </row>
    <row r="61" spans="2:8">
      <c r="B61"/>
      <c r="C61"/>
      <c r="D61"/>
      <c r="E61"/>
      <c r="F61"/>
      <c r="G61"/>
      <c r="H61"/>
    </row>
    <row r="62" spans="2:8">
      <c r="B62"/>
      <c r="C62"/>
      <c r="D62"/>
      <c r="E62"/>
      <c r="F62"/>
      <c r="G62"/>
      <c r="H62"/>
    </row>
    <row r="63" spans="2:8">
      <c r="B63"/>
      <c r="C63"/>
      <c r="D63"/>
      <c r="E63"/>
      <c r="F63"/>
      <c r="G63"/>
      <c r="H63"/>
    </row>
    <row r="64" spans="2:8">
      <c r="B64"/>
      <c r="C64"/>
      <c r="D64"/>
      <c r="E64"/>
      <c r="F64"/>
      <c r="G64"/>
      <c r="H64"/>
    </row>
  </sheetData>
  <customSheetViews>
    <customSheetView guid="{B400968E-E9A7-41C3-9739-36597C9C6BC6}" showGridLines="0" showRuler="0">
      <pane ySplit="3" topLeftCell="A4" activePane="bottomLeft" state="frozenSplit"/>
      <selection pane="bottomLeft" activeCell="A4" sqref="A4"/>
      <pageMargins left="0.7" right="0.7" top="0.75" bottom="0.75" header="0.3" footer="0.3"/>
      <headerFooter alignWithMargins="0"/>
    </customSheetView>
  </customSheetViews>
  <mergeCells count="21">
    <mergeCell ref="P4:Q4"/>
    <mergeCell ref="R4:S4"/>
    <mergeCell ref="C41:D41"/>
    <mergeCell ref="B26:H30"/>
    <mergeCell ref="C38:D38"/>
    <mergeCell ref="C40:D40"/>
    <mergeCell ref="C39:D39"/>
    <mergeCell ref="O13:S13"/>
    <mergeCell ref="B2:H3"/>
    <mergeCell ref="D6:E6"/>
    <mergeCell ref="F6:G6"/>
    <mergeCell ref="D5:G5"/>
    <mergeCell ref="H5:K5"/>
    <mergeCell ref="AG5:AG7"/>
    <mergeCell ref="AH5:AH7"/>
    <mergeCell ref="B8:B9"/>
    <mergeCell ref="H6:I6"/>
    <mergeCell ref="J6:K6"/>
    <mergeCell ref="B7:C7"/>
    <mergeCell ref="W6:AE6"/>
    <mergeCell ref="AF5:AF7"/>
  </mergeCells>
  <phoneticPr fontId="16" type="noConversion"/>
  <pageMargins left="0.7" right="0.69" top="1" bottom="1" header="0.5" footer="0.5"/>
  <headerFooter alignWithMargins="0"/>
  <legacy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dimension ref="A2:W99"/>
  <sheetViews>
    <sheetView showGridLines="0" topLeftCell="B7" workbookViewId="0">
      <selection activeCell="M22" sqref="M22"/>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223" t="s">
        <v>102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Parameters!O15</f>
        <v>0.38</v>
      </c>
      <c r="O6" s="230"/>
      <c r="P6" s="231"/>
      <c r="Q6" s="222"/>
      <c r="R6" s="108" t="s">
        <v>9</v>
      </c>
      <c r="S6" s="109"/>
      <c r="T6" s="109"/>
      <c r="U6" s="113"/>
      <c r="V6" s="120" t="s">
        <v>9</v>
      </c>
      <c r="W6" s="261">
        <f>Parameters!R15</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Parameters!O34</f>
        <v>0.4</v>
      </c>
      <c r="O8" s="47"/>
      <c r="P8" s="47"/>
      <c r="Q8" s="222"/>
      <c r="R8" s="108" t="s">
        <v>192</v>
      </c>
      <c r="S8" s="109"/>
      <c r="T8" s="109"/>
      <c r="U8" s="113"/>
      <c r="V8" s="120" t="s">
        <v>188</v>
      </c>
      <c r="W8" s="114">
        <f>Parameters!O34</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772">
        <f>Amnt_Deposited!C14</f>
        <v>3.5531949426599994</v>
      </c>
      <c r="D19" s="416">
        <f>Dry_Matter_Content!C6</f>
        <v>0.59</v>
      </c>
      <c r="E19" s="283">
        <f>MCF!R18</f>
        <v>1</v>
      </c>
      <c r="F19" s="130">
        <f>C19*D19*$K$6*DOCF*E19</f>
        <v>0.3983131530721859</v>
      </c>
      <c r="G19" s="65">
        <f t="shared" ref="G19:G50" si="0">F19*$K$12</f>
        <v>0.3983131530721859</v>
      </c>
      <c r="H19" s="65">
        <f>F19*(1-$K$12)</f>
        <v>0</v>
      </c>
      <c r="I19" s="65">
        <f t="shared" ref="I19:I50" si="1">G19+I18*$K$10</f>
        <v>0.3983131530721859</v>
      </c>
      <c r="J19" s="65">
        <f t="shared" ref="J19:J50" si="2">I18*(1-$K$10)+H19</f>
        <v>0</v>
      </c>
      <c r="K19" s="66">
        <f>J19*CH4_fraction*conv</f>
        <v>0</v>
      </c>
      <c r="O19" s="95">
        <f>Amnt_Deposited!B14</f>
        <v>2000</v>
      </c>
      <c r="P19" s="98">
        <f>Amnt_Deposited!C14</f>
        <v>3.5531949426599994</v>
      </c>
      <c r="Q19" s="283">
        <f>MCF!R18</f>
        <v>1</v>
      </c>
      <c r="R19" s="130">
        <f t="shared" ref="R19:R50" si="3">P19*$W$6*DOCF*Q19</f>
        <v>0.26648962069949994</v>
      </c>
      <c r="S19" s="65">
        <f>R19*$W$12</f>
        <v>0.26648962069949994</v>
      </c>
      <c r="T19" s="65">
        <f>R19*(1-$W$12)</f>
        <v>0</v>
      </c>
      <c r="U19" s="65">
        <f>S19+U18*$W$10</f>
        <v>0.26648962069949994</v>
      </c>
      <c r="V19" s="65">
        <f>U18*(1-$W$10)+T19</f>
        <v>0</v>
      </c>
      <c r="W19" s="66">
        <f>V19*CH4_fraction*conv</f>
        <v>0</v>
      </c>
    </row>
    <row r="20" spans="2:23">
      <c r="B20" s="96">
        <f>Amnt_Deposited!B15</f>
        <v>2001</v>
      </c>
      <c r="C20" s="773">
        <f>Amnt_Deposited!C15</f>
        <v>3.7503089599799995</v>
      </c>
      <c r="D20" s="418">
        <f>Dry_Matter_Content!C7</f>
        <v>0.59</v>
      </c>
      <c r="E20" s="284">
        <f>MCF!R19</f>
        <v>1</v>
      </c>
      <c r="F20" s="67">
        <f t="shared" ref="F20:F50" si="4">C20*D20*$K$6*DOCF*E20</f>
        <v>0.42040963441375789</v>
      </c>
      <c r="G20" s="67">
        <f t="shared" si="0"/>
        <v>0.42040963441375789</v>
      </c>
      <c r="H20" s="67">
        <f t="shared" ref="H20:H50" si="5">F20*(1-$K$12)</f>
        <v>0</v>
      </c>
      <c r="I20" s="67">
        <f t="shared" si="1"/>
        <v>0.68740692551770621</v>
      </c>
      <c r="J20" s="67">
        <f t="shared" si="2"/>
        <v>0.13131586196823758</v>
      </c>
      <c r="K20" s="100">
        <f>J20*CH4_fraction*conv</f>
        <v>8.7543907978825053E-2</v>
      </c>
      <c r="M20" s="393"/>
      <c r="O20" s="96">
        <f>Amnt_Deposited!B15</f>
        <v>2001</v>
      </c>
      <c r="P20" s="99">
        <f>Amnt_Deposited!C15</f>
        <v>3.7503089599799995</v>
      </c>
      <c r="Q20" s="284">
        <f>MCF!R19</f>
        <v>1</v>
      </c>
      <c r="R20" s="67">
        <f t="shared" si="3"/>
        <v>0.28127317199849994</v>
      </c>
      <c r="S20" s="67">
        <f>R20*$W$12</f>
        <v>0.28127317199849994</v>
      </c>
      <c r="T20" s="67">
        <f>R20*(1-$W$12)</f>
        <v>0</v>
      </c>
      <c r="U20" s="67">
        <f>S20+U19*$W$10</f>
        <v>0.45990650681380879</v>
      </c>
      <c r="V20" s="67">
        <f>U19*(1-$W$10)+T20</f>
        <v>8.7856285884191074E-2</v>
      </c>
      <c r="W20" s="100">
        <f>V20*CH4_fraction*conv</f>
        <v>5.857085725612738E-2</v>
      </c>
    </row>
    <row r="21" spans="2:23">
      <c r="B21" s="96">
        <f>Amnt_Deposited!B16</f>
        <v>2002</v>
      </c>
      <c r="C21" s="773">
        <f>Amnt_Deposited!C16</f>
        <v>3.9624878607599996</v>
      </c>
      <c r="D21" s="418">
        <f>Dry_Matter_Content!C8</f>
        <v>0.59</v>
      </c>
      <c r="E21" s="284">
        <f>MCF!R20</f>
        <v>1</v>
      </c>
      <c r="F21" s="67">
        <f t="shared" si="4"/>
        <v>0.44419488919119593</v>
      </c>
      <c r="G21" s="67">
        <f t="shared" si="0"/>
        <v>0.44419488919119593</v>
      </c>
      <c r="H21" s="67">
        <f t="shared" si="5"/>
        <v>0</v>
      </c>
      <c r="I21" s="67">
        <f t="shared" si="1"/>
        <v>0.90497753114944213</v>
      </c>
      <c r="J21" s="67">
        <f t="shared" si="2"/>
        <v>0.2266242835594601</v>
      </c>
      <c r="K21" s="100">
        <f t="shared" ref="K21:K84" si="6">J21*CH4_fraction*conv</f>
        <v>0.15108285570630672</v>
      </c>
      <c r="O21" s="96">
        <f>Amnt_Deposited!B16</f>
        <v>2002</v>
      </c>
      <c r="P21" s="99">
        <f>Amnt_Deposited!C16</f>
        <v>3.9624878607599996</v>
      </c>
      <c r="Q21" s="284">
        <f>MCF!R20</f>
        <v>1</v>
      </c>
      <c r="R21" s="67">
        <f t="shared" si="3"/>
        <v>0.29718658955699995</v>
      </c>
      <c r="S21" s="67">
        <f t="shared" ref="S21:S84" si="7">R21*$W$12</f>
        <v>0.29718658955699995</v>
      </c>
      <c r="T21" s="67">
        <f t="shared" ref="T21:T84" si="8">R21*(1-$W$12)</f>
        <v>0</v>
      </c>
      <c r="U21" s="67">
        <f t="shared" ref="U21:U84" si="9">S21+U20*$W$10</f>
        <v>0.60547114037652228</v>
      </c>
      <c r="V21" s="67">
        <f t="shared" ref="V21:V84" si="10">U20*(1-$W$10)+T21</f>
        <v>0.15162195599428641</v>
      </c>
      <c r="W21" s="100">
        <f t="shared" ref="W21:W84" si="11">V21*CH4_fraction*conv</f>
        <v>0.10108130399619093</v>
      </c>
    </row>
    <row r="22" spans="2:23">
      <c r="B22" s="96">
        <f>Amnt_Deposited!B17</f>
        <v>2003</v>
      </c>
      <c r="C22" s="773">
        <f>Amnt_Deposited!C17</f>
        <v>4.0350292072200009</v>
      </c>
      <c r="D22" s="418">
        <f>Dry_Matter_Content!C9</f>
        <v>0.59</v>
      </c>
      <c r="E22" s="284">
        <f>MCF!R21</f>
        <v>1</v>
      </c>
      <c r="F22" s="67">
        <f t="shared" si="4"/>
        <v>0.45232677412936212</v>
      </c>
      <c r="G22" s="67">
        <f t="shared" si="0"/>
        <v>0.45232677412936212</v>
      </c>
      <c r="H22" s="67">
        <f t="shared" si="5"/>
        <v>0</v>
      </c>
      <c r="I22" s="67">
        <f t="shared" si="1"/>
        <v>1.0589513544706755</v>
      </c>
      <c r="J22" s="67">
        <f t="shared" si="2"/>
        <v>0.29835295080812885</v>
      </c>
      <c r="K22" s="100">
        <f t="shared" si="6"/>
        <v>0.19890196720541922</v>
      </c>
      <c r="N22" s="258"/>
      <c r="O22" s="96">
        <f>Amnt_Deposited!B17</f>
        <v>2003</v>
      </c>
      <c r="P22" s="99">
        <f>Amnt_Deposited!C17</f>
        <v>4.0350292072200009</v>
      </c>
      <c r="Q22" s="284">
        <f>MCF!R21</f>
        <v>1</v>
      </c>
      <c r="R22" s="67">
        <f t="shared" si="3"/>
        <v>0.30262719054150006</v>
      </c>
      <c r="S22" s="67">
        <f t="shared" si="7"/>
        <v>0.30262719054150006</v>
      </c>
      <c r="T22" s="67">
        <f t="shared" si="8"/>
        <v>0</v>
      </c>
      <c r="U22" s="67">
        <f t="shared" si="9"/>
        <v>0.7084866332319415</v>
      </c>
      <c r="V22" s="67">
        <f t="shared" si="10"/>
        <v>0.19961169768608084</v>
      </c>
      <c r="W22" s="100">
        <f t="shared" si="11"/>
        <v>0.13307446512405388</v>
      </c>
    </row>
    <row r="23" spans="2:23">
      <c r="B23" s="96">
        <f>Amnt_Deposited!B18</f>
        <v>2004</v>
      </c>
      <c r="C23" s="773">
        <f>Amnt_Deposited!C18</f>
        <v>4.2572211128699999</v>
      </c>
      <c r="D23" s="418">
        <f>Dry_Matter_Content!C10</f>
        <v>0.59</v>
      </c>
      <c r="E23" s="284">
        <f>MCF!R22</f>
        <v>1</v>
      </c>
      <c r="F23" s="67">
        <f t="shared" si="4"/>
        <v>0.47723448675272695</v>
      </c>
      <c r="G23" s="67">
        <f t="shared" si="0"/>
        <v>0.47723448675272695</v>
      </c>
      <c r="H23" s="67">
        <f t="shared" si="5"/>
        <v>0</v>
      </c>
      <c r="I23" s="67">
        <f t="shared" si="1"/>
        <v>1.1870708074310128</v>
      </c>
      <c r="J23" s="67">
        <f t="shared" si="2"/>
        <v>0.34911503379238967</v>
      </c>
      <c r="K23" s="100">
        <f t="shared" si="6"/>
        <v>0.23274335586159312</v>
      </c>
      <c r="N23" s="258"/>
      <c r="O23" s="96">
        <f>Amnt_Deposited!B18</f>
        <v>2004</v>
      </c>
      <c r="P23" s="99">
        <f>Amnt_Deposited!C18</f>
        <v>4.2572211128699999</v>
      </c>
      <c r="Q23" s="284">
        <f>MCF!R22</f>
        <v>1</v>
      </c>
      <c r="R23" s="67">
        <f t="shared" si="3"/>
        <v>0.31929158346525</v>
      </c>
      <c r="S23" s="67">
        <f t="shared" si="7"/>
        <v>0.31929158346525</v>
      </c>
      <c r="T23" s="67">
        <f t="shared" si="8"/>
        <v>0</v>
      </c>
      <c r="U23" s="67">
        <f t="shared" si="9"/>
        <v>0.79420437606892014</v>
      </c>
      <c r="V23" s="67">
        <f t="shared" si="10"/>
        <v>0.23357384062827136</v>
      </c>
      <c r="W23" s="100">
        <f t="shared" si="11"/>
        <v>0.1557158937521809</v>
      </c>
    </row>
    <row r="24" spans="2:23">
      <c r="B24" s="96">
        <f>Amnt_Deposited!B19</f>
        <v>2005</v>
      </c>
      <c r="C24" s="773">
        <f>Amnt_Deposited!C19</f>
        <v>4.5633891560400004</v>
      </c>
      <c r="D24" s="418">
        <f>Dry_Matter_Content!C11</f>
        <v>0.59</v>
      </c>
      <c r="E24" s="284">
        <f>MCF!R23</f>
        <v>1</v>
      </c>
      <c r="F24" s="67">
        <f t="shared" si="4"/>
        <v>0.51155592439208408</v>
      </c>
      <c r="G24" s="67">
        <f t="shared" si="0"/>
        <v>0.51155592439208408</v>
      </c>
      <c r="H24" s="67">
        <f t="shared" si="5"/>
        <v>0</v>
      </c>
      <c r="I24" s="67">
        <f t="shared" si="1"/>
        <v>1.3072732826768041</v>
      </c>
      <c r="J24" s="67">
        <f t="shared" si="2"/>
        <v>0.39135344914629278</v>
      </c>
      <c r="K24" s="100">
        <f t="shared" si="6"/>
        <v>0.26090229943086185</v>
      </c>
      <c r="N24" s="258"/>
      <c r="O24" s="96">
        <f>Amnt_Deposited!B19</f>
        <v>2005</v>
      </c>
      <c r="P24" s="99">
        <f>Amnt_Deposited!C19</f>
        <v>4.5633891560400004</v>
      </c>
      <c r="Q24" s="284">
        <f>MCF!R23</f>
        <v>1</v>
      </c>
      <c r="R24" s="67">
        <f t="shared" si="3"/>
        <v>0.34225418670300001</v>
      </c>
      <c r="S24" s="67">
        <f t="shared" si="7"/>
        <v>0.34225418670300001</v>
      </c>
      <c r="T24" s="67">
        <f t="shared" si="8"/>
        <v>0</v>
      </c>
      <c r="U24" s="67">
        <f t="shared" si="9"/>
        <v>0.87462530063122479</v>
      </c>
      <c r="V24" s="67">
        <f t="shared" si="10"/>
        <v>0.26183326214069536</v>
      </c>
      <c r="W24" s="100">
        <f t="shared" si="11"/>
        <v>0.17455550809379689</v>
      </c>
    </row>
    <row r="25" spans="2:23">
      <c r="B25" s="96">
        <f>Amnt_Deposited!B20</f>
        <v>2006</v>
      </c>
      <c r="C25" s="773">
        <f>Amnt_Deposited!C20</f>
        <v>4.7490986330699991</v>
      </c>
      <c r="D25" s="418">
        <f>Dry_Matter_Content!C12</f>
        <v>0.59</v>
      </c>
      <c r="E25" s="284">
        <f>MCF!R24</f>
        <v>1</v>
      </c>
      <c r="F25" s="67">
        <f t="shared" si="4"/>
        <v>0.53237395676714694</v>
      </c>
      <c r="G25" s="67">
        <f t="shared" si="0"/>
        <v>0.53237395676714694</v>
      </c>
      <c r="H25" s="67">
        <f t="shared" si="5"/>
        <v>0</v>
      </c>
      <c r="I25" s="67">
        <f t="shared" si="1"/>
        <v>1.4086654437922235</v>
      </c>
      <c r="J25" s="67">
        <f t="shared" si="2"/>
        <v>0.43098179565172745</v>
      </c>
      <c r="K25" s="100">
        <f t="shared" si="6"/>
        <v>0.28732119710115162</v>
      </c>
      <c r="N25" s="258"/>
      <c r="O25" s="96">
        <f>Amnt_Deposited!B20</f>
        <v>2006</v>
      </c>
      <c r="P25" s="99">
        <f>Amnt_Deposited!C20</f>
        <v>4.7490986330699991</v>
      </c>
      <c r="Q25" s="284">
        <f>MCF!R24</f>
        <v>1</v>
      </c>
      <c r="R25" s="67">
        <f t="shared" si="3"/>
        <v>0.35618239748024993</v>
      </c>
      <c r="S25" s="67">
        <f t="shared" si="7"/>
        <v>0.35618239748024993</v>
      </c>
      <c r="T25" s="67">
        <f t="shared" si="8"/>
        <v>0</v>
      </c>
      <c r="U25" s="67">
        <f t="shared" si="9"/>
        <v>0.94246126926330742</v>
      </c>
      <c r="V25" s="67">
        <f t="shared" si="10"/>
        <v>0.2883464288481673</v>
      </c>
      <c r="W25" s="100">
        <f t="shared" si="11"/>
        <v>0.19223095256544487</v>
      </c>
    </row>
    <row r="26" spans="2:23">
      <c r="B26" s="96">
        <f>Amnt_Deposited!B21</f>
        <v>2007</v>
      </c>
      <c r="C26" s="773">
        <f>Amnt_Deposited!C21</f>
        <v>4.9402229979300003</v>
      </c>
      <c r="D26" s="418">
        <f>Dry_Matter_Content!C13</f>
        <v>0.59</v>
      </c>
      <c r="E26" s="284">
        <f>MCF!R25</f>
        <v>1</v>
      </c>
      <c r="F26" s="67">
        <f t="shared" si="4"/>
        <v>0.55379899806795296</v>
      </c>
      <c r="G26" s="67">
        <f t="shared" si="0"/>
        <v>0.55379899806795296</v>
      </c>
      <c r="H26" s="67">
        <f t="shared" si="5"/>
        <v>0</v>
      </c>
      <c r="I26" s="67">
        <f t="shared" si="1"/>
        <v>1.4980556831995706</v>
      </c>
      <c r="J26" s="67">
        <f t="shared" si="2"/>
        <v>0.46440875866060594</v>
      </c>
      <c r="K26" s="100">
        <f t="shared" si="6"/>
        <v>0.30960583910707062</v>
      </c>
      <c r="N26" s="258"/>
      <c r="O26" s="96">
        <f>Amnt_Deposited!B21</f>
        <v>2007</v>
      </c>
      <c r="P26" s="99">
        <f>Amnt_Deposited!C21</f>
        <v>4.9402229979300003</v>
      </c>
      <c r="Q26" s="284">
        <f>MCF!R25</f>
        <v>1</v>
      </c>
      <c r="R26" s="67">
        <f t="shared" si="3"/>
        <v>0.37051672484475001</v>
      </c>
      <c r="S26" s="67">
        <f t="shared" si="7"/>
        <v>0.37051672484475001</v>
      </c>
      <c r="T26" s="67">
        <f t="shared" si="8"/>
        <v>0</v>
      </c>
      <c r="U26" s="67">
        <f t="shared" si="9"/>
        <v>1.0022674062441372</v>
      </c>
      <c r="V26" s="67">
        <f t="shared" si="10"/>
        <v>0.31071058786392014</v>
      </c>
      <c r="W26" s="100">
        <f t="shared" si="11"/>
        <v>0.20714039190928007</v>
      </c>
    </row>
    <row r="27" spans="2:23">
      <c r="B27" s="96">
        <f>Amnt_Deposited!B22</f>
        <v>2008</v>
      </c>
      <c r="C27" s="773">
        <f>Amnt_Deposited!C22</f>
        <v>5.1363689906099994</v>
      </c>
      <c r="D27" s="418">
        <f>Dry_Matter_Content!C14</f>
        <v>0.59</v>
      </c>
      <c r="E27" s="284">
        <f>MCF!R26</f>
        <v>1</v>
      </c>
      <c r="F27" s="67">
        <f t="shared" si="4"/>
        <v>0.57578696384738093</v>
      </c>
      <c r="G27" s="67">
        <f t="shared" si="0"/>
        <v>0.57578696384738093</v>
      </c>
      <c r="H27" s="67">
        <f t="shared" si="5"/>
        <v>0</v>
      </c>
      <c r="I27" s="67">
        <f t="shared" si="1"/>
        <v>1.5799637183736681</v>
      </c>
      <c r="J27" s="67">
        <f t="shared" si="2"/>
        <v>0.49387892867328331</v>
      </c>
      <c r="K27" s="100">
        <f t="shared" si="6"/>
        <v>0.32925261911552217</v>
      </c>
      <c r="N27" s="258"/>
      <c r="O27" s="96">
        <f>Amnt_Deposited!B22</f>
        <v>2008</v>
      </c>
      <c r="P27" s="99">
        <f>Amnt_Deposited!C22</f>
        <v>5.1363689906099994</v>
      </c>
      <c r="Q27" s="284">
        <f>MCF!R26</f>
        <v>1</v>
      </c>
      <c r="R27" s="67">
        <f t="shared" si="3"/>
        <v>0.38522767429574994</v>
      </c>
      <c r="S27" s="67">
        <f t="shared" si="7"/>
        <v>0.38522767429574994</v>
      </c>
      <c r="T27" s="67">
        <f t="shared" si="8"/>
        <v>0</v>
      </c>
      <c r="U27" s="67">
        <f t="shared" si="9"/>
        <v>1.0570676081893409</v>
      </c>
      <c r="V27" s="67">
        <f t="shared" si="10"/>
        <v>0.33042747235054631</v>
      </c>
      <c r="W27" s="100">
        <f t="shared" si="11"/>
        <v>0.22028498156703086</v>
      </c>
    </row>
    <row r="28" spans="2:23">
      <c r="B28" s="96">
        <f>Amnt_Deposited!B23</f>
        <v>2009</v>
      </c>
      <c r="C28" s="773">
        <f>Amnt_Deposited!C23</f>
        <v>5.3369013449400002</v>
      </c>
      <c r="D28" s="418">
        <f>Dry_Matter_Content!C15</f>
        <v>0.59</v>
      </c>
      <c r="E28" s="284">
        <f>MCF!R27</f>
        <v>1</v>
      </c>
      <c r="F28" s="67">
        <f t="shared" si="4"/>
        <v>0.59826664076777392</v>
      </c>
      <c r="G28" s="67">
        <f t="shared" si="0"/>
        <v>0.59826664076777392</v>
      </c>
      <c r="H28" s="67">
        <f t="shared" si="5"/>
        <v>0</v>
      </c>
      <c r="I28" s="67">
        <f t="shared" si="1"/>
        <v>1.6573479932026509</v>
      </c>
      <c r="J28" s="67">
        <f t="shared" si="2"/>
        <v>0.520882365938791</v>
      </c>
      <c r="K28" s="100">
        <f t="shared" si="6"/>
        <v>0.34725491062586067</v>
      </c>
      <c r="N28" s="258"/>
      <c r="O28" s="96">
        <f>Amnt_Deposited!B23</f>
        <v>2009</v>
      </c>
      <c r="P28" s="99">
        <f>Amnt_Deposited!C23</f>
        <v>5.3369013449400002</v>
      </c>
      <c r="Q28" s="284">
        <f>MCF!R27</f>
        <v>1</v>
      </c>
      <c r="R28" s="67">
        <f t="shared" si="3"/>
        <v>0.40026760087050001</v>
      </c>
      <c r="S28" s="67">
        <f t="shared" si="7"/>
        <v>0.40026760087050001</v>
      </c>
      <c r="T28" s="67">
        <f t="shared" si="8"/>
        <v>0</v>
      </c>
      <c r="U28" s="67">
        <f t="shared" si="9"/>
        <v>1.1088412086547621</v>
      </c>
      <c r="V28" s="67">
        <f t="shared" si="10"/>
        <v>0.34849400040507872</v>
      </c>
      <c r="W28" s="100">
        <f t="shared" si="11"/>
        <v>0.23232933360338581</v>
      </c>
    </row>
    <row r="29" spans="2:23">
      <c r="B29" s="96">
        <f>Amnt_Deposited!B24</f>
        <v>2010</v>
      </c>
      <c r="C29" s="773">
        <f>Amnt_Deposited!C24</f>
        <v>5.4172776408299992</v>
      </c>
      <c r="D29" s="418">
        <f>Dry_Matter_Content!C16</f>
        <v>0.59</v>
      </c>
      <c r="E29" s="284">
        <f>MCF!R28</f>
        <v>1</v>
      </c>
      <c r="F29" s="67">
        <f t="shared" si="4"/>
        <v>0.60727682353704282</v>
      </c>
      <c r="G29" s="67">
        <f t="shared" si="0"/>
        <v>0.60727682353704282</v>
      </c>
      <c r="H29" s="67">
        <f t="shared" si="5"/>
        <v>0</v>
      </c>
      <c r="I29" s="67">
        <f t="shared" si="1"/>
        <v>1.7182304066377183</v>
      </c>
      <c r="J29" s="67">
        <f t="shared" si="2"/>
        <v>0.54639441010197554</v>
      </c>
      <c r="K29" s="100">
        <f t="shared" si="6"/>
        <v>0.36426294006798365</v>
      </c>
      <c r="O29" s="96">
        <f>Amnt_Deposited!B24</f>
        <v>2010</v>
      </c>
      <c r="P29" s="99">
        <f>Amnt_Deposited!C24</f>
        <v>5.4172776408299992</v>
      </c>
      <c r="Q29" s="284">
        <f>MCF!R28</f>
        <v>1</v>
      </c>
      <c r="R29" s="67">
        <f t="shared" si="3"/>
        <v>0.40629582306224993</v>
      </c>
      <c r="S29" s="67">
        <f t="shared" si="7"/>
        <v>0.40629582306224993</v>
      </c>
      <c r="T29" s="67">
        <f t="shared" si="8"/>
        <v>0</v>
      </c>
      <c r="U29" s="67">
        <f t="shared" si="9"/>
        <v>1.149574313093924</v>
      </c>
      <c r="V29" s="67">
        <f t="shared" si="10"/>
        <v>0.36556271862308803</v>
      </c>
      <c r="W29" s="100">
        <f t="shared" si="11"/>
        <v>0.24370847908205867</v>
      </c>
    </row>
    <row r="30" spans="2:23">
      <c r="B30" s="96">
        <f>Amnt_Deposited!B25</f>
        <v>2011</v>
      </c>
      <c r="C30" s="99">
        <f>Amnt_Deposited!C25</f>
        <v>5.1147451901999998</v>
      </c>
      <c r="D30" s="418">
        <f>Dry_Matter_Content!C17</f>
        <v>0.59</v>
      </c>
      <c r="E30" s="284">
        <f>MCF!R29</f>
        <v>1</v>
      </c>
      <c r="F30" s="67">
        <f t="shared" si="4"/>
        <v>0.57336293582141995</v>
      </c>
      <c r="G30" s="67">
        <f t="shared" si="0"/>
        <v>0.57336293582141995</v>
      </c>
      <c r="H30" s="67">
        <f t="shared" si="5"/>
        <v>0</v>
      </c>
      <c r="I30" s="67">
        <f t="shared" si="1"/>
        <v>1.7251272210986506</v>
      </c>
      <c r="J30" s="67">
        <f t="shared" si="2"/>
        <v>0.56646612136048768</v>
      </c>
      <c r="K30" s="100">
        <f t="shared" si="6"/>
        <v>0.37764408090699175</v>
      </c>
      <c r="O30" s="96">
        <f>Amnt_Deposited!B25</f>
        <v>2011</v>
      </c>
      <c r="P30" s="99">
        <f>Amnt_Deposited!C25</f>
        <v>5.1147451901999998</v>
      </c>
      <c r="Q30" s="284">
        <f>MCF!R29</f>
        <v>1</v>
      </c>
      <c r="R30" s="67">
        <f t="shared" si="3"/>
        <v>0.383605889265</v>
      </c>
      <c r="S30" s="67">
        <f t="shared" si="7"/>
        <v>0.383605889265</v>
      </c>
      <c r="T30" s="67">
        <f t="shared" si="8"/>
        <v>0</v>
      </c>
      <c r="U30" s="67">
        <f t="shared" si="9"/>
        <v>1.1541885957395075</v>
      </c>
      <c r="V30" s="67">
        <f t="shared" si="10"/>
        <v>0.37899160661941639</v>
      </c>
      <c r="W30" s="100">
        <f t="shared" si="11"/>
        <v>0.25266107107961089</v>
      </c>
    </row>
    <row r="31" spans="2:23">
      <c r="B31" s="96">
        <f>Amnt_Deposited!B26</f>
        <v>2012</v>
      </c>
      <c r="C31" s="99">
        <f>Amnt_Deposited!C26</f>
        <v>5.2684741032000009</v>
      </c>
      <c r="D31" s="418">
        <f>Dry_Matter_Content!C18</f>
        <v>0.59</v>
      </c>
      <c r="E31" s="284">
        <f>MCF!R30</f>
        <v>1</v>
      </c>
      <c r="F31" s="67">
        <f t="shared" si="4"/>
        <v>0.59059594696872009</v>
      </c>
      <c r="G31" s="67">
        <f t="shared" si="0"/>
        <v>0.59059594696872009</v>
      </c>
      <c r="H31" s="67">
        <f t="shared" si="5"/>
        <v>0</v>
      </c>
      <c r="I31" s="67">
        <f t="shared" si="1"/>
        <v>1.746983305232902</v>
      </c>
      <c r="J31" s="67">
        <f t="shared" si="2"/>
        <v>0.56873986283446853</v>
      </c>
      <c r="K31" s="100">
        <f t="shared" si="6"/>
        <v>0.37915990855631232</v>
      </c>
      <c r="O31" s="96">
        <f>Amnt_Deposited!B26</f>
        <v>2012</v>
      </c>
      <c r="P31" s="99">
        <f>Amnt_Deposited!C26</f>
        <v>5.2684741032000009</v>
      </c>
      <c r="Q31" s="284">
        <f>MCF!R30</f>
        <v>1</v>
      </c>
      <c r="R31" s="67">
        <f t="shared" si="3"/>
        <v>0.39513555774000003</v>
      </c>
      <c r="S31" s="67">
        <f t="shared" si="7"/>
        <v>0.39513555774000003</v>
      </c>
      <c r="T31" s="67">
        <f t="shared" si="8"/>
        <v>0</v>
      </c>
      <c r="U31" s="67">
        <f t="shared" si="9"/>
        <v>1.1688113103699167</v>
      </c>
      <c r="V31" s="67">
        <f t="shared" si="10"/>
        <v>0.38051284310959094</v>
      </c>
      <c r="W31" s="100">
        <f t="shared" si="11"/>
        <v>0.25367522873972725</v>
      </c>
    </row>
    <row r="32" spans="2:23">
      <c r="B32" s="96">
        <f>Amnt_Deposited!B27</f>
        <v>2013</v>
      </c>
      <c r="C32" s="99">
        <f>Amnt_Deposited!C27</f>
        <v>5.4283081716000003</v>
      </c>
      <c r="D32" s="418">
        <f>Dry_Matter_Content!C19</f>
        <v>0.59</v>
      </c>
      <c r="E32" s="284">
        <f>MCF!R31</f>
        <v>1</v>
      </c>
      <c r="F32" s="67">
        <f t="shared" si="4"/>
        <v>0.60851334603636009</v>
      </c>
      <c r="G32" s="67">
        <f t="shared" si="0"/>
        <v>0.60851334603636009</v>
      </c>
      <c r="H32" s="67">
        <f t="shared" si="5"/>
        <v>0</v>
      </c>
      <c r="I32" s="67">
        <f t="shared" si="1"/>
        <v>1.7795512756235723</v>
      </c>
      <c r="J32" s="67">
        <f t="shared" si="2"/>
        <v>0.57594537564568982</v>
      </c>
      <c r="K32" s="100">
        <f t="shared" si="6"/>
        <v>0.38396358376379319</v>
      </c>
      <c r="O32" s="96">
        <f>Amnt_Deposited!B27</f>
        <v>2013</v>
      </c>
      <c r="P32" s="99">
        <f>Amnt_Deposited!C27</f>
        <v>5.4283081716000003</v>
      </c>
      <c r="Q32" s="284">
        <f>MCF!R31</f>
        <v>1</v>
      </c>
      <c r="R32" s="67">
        <f t="shared" si="3"/>
        <v>0.40712311287000003</v>
      </c>
      <c r="S32" s="67">
        <f t="shared" si="7"/>
        <v>0.40712311287000003</v>
      </c>
      <c r="T32" s="67">
        <f t="shared" si="8"/>
        <v>0</v>
      </c>
      <c r="U32" s="67">
        <f t="shared" si="9"/>
        <v>1.1906007642441385</v>
      </c>
      <c r="V32" s="67">
        <f t="shared" si="10"/>
        <v>0.38533365899577821</v>
      </c>
      <c r="W32" s="100">
        <f t="shared" si="11"/>
        <v>0.25688910599718545</v>
      </c>
    </row>
    <row r="33" spans="2:23">
      <c r="B33" s="96">
        <f>Amnt_Deposited!B28</f>
        <v>2014</v>
      </c>
      <c r="C33" s="99">
        <f>Amnt_Deposited!C28</f>
        <v>5.5887747561000003</v>
      </c>
      <c r="D33" s="418">
        <f>Dry_Matter_Content!C20</f>
        <v>0.59</v>
      </c>
      <c r="E33" s="284">
        <f>MCF!R32</f>
        <v>1</v>
      </c>
      <c r="F33" s="67">
        <f t="shared" si="4"/>
        <v>0.62650165015880999</v>
      </c>
      <c r="G33" s="67">
        <f t="shared" si="0"/>
        <v>0.62650165015880999</v>
      </c>
      <c r="H33" s="67">
        <f t="shared" si="5"/>
        <v>0</v>
      </c>
      <c r="I33" s="67">
        <f t="shared" si="1"/>
        <v>1.8193705431575835</v>
      </c>
      <c r="J33" s="67">
        <f t="shared" si="2"/>
        <v>0.58668238262479866</v>
      </c>
      <c r="K33" s="100">
        <f t="shared" si="6"/>
        <v>0.39112158841653244</v>
      </c>
      <c r="O33" s="96">
        <f>Amnt_Deposited!B28</f>
        <v>2014</v>
      </c>
      <c r="P33" s="99">
        <f>Amnt_Deposited!C28</f>
        <v>5.5887747561000003</v>
      </c>
      <c r="Q33" s="284">
        <f>MCF!R32</f>
        <v>1</v>
      </c>
      <c r="R33" s="67">
        <f t="shared" si="3"/>
        <v>0.41915810670750003</v>
      </c>
      <c r="S33" s="67">
        <f t="shared" si="7"/>
        <v>0.41915810670750003</v>
      </c>
      <c r="T33" s="67">
        <f t="shared" si="8"/>
        <v>0</v>
      </c>
      <c r="U33" s="67">
        <f t="shared" si="9"/>
        <v>1.2172416658056984</v>
      </c>
      <c r="V33" s="67">
        <f t="shared" si="10"/>
        <v>0.39251720514594024</v>
      </c>
      <c r="W33" s="100">
        <f t="shared" si="11"/>
        <v>0.26167813676396012</v>
      </c>
    </row>
    <row r="34" spans="2:23">
      <c r="B34" s="96">
        <f>Amnt_Deposited!B29</f>
        <v>2015</v>
      </c>
      <c r="C34" s="99">
        <f>Amnt_Deposited!C29</f>
        <v>5.7447037251000008</v>
      </c>
      <c r="D34" s="418">
        <f>Dry_Matter_Content!C21</f>
        <v>0.59</v>
      </c>
      <c r="E34" s="284">
        <f>MCF!R33</f>
        <v>1</v>
      </c>
      <c r="F34" s="67">
        <f t="shared" si="4"/>
        <v>0.64398128758370998</v>
      </c>
      <c r="G34" s="67">
        <f t="shared" si="0"/>
        <v>0.64398128758370998</v>
      </c>
      <c r="H34" s="67">
        <f t="shared" si="5"/>
        <v>0</v>
      </c>
      <c r="I34" s="67">
        <f t="shared" si="1"/>
        <v>1.8635418338289873</v>
      </c>
      <c r="J34" s="67">
        <f t="shared" si="2"/>
        <v>0.59980999691230596</v>
      </c>
      <c r="K34" s="100">
        <f t="shared" si="6"/>
        <v>0.39987333127487062</v>
      </c>
      <c r="O34" s="96">
        <f>Amnt_Deposited!B29</f>
        <v>2015</v>
      </c>
      <c r="P34" s="99">
        <f>Amnt_Deposited!C29</f>
        <v>5.7447037251000008</v>
      </c>
      <c r="Q34" s="284">
        <f>MCF!R33</f>
        <v>1</v>
      </c>
      <c r="R34" s="67">
        <f t="shared" si="3"/>
        <v>0.43085277938250005</v>
      </c>
      <c r="S34" s="67">
        <f t="shared" si="7"/>
        <v>0.43085277938250005</v>
      </c>
      <c r="T34" s="67">
        <f t="shared" si="8"/>
        <v>0</v>
      </c>
      <c r="U34" s="67">
        <f t="shared" si="9"/>
        <v>1.2467942688418741</v>
      </c>
      <c r="V34" s="67">
        <f t="shared" si="10"/>
        <v>0.40130017634632431</v>
      </c>
      <c r="W34" s="100">
        <f t="shared" si="11"/>
        <v>0.26753345089754954</v>
      </c>
    </row>
    <row r="35" spans="2:23">
      <c r="B35" s="96">
        <f>Amnt_Deposited!B30</f>
        <v>2016</v>
      </c>
      <c r="C35" s="99">
        <f>Amnt_Deposited!C30</f>
        <v>5.907920379600001</v>
      </c>
      <c r="D35" s="418">
        <f>Dry_Matter_Content!C22</f>
        <v>0.59</v>
      </c>
      <c r="E35" s="284">
        <f>MCF!R34</f>
        <v>1</v>
      </c>
      <c r="F35" s="67">
        <f t="shared" si="4"/>
        <v>0.66227787455316012</v>
      </c>
      <c r="G35" s="67">
        <f t="shared" si="0"/>
        <v>0.66227787455316012</v>
      </c>
      <c r="H35" s="67">
        <f t="shared" si="5"/>
        <v>0</v>
      </c>
      <c r="I35" s="67">
        <f t="shared" si="1"/>
        <v>1.9114473223947466</v>
      </c>
      <c r="J35" s="67">
        <f t="shared" si="2"/>
        <v>0.61437238598740085</v>
      </c>
      <c r="K35" s="100">
        <f t="shared" si="6"/>
        <v>0.40958159065826721</v>
      </c>
      <c r="O35" s="96">
        <f>Amnt_Deposited!B30</f>
        <v>2016</v>
      </c>
      <c r="P35" s="99">
        <f>Amnt_Deposited!C30</f>
        <v>5.907920379600001</v>
      </c>
      <c r="Q35" s="284">
        <f>MCF!R34</f>
        <v>1</v>
      </c>
      <c r="R35" s="67">
        <f t="shared" si="3"/>
        <v>0.44309402847000007</v>
      </c>
      <c r="S35" s="67">
        <f t="shared" si="7"/>
        <v>0.44309402847000007</v>
      </c>
      <c r="T35" s="67">
        <f t="shared" si="8"/>
        <v>0</v>
      </c>
      <c r="U35" s="67">
        <f t="shared" si="9"/>
        <v>1.2788452201570564</v>
      </c>
      <c r="V35" s="67">
        <f t="shared" si="10"/>
        <v>0.41104307715481775</v>
      </c>
      <c r="W35" s="100">
        <f t="shared" si="11"/>
        <v>0.27402871810321183</v>
      </c>
    </row>
    <row r="36" spans="2:23">
      <c r="B36" s="96">
        <f>Amnt_Deposited!B31</f>
        <v>2017</v>
      </c>
      <c r="C36" s="99">
        <f>Amnt_Deposited!C31</f>
        <v>6.1133836094400005</v>
      </c>
      <c r="D36" s="418">
        <f>Dry_Matter_Content!C23</f>
        <v>0.59</v>
      </c>
      <c r="E36" s="284">
        <f>MCF!R35</f>
        <v>1</v>
      </c>
      <c r="F36" s="67">
        <f t="shared" si="4"/>
        <v>0.68531030261822401</v>
      </c>
      <c r="G36" s="67">
        <f t="shared" si="0"/>
        <v>0.68531030261822401</v>
      </c>
      <c r="H36" s="67">
        <f t="shared" si="5"/>
        <v>0</v>
      </c>
      <c r="I36" s="67">
        <f t="shared" si="1"/>
        <v>1.9665917597605702</v>
      </c>
      <c r="J36" s="67">
        <f t="shared" si="2"/>
        <v>0.63016586525240048</v>
      </c>
      <c r="K36" s="100">
        <f t="shared" si="6"/>
        <v>0.42011057683493364</v>
      </c>
      <c r="O36" s="96">
        <f>Amnt_Deposited!B31</f>
        <v>2017</v>
      </c>
      <c r="P36" s="99">
        <f>Amnt_Deposited!C31</f>
        <v>6.1133836094400005</v>
      </c>
      <c r="Q36" s="284">
        <f>MCF!R35</f>
        <v>1</v>
      </c>
      <c r="R36" s="67">
        <f t="shared" si="3"/>
        <v>0.45850377070800002</v>
      </c>
      <c r="S36" s="67">
        <f t="shared" si="7"/>
        <v>0.45850377070800002</v>
      </c>
      <c r="T36" s="67">
        <f t="shared" si="8"/>
        <v>0</v>
      </c>
      <c r="U36" s="67">
        <f t="shared" si="9"/>
        <v>1.3157393575561354</v>
      </c>
      <c r="V36" s="67">
        <f t="shared" si="10"/>
        <v>0.42160963330892104</v>
      </c>
      <c r="W36" s="100">
        <f t="shared" si="11"/>
        <v>0.28107308887261401</v>
      </c>
    </row>
    <row r="37" spans="2:23">
      <c r="B37" s="96">
        <f>Amnt_Deposited!B32</f>
        <v>2018</v>
      </c>
      <c r="C37" s="99">
        <f>Amnt_Deposited!C32</f>
        <v>6.2812451321699987</v>
      </c>
      <c r="D37" s="418">
        <f>Dry_Matter_Content!C24</f>
        <v>0.59</v>
      </c>
      <c r="E37" s="284">
        <f>MCF!R36</f>
        <v>1</v>
      </c>
      <c r="F37" s="67">
        <f t="shared" si="4"/>
        <v>0.7041275793162568</v>
      </c>
      <c r="G37" s="67">
        <f t="shared" si="0"/>
        <v>0.7041275793162568</v>
      </c>
      <c r="H37" s="67">
        <f t="shared" si="5"/>
        <v>0</v>
      </c>
      <c r="I37" s="67">
        <f t="shared" si="1"/>
        <v>2.0223734582522712</v>
      </c>
      <c r="J37" s="67">
        <f t="shared" si="2"/>
        <v>0.6483458808245558</v>
      </c>
      <c r="K37" s="100">
        <f t="shared" si="6"/>
        <v>0.43223058721637053</v>
      </c>
      <c r="O37" s="96">
        <f>Amnt_Deposited!B32</f>
        <v>2018</v>
      </c>
      <c r="P37" s="99">
        <f>Amnt_Deposited!C32</f>
        <v>6.2812451321699987</v>
      </c>
      <c r="Q37" s="284">
        <f>MCF!R36</f>
        <v>1</v>
      </c>
      <c r="R37" s="67">
        <f t="shared" si="3"/>
        <v>0.47109338491274988</v>
      </c>
      <c r="S37" s="67">
        <f t="shared" si="7"/>
        <v>0.47109338491274988</v>
      </c>
      <c r="T37" s="67">
        <f t="shared" si="8"/>
        <v>0</v>
      </c>
      <c r="U37" s="67">
        <f t="shared" si="9"/>
        <v>1.3530598516406811</v>
      </c>
      <c r="V37" s="67">
        <f t="shared" si="10"/>
        <v>0.43377289082820419</v>
      </c>
      <c r="W37" s="100">
        <f t="shared" si="11"/>
        <v>0.28918192721880276</v>
      </c>
    </row>
    <row r="38" spans="2:23">
      <c r="B38" s="96">
        <f>Amnt_Deposited!B33</f>
        <v>2019</v>
      </c>
      <c r="C38" s="99">
        <f>Amnt_Deposited!C33</f>
        <v>6.4491066549000005</v>
      </c>
      <c r="D38" s="418">
        <f>Dry_Matter_Content!C25</f>
        <v>0.59</v>
      </c>
      <c r="E38" s="284">
        <f>MCF!R37</f>
        <v>1</v>
      </c>
      <c r="F38" s="67">
        <f t="shared" si="4"/>
        <v>0.72294485601429004</v>
      </c>
      <c r="G38" s="67">
        <f t="shared" si="0"/>
        <v>0.72294485601429004</v>
      </c>
      <c r="H38" s="67">
        <f t="shared" si="5"/>
        <v>0</v>
      </c>
      <c r="I38" s="67">
        <f t="shared" si="1"/>
        <v>2.0785823256512077</v>
      </c>
      <c r="J38" s="67">
        <f t="shared" si="2"/>
        <v>0.66673598861535366</v>
      </c>
      <c r="K38" s="100">
        <f t="shared" si="6"/>
        <v>0.44449065907690244</v>
      </c>
      <c r="O38" s="96">
        <f>Amnt_Deposited!B33</f>
        <v>2019</v>
      </c>
      <c r="P38" s="99">
        <f>Amnt_Deposited!C33</f>
        <v>6.4491066549000005</v>
      </c>
      <c r="Q38" s="284">
        <f>MCF!R37</f>
        <v>1</v>
      </c>
      <c r="R38" s="67">
        <f t="shared" si="3"/>
        <v>0.48368299911750001</v>
      </c>
      <c r="S38" s="67">
        <f t="shared" si="7"/>
        <v>0.48368299911750001</v>
      </c>
      <c r="T38" s="67">
        <f t="shared" si="8"/>
        <v>0</v>
      </c>
      <c r="U38" s="67">
        <f t="shared" si="9"/>
        <v>1.3906661411582566</v>
      </c>
      <c r="V38" s="67">
        <f t="shared" si="10"/>
        <v>0.4460767095999244</v>
      </c>
      <c r="W38" s="100">
        <f t="shared" si="11"/>
        <v>0.29738447306661625</v>
      </c>
    </row>
    <row r="39" spans="2:23">
      <c r="B39" s="96">
        <f>Amnt_Deposited!B34</f>
        <v>2020</v>
      </c>
      <c r="C39" s="99">
        <f>Amnt_Deposited!C34</f>
        <v>6.6169681776299996</v>
      </c>
      <c r="D39" s="418">
        <f>Dry_Matter_Content!C26</f>
        <v>0.59</v>
      </c>
      <c r="E39" s="284">
        <f>MCF!R38</f>
        <v>1</v>
      </c>
      <c r="F39" s="67">
        <f t="shared" si="4"/>
        <v>0.74176213271232294</v>
      </c>
      <c r="G39" s="67">
        <f t="shared" si="0"/>
        <v>0.74176213271232294</v>
      </c>
      <c r="H39" s="67">
        <f t="shared" si="5"/>
        <v>0</v>
      </c>
      <c r="I39" s="67">
        <f t="shared" si="1"/>
        <v>2.1350775329317067</v>
      </c>
      <c r="J39" s="67">
        <f t="shared" si="2"/>
        <v>0.68526692543182388</v>
      </c>
      <c r="K39" s="100">
        <f t="shared" si="6"/>
        <v>0.45684461695454925</v>
      </c>
      <c r="O39" s="96">
        <f>Amnt_Deposited!B34</f>
        <v>2020</v>
      </c>
      <c r="P39" s="99">
        <f>Amnt_Deposited!C34</f>
        <v>6.6169681776299996</v>
      </c>
      <c r="Q39" s="284">
        <f>MCF!R38</f>
        <v>1</v>
      </c>
      <c r="R39" s="67">
        <f t="shared" si="3"/>
        <v>0.49627261332224992</v>
      </c>
      <c r="S39" s="67">
        <f t="shared" si="7"/>
        <v>0.49627261332224992</v>
      </c>
      <c r="T39" s="67">
        <f t="shared" si="8"/>
        <v>0</v>
      </c>
      <c r="U39" s="67">
        <f t="shared" si="9"/>
        <v>1.4284640050836575</v>
      </c>
      <c r="V39" s="67">
        <f t="shared" si="10"/>
        <v>0.45847474939684912</v>
      </c>
      <c r="W39" s="100">
        <f t="shared" si="11"/>
        <v>0.30564983293123271</v>
      </c>
    </row>
    <row r="40" spans="2:23">
      <c r="B40" s="96">
        <f>Amnt_Deposited!B35</f>
        <v>2021</v>
      </c>
      <c r="C40" s="99">
        <f>Amnt_Deposited!C35</f>
        <v>6.7848297003599995</v>
      </c>
      <c r="D40" s="418">
        <f>Dry_Matter_Content!C27</f>
        <v>0.59</v>
      </c>
      <c r="E40" s="284">
        <f>MCF!R39</f>
        <v>1</v>
      </c>
      <c r="F40" s="67">
        <f t="shared" si="4"/>
        <v>0.76057940941035596</v>
      </c>
      <c r="G40" s="67">
        <f t="shared" si="0"/>
        <v>0.76057940941035596</v>
      </c>
      <c r="H40" s="67">
        <f t="shared" si="5"/>
        <v>0</v>
      </c>
      <c r="I40" s="67">
        <f t="shared" si="1"/>
        <v>2.1917646795747965</v>
      </c>
      <c r="J40" s="67">
        <f t="shared" si="2"/>
        <v>0.7038922627672658</v>
      </c>
      <c r="K40" s="100">
        <f t="shared" si="6"/>
        <v>0.46926150851151049</v>
      </c>
      <c r="O40" s="96">
        <f>Amnt_Deposited!B35</f>
        <v>2021</v>
      </c>
      <c r="P40" s="99">
        <f>Amnt_Deposited!C35</f>
        <v>6.7848297003599995</v>
      </c>
      <c r="Q40" s="284">
        <f>MCF!R39</f>
        <v>1</v>
      </c>
      <c r="R40" s="67">
        <f t="shared" si="3"/>
        <v>0.50886222752699994</v>
      </c>
      <c r="S40" s="67">
        <f t="shared" si="7"/>
        <v>0.50886222752699994</v>
      </c>
      <c r="T40" s="67">
        <f t="shared" si="8"/>
        <v>0</v>
      </c>
      <c r="U40" s="67">
        <f t="shared" si="9"/>
        <v>1.4663902851749309</v>
      </c>
      <c r="V40" s="67">
        <f t="shared" si="10"/>
        <v>0.47093594743572648</v>
      </c>
      <c r="W40" s="100">
        <f t="shared" si="11"/>
        <v>0.3139572982904843</v>
      </c>
    </row>
    <row r="41" spans="2:23">
      <c r="B41" s="96">
        <f>Amnt_Deposited!B36</f>
        <v>2022</v>
      </c>
      <c r="C41" s="99">
        <f>Amnt_Deposited!C36</f>
        <v>6.9526912230899987</v>
      </c>
      <c r="D41" s="418">
        <f>Dry_Matter_Content!C28</f>
        <v>0.59</v>
      </c>
      <c r="E41" s="284">
        <f>MCF!R40</f>
        <v>1</v>
      </c>
      <c r="F41" s="67">
        <f t="shared" si="4"/>
        <v>0.77939668610838886</v>
      </c>
      <c r="G41" s="67">
        <f t="shared" si="0"/>
        <v>0.77939668610838886</v>
      </c>
      <c r="H41" s="67">
        <f t="shared" si="5"/>
        <v>0</v>
      </c>
      <c r="I41" s="67">
        <f t="shared" si="1"/>
        <v>2.2485804870202548</v>
      </c>
      <c r="J41" s="67">
        <f t="shared" si="2"/>
        <v>0.72258087866293064</v>
      </c>
      <c r="K41" s="100">
        <f t="shared" si="6"/>
        <v>0.48172058577528709</v>
      </c>
      <c r="O41" s="96">
        <f>Amnt_Deposited!B36</f>
        <v>2022</v>
      </c>
      <c r="P41" s="99">
        <f>Amnt_Deposited!C36</f>
        <v>6.9526912230899987</v>
      </c>
      <c r="Q41" s="284">
        <f>MCF!R40</f>
        <v>1</v>
      </c>
      <c r="R41" s="67">
        <f t="shared" si="3"/>
        <v>0.52145184173174985</v>
      </c>
      <c r="S41" s="67">
        <f t="shared" si="7"/>
        <v>0.52145184173174985</v>
      </c>
      <c r="T41" s="67">
        <f t="shared" si="8"/>
        <v>0</v>
      </c>
      <c r="U41" s="67">
        <f t="shared" si="9"/>
        <v>1.5044026451964236</v>
      </c>
      <c r="V41" s="67">
        <f t="shared" si="10"/>
        <v>0.48343948171025691</v>
      </c>
      <c r="W41" s="100">
        <f t="shared" si="11"/>
        <v>0.32229298780683791</v>
      </c>
    </row>
    <row r="42" spans="2:23">
      <c r="B42" s="96">
        <f>Amnt_Deposited!B37</f>
        <v>2023</v>
      </c>
      <c r="C42" s="99">
        <f>Amnt_Deposited!C37</f>
        <v>7.1205527458199995</v>
      </c>
      <c r="D42" s="418">
        <f>Dry_Matter_Content!C29</f>
        <v>0.59</v>
      </c>
      <c r="E42" s="284">
        <f>MCF!R41</f>
        <v>1</v>
      </c>
      <c r="F42" s="67">
        <f t="shared" si="4"/>
        <v>0.79821396280642187</v>
      </c>
      <c r="G42" s="67">
        <f t="shared" si="0"/>
        <v>0.79821396280642187</v>
      </c>
      <c r="H42" s="67">
        <f t="shared" si="5"/>
        <v>0</v>
      </c>
      <c r="I42" s="67">
        <f t="shared" si="1"/>
        <v>2.3054825383806792</v>
      </c>
      <c r="J42" s="67">
        <f t="shared" si="2"/>
        <v>0.74131191144599728</v>
      </c>
      <c r="K42" s="100">
        <f t="shared" si="6"/>
        <v>0.49420794096399817</v>
      </c>
      <c r="O42" s="96">
        <f>Amnt_Deposited!B37</f>
        <v>2023</v>
      </c>
      <c r="P42" s="99">
        <f>Amnt_Deposited!C37</f>
        <v>7.1205527458199995</v>
      </c>
      <c r="Q42" s="284">
        <f>MCF!R41</f>
        <v>1</v>
      </c>
      <c r="R42" s="67">
        <f t="shared" si="3"/>
        <v>0.53404145593649999</v>
      </c>
      <c r="S42" s="67">
        <f t="shared" si="7"/>
        <v>0.53404145593649999</v>
      </c>
      <c r="T42" s="67">
        <f t="shared" si="8"/>
        <v>0</v>
      </c>
      <c r="U42" s="67">
        <f t="shared" si="9"/>
        <v>1.5424727063207042</v>
      </c>
      <c r="V42" s="67">
        <f t="shared" si="10"/>
        <v>0.49597139481221936</v>
      </c>
      <c r="W42" s="100">
        <f t="shared" si="11"/>
        <v>0.33064759654147957</v>
      </c>
    </row>
    <row r="43" spans="2:23">
      <c r="B43" s="96">
        <f>Amnt_Deposited!B38</f>
        <v>2024</v>
      </c>
      <c r="C43" s="99">
        <f>Amnt_Deposited!C38</f>
        <v>7.2884142685500004</v>
      </c>
      <c r="D43" s="418">
        <f>Dry_Matter_Content!C30</f>
        <v>0.59</v>
      </c>
      <c r="E43" s="284">
        <f>MCF!R42</f>
        <v>1</v>
      </c>
      <c r="F43" s="67">
        <f t="shared" si="4"/>
        <v>0.817031239504455</v>
      </c>
      <c r="G43" s="67">
        <f t="shared" si="0"/>
        <v>0.817031239504455</v>
      </c>
      <c r="H43" s="67">
        <f t="shared" si="5"/>
        <v>0</v>
      </c>
      <c r="I43" s="67">
        <f t="shared" si="1"/>
        <v>2.3624424007661542</v>
      </c>
      <c r="J43" s="67">
        <f t="shared" si="2"/>
        <v>0.76007137711897965</v>
      </c>
      <c r="K43" s="100">
        <f t="shared" si="6"/>
        <v>0.50671425141265303</v>
      </c>
      <c r="O43" s="96">
        <f>Amnt_Deposited!B38</f>
        <v>2024</v>
      </c>
      <c r="P43" s="99">
        <f>Amnt_Deposited!C38</f>
        <v>7.2884142685500004</v>
      </c>
      <c r="Q43" s="284">
        <f>MCF!R42</f>
        <v>1</v>
      </c>
      <c r="R43" s="67">
        <f t="shared" si="3"/>
        <v>0.54663107014125001</v>
      </c>
      <c r="S43" s="67">
        <f t="shared" si="7"/>
        <v>0.54663107014125001</v>
      </c>
      <c r="T43" s="67">
        <f t="shared" si="8"/>
        <v>0</v>
      </c>
      <c r="U43" s="67">
        <f t="shared" si="9"/>
        <v>1.5805814456508616</v>
      </c>
      <c r="V43" s="67">
        <f t="shared" si="10"/>
        <v>0.50852233081109255</v>
      </c>
      <c r="W43" s="100">
        <f t="shared" si="11"/>
        <v>0.33901488720739503</v>
      </c>
    </row>
    <row r="44" spans="2:23">
      <c r="B44" s="96">
        <f>Amnt_Deposited!B39</f>
        <v>2025</v>
      </c>
      <c r="C44" s="99">
        <f>Amnt_Deposited!C39</f>
        <v>7.4562757912800004</v>
      </c>
      <c r="D44" s="418">
        <f>Dry_Matter_Content!C31</f>
        <v>0.59</v>
      </c>
      <c r="E44" s="284">
        <f>MCF!R43</f>
        <v>1</v>
      </c>
      <c r="F44" s="67">
        <f t="shared" si="4"/>
        <v>0.83584851620248801</v>
      </c>
      <c r="G44" s="67">
        <f t="shared" si="0"/>
        <v>0.83584851620248801</v>
      </c>
      <c r="H44" s="67">
        <f t="shared" si="5"/>
        <v>0</v>
      </c>
      <c r="I44" s="67">
        <f t="shared" si="1"/>
        <v>2.4194410150406025</v>
      </c>
      <c r="J44" s="67">
        <f t="shared" si="2"/>
        <v>0.77884990192803938</v>
      </c>
      <c r="K44" s="100">
        <f t="shared" si="6"/>
        <v>0.51923326795202618</v>
      </c>
      <c r="O44" s="96">
        <f>Amnt_Deposited!B39</f>
        <v>2025</v>
      </c>
      <c r="P44" s="99">
        <f>Amnt_Deposited!C39</f>
        <v>7.4562757912800004</v>
      </c>
      <c r="Q44" s="284">
        <f>MCF!R43</f>
        <v>1</v>
      </c>
      <c r="R44" s="67">
        <f t="shared" si="3"/>
        <v>0.55922068434600003</v>
      </c>
      <c r="S44" s="67">
        <f t="shared" si="7"/>
        <v>0.55922068434600003</v>
      </c>
      <c r="T44" s="67">
        <f t="shared" si="8"/>
        <v>0</v>
      </c>
      <c r="U44" s="67">
        <f t="shared" si="9"/>
        <v>1.6187161117577631</v>
      </c>
      <c r="V44" s="67">
        <f t="shared" si="10"/>
        <v>0.52108601823909872</v>
      </c>
      <c r="W44" s="100">
        <f t="shared" si="11"/>
        <v>0.34739067882606578</v>
      </c>
    </row>
    <row r="45" spans="2:23">
      <c r="B45" s="96">
        <f>Amnt_Deposited!B40</f>
        <v>2026</v>
      </c>
      <c r="C45" s="99">
        <f>Amnt_Deposited!C40</f>
        <v>7.6241373140099995</v>
      </c>
      <c r="D45" s="418">
        <f>Dry_Matter_Content!C32</f>
        <v>0.59</v>
      </c>
      <c r="E45" s="284">
        <f>MCF!R44</f>
        <v>1</v>
      </c>
      <c r="F45" s="67">
        <f t="shared" si="4"/>
        <v>0.85466579290052103</v>
      </c>
      <c r="G45" s="67">
        <f t="shared" si="0"/>
        <v>0.85466579290052103</v>
      </c>
      <c r="H45" s="67">
        <f t="shared" si="5"/>
        <v>0</v>
      </c>
      <c r="I45" s="67">
        <f t="shared" si="1"/>
        <v>2.4764656054830514</v>
      </c>
      <c r="J45" s="67">
        <f t="shared" si="2"/>
        <v>0.79764120245807191</v>
      </c>
      <c r="K45" s="100">
        <f t="shared" si="6"/>
        <v>0.53176080163871453</v>
      </c>
      <c r="O45" s="96">
        <f>Amnt_Deposited!B40</f>
        <v>2026</v>
      </c>
      <c r="P45" s="99">
        <f>Amnt_Deposited!C40</f>
        <v>7.6241373140099995</v>
      </c>
      <c r="Q45" s="284">
        <f>MCF!R44</f>
        <v>1</v>
      </c>
      <c r="R45" s="67">
        <f t="shared" si="3"/>
        <v>0.57181029855074994</v>
      </c>
      <c r="S45" s="67">
        <f t="shared" si="7"/>
        <v>0.57181029855074994</v>
      </c>
      <c r="T45" s="67">
        <f t="shared" si="8"/>
        <v>0</v>
      </c>
      <c r="U45" s="67">
        <f t="shared" si="9"/>
        <v>1.6568681571028447</v>
      </c>
      <c r="V45" s="67">
        <f t="shared" si="10"/>
        <v>0.53365825320566829</v>
      </c>
      <c r="W45" s="100">
        <f t="shared" si="11"/>
        <v>0.35577216880377882</v>
      </c>
    </row>
    <row r="46" spans="2:23">
      <c r="B46" s="96">
        <f>Amnt_Deposited!B41</f>
        <v>2027</v>
      </c>
      <c r="C46" s="99">
        <f>Amnt_Deposited!C41</f>
        <v>7.7919988367399986</v>
      </c>
      <c r="D46" s="418">
        <f>Dry_Matter_Content!C33</f>
        <v>0.59</v>
      </c>
      <c r="E46" s="284">
        <f>MCF!R45</f>
        <v>1</v>
      </c>
      <c r="F46" s="67">
        <f t="shared" si="4"/>
        <v>0.87348306959855382</v>
      </c>
      <c r="G46" s="67">
        <f t="shared" si="0"/>
        <v>0.87348306959855382</v>
      </c>
      <c r="H46" s="67">
        <f t="shared" si="5"/>
        <v>0</v>
      </c>
      <c r="I46" s="67">
        <f t="shared" si="1"/>
        <v>2.5335076082716306</v>
      </c>
      <c r="J46" s="67">
        <f t="shared" si="2"/>
        <v>0.81644106680997497</v>
      </c>
      <c r="K46" s="100">
        <f t="shared" si="6"/>
        <v>0.54429404453998331</v>
      </c>
      <c r="O46" s="96">
        <f>Amnt_Deposited!B41</f>
        <v>2027</v>
      </c>
      <c r="P46" s="99">
        <f>Amnt_Deposited!C41</f>
        <v>7.7919988367399986</v>
      </c>
      <c r="Q46" s="284">
        <f>MCF!R45</f>
        <v>1</v>
      </c>
      <c r="R46" s="67">
        <f t="shared" si="3"/>
        <v>0.58439991275549985</v>
      </c>
      <c r="S46" s="67">
        <f t="shared" si="7"/>
        <v>0.58439991275549985</v>
      </c>
      <c r="T46" s="67">
        <f t="shared" si="8"/>
        <v>0</v>
      </c>
      <c r="U46" s="67">
        <f t="shared" si="9"/>
        <v>1.6950318520996634</v>
      </c>
      <c r="V46" s="67">
        <f t="shared" si="10"/>
        <v>0.54623621775868092</v>
      </c>
      <c r="W46" s="100">
        <f t="shared" si="11"/>
        <v>0.36415747850578728</v>
      </c>
    </row>
    <row r="47" spans="2:23">
      <c r="B47" s="96">
        <f>Amnt_Deposited!B42</f>
        <v>2028</v>
      </c>
      <c r="C47" s="99">
        <f>Amnt_Deposited!C42</f>
        <v>7.9598603594699995</v>
      </c>
      <c r="D47" s="418">
        <f>Dry_Matter_Content!C34</f>
        <v>0.59</v>
      </c>
      <c r="E47" s="284">
        <f>MCF!R46</f>
        <v>1</v>
      </c>
      <c r="F47" s="67">
        <f t="shared" si="4"/>
        <v>0.89230034629658694</v>
      </c>
      <c r="G47" s="67">
        <f t="shared" si="0"/>
        <v>0.89230034629658694</v>
      </c>
      <c r="H47" s="67">
        <f t="shared" si="5"/>
        <v>0</v>
      </c>
      <c r="I47" s="67">
        <f t="shared" si="1"/>
        <v>2.590561282904869</v>
      </c>
      <c r="J47" s="67">
        <f t="shared" si="2"/>
        <v>0.83524667166334865</v>
      </c>
      <c r="K47" s="100">
        <f t="shared" si="6"/>
        <v>0.55683111444223243</v>
      </c>
      <c r="O47" s="96">
        <f>Amnt_Deposited!B42</f>
        <v>2028</v>
      </c>
      <c r="P47" s="99">
        <f>Amnt_Deposited!C42</f>
        <v>7.9598603594699995</v>
      </c>
      <c r="Q47" s="284">
        <f>MCF!R46</f>
        <v>1</v>
      </c>
      <c r="R47" s="67">
        <f t="shared" si="3"/>
        <v>0.59698952696024998</v>
      </c>
      <c r="S47" s="67">
        <f t="shared" si="7"/>
        <v>0.59698952696024998</v>
      </c>
      <c r="T47" s="67">
        <f t="shared" si="8"/>
        <v>0</v>
      </c>
      <c r="U47" s="67">
        <f t="shared" si="9"/>
        <v>1.7332033560915714</v>
      </c>
      <c r="V47" s="67">
        <f t="shared" si="10"/>
        <v>0.55881802296834204</v>
      </c>
      <c r="W47" s="100">
        <f t="shared" si="11"/>
        <v>0.37254534864556133</v>
      </c>
    </row>
    <row r="48" spans="2:23">
      <c r="B48" s="96">
        <f>Amnt_Deposited!B43</f>
        <v>2029</v>
      </c>
      <c r="C48" s="99">
        <f>Amnt_Deposited!C43</f>
        <v>8.1277218821999995</v>
      </c>
      <c r="D48" s="418">
        <f>Dry_Matter_Content!C35</f>
        <v>0.59</v>
      </c>
      <c r="E48" s="284">
        <f>MCF!R47</f>
        <v>1</v>
      </c>
      <c r="F48" s="67">
        <f t="shared" si="4"/>
        <v>0.91111762299461996</v>
      </c>
      <c r="G48" s="67">
        <f t="shared" si="0"/>
        <v>0.91111762299461996</v>
      </c>
      <c r="H48" s="67">
        <f t="shared" si="5"/>
        <v>0</v>
      </c>
      <c r="I48" s="67">
        <f t="shared" si="1"/>
        <v>2.6476227814095568</v>
      </c>
      <c r="J48" s="67">
        <f t="shared" si="2"/>
        <v>0.85405612448993229</v>
      </c>
      <c r="K48" s="100">
        <f t="shared" si="6"/>
        <v>0.56937074965995482</v>
      </c>
      <c r="O48" s="96">
        <f>Amnt_Deposited!B43</f>
        <v>2029</v>
      </c>
      <c r="P48" s="99">
        <f>Amnt_Deposited!C43</f>
        <v>8.1277218821999995</v>
      </c>
      <c r="Q48" s="284">
        <f>MCF!R47</f>
        <v>1</v>
      </c>
      <c r="R48" s="67">
        <f t="shared" si="3"/>
        <v>0.60957914116499989</v>
      </c>
      <c r="S48" s="67">
        <f t="shared" si="7"/>
        <v>0.60957914116499989</v>
      </c>
      <c r="T48" s="67">
        <f t="shared" si="8"/>
        <v>0</v>
      </c>
      <c r="U48" s="67">
        <f t="shared" si="9"/>
        <v>1.7713800946094267</v>
      </c>
      <c r="V48" s="67">
        <f t="shared" si="10"/>
        <v>0.5714024026471447</v>
      </c>
      <c r="W48" s="100">
        <f t="shared" si="11"/>
        <v>0.38093493509809645</v>
      </c>
    </row>
    <row r="49" spans="2:23">
      <c r="B49" s="96">
        <f>Amnt_Deposited!B44</f>
        <v>2030</v>
      </c>
      <c r="C49" s="99">
        <f>Amnt_Deposited!C44</f>
        <v>8.295583404930003</v>
      </c>
      <c r="D49" s="418">
        <f>Dry_Matter_Content!C36</f>
        <v>0.59</v>
      </c>
      <c r="E49" s="284">
        <f>MCF!R48</f>
        <v>1</v>
      </c>
      <c r="F49" s="67">
        <f t="shared" si="4"/>
        <v>0.92993489969265319</v>
      </c>
      <c r="G49" s="67">
        <f t="shared" si="0"/>
        <v>0.92993489969265319</v>
      </c>
      <c r="H49" s="67">
        <f t="shared" si="5"/>
        <v>0</v>
      </c>
      <c r="I49" s="67">
        <f t="shared" si="1"/>
        <v>2.7046895244121147</v>
      </c>
      <c r="J49" s="67">
        <f t="shared" si="2"/>
        <v>0.87286815669009521</v>
      </c>
      <c r="K49" s="100">
        <f t="shared" si="6"/>
        <v>0.58191210446006347</v>
      </c>
      <c r="O49" s="96">
        <f>Amnt_Deposited!B44</f>
        <v>2030</v>
      </c>
      <c r="P49" s="99">
        <f>Amnt_Deposited!C44</f>
        <v>8.295583404930003</v>
      </c>
      <c r="Q49" s="284">
        <f>MCF!R48</f>
        <v>1</v>
      </c>
      <c r="R49" s="67">
        <f t="shared" si="3"/>
        <v>0.62216875536975025</v>
      </c>
      <c r="S49" s="67">
        <f t="shared" si="7"/>
        <v>0.62216875536975025</v>
      </c>
      <c r="T49" s="67">
        <f t="shared" si="8"/>
        <v>0</v>
      </c>
      <c r="U49" s="67">
        <f t="shared" si="9"/>
        <v>1.8095603419349562</v>
      </c>
      <c r="V49" s="67">
        <f t="shared" si="10"/>
        <v>0.58398850804422064</v>
      </c>
      <c r="W49" s="100">
        <f t="shared" si="11"/>
        <v>0.38932567202948043</v>
      </c>
    </row>
    <row r="50" spans="2:23">
      <c r="B50" s="96">
        <f>Amnt_Deposited!B45</f>
        <v>2031</v>
      </c>
      <c r="C50" s="99">
        <f>Amnt_Deposited!C45</f>
        <v>0</v>
      </c>
      <c r="D50" s="418">
        <f>Dry_Matter_Content!C37</f>
        <v>0.59</v>
      </c>
      <c r="E50" s="284">
        <f>MCF!R49</f>
        <v>1</v>
      </c>
      <c r="F50" s="67">
        <f t="shared" si="4"/>
        <v>0</v>
      </c>
      <c r="G50" s="67">
        <f t="shared" si="0"/>
        <v>0</v>
      </c>
      <c r="H50" s="67">
        <f t="shared" si="5"/>
        <v>0</v>
      </c>
      <c r="I50" s="67">
        <f t="shared" si="1"/>
        <v>1.8130076065160401</v>
      </c>
      <c r="J50" s="67">
        <f t="shared" si="2"/>
        <v>0.89168191789607454</v>
      </c>
      <c r="K50" s="100">
        <f t="shared" si="6"/>
        <v>0.59445461193071636</v>
      </c>
      <c r="O50" s="96">
        <f>Amnt_Deposited!B45</f>
        <v>2031</v>
      </c>
      <c r="P50" s="99">
        <f>Amnt_Deposited!C45</f>
        <v>0</v>
      </c>
      <c r="Q50" s="284">
        <f>MCF!R49</f>
        <v>1</v>
      </c>
      <c r="R50" s="67">
        <f t="shared" si="3"/>
        <v>0</v>
      </c>
      <c r="S50" s="67">
        <f t="shared" si="7"/>
        <v>0</v>
      </c>
      <c r="T50" s="67">
        <f t="shared" si="8"/>
        <v>0</v>
      </c>
      <c r="U50" s="67">
        <f t="shared" si="9"/>
        <v>1.2129845717101071</v>
      </c>
      <c r="V50" s="67">
        <f t="shared" si="10"/>
        <v>0.59657577022484909</v>
      </c>
      <c r="W50" s="100">
        <f t="shared" si="11"/>
        <v>0.39771718014989937</v>
      </c>
    </row>
    <row r="51" spans="2:23">
      <c r="B51" s="96">
        <f>Amnt_Deposited!B46</f>
        <v>2032</v>
      </c>
      <c r="C51" s="99">
        <f>Amnt_Deposited!C46</f>
        <v>0</v>
      </c>
      <c r="D51" s="418">
        <f>Dry_Matter_Content!C38</f>
        <v>0.59</v>
      </c>
      <c r="E51" s="284">
        <f>MCF!R50</f>
        <v>1</v>
      </c>
      <c r="F51" s="67">
        <f t="shared" ref="F51:F82" si="12">C51*D51*$K$6*DOCF*E51</f>
        <v>0</v>
      </c>
      <c r="G51" s="67">
        <f t="shared" ref="G51:G82" si="13">F51*$K$12</f>
        <v>0</v>
      </c>
      <c r="H51" s="67">
        <f t="shared" ref="H51:H82" si="14">F51*(1-$K$12)</f>
        <v>0</v>
      </c>
      <c r="I51" s="67">
        <f t="shared" ref="I51:I82" si="15">G51+I50*$K$10</f>
        <v>1.2152953422627963</v>
      </c>
      <c r="J51" s="67">
        <f t="shared" ref="J51:J82" si="16">I50*(1-$K$10)+H51</f>
        <v>0.59771226425324386</v>
      </c>
      <c r="K51" s="100">
        <f t="shared" si="6"/>
        <v>0.39847484283549589</v>
      </c>
      <c r="O51" s="96">
        <f>Amnt_Deposited!B46</f>
        <v>2032</v>
      </c>
      <c r="P51" s="99">
        <f>Amnt_Deposited!C46</f>
        <v>0</v>
      </c>
      <c r="Q51" s="284">
        <f>MCF!R50</f>
        <v>1</v>
      </c>
      <c r="R51" s="67">
        <f t="shared" ref="R51:R82" si="17">P51*$W$6*DOCF*Q51</f>
        <v>0</v>
      </c>
      <c r="S51" s="67">
        <f t="shared" si="7"/>
        <v>0</v>
      </c>
      <c r="T51" s="67">
        <f t="shared" si="8"/>
        <v>0</v>
      </c>
      <c r="U51" s="67">
        <f t="shared" si="9"/>
        <v>0.8130878739492392</v>
      </c>
      <c r="V51" s="67">
        <f t="shared" si="10"/>
        <v>0.39989669776086784</v>
      </c>
      <c r="W51" s="100">
        <f t="shared" si="11"/>
        <v>0.26659779850724519</v>
      </c>
    </row>
    <row r="52" spans="2:23">
      <c r="B52" s="96">
        <f>Amnt_Deposited!B47</f>
        <v>2033</v>
      </c>
      <c r="C52" s="99">
        <f>Amnt_Deposited!C47</f>
        <v>0</v>
      </c>
      <c r="D52" s="418">
        <f>Dry_Matter_Content!C39</f>
        <v>0.59</v>
      </c>
      <c r="E52" s="284">
        <f>MCF!R51</f>
        <v>1</v>
      </c>
      <c r="F52" s="67">
        <f t="shared" si="12"/>
        <v>0</v>
      </c>
      <c r="G52" s="67">
        <f t="shared" si="13"/>
        <v>0</v>
      </c>
      <c r="H52" s="67">
        <f t="shared" si="14"/>
        <v>0</v>
      </c>
      <c r="I52" s="67">
        <f t="shared" si="15"/>
        <v>0.81463682977249574</v>
      </c>
      <c r="J52" s="67">
        <f t="shared" si="16"/>
        <v>0.40065851249030066</v>
      </c>
      <c r="K52" s="100">
        <f t="shared" si="6"/>
        <v>0.26710567499353377</v>
      </c>
      <c r="O52" s="96">
        <f>Amnt_Deposited!B47</f>
        <v>2033</v>
      </c>
      <c r="P52" s="99">
        <f>Amnt_Deposited!C47</f>
        <v>0</v>
      </c>
      <c r="Q52" s="284">
        <f>MCF!R51</f>
        <v>1</v>
      </c>
      <c r="R52" s="67">
        <f t="shared" si="17"/>
        <v>0</v>
      </c>
      <c r="S52" s="67">
        <f t="shared" si="7"/>
        <v>0</v>
      </c>
      <c r="T52" s="67">
        <f t="shared" si="8"/>
        <v>0</v>
      </c>
      <c r="U52" s="67">
        <f t="shared" si="9"/>
        <v>0.54502910109667413</v>
      </c>
      <c r="V52" s="67">
        <f t="shared" si="10"/>
        <v>0.26805877285256507</v>
      </c>
      <c r="W52" s="100">
        <f t="shared" si="11"/>
        <v>0.17870584856837671</v>
      </c>
    </row>
    <row r="53" spans="2:23">
      <c r="B53" s="96">
        <f>Amnt_Deposited!B48</f>
        <v>2034</v>
      </c>
      <c r="C53" s="99">
        <f>Amnt_Deposited!C48</f>
        <v>0</v>
      </c>
      <c r="D53" s="418">
        <f>Dry_Matter_Content!C40</f>
        <v>0.59</v>
      </c>
      <c r="E53" s="284">
        <f>MCF!R52</f>
        <v>1</v>
      </c>
      <c r="F53" s="67">
        <f t="shared" si="12"/>
        <v>0</v>
      </c>
      <c r="G53" s="67">
        <f t="shared" si="13"/>
        <v>0</v>
      </c>
      <c r="H53" s="67">
        <f t="shared" si="14"/>
        <v>0</v>
      </c>
      <c r="I53" s="67">
        <f t="shared" si="15"/>
        <v>0.54606739723542663</v>
      </c>
      <c r="J53" s="67">
        <f t="shared" si="16"/>
        <v>0.26856943253706911</v>
      </c>
      <c r="K53" s="100">
        <f t="shared" si="6"/>
        <v>0.17904628835804606</v>
      </c>
      <c r="O53" s="96">
        <f>Amnt_Deposited!B48</f>
        <v>2034</v>
      </c>
      <c r="P53" s="99">
        <f>Amnt_Deposited!C48</f>
        <v>0</v>
      </c>
      <c r="Q53" s="284">
        <f>MCF!R52</f>
        <v>1</v>
      </c>
      <c r="R53" s="67">
        <f t="shared" si="17"/>
        <v>0</v>
      </c>
      <c r="S53" s="67">
        <f t="shared" si="7"/>
        <v>0</v>
      </c>
      <c r="T53" s="67">
        <f t="shared" si="8"/>
        <v>0</v>
      </c>
      <c r="U53" s="67">
        <f t="shared" si="9"/>
        <v>0.36534393213788574</v>
      </c>
      <c r="V53" s="67">
        <f t="shared" si="10"/>
        <v>0.17968516895878842</v>
      </c>
      <c r="W53" s="100">
        <f t="shared" si="11"/>
        <v>0.11979011263919227</v>
      </c>
    </row>
    <row r="54" spans="2:23">
      <c r="B54" s="96">
        <f>Amnt_Deposited!B49</f>
        <v>2035</v>
      </c>
      <c r="C54" s="99">
        <f>Amnt_Deposited!C49</f>
        <v>0</v>
      </c>
      <c r="D54" s="418">
        <f>Dry_Matter_Content!C41</f>
        <v>0.59</v>
      </c>
      <c r="E54" s="284">
        <f>MCF!R53</f>
        <v>1</v>
      </c>
      <c r="F54" s="67">
        <f t="shared" si="12"/>
        <v>0</v>
      </c>
      <c r="G54" s="67">
        <f t="shared" si="13"/>
        <v>0</v>
      </c>
      <c r="H54" s="67">
        <f t="shared" si="14"/>
        <v>0</v>
      </c>
      <c r="I54" s="67">
        <f t="shared" si="15"/>
        <v>0.36603992285341291</v>
      </c>
      <c r="J54" s="67">
        <f t="shared" si="16"/>
        <v>0.18002747438201369</v>
      </c>
      <c r="K54" s="100">
        <f t="shared" si="6"/>
        <v>0.12001831625467579</v>
      </c>
      <c r="O54" s="96">
        <f>Amnt_Deposited!B49</f>
        <v>2035</v>
      </c>
      <c r="P54" s="99">
        <f>Amnt_Deposited!C49</f>
        <v>0</v>
      </c>
      <c r="Q54" s="284">
        <f>MCF!R53</f>
        <v>1</v>
      </c>
      <c r="R54" s="67">
        <f t="shared" si="17"/>
        <v>0</v>
      </c>
      <c r="S54" s="67">
        <f t="shared" si="7"/>
        <v>0</v>
      </c>
      <c r="T54" s="67">
        <f t="shared" si="8"/>
        <v>0</v>
      </c>
      <c r="U54" s="67">
        <f t="shared" si="9"/>
        <v>0.24489736140950907</v>
      </c>
      <c r="V54" s="67">
        <f t="shared" si="10"/>
        <v>0.12044657072837668</v>
      </c>
      <c r="W54" s="100">
        <f t="shared" si="11"/>
        <v>8.0297713818917787E-2</v>
      </c>
    </row>
    <row r="55" spans="2:23">
      <c r="B55" s="96">
        <f>Amnt_Deposited!B50</f>
        <v>2036</v>
      </c>
      <c r="C55" s="99">
        <f>Amnt_Deposited!C50</f>
        <v>0</v>
      </c>
      <c r="D55" s="418">
        <f>Dry_Matter_Content!C42</f>
        <v>0.59</v>
      </c>
      <c r="E55" s="284">
        <f>MCF!R54</f>
        <v>1</v>
      </c>
      <c r="F55" s="67">
        <f t="shared" si="12"/>
        <v>0</v>
      </c>
      <c r="G55" s="67">
        <f t="shared" si="13"/>
        <v>0</v>
      </c>
      <c r="H55" s="67">
        <f t="shared" si="14"/>
        <v>0</v>
      </c>
      <c r="I55" s="67">
        <f t="shared" si="15"/>
        <v>0.24536389793798161</v>
      </c>
      <c r="J55" s="67">
        <f t="shared" si="16"/>
        <v>0.12067602491543131</v>
      </c>
      <c r="K55" s="100">
        <f t="shared" si="6"/>
        <v>8.0450683276954205E-2</v>
      </c>
      <c r="O55" s="96">
        <f>Amnt_Deposited!B50</f>
        <v>2036</v>
      </c>
      <c r="P55" s="99">
        <f>Amnt_Deposited!C50</f>
        <v>0</v>
      </c>
      <c r="Q55" s="284">
        <f>MCF!R54</f>
        <v>1</v>
      </c>
      <c r="R55" s="67">
        <f t="shared" si="17"/>
        <v>0</v>
      </c>
      <c r="S55" s="67">
        <f t="shared" si="7"/>
        <v>0</v>
      </c>
      <c r="T55" s="67">
        <f t="shared" si="8"/>
        <v>0</v>
      </c>
      <c r="U55" s="67">
        <f t="shared" si="9"/>
        <v>0.16415961057402872</v>
      </c>
      <c r="V55" s="67">
        <f t="shared" si="10"/>
        <v>8.0737750835480349E-2</v>
      </c>
      <c r="W55" s="100">
        <f t="shared" si="11"/>
        <v>5.3825167223653561E-2</v>
      </c>
    </row>
    <row r="56" spans="2:23">
      <c r="B56" s="96">
        <f>Amnt_Deposited!B51</f>
        <v>2037</v>
      </c>
      <c r="C56" s="99">
        <f>Amnt_Deposited!C51</f>
        <v>0</v>
      </c>
      <c r="D56" s="418">
        <f>Dry_Matter_Content!C43</f>
        <v>0.59</v>
      </c>
      <c r="E56" s="284">
        <f>MCF!R55</f>
        <v>1</v>
      </c>
      <c r="F56" s="67">
        <f t="shared" si="12"/>
        <v>0</v>
      </c>
      <c r="G56" s="67">
        <f t="shared" si="13"/>
        <v>0</v>
      </c>
      <c r="H56" s="67">
        <f t="shared" si="14"/>
        <v>0</v>
      </c>
      <c r="I56" s="67">
        <f t="shared" si="15"/>
        <v>0.16447233936127173</v>
      </c>
      <c r="J56" s="67">
        <f t="shared" si="16"/>
        <v>8.0891558576709863E-2</v>
      </c>
      <c r="K56" s="100">
        <f t="shared" si="6"/>
        <v>5.3927705717806571E-2</v>
      </c>
      <c r="O56" s="96">
        <f>Amnt_Deposited!B51</f>
        <v>2037</v>
      </c>
      <c r="P56" s="99">
        <f>Amnt_Deposited!C51</f>
        <v>0</v>
      </c>
      <c r="Q56" s="284">
        <f>MCF!R55</f>
        <v>1</v>
      </c>
      <c r="R56" s="67">
        <f t="shared" si="17"/>
        <v>0</v>
      </c>
      <c r="S56" s="67">
        <f t="shared" si="7"/>
        <v>0</v>
      </c>
      <c r="T56" s="67">
        <f t="shared" si="8"/>
        <v>0</v>
      </c>
      <c r="U56" s="67">
        <f t="shared" si="9"/>
        <v>0.11003947771717557</v>
      </c>
      <c r="V56" s="67">
        <f t="shared" si="10"/>
        <v>5.4120132856853166E-2</v>
      </c>
      <c r="W56" s="100">
        <f t="shared" si="11"/>
        <v>3.6080088571235444E-2</v>
      </c>
    </row>
    <row r="57" spans="2:23">
      <c r="B57" s="96">
        <f>Amnt_Deposited!B52</f>
        <v>2038</v>
      </c>
      <c r="C57" s="99">
        <f>Amnt_Deposited!C52</f>
        <v>0</v>
      </c>
      <c r="D57" s="418">
        <f>Dry_Matter_Content!C44</f>
        <v>0.59</v>
      </c>
      <c r="E57" s="284">
        <f>MCF!R56</f>
        <v>1</v>
      </c>
      <c r="F57" s="67">
        <f t="shared" si="12"/>
        <v>0</v>
      </c>
      <c r="G57" s="67">
        <f t="shared" si="13"/>
        <v>0</v>
      </c>
      <c r="H57" s="67">
        <f t="shared" si="14"/>
        <v>0</v>
      </c>
      <c r="I57" s="67">
        <f t="shared" si="15"/>
        <v>0.11024910609223695</v>
      </c>
      <c r="J57" s="67">
        <f t="shared" si="16"/>
        <v>5.4223233269034769E-2</v>
      </c>
      <c r="K57" s="100">
        <f t="shared" si="6"/>
        <v>3.6148822179356513E-2</v>
      </c>
      <c r="O57" s="96">
        <f>Amnt_Deposited!B52</f>
        <v>2038</v>
      </c>
      <c r="P57" s="99">
        <f>Amnt_Deposited!C52</f>
        <v>0</v>
      </c>
      <c r="Q57" s="284">
        <f>MCF!R56</f>
        <v>1</v>
      </c>
      <c r="R57" s="67">
        <f t="shared" si="17"/>
        <v>0</v>
      </c>
      <c r="S57" s="67">
        <f t="shared" si="7"/>
        <v>0</v>
      </c>
      <c r="T57" s="67">
        <f t="shared" si="8"/>
        <v>0</v>
      </c>
      <c r="U57" s="67">
        <f t="shared" si="9"/>
        <v>7.376166776911483E-2</v>
      </c>
      <c r="V57" s="67">
        <f t="shared" si="10"/>
        <v>3.6277809948060735E-2</v>
      </c>
      <c r="W57" s="100">
        <f t="shared" si="11"/>
        <v>2.418520663204049E-2</v>
      </c>
    </row>
    <row r="58" spans="2:23">
      <c r="B58" s="96">
        <f>Amnt_Deposited!B53</f>
        <v>2039</v>
      </c>
      <c r="C58" s="99">
        <f>Amnt_Deposited!C53</f>
        <v>0</v>
      </c>
      <c r="D58" s="418">
        <f>Dry_Matter_Content!C45</f>
        <v>0.59</v>
      </c>
      <c r="E58" s="284">
        <f>MCF!R57</f>
        <v>1</v>
      </c>
      <c r="F58" s="67">
        <f t="shared" si="12"/>
        <v>0</v>
      </c>
      <c r="G58" s="67">
        <f t="shared" si="13"/>
        <v>0</v>
      </c>
      <c r="H58" s="67">
        <f t="shared" si="14"/>
        <v>0</v>
      </c>
      <c r="I58" s="67">
        <f t="shared" si="15"/>
        <v>7.3902185871136353E-2</v>
      </c>
      <c r="J58" s="67">
        <f t="shared" si="16"/>
        <v>3.6346920221100594E-2</v>
      </c>
      <c r="K58" s="100">
        <f t="shared" si="6"/>
        <v>2.4231280147400395E-2</v>
      </c>
      <c r="O58" s="96">
        <f>Amnt_Deposited!B53</f>
        <v>2039</v>
      </c>
      <c r="P58" s="99">
        <f>Amnt_Deposited!C53</f>
        <v>0</v>
      </c>
      <c r="Q58" s="284">
        <f>MCF!R57</f>
        <v>1</v>
      </c>
      <c r="R58" s="67">
        <f t="shared" si="17"/>
        <v>0</v>
      </c>
      <c r="S58" s="67">
        <f t="shared" si="7"/>
        <v>0</v>
      </c>
      <c r="T58" s="67">
        <f t="shared" si="8"/>
        <v>0</v>
      </c>
      <c r="U58" s="67">
        <f t="shared" si="9"/>
        <v>4.9443924534658588E-2</v>
      </c>
      <c r="V58" s="67">
        <f t="shared" si="10"/>
        <v>2.4317743234456245E-2</v>
      </c>
      <c r="W58" s="100">
        <f t="shared" si="11"/>
        <v>1.6211828822970828E-2</v>
      </c>
    </row>
    <row r="59" spans="2:23">
      <c r="B59" s="96">
        <f>Amnt_Deposited!B54</f>
        <v>2040</v>
      </c>
      <c r="C59" s="99">
        <f>Amnt_Deposited!C54</f>
        <v>0</v>
      </c>
      <c r="D59" s="418">
        <f>Dry_Matter_Content!C46</f>
        <v>0.59</v>
      </c>
      <c r="E59" s="284">
        <f>MCF!R58</f>
        <v>1</v>
      </c>
      <c r="F59" s="67">
        <f t="shared" si="12"/>
        <v>0</v>
      </c>
      <c r="G59" s="67">
        <f t="shared" si="13"/>
        <v>0</v>
      </c>
      <c r="H59" s="67">
        <f t="shared" si="14"/>
        <v>0</v>
      </c>
      <c r="I59" s="67">
        <f t="shared" si="15"/>
        <v>4.9538116635274493E-2</v>
      </c>
      <c r="J59" s="67">
        <f t="shared" si="16"/>
        <v>2.436406923586186E-2</v>
      </c>
      <c r="K59" s="100">
        <f t="shared" si="6"/>
        <v>1.6242712823907907E-2</v>
      </c>
      <c r="O59" s="96">
        <f>Amnt_Deposited!B54</f>
        <v>2040</v>
      </c>
      <c r="P59" s="99">
        <f>Amnt_Deposited!C54</f>
        <v>0</v>
      </c>
      <c r="Q59" s="284">
        <f>MCF!R58</f>
        <v>1</v>
      </c>
      <c r="R59" s="67">
        <f t="shared" si="17"/>
        <v>0</v>
      </c>
      <c r="S59" s="67">
        <f t="shared" si="7"/>
        <v>0</v>
      </c>
      <c r="T59" s="67">
        <f t="shared" si="8"/>
        <v>0</v>
      </c>
      <c r="U59" s="67">
        <f t="shared" si="9"/>
        <v>3.3143253770255024E-2</v>
      </c>
      <c r="V59" s="67">
        <f t="shared" si="10"/>
        <v>1.6300670764403568E-2</v>
      </c>
      <c r="W59" s="100">
        <f t="shared" si="11"/>
        <v>1.0867113842935712E-2</v>
      </c>
    </row>
    <row r="60" spans="2:23">
      <c r="B60" s="96">
        <f>Amnt_Deposited!B55</f>
        <v>2041</v>
      </c>
      <c r="C60" s="99">
        <f>Amnt_Deposited!C55</f>
        <v>0</v>
      </c>
      <c r="D60" s="418">
        <f>Dry_Matter_Content!C47</f>
        <v>0.59</v>
      </c>
      <c r="E60" s="284">
        <f>MCF!R59</f>
        <v>1</v>
      </c>
      <c r="F60" s="67">
        <f t="shared" si="12"/>
        <v>0</v>
      </c>
      <c r="G60" s="67">
        <f t="shared" si="13"/>
        <v>0</v>
      </c>
      <c r="H60" s="67">
        <f t="shared" si="14"/>
        <v>0</v>
      </c>
      <c r="I60" s="67">
        <f t="shared" si="15"/>
        <v>3.3206392623476071E-2</v>
      </c>
      <c r="J60" s="67">
        <f t="shared" si="16"/>
        <v>1.6331724011798426E-2</v>
      </c>
      <c r="K60" s="100">
        <f t="shared" si="6"/>
        <v>1.0887816007865616E-2</v>
      </c>
      <c r="O60" s="96">
        <f>Amnt_Deposited!B55</f>
        <v>2041</v>
      </c>
      <c r="P60" s="99">
        <f>Amnt_Deposited!C55</f>
        <v>0</v>
      </c>
      <c r="Q60" s="284">
        <f>MCF!R59</f>
        <v>1</v>
      </c>
      <c r="R60" s="67">
        <f t="shared" si="17"/>
        <v>0</v>
      </c>
      <c r="S60" s="67">
        <f t="shared" si="7"/>
        <v>0</v>
      </c>
      <c r="T60" s="67">
        <f t="shared" si="8"/>
        <v>0</v>
      </c>
      <c r="U60" s="67">
        <f t="shared" si="9"/>
        <v>2.2216587393048225E-2</v>
      </c>
      <c r="V60" s="67">
        <f t="shared" si="10"/>
        <v>1.09266663772068E-2</v>
      </c>
      <c r="W60" s="100">
        <f t="shared" si="11"/>
        <v>7.2844442514711999E-3</v>
      </c>
    </row>
    <row r="61" spans="2:23">
      <c r="B61" s="96">
        <f>Amnt_Deposited!B56</f>
        <v>2042</v>
      </c>
      <c r="C61" s="99">
        <f>Amnt_Deposited!C56</f>
        <v>0</v>
      </c>
      <c r="D61" s="418">
        <f>Dry_Matter_Content!C48</f>
        <v>0.59</v>
      </c>
      <c r="E61" s="284">
        <f>MCF!R60</f>
        <v>1</v>
      </c>
      <c r="F61" s="67">
        <f t="shared" si="12"/>
        <v>0</v>
      </c>
      <c r="G61" s="67">
        <f t="shared" si="13"/>
        <v>0</v>
      </c>
      <c r="H61" s="67">
        <f t="shared" si="14"/>
        <v>0</v>
      </c>
      <c r="I61" s="67">
        <f t="shared" si="15"/>
        <v>2.2258910632045995E-2</v>
      </c>
      <c r="J61" s="67">
        <f t="shared" si="16"/>
        <v>1.0947481991430077E-2</v>
      </c>
      <c r="K61" s="100">
        <f t="shared" si="6"/>
        <v>7.2983213276200509E-3</v>
      </c>
      <c r="O61" s="96">
        <f>Amnt_Deposited!B56</f>
        <v>2042</v>
      </c>
      <c r="P61" s="99">
        <f>Amnt_Deposited!C56</f>
        <v>0</v>
      </c>
      <c r="Q61" s="284">
        <f>MCF!R60</f>
        <v>1</v>
      </c>
      <c r="R61" s="67">
        <f t="shared" si="17"/>
        <v>0</v>
      </c>
      <c r="S61" s="67">
        <f t="shared" si="7"/>
        <v>0</v>
      </c>
      <c r="T61" s="67">
        <f t="shared" si="8"/>
        <v>0</v>
      </c>
      <c r="U61" s="67">
        <f t="shared" si="9"/>
        <v>1.489222388406289E-2</v>
      </c>
      <c r="V61" s="67">
        <f t="shared" si="10"/>
        <v>7.3243635089853343E-3</v>
      </c>
      <c r="W61" s="100">
        <f t="shared" si="11"/>
        <v>4.8829090059902226E-3</v>
      </c>
    </row>
    <row r="62" spans="2:23">
      <c r="B62" s="96">
        <f>Amnt_Deposited!B57</f>
        <v>2043</v>
      </c>
      <c r="C62" s="99">
        <f>Amnt_Deposited!C57</f>
        <v>0</v>
      </c>
      <c r="D62" s="418">
        <f>Dry_Matter_Content!C49</f>
        <v>0.59</v>
      </c>
      <c r="E62" s="284">
        <f>MCF!R61</f>
        <v>1</v>
      </c>
      <c r="F62" s="67">
        <f t="shared" si="12"/>
        <v>0</v>
      </c>
      <c r="G62" s="67">
        <f t="shared" si="13"/>
        <v>0</v>
      </c>
      <c r="H62" s="67">
        <f t="shared" si="14"/>
        <v>0</v>
      </c>
      <c r="I62" s="67">
        <f t="shared" si="15"/>
        <v>1.4920593999576253E-2</v>
      </c>
      <c r="J62" s="67">
        <f t="shared" si="16"/>
        <v>7.3383166324697416E-3</v>
      </c>
      <c r="K62" s="100">
        <f t="shared" si="6"/>
        <v>4.8922110883131611E-3</v>
      </c>
      <c r="O62" s="96">
        <f>Amnt_Deposited!B57</f>
        <v>2043</v>
      </c>
      <c r="P62" s="99">
        <f>Amnt_Deposited!C57</f>
        <v>0</v>
      </c>
      <c r="Q62" s="284">
        <f>MCF!R61</f>
        <v>1</v>
      </c>
      <c r="R62" s="67">
        <f t="shared" si="17"/>
        <v>0</v>
      </c>
      <c r="S62" s="67">
        <f t="shared" si="7"/>
        <v>0</v>
      </c>
      <c r="T62" s="67">
        <f t="shared" si="8"/>
        <v>0</v>
      </c>
      <c r="U62" s="67">
        <f t="shared" si="9"/>
        <v>9.982556199538084E-3</v>
      </c>
      <c r="V62" s="67">
        <f t="shared" si="10"/>
        <v>4.9096676845248061E-3</v>
      </c>
      <c r="W62" s="100">
        <f t="shared" si="11"/>
        <v>3.2731117896832038E-3</v>
      </c>
    </row>
    <row r="63" spans="2:23">
      <c r="B63" s="96">
        <f>Amnt_Deposited!B58</f>
        <v>2044</v>
      </c>
      <c r="C63" s="99">
        <f>Amnt_Deposited!C58</f>
        <v>0</v>
      </c>
      <c r="D63" s="418">
        <f>Dry_Matter_Content!C50</f>
        <v>0.59</v>
      </c>
      <c r="E63" s="284">
        <f>MCF!R62</f>
        <v>1</v>
      </c>
      <c r="F63" s="67">
        <f t="shared" si="12"/>
        <v>0</v>
      </c>
      <c r="G63" s="67">
        <f t="shared" si="13"/>
        <v>0</v>
      </c>
      <c r="H63" s="67">
        <f t="shared" si="14"/>
        <v>0</v>
      </c>
      <c r="I63" s="67">
        <f t="shared" si="15"/>
        <v>1.0001573256675037E-2</v>
      </c>
      <c r="J63" s="67">
        <f t="shared" si="16"/>
        <v>4.919020742901215E-3</v>
      </c>
      <c r="K63" s="100">
        <f t="shared" si="6"/>
        <v>3.2793471619341433E-3</v>
      </c>
      <c r="O63" s="96">
        <f>Amnt_Deposited!B58</f>
        <v>2044</v>
      </c>
      <c r="P63" s="99">
        <f>Amnt_Deposited!C58</f>
        <v>0</v>
      </c>
      <c r="Q63" s="284">
        <f>MCF!R62</f>
        <v>1</v>
      </c>
      <c r="R63" s="67">
        <f t="shared" si="17"/>
        <v>0</v>
      </c>
      <c r="S63" s="67">
        <f t="shared" si="7"/>
        <v>0</v>
      </c>
      <c r="T63" s="67">
        <f t="shared" si="8"/>
        <v>0</v>
      </c>
      <c r="U63" s="67">
        <f t="shared" si="9"/>
        <v>6.6915075312277252E-3</v>
      </c>
      <c r="V63" s="67">
        <f t="shared" si="10"/>
        <v>3.2910486683103589E-3</v>
      </c>
      <c r="W63" s="100">
        <f t="shared" si="11"/>
        <v>2.1940324455402391E-3</v>
      </c>
    </row>
    <row r="64" spans="2:23">
      <c r="B64" s="96">
        <f>Amnt_Deposited!B59</f>
        <v>2045</v>
      </c>
      <c r="C64" s="99">
        <f>Amnt_Deposited!C59</f>
        <v>0</v>
      </c>
      <c r="D64" s="418">
        <f>Dry_Matter_Content!C51</f>
        <v>0.59</v>
      </c>
      <c r="E64" s="284">
        <f>MCF!R63</f>
        <v>1</v>
      </c>
      <c r="F64" s="67">
        <f t="shared" si="12"/>
        <v>0</v>
      </c>
      <c r="G64" s="67">
        <f t="shared" si="13"/>
        <v>0</v>
      </c>
      <c r="H64" s="67">
        <f t="shared" si="14"/>
        <v>0</v>
      </c>
      <c r="I64" s="67">
        <f t="shared" si="15"/>
        <v>6.7042550458432295E-3</v>
      </c>
      <c r="J64" s="67">
        <f t="shared" si="16"/>
        <v>3.2973182108318069E-3</v>
      </c>
      <c r="K64" s="100">
        <f t="shared" si="6"/>
        <v>2.1982121405545378E-3</v>
      </c>
      <c r="O64" s="96">
        <f>Amnt_Deposited!B59</f>
        <v>2045</v>
      </c>
      <c r="P64" s="99">
        <f>Amnt_Deposited!C59</f>
        <v>0</v>
      </c>
      <c r="Q64" s="284">
        <f>MCF!R63</f>
        <v>1</v>
      </c>
      <c r="R64" s="67">
        <f t="shared" si="17"/>
        <v>0</v>
      </c>
      <c r="S64" s="67">
        <f t="shared" si="7"/>
        <v>0</v>
      </c>
      <c r="T64" s="67">
        <f t="shared" si="8"/>
        <v>0</v>
      </c>
      <c r="U64" s="67">
        <f t="shared" si="9"/>
        <v>4.485451636380396E-3</v>
      </c>
      <c r="V64" s="67">
        <f t="shared" si="10"/>
        <v>2.2060558948473292E-3</v>
      </c>
      <c r="W64" s="100">
        <f t="shared" si="11"/>
        <v>1.4707039298982195E-3</v>
      </c>
    </row>
    <row r="65" spans="2:23">
      <c r="B65" s="96">
        <f>Amnt_Deposited!B60</f>
        <v>2046</v>
      </c>
      <c r="C65" s="99">
        <f>Amnt_Deposited!C60</f>
        <v>0</v>
      </c>
      <c r="D65" s="418">
        <f>Dry_Matter_Content!C52</f>
        <v>0.59</v>
      </c>
      <c r="E65" s="284">
        <f>MCF!R64</f>
        <v>1</v>
      </c>
      <c r="F65" s="67">
        <f t="shared" si="12"/>
        <v>0</v>
      </c>
      <c r="G65" s="67">
        <f t="shared" si="13"/>
        <v>0</v>
      </c>
      <c r="H65" s="67">
        <f t="shared" si="14"/>
        <v>0</v>
      </c>
      <c r="I65" s="67">
        <f t="shared" si="15"/>
        <v>4.4939965509643012E-3</v>
      </c>
      <c r="J65" s="67">
        <f t="shared" si="16"/>
        <v>2.2102584948789287E-3</v>
      </c>
      <c r="K65" s="100">
        <f t="shared" si="6"/>
        <v>1.473505663252619E-3</v>
      </c>
      <c r="O65" s="96">
        <f>Amnt_Deposited!B60</f>
        <v>2046</v>
      </c>
      <c r="P65" s="99">
        <f>Amnt_Deposited!C60</f>
        <v>0</v>
      </c>
      <c r="Q65" s="284">
        <f>MCF!R64</f>
        <v>1</v>
      </c>
      <c r="R65" s="67">
        <f t="shared" si="17"/>
        <v>0</v>
      </c>
      <c r="S65" s="67">
        <f t="shared" si="7"/>
        <v>0</v>
      </c>
      <c r="T65" s="67">
        <f t="shared" si="8"/>
        <v>0</v>
      </c>
      <c r="U65" s="67">
        <f t="shared" si="9"/>
        <v>3.0066881473891408E-3</v>
      </c>
      <c r="V65" s="67">
        <f t="shared" si="10"/>
        <v>1.4787634889912552E-3</v>
      </c>
      <c r="W65" s="100">
        <f t="shared" si="11"/>
        <v>9.8584232599417004E-4</v>
      </c>
    </row>
    <row r="66" spans="2:23">
      <c r="B66" s="96">
        <f>Amnt_Deposited!B61</f>
        <v>2047</v>
      </c>
      <c r="C66" s="99">
        <f>Amnt_Deposited!C61</f>
        <v>0</v>
      </c>
      <c r="D66" s="418">
        <f>Dry_Matter_Content!C53</f>
        <v>0.59</v>
      </c>
      <c r="E66" s="284">
        <f>MCF!R65</f>
        <v>1</v>
      </c>
      <c r="F66" s="67">
        <f t="shared" si="12"/>
        <v>0</v>
      </c>
      <c r="G66" s="67">
        <f t="shared" si="13"/>
        <v>0</v>
      </c>
      <c r="H66" s="67">
        <f t="shared" si="14"/>
        <v>0</v>
      </c>
      <c r="I66" s="67">
        <f t="shared" si="15"/>
        <v>3.0124159749263949E-3</v>
      </c>
      <c r="J66" s="67">
        <f t="shared" si="16"/>
        <v>1.4815805760379065E-3</v>
      </c>
      <c r="K66" s="100">
        <f t="shared" si="6"/>
        <v>9.8772038402527088E-4</v>
      </c>
      <c r="O66" s="96">
        <f>Amnt_Deposited!B61</f>
        <v>2047</v>
      </c>
      <c r="P66" s="99">
        <f>Amnt_Deposited!C61</f>
        <v>0</v>
      </c>
      <c r="Q66" s="284">
        <f>MCF!R65</f>
        <v>1</v>
      </c>
      <c r="R66" s="67">
        <f t="shared" si="17"/>
        <v>0</v>
      </c>
      <c r="S66" s="67">
        <f t="shared" si="7"/>
        <v>0</v>
      </c>
      <c r="T66" s="67">
        <f t="shared" si="8"/>
        <v>0</v>
      </c>
      <c r="U66" s="67">
        <f t="shared" si="9"/>
        <v>2.0154433373727001E-3</v>
      </c>
      <c r="V66" s="67">
        <f t="shared" si="10"/>
        <v>9.9124481001644092E-4</v>
      </c>
      <c r="W66" s="100">
        <f t="shared" si="11"/>
        <v>6.6082987334429395E-4</v>
      </c>
    </row>
    <row r="67" spans="2:23">
      <c r="B67" s="96">
        <f>Amnt_Deposited!B62</f>
        <v>2048</v>
      </c>
      <c r="C67" s="99">
        <f>Amnt_Deposited!C62</f>
        <v>0</v>
      </c>
      <c r="D67" s="418">
        <f>Dry_Matter_Content!C54</f>
        <v>0.59</v>
      </c>
      <c r="E67" s="284">
        <f>MCF!R66</f>
        <v>1</v>
      </c>
      <c r="F67" s="67">
        <f t="shared" si="12"/>
        <v>0</v>
      </c>
      <c r="G67" s="67">
        <f t="shared" si="13"/>
        <v>0</v>
      </c>
      <c r="H67" s="67">
        <f t="shared" si="14"/>
        <v>0</v>
      </c>
      <c r="I67" s="67">
        <f t="shared" si="15"/>
        <v>2.0192828149911564E-3</v>
      </c>
      <c r="J67" s="67">
        <f t="shared" si="16"/>
        <v>9.9313315993523844E-4</v>
      </c>
      <c r="K67" s="100">
        <f t="shared" si="6"/>
        <v>6.6208877329015892E-4</v>
      </c>
      <c r="O67" s="96">
        <f>Amnt_Deposited!B62</f>
        <v>2048</v>
      </c>
      <c r="P67" s="99">
        <f>Amnt_Deposited!C62</f>
        <v>0</v>
      </c>
      <c r="Q67" s="284">
        <f>MCF!R66</f>
        <v>1</v>
      </c>
      <c r="R67" s="67">
        <f t="shared" si="17"/>
        <v>0</v>
      </c>
      <c r="S67" s="67">
        <f t="shared" si="7"/>
        <v>0</v>
      </c>
      <c r="T67" s="67">
        <f t="shared" si="8"/>
        <v>0</v>
      </c>
      <c r="U67" s="67">
        <f t="shared" si="9"/>
        <v>1.3509920706898909E-3</v>
      </c>
      <c r="V67" s="67">
        <f t="shared" si="10"/>
        <v>6.6445126668280923E-4</v>
      </c>
      <c r="W67" s="100">
        <f t="shared" si="11"/>
        <v>4.429675111218728E-4</v>
      </c>
    </row>
    <row r="68" spans="2:23">
      <c r="B68" s="96">
        <f>Amnt_Deposited!B63</f>
        <v>2049</v>
      </c>
      <c r="C68" s="99">
        <f>Amnt_Deposited!C63</f>
        <v>0</v>
      </c>
      <c r="D68" s="418">
        <f>Dry_Matter_Content!C55</f>
        <v>0.59</v>
      </c>
      <c r="E68" s="284">
        <f>MCF!R67</f>
        <v>1</v>
      </c>
      <c r="F68" s="67">
        <f t="shared" si="12"/>
        <v>0</v>
      </c>
      <c r="G68" s="67">
        <f t="shared" si="13"/>
        <v>0</v>
      </c>
      <c r="H68" s="67">
        <f t="shared" si="14"/>
        <v>0</v>
      </c>
      <c r="I68" s="67">
        <f t="shared" si="15"/>
        <v>1.3535657495038474E-3</v>
      </c>
      <c r="J68" s="67">
        <f t="shared" si="16"/>
        <v>6.6571706548730907E-4</v>
      </c>
      <c r="K68" s="100">
        <f t="shared" si="6"/>
        <v>4.4381137699153934E-4</v>
      </c>
      <c r="O68" s="96">
        <f>Amnt_Deposited!B63</f>
        <v>2049</v>
      </c>
      <c r="P68" s="99">
        <f>Amnt_Deposited!C63</f>
        <v>0</v>
      </c>
      <c r="Q68" s="284">
        <f>MCF!R67</f>
        <v>1</v>
      </c>
      <c r="R68" s="67">
        <f t="shared" si="17"/>
        <v>0</v>
      </c>
      <c r="S68" s="67">
        <f t="shared" si="7"/>
        <v>0</v>
      </c>
      <c r="T68" s="67">
        <f t="shared" si="8"/>
        <v>0</v>
      </c>
      <c r="U68" s="67">
        <f t="shared" si="9"/>
        <v>9.0559706701863138E-4</v>
      </c>
      <c r="V68" s="67">
        <f t="shared" si="10"/>
        <v>4.4539500367125955E-4</v>
      </c>
      <c r="W68" s="100">
        <f t="shared" si="11"/>
        <v>2.9693000244750633E-4</v>
      </c>
    </row>
    <row r="69" spans="2:23">
      <c r="B69" s="96">
        <f>Amnt_Deposited!B64</f>
        <v>2050</v>
      </c>
      <c r="C69" s="99">
        <f>Amnt_Deposited!C64</f>
        <v>0</v>
      </c>
      <c r="D69" s="418">
        <f>Dry_Matter_Content!C56</f>
        <v>0.59</v>
      </c>
      <c r="E69" s="284">
        <f>MCF!R68</f>
        <v>1</v>
      </c>
      <c r="F69" s="67">
        <f t="shared" si="12"/>
        <v>0</v>
      </c>
      <c r="G69" s="67">
        <f t="shared" si="13"/>
        <v>0</v>
      </c>
      <c r="H69" s="67">
        <f t="shared" si="14"/>
        <v>0</v>
      </c>
      <c r="I69" s="67">
        <f t="shared" si="15"/>
        <v>9.0732225551968366E-4</v>
      </c>
      <c r="J69" s="67">
        <f t="shared" si="16"/>
        <v>4.4624349398416377E-4</v>
      </c>
      <c r="K69" s="100">
        <f t="shared" si="6"/>
        <v>2.9749566265610918E-4</v>
      </c>
      <c r="O69" s="96">
        <f>Amnt_Deposited!B64</f>
        <v>2050</v>
      </c>
      <c r="P69" s="99">
        <f>Amnt_Deposited!C64</f>
        <v>0</v>
      </c>
      <c r="Q69" s="284">
        <f>MCF!R68</f>
        <v>1</v>
      </c>
      <c r="R69" s="67">
        <f t="shared" si="17"/>
        <v>0</v>
      </c>
      <c r="S69" s="67">
        <f t="shared" si="7"/>
        <v>0</v>
      </c>
      <c r="T69" s="67">
        <f t="shared" si="8"/>
        <v>0</v>
      </c>
      <c r="U69" s="67">
        <f t="shared" si="9"/>
        <v>6.0703986765366894E-4</v>
      </c>
      <c r="V69" s="67">
        <f t="shared" si="10"/>
        <v>2.9855719936496244E-4</v>
      </c>
      <c r="W69" s="100">
        <f t="shared" si="11"/>
        <v>1.9903813290997495E-4</v>
      </c>
    </row>
    <row r="70" spans="2:23">
      <c r="B70" s="96">
        <f>Amnt_Deposited!B65</f>
        <v>2051</v>
      </c>
      <c r="C70" s="99">
        <f>Amnt_Deposited!C65</f>
        <v>0</v>
      </c>
      <c r="D70" s="418">
        <f>Dry_Matter_Content!C57</f>
        <v>0.59</v>
      </c>
      <c r="E70" s="284">
        <f>MCF!R69</f>
        <v>1</v>
      </c>
      <c r="F70" s="67">
        <f t="shared" si="12"/>
        <v>0</v>
      </c>
      <c r="G70" s="67">
        <f t="shared" si="13"/>
        <v>0</v>
      </c>
      <c r="H70" s="67">
        <f t="shared" si="14"/>
        <v>0</v>
      </c>
      <c r="I70" s="67">
        <f t="shared" si="15"/>
        <v>6.0819629608911446E-4</v>
      </c>
      <c r="J70" s="67">
        <f t="shared" si="16"/>
        <v>2.9912595943056919E-4</v>
      </c>
      <c r="K70" s="100">
        <f t="shared" si="6"/>
        <v>1.9941730628704612E-4</v>
      </c>
      <c r="O70" s="96">
        <f>Amnt_Deposited!B65</f>
        <v>2051</v>
      </c>
      <c r="P70" s="99">
        <f>Amnt_Deposited!C65</f>
        <v>0</v>
      </c>
      <c r="Q70" s="284">
        <f>MCF!R69</f>
        <v>1</v>
      </c>
      <c r="R70" s="67">
        <f t="shared" si="17"/>
        <v>0</v>
      </c>
      <c r="S70" s="67">
        <f t="shared" si="7"/>
        <v>0</v>
      </c>
      <c r="T70" s="67">
        <f t="shared" si="8"/>
        <v>0</v>
      </c>
      <c r="U70" s="67">
        <f t="shared" si="9"/>
        <v>4.0691099203107574E-4</v>
      </c>
      <c r="V70" s="67">
        <f t="shared" si="10"/>
        <v>2.0012887562259317E-4</v>
      </c>
      <c r="W70" s="100">
        <f t="shared" si="11"/>
        <v>1.334192504150621E-4</v>
      </c>
    </row>
    <row r="71" spans="2:23">
      <c r="B71" s="96">
        <f>Amnt_Deposited!B66</f>
        <v>2052</v>
      </c>
      <c r="C71" s="99">
        <f>Amnt_Deposited!C66</f>
        <v>0</v>
      </c>
      <c r="D71" s="418">
        <f>Dry_Matter_Content!C58</f>
        <v>0.59</v>
      </c>
      <c r="E71" s="284">
        <f>MCF!R70</f>
        <v>1</v>
      </c>
      <c r="F71" s="67">
        <f t="shared" si="12"/>
        <v>0</v>
      </c>
      <c r="G71" s="67">
        <f t="shared" si="13"/>
        <v>0</v>
      </c>
      <c r="H71" s="67">
        <f t="shared" si="14"/>
        <v>0</v>
      </c>
      <c r="I71" s="67">
        <f t="shared" si="15"/>
        <v>4.0768616919316055E-4</v>
      </c>
      <c r="J71" s="67">
        <f t="shared" si="16"/>
        <v>2.0051012689595394E-4</v>
      </c>
      <c r="K71" s="100">
        <f t="shared" si="6"/>
        <v>1.3367341793063596E-4</v>
      </c>
      <c r="O71" s="96">
        <f>Amnt_Deposited!B66</f>
        <v>2052</v>
      </c>
      <c r="P71" s="99">
        <f>Amnt_Deposited!C66</f>
        <v>0</v>
      </c>
      <c r="Q71" s="284">
        <f>MCF!R70</f>
        <v>1</v>
      </c>
      <c r="R71" s="67">
        <f t="shared" si="17"/>
        <v>0</v>
      </c>
      <c r="S71" s="67">
        <f t="shared" si="7"/>
        <v>0</v>
      </c>
      <c r="T71" s="67">
        <f t="shared" si="8"/>
        <v>0</v>
      </c>
      <c r="U71" s="67">
        <f t="shared" si="9"/>
        <v>2.7276059491067838E-4</v>
      </c>
      <c r="V71" s="67">
        <f t="shared" si="10"/>
        <v>1.3415039712039739E-4</v>
      </c>
      <c r="W71" s="100">
        <f t="shared" si="11"/>
        <v>8.9433598080264928E-5</v>
      </c>
    </row>
    <row r="72" spans="2:23">
      <c r="B72" s="96">
        <f>Amnt_Deposited!B67</f>
        <v>2053</v>
      </c>
      <c r="C72" s="99">
        <f>Amnt_Deposited!C67</f>
        <v>0</v>
      </c>
      <c r="D72" s="418">
        <f>Dry_Matter_Content!C59</f>
        <v>0.59</v>
      </c>
      <c r="E72" s="284">
        <f>MCF!R71</f>
        <v>1</v>
      </c>
      <c r="F72" s="67">
        <f t="shared" si="12"/>
        <v>0</v>
      </c>
      <c r="G72" s="67">
        <f t="shared" si="13"/>
        <v>0</v>
      </c>
      <c r="H72" s="67">
        <f t="shared" si="14"/>
        <v>0</v>
      </c>
      <c r="I72" s="67">
        <f t="shared" si="15"/>
        <v>2.7328021170165283E-4</v>
      </c>
      <c r="J72" s="67">
        <f t="shared" si="16"/>
        <v>1.3440595749150772E-4</v>
      </c>
      <c r="K72" s="100">
        <f t="shared" si="6"/>
        <v>8.9603971661005144E-5</v>
      </c>
      <c r="O72" s="96">
        <f>Amnt_Deposited!B67</f>
        <v>2053</v>
      </c>
      <c r="P72" s="99">
        <f>Amnt_Deposited!C67</f>
        <v>0</v>
      </c>
      <c r="Q72" s="284">
        <f>MCF!R71</f>
        <v>1</v>
      </c>
      <c r="R72" s="67">
        <f t="shared" si="17"/>
        <v>0</v>
      </c>
      <c r="S72" s="67">
        <f t="shared" si="7"/>
        <v>0</v>
      </c>
      <c r="T72" s="67">
        <f t="shared" si="8"/>
        <v>0</v>
      </c>
      <c r="U72" s="67">
        <f t="shared" si="9"/>
        <v>1.8283689453723429E-4</v>
      </c>
      <c r="V72" s="67">
        <f t="shared" si="10"/>
        <v>8.9923700373444081E-5</v>
      </c>
      <c r="W72" s="100">
        <f t="shared" si="11"/>
        <v>5.9949133582296054E-5</v>
      </c>
    </row>
    <row r="73" spans="2:23">
      <c r="B73" s="96">
        <f>Amnt_Deposited!B68</f>
        <v>2054</v>
      </c>
      <c r="C73" s="99">
        <f>Amnt_Deposited!C68</f>
        <v>0</v>
      </c>
      <c r="D73" s="418">
        <f>Dry_Matter_Content!C60</f>
        <v>0.59</v>
      </c>
      <c r="E73" s="284">
        <f>MCF!R72</f>
        <v>1</v>
      </c>
      <c r="F73" s="67">
        <f t="shared" si="12"/>
        <v>0</v>
      </c>
      <c r="G73" s="67">
        <f t="shared" si="13"/>
        <v>0</v>
      </c>
      <c r="H73" s="67">
        <f t="shared" si="14"/>
        <v>0</v>
      </c>
      <c r="I73" s="67">
        <f t="shared" si="15"/>
        <v>1.8318520408848118E-4</v>
      </c>
      <c r="J73" s="67">
        <f t="shared" si="16"/>
        <v>9.0095007613171646E-5</v>
      </c>
      <c r="K73" s="100">
        <f t="shared" si="6"/>
        <v>6.0063338408781097E-5</v>
      </c>
      <c r="O73" s="96">
        <f>Amnt_Deposited!B68</f>
        <v>2054</v>
      </c>
      <c r="P73" s="99">
        <f>Amnt_Deposited!C68</f>
        <v>0</v>
      </c>
      <c r="Q73" s="284">
        <f>MCF!R72</f>
        <v>1</v>
      </c>
      <c r="R73" s="67">
        <f t="shared" si="17"/>
        <v>0</v>
      </c>
      <c r="S73" s="67">
        <f t="shared" si="7"/>
        <v>0</v>
      </c>
      <c r="T73" s="67">
        <f t="shared" si="8"/>
        <v>0</v>
      </c>
      <c r="U73" s="67">
        <f t="shared" si="9"/>
        <v>1.2255923556321222E-4</v>
      </c>
      <c r="V73" s="67">
        <f t="shared" si="10"/>
        <v>6.027765897402207E-5</v>
      </c>
      <c r="W73" s="100">
        <f t="shared" si="11"/>
        <v>4.018510598268138E-5</v>
      </c>
    </row>
    <row r="74" spans="2:23">
      <c r="B74" s="96">
        <f>Amnt_Deposited!B69</f>
        <v>2055</v>
      </c>
      <c r="C74" s="99">
        <f>Amnt_Deposited!C69</f>
        <v>0</v>
      </c>
      <c r="D74" s="418">
        <f>Dry_Matter_Content!C61</f>
        <v>0.59</v>
      </c>
      <c r="E74" s="284">
        <f>MCF!R73</f>
        <v>1</v>
      </c>
      <c r="F74" s="67">
        <f t="shared" si="12"/>
        <v>0</v>
      </c>
      <c r="G74" s="67">
        <f t="shared" si="13"/>
        <v>0</v>
      </c>
      <c r="H74" s="67">
        <f t="shared" si="14"/>
        <v>0</v>
      </c>
      <c r="I74" s="67">
        <f t="shared" si="15"/>
        <v>1.227927144376387E-4</v>
      </c>
      <c r="J74" s="67">
        <f t="shared" si="16"/>
        <v>6.039248965084249E-5</v>
      </c>
      <c r="K74" s="100">
        <f t="shared" si="6"/>
        <v>4.0261659767228324E-5</v>
      </c>
      <c r="O74" s="96">
        <f>Amnt_Deposited!B69</f>
        <v>2055</v>
      </c>
      <c r="P74" s="99">
        <f>Amnt_Deposited!C69</f>
        <v>0</v>
      </c>
      <c r="Q74" s="284">
        <f>MCF!R73</f>
        <v>1</v>
      </c>
      <c r="R74" s="67">
        <f t="shared" si="17"/>
        <v>0</v>
      </c>
      <c r="S74" s="67">
        <f t="shared" si="7"/>
        <v>0</v>
      </c>
      <c r="T74" s="67">
        <f t="shared" si="8"/>
        <v>0</v>
      </c>
      <c r="U74" s="67">
        <f t="shared" si="9"/>
        <v>8.2153912424825186E-5</v>
      </c>
      <c r="V74" s="67">
        <f t="shared" si="10"/>
        <v>4.0405323138387044E-5</v>
      </c>
      <c r="W74" s="100">
        <f t="shared" si="11"/>
        <v>2.6936882092258029E-5</v>
      </c>
    </row>
    <row r="75" spans="2:23">
      <c r="B75" s="96">
        <f>Amnt_Deposited!B70</f>
        <v>2056</v>
      </c>
      <c r="C75" s="99">
        <f>Amnt_Deposited!C70</f>
        <v>0</v>
      </c>
      <c r="D75" s="418">
        <f>Dry_Matter_Content!C62</f>
        <v>0.59</v>
      </c>
      <c r="E75" s="284">
        <f>MCF!R74</f>
        <v>1</v>
      </c>
      <c r="F75" s="67">
        <f t="shared" si="12"/>
        <v>0</v>
      </c>
      <c r="G75" s="67">
        <f t="shared" si="13"/>
        <v>0</v>
      </c>
      <c r="H75" s="67">
        <f t="shared" si="14"/>
        <v>0</v>
      </c>
      <c r="I75" s="67">
        <f t="shared" si="15"/>
        <v>8.2310417994679088E-5</v>
      </c>
      <c r="J75" s="67">
        <f t="shared" si="16"/>
        <v>4.0482296442959613E-5</v>
      </c>
      <c r="K75" s="100">
        <f t="shared" si="6"/>
        <v>2.6988197628639741E-5</v>
      </c>
      <c r="O75" s="96">
        <f>Amnt_Deposited!B70</f>
        <v>2056</v>
      </c>
      <c r="P75" s="99">
        <f>Amnt_Deposited!C70</f>
        <v>0</v>
      </c>
      <c r="Q75" s="284">
        <f>MCF!R74</f>
        <v>1</v>
      </c>
      <c r="R75" s="67">
        <f t="shared" si="17"/>
        <v>0</v>
      </c>
      <c r="S75" s="67">
        <f t="shared" si="7"/>
        <v>0</v>
      </c>
      <c r="T75" s="67">
        <f t="shared" si="8"/>
        <v>0</v>
      </c>
      <c r="U75" s="67">
        <f t="shared" si="9"/>
        <v>5.5069414358616697E-5</v>
      </c>
      <c r="V75" s="67">
        <f t="shared" si="10"/>
        <v>2.7084498066208485E-5</v>
      </c>
      <c r="W75" s="100">
        <f t="shared" si="11"/>
        <v>1.8056332044138988E-5</v>
      </c>
    </row>
    <row r="76" spans="2:23">
      <c r="B76" s="96">
        <f>Amnt_Deposited!B71</f>
        <v>2057</v>
      </c>
      <c r="C76" s="99">
        <f>Amnt_Deposited!C71</f>
        <v>0</v>
      </c>
      <c r="D76" s="418">
        <f>Dry_Matter_Content!C63</f>
        <v>0.59</v>
      </c>
      <c r="E76" s="284">
        <f>MCF!R75</f>
        <v>1</v>
      </c>
      <c r="F76" s="67">
        <f t="shared" si="12"/>
        <v>0</v>
      </c>
      <c r="G76" s="67">
        <f t="shared" si="13"/>
        <v>0</v>
      </c>
      <c r="H76" s="67">
        <f t="shared" si="14"/>
        <v>0</v>
      </c>
      <c r="I76" s="67">
        <f t="shared" si="15"/>
        <v>5.5174323179406004E-5</v>
      </c>
      <c r="J76" s="67">
        <f t="shared" si="16"/>
        <v>2.7136094815273087E-5</v>
      </c>
      <c r="K76" s="100">
        <f t="shared" si="6"/>
        <v>1.8090729876848723E-5</v>
      </c>
      <c r="O76" s="96">
        <f>Amnt_Deposited!B71</f>
        <v>2057</v>
      </c>
      <c r="P76" s="99">
        <f>Amnt_Deposited!C71</f>
        <v>0</v>
      </c>
      <c r="Q76" s="284">
        <f>MCF!R75</f>
        <v>1</v>
      </c>
      <c r="R76" s="67">
        <f t="shared" si="17"/>
        <v>0</v>
      </c>
      <c r="S76" s="67">
        <f t="shared" si="7"/>
        <v>0</v>
      </c>
      <c r="T76" s="67">
        <f t="shared" si="8"/>
        <v>0</v>
      </c>
      <c r="U76" s="67">
        <f t="shared" si="9"/>
        <v>3.6914132368023639E-5</v>
      </c>
      <c r="V76" s="67">
        <f t="shared" si="10"/>
        <v>1.8155281990593055E-5</v>
      </c>
      <c r="W76" s="100">
        <f t="shared" si="11"/>
        <v>1.2103521327062036E-5</v>
      </c>
    </row>
    <row r="77" spans="2:23">
      <c r="B77" s="96">
        <f>Amnt_Deposited!B72</f>
        <v>2058</v>
      </c>
      <c r="C77" s="99">
        <f>Amnt_Deposited!C72</f>
        <v>0</v>
      </c>
      <c r="D77" s="418">
        <f>Dry_Matter_Content!C64</f>
        <v>0.59</v>
      </c>
      <c r="E77" s="284">
        <f>MCF!R76</f>
        <v>1</v>
      </c>
      <c r="F77" s="67">
        <f t="shared" si="12"/>
        <v>0</v>
      </c>
      <c r="G77" s="67">
        <f t="shared" si="13"/>
        <v>0</v>
      </c>
      <c r="H77" s="67">
        <f t="shared" si="14"/>
        <v>0</v>
      </c>
      <c r="I77" s="67">
        <f t="shared" si="15"/>
        <v>3.6984454853604675E-5</v>
      </c>
      <c r="J77" s="67">
        <f t="shared" si="16"/>
        <v>1.8189868325801329E-5</v>
      </c>
      <c r="K77" s="100">
        <f t="shared" si="6"/>
        <v>1.2126578883867552E-5</v>
      </c>
      <c r="O77" s="96">
        <f>Amnt_Deposited!B72</f>
        <v>2058</v>
      </c>
      <c r="P77" s="99">
        <f>Amnt_Deposited!C72</f>
        <v>0</v>
      </c>
      <c r="Q77" s="284">
        <f>MCF!R76</f>
        <v>1</v>
      </c>
      <c r="R77" s="67">
        <f t="shared" si="17"/>
        <v>0</v>
      </c>
      <c r="S77" s="67">
        <f t="shared" si="7"/>
        <v>0</v>
      </c>
      <c r="T77" s="67">
        <f t="shared" si="8"/>
        <v>0</v>
      </c>
      <c r="U77" s="67">
        <f t="shared" si="9"/>
        <v>2.4744282908299288E-5</v>
      </c>
      <c r="V77" s="67">
        <f t="shared" si="10"/>
        <v>1.2169849459724349E-5</v>
      </c>
      <c r="W77" s="100">
        <f t="shared" si="11"/>
        <v>8.1132329731495663E-6</v>
      </c>
    </row>
    <row r="78" spans="2:23">
      <c r="B78" s="96">
        <f>Amnt_Deposited!B73</f>
        <v>2059</v>
      </c>
      <c r="C78" s="99">
        <f>Amnt_Deposited!C73</f>
        <v>0</v>
      </c>
      <c r="D78" s="418">
        <f>Dry_Matter_Content!C65</f>
        <v>0.59</v>
      </c>
      <c r="E78" s="284">
        <f>MCF!R77</f>
        <v>1</v>
      </c>
      <c r="F78" s="67">
        <f t="shared" si="12"/>
        <v>0</v>
      </c>
      <c r="G78" s="67">
        <f t="shared" si="13"/>
        <v>0</v>
      </c>
      <c r="H78" s="67">
        <f t="shared" si="14"/>
        <v>0</v>
      </c>
      <c r="I78" s="67">
        <f t="shared" si="15"/>
        <v>2.479142148007131E-5</v>
      </c>
      <c r="J78" s="67">
        <f t="shared" si="16"/>
        <v>1.2193033373533365E-5</v>
      </c>
      <c r="K78" s="100">
        <f t="shared" si="6"/>
        <v>8.1286889156889092E-6</v>
      </c>
      <c r="O78" s="96">
        <f>Amnt_Deposited!B73</f>
        <v>2059</v>
      </c>
      <c r="P78" s="99">
        <f>Amnt_Deposited!C73</f>
        <v>0</v>
      </c>
      <c r="Q78" s="284">
        <f>MCF!R77</f>
        <v>1</v>
      </c>
      <c r="R78" s="67">
        <f t="shared" si="17"/>
        <v>0</v>
      </c>
      <c r="S78" s="67">
        <f t="shared" si="7"/>
        <v>0</v>
      </c>
      <c r="T78" s="67">
        <f t="shared" si="8"/>
        <v>0</v>
      </c>
      <c r="U78" s="67">
        <f t="shared" si="9"/>
        <v>1.6586588858210061E-5</v>
      </c>
      <c r="V78" s="67">
        <f t="shared" si="10"/>
        <v>8.1576940500892257E-6</v>
      </c>
      <c r="W78" s="100">
        <f t="shared" si="11"/>
        <v>5.4384627000594832E-6</v>
      </c>
    </row>
    <row r="79" spans="2:23">
      <c r="B79" s="96">
        <f>Amnt_Deposited!B74</f>
        <v>2060</v>
      </c>
      <c r="C79" s="99">
        <f>Amnt_Deposited!C74</f>
        <v>0</v>
      </c>
      <c r="D79" s="418">
        <f>Dry_Matter_Content!C66</f>
        <v>0.59</v>
      </c>
      <c r="E79" s="284">
        <f>MCF!R78</f>
        <v>1</v>
      </c>
      <c r="F79" s="67">
        <f t="shared" si="12"/>
        <v>0</v>
      </c>
      <c r="G79" s="67">
        <f t="shared" si="13"/>
        <v>0</v>
      </c>
      <c r="H79" s="67">
        <f t="shared" si="14"/>
        <v>0</v>
      </c>
      <c r="I79" s="67">
        <f t="shared" si="15"/>
        <v>1.6618186787810339E-5</v>
      </c>
      <c r="J79" s="67">
        <f t="shared" si="16"/>
        <v>8.1732346922609726E-6</v>
      </c>
      <c r="K79" s="100">
        <f t="shared" si="6"/>
        <v>5.4488231281739817E-6</v>
      </c>
      <c r="O79" s="96">
        <f>Amnt_Deposited!B74</f>
        <v>2060</v>
      </c>
      <c r="P79" s="99">
        <f>Amnt_Deposited!C74</f>
        <v>0</v>
      </c>
      <c r="Q79" s="284">
        <f>MCF!R78</f>
        <v>1</v>
      </c>
      <c r="R79" s="67">
        <f t="shared" si="17"/>
        <v>0</v>
      </c>
      <c r="S79" s="67">
        <f t="shared" si="7"/>
        <v>0</v>
      </c>
      <c r="T79" s="67">
        <f t="shared" si="8"/>
        <v>0</v>
      </c>
      <c r="U79" s="67">
        <f t="shared" si="9"/>
        <v>1.111832300700959E-5</v>
      </c>
      <c r="V79" s="67">
        <f t="shared" si="10"/>
        <v>5.4682658512004704E-6</v>
      </c>
      <c r="W79" s="100">
        <f t="shared" si="11"/>
        <v>3.6455105674669803E-6</v>
      </c>
    </row>
    <row r="80" spans="2:23">
      <c r="B80" s="96">
        <f>Amnt_Deposited!B75</f>
        <v>2061</v>
      </c>
      <c r="C80" s="99">
        <f>Amnt_Deposited!C75</f>
        <v>0</v>
      </c>
      <c r="D80" s="418">
        <f>Dry_Matter_Content!C67</f>
        <v>0.59</v>
      </c>
      <c r="E80" s="284">
        <f>MCF!R79</f>
        <v>1</v>
      </c>
      <c r="F80" s="67">
        <f t="shared" si="12"/>
        <v>0</v>
      </c>
      <c r="G80" s="67">
        <f t="shared" si="13"/>
        <v>0</v>
      </c>
      <c r="H80" s="67">
        <f t="shared" si="14"/>
        <v>0</v>
      </c>
      <c r="I80" s="67">
        <f t="shared" si="15"/>
        <v>1.1139503732633881E-5</v>
      </c>
      <c r="J80" s="67">
        <f t="shared" si="16"/>
        <v>5.4786830551764596E-6</v>
      </c>
      <c r="K80" s="100">
        <f t="shared" si="6"/>
        <v>3.6524553701176396E-6</v>
      </c>
      <c r="O80" s="96">
        <f>Amnt_Deposited!B75</f>
        <v>2061</v>
      </c>
      <c r="P80" s="99">
        <f>Amnt_Deposited!C75</f>
        <v>0</v>
      </c>
      <c r="Q80" s="284">
        <f>MCF!R79</f>
        <v>1</v>
      </c>
      <c r="R80" s="67">
        <f t="shared" si="17"/>
        <v>0</v>
      </c>
      <c r="S80" s="67">
        <f t="shared" si="7"/>
        <v>0</v>
      </c>
      <c r="T80" s="67">
        <f t="shared" si="8"/>
        <v>0</v>
      </c>
      <c r="U80" s="67">
        <f t="shared" si="9"/>
        <v>7.4528347898977761E-6</v>
      </c>
      <c r="V80" s="67">
        <f t="shared" si="10"/>
        <v>3.6654882171118137E-6</v>
      </c>
      <c r="W80" s="100">
        <f t="shared" si="11"/>
        <v>2.4436588114078758E-6</v>
      </c>
    </row>
    <row r="81" spans="2:23">
      <c r="B81" s="96">
        <f>Amnt_Deposited!B76</f>
        <v>2062</v>
      </c>
      <c r="C81" s="99">
        <f>Amnt_Deposited!C76</f>
        <v>0</v>
      </c>
      <c r="D81" s="418">
        <f>Dry_Matter_Content!C68</f>
        <v>0.59</v>
      </c>
      <c r="E81" s="284">
        <f>MCF!R80</f>
        <v>1</v>
      </c>
      <c r="F81" s="67">
        <f t="shared" si="12"/>
        <v>0</v>
      </c>
      <c r="G81" s="67">
        <f t="shared" si="13"/>
        <v>0</v>
      </c>
      <c r="H81" s="67">
        <f t="shared" si="14"/>
        <v>0</v>
      </c>
      <c r="I81" s="67">
        <f t="shared" si="15"/>
        <v>7.4670326548733188E-6</v>
      </c>
      <c r="J81" s="67">
        <f t="shared" si="16"/>
        <v>3.6724710777605615E-6</v>
      </c>
      <c r="K81" s="100">
        <f t="shared" si="6"/>
        <v>2.4483140518403742E-6</v>
      </c>
      <c r="O81" s="96">
        <f>Amnt_Deposited!B76</f>
        <v>2062</v>
      </c>
      <c r="P81" s="99">
        <f>Amnt_Deposited!C76</f>
        <v>0</v>
      </c>
      <c r="Q81" s="284">
        <f>MCF!R80</f>
        <v>1</v>
      </c>
      <c r="R81" s="67">
        <f t="shared" si="17"/>
        <v>0</v>
      </c>
      <c r="S81" s="67">
        <f t="shared" si="7"/>
        <v>0</v>
      </c>
      <c r="T81" s="67">
        <f t="shared" si="8"/>
        <v>0</v>
      </c>
      <c r="U81" s="67">
        <f t="shared" si="9"/>
        <v>4.9957845594602913E-6</v>
      </c>
      <c r="V81" s="67">
        <f t="shared" si="10"/>
        <v>2.4570502304374843E-6</v>
      </c>
      <c r="W81" s="100">
        <f t="shared" si="11"/>
        <v>1.6380334869583229E-6</v>
      </c>
    </row>
    <row r="82" spans="2:23">
      <c r="B82" s="96">
        <f>Amnt_Deposited!B77</f>
        <v>2063</v>
      </c>
      <c r="C82" s="99">
        <f>Amnt_Deposited!C77</f>
        <v>0</v>
      </c>
      <c r="D82" s="418">
        <f>Dry_Matter_Content!C69</f>
        <v>0.59</v>
      </c>
      <c r="E82" s="284">
        <f>MCF!R81</f>
        <v>1</v>
      </c>
      <c r="F82" s="67">
        <f t="shared" si="12"/>
        <v>0</v>
      </c>
      <c r="G82" s="67">
        <f t="shared" si="13"/>
        <v>0</v>
      </c>
      <c r="H82" s="67">
        <f t="shared" si="14"/>
        <v>0</v>
      </c>
      <c r="I82" s="67">
        <f t="shared" si="15"/>
        <v>5.005301672964305E-6</v>
      </c>
      <c r="J82" s="67">
        <f t="shared" si="16"/>
        <v>2.4617309819090134E-6</v>
      </c>
      <c r="K82" s="100">
        <f t="shared" si="6"/>
        <v>1.6411539879393423E-6</v>
      </c>
      <c r="O82" s="96">
        <f>Amnt_Deposited!B77</f>
        <v>2063</v>
      </c>
      <c r="P82" s="99">
        <f>Amnt_Deposited!C77</f>
        <v>0</v>
      </c>
      <c r="Q82" s="284">
        <f>MCF!R81</f>
        <v>1</v>
      </c>
      <c r="R82" s="67">
        <f t="shared" si="17"/>
        <v>0</v>
      </c>
      <c r="S82" s="67">
        <f t="shared" si="7"/>
        <v>0</v>
      </c>
      <c r="T82" s="67">
        <f t="shared" si="8"/>
        <v>0</v>
      </c>
      <c r="U82" s="67">
        <f t="shared" si="9"/>
        <v>3.3487745358815585E-6</v>
      </c>
      <c r="V82" s="67">
        <f t="shared" si="10"/>
        <v>1.6470100235787326E-6</v>
      </c>
      <c r="W82" s="100">
        <f t="shared" si="11"/>
        <v>1.0980066823858216E-6</v>
      </c>
    </row>
    <row r="83" spans="2:23">
      <c r="B83" s="96">
        <f>Amnt_Deposited!B78</f>
        <v>2064</v>
      </c>
      <c r="C83" s="99">
        <f>Amnt_Deposited!C78</f>
        <v>0</v>
      </c>
      <c r="D83" s="418">
        <f>Dry_Matter_Content!C70</f>
        <v>0.59</v>
      </c>
      <c r="E83" s="284">
        <f>MCF!R82</f>
        <v>1</v>
      </c>
      <c r="F83" s="67">
        <f t="shared" ref="F83:F99" si="18">C83*D83*$K$6*DOCF*E83</f>
        <v>0</v>
      </c>
      <c r="G83" s="67">
        <f t="shared" ref="G83:G99" si="19">F83*$K$12</f>
        <v>0</v>
      </c>
      <c r="H83" s="67">
        <f t="shared" ref="H83:H99" si="20">F83*(1-$K$12)</f>
        <v>0</v>
      </c>
      <c r="I83" s="67">
        <f t="shared" ref="I83:I99" si="21">G83+I82*$K$10</f>
        <v>3.3551540478436956E-6</v>
      </c>
      <c r="J83" s="67">
        <f t="shared" ref="J83:J99" si="22">I82*(1-$K$10)+H83</f>
        <v>1.6501476251206096E-6</v>
      </c>
      <c r="K83" s="100">
        <f t="shared" si="6"/>
        <v>1.1000984167470729E-6</v>
      </c>
      <c r="O83" s="96">
        <f>Amnt_Deposited!B78</f>
        <v>2064</v>
      </c>
      <c r="P83" s="99">
        <f>Amnt_Deposited!C78</f>
        <v>0</v>
      </c>
      <c r="Q83" s="284">
        <f>MCF!R82</f>
        <v>1</v>
      </c>
      <c r="R83" s="67">
        <f t="shared" ref="R83:R99" si="23">P83*$W$6*DOCF*Q83</f>
        <v>0</v>
      </c>
      <c r="S83" s="67">
        <f t="shared" si="7"/>
        <v>0</v>
      </c>
      <c r="T83" s="67">
        <f t="shared" si="8"/>
        <v>0</v>
      </c>
      <c r="U83" s="67">
        <f t="shared" si="9"/>
        <v>2.2447507010551032E-6</v>
      </c>
      <c r="V83" s="67">
        <f t="shared" si="10"/>
        <v>1.1040238348264555E-6</v>
      </c>
      <c r="W83" s="100">
        <f t="shared" si="11"/>
        <v>7.3601588988430363E-7</v>
      </c>
    </row>
    <row r="84" spans="2:23">
      <c r="B84" s="96">
        <f>Amnt_Deposited!B79</f>
        <v>2065</v>
      </c>
      <c r="C84" s="99">
        <f>Amnt_Deposited!C79</f>
        <v>0</v>
      </c>
      <c r="D84" s="418">
        <f>Dry_Matter_Content!C71</f>
        <v>0.59</v>
      </c>
      <c r="E84" s="284">
        <f>MCF!R83</f>
        <v>1</v>
      </c>
      <c r="F84" s="67">
        <f t="shared" si="18"/>
        <v>0</v>
      </c>
      <c r="G84" s="67">
        <f t="shared" si="19"/>
        <v>0</v>
      </c>
      <c r="H84" s="67">
        <f t="shared" si="20"/>
        <v>0</v>
      </c>
      <c r="I84" s="67">
        <f t="shared" si="21"/>
        <v>2.2490270158072476E-6</v>
      </c>
      <c r="J84" s="67">
        <f t="shared" si="22"/>
        <v>1.1061270320364479E-6</v>
      </c>
      <c r="K84" s="100">
        <f t="shared" si="6"/>
        <v>7.3741802135763188E-7</v>
      </c>
      <c r="O84" s="96">
        <f>Amnt_Deposited!B79</f>
        <v>2065</v>
      </c>
      <c r="P84" s="99">
        <f>Amnt_Deposited!C79</f>
        <v>0</v>
      </c>
      <c r="Q84" s="284">
        <f>MCF!R83</f>
        <v>1</v>
      </c>
      <c r="R84" s="67">
        <f t="shared" si="23"/>
        <v>0</v>
      </c>
      <c r="S84" s="67">
        <f t="shared" si="7"/>
        <v>0</v>
      </c>
      <c r="T84" s="67">
        <f t="shared" si="8"/>
        <v>0</v>
      </c>
      <c r="U84" s="67">
        <f t="shared" si="9"/>
        <v>1.5047013932697904E-6</v>
      </c>
      <c r="V84" s="67">
        <f t="shared" si="10"/>
        <v>7.4004930778531277E-7</v>
      </c>
      <c r="W84" s="100">
        <f t="shared" si="11"/>
        <v>4.9336620519020848E-7</v>
      </c>
    </row>
    <row r="85" spans="2:23">
      <c r="B85" s="96">
        <f>Amnt_Deposited!B80</f>
        <v>2066</v>
      </c>
      <c r="C85" s="99">
        <f>Amnt_Deposited!C80</f>
        <v>0</v>
      </c>
      <c r="D85" s="418">
        <f>Dry_Matter_Content!C72</f>
        <v>0.59</v>
      </c>
      <c r="E85" s="284">
        <f>MCF!R84</f>
        <v>1</v>
      </c>
      <c r="F85" s="67">
        <f t="shared" si="18"/>
        <v>0</v>
      </c>
      <c r="G85" s="67">
        <f t="shared" si="19"/>
        <v>0</v>
      </c>
      <c r="H85" s="67">
        <f t="shared" si="20"/>
        <v>0</v>
      </c>
      <c r="I85" s="67">
        <f t="shared" si="21"/>
        <v>1.5075678927713107E-6</v>
      </c>
      <c r="J85" s="67">
        <f t="shared" si="22"/>
        <v>7.4145912303593682E-7</v>
      </c>
      <c r="K85" s="100">
        <f t="shared" ref="K85:K99" si="24">J85*CH4_fraction*conv</f>
        <v>4.9430608202395781E-7</v>
      </c>
      <c r="O85" s="96">
        <f>Amnt_Deposited!B80</f>
        <v>2066</v>
      </c>
      <c r="P85" s="99">
        <f>Amnt_Deposited!C80</f>
        <v>0</v>
      </c>
      <c r="Q85" s="284">
        <f>MCF!R84</f>
        <v>1</v>
      </c>
      <c r="R85" s="67">
        <f t="shared" si="23"/>
        <v>0</v>
      </c>
      <c r="S85" s="67">
        <f t="shared" ref="S85:S98" si="25">R85*$W$12</f>
        <v>0</v>
      </c>
      <c r="T85" s="67">
        <f t="shared" ref="T85:T98" si="26">R85*(1-$W$12)</f>
        <v>0</v>
      </c>
      <c r="U85" s="67">
        <f t="shared" ref="U85:U98" si="27">S85+U84*$W$10</f>
        <v>1.0086315072064965E-6</v>
      </c>
      <c r="V85" s="67">
        <f t="shared" ref="V85:V98" si="28">U84*(1-$W$10)+T85</f>
        <v>4.9606988606329383E-7</v>
      </c>
      <c r="W85" s="100">
        <f t="shared" ref="W85:W99" si="29">V85*CH4_fraction*conv</f>
        <v>3.3071325737552918E-7</v>
      </c>
    </row>
    <row r="86" spans="2:23">
      <c r="B86" s="96">
        <f>Amnt_Deposited!B81</f>
        <v>2067</v>
      </c>
      <c r="C86" s="99">
        <f>Amnt_Deposited!C81</f>
        <v>0</v>
      </c>
      <c r="D86" s="418">
        <f>Dry_Matter_Content!C73</f>
        <v>0.59</v>
      </c>
      <c r="E86" s="284">
        <f>MCF!R85</f>
        <v>1</v>
      </c>
      <c r="F86" s="67">
        <f t="shared" si="18"/>
        <v>0</v>
      </c>
      <c r="G86" s="67">
        <f t="shared" si="19"/>
        <v>0</v>
      </c>
      <c r="H86" s="67">
        <f t="shared" si="20"/>
        <v>0</v>
      </c>
      <c r="I86" s="67">
        <f t="shared" si="21"/>
        <v>1.0105529792843167E-6</v>
      </c>
      <c r="J86" s="67">
        <f t="shared" si="22"/>
        <v>4.9701491348699393E-7</v>
      </c>
      <c r="K86" s="100">
        <f t="shared" si="24"/>
        <v>3.3134327565799592E-7</v>
      </c>
      <c r="O86" s="96">
        <f>Amnt_Deposited!B81</f>
        <v>2067</v>
      </c>
      <c r="P86" s="99">
        <f>Amnt_Deposited!C81</f>
        <v>0</v>
      </c>
      <c r="Q86" s="284">
        <f>MCF!R85</f>
        <v>1</v>
      </c>
      <c r="R86" s="67">
        <f t="shared" si="23"/>
        <v>0</v>
      </c>
      <c r="S86" s="67">
        <f t="shared" si="25"/>
        <v>0</v>
      </c>
      <c r="T86" s="67">
        <f t="shared" si="26"/>
        <v>0</v>
      </c>
      <c r="U86" s="67">
        <f t="shared" si="27"/>
        <v>6.7610591834365498E-7</v>
      </c>
      <c r="V86" s="67">
        <f t="shared" si="28"/>
        <v>3.325255888628415E-7</v>
      </c>
      <c r="W86" s="100">
        <f t="shared" si="29"/>
        <v>2.2168372590856099E-7</v>
      </c>
    </row>
    <row r="87" spans="2:23">
      <c r="B87" s="96">
        <f>Amnt_Deposited!B82</f>
        <v>2068</v>
      </c>
      <c r="C87" s="99">
        <f>Amnt_Deposited!C82</f>
        <v>0</v>
      </c>
      <c r="D87" s="418">
        <f>Dry_Matter_Content!C74</f>
        <v>0.59</v>
      </c>
      <c r="E87" s="284">
        <f>MCF!R86</f>
        <v>1</v>
      </c>
      <c r="F87" s="67">
        <f t="shared" si="18"/>
        <v>0</v>
      </c>
      <c r="G87" s="67">
        <f t="shared" si="19"/>
        <v>0</v>
      </c>
      <c r="H87" s="67">
        <f t="shared" si="20"/>
        <v>0</v>
      </c>
      <c r="I87" s="67">
        <f t="shared" si="21"/>
        <v>6.7739391959531565E-7</v>
      </c>
      <c r="J87" s="67">
        <f t="shared" si="22"/>
        <v>3.3315905968900103E-7</v>
      </c>
      <c r="K87" s="100">
        <f t="shared" si="24"/>
        <v>2.2210603979266735E-7</v>
      </c>
      <c r="O87" s="96">
        <f>Amnt_Deposited!B82</f>
        <v>2068</v>
      </c>
      <c r="P87" s="99">
        <f>Amnt_Deposited!C82</f>
        <v>0</v>
      </c>
      <c r="Q87" s="284">
        <f>MCF!R86</f>
        <v>1</v>
      </c>
      <c r="R87" s="67">
        <f t="shared" si="23"/>
        <v>0</v>
      </c>
      <c r="S87" s="67">
        <f t="shared" si="25"/>
        <v>0</v>
      </c>
      <c r="T87" s="67">
        <f t="shared" si="26"/>
        <v>0</v>
      </c>
      <c r="U87" s="67">
        <f t="shared" si="27"/>
        <v>4.5320735030908702E-7</v>
      </c>
      <c r="V87" s="67">
        <f t="shared" si="28"/>
        <v>2.2289856803456798E-7</v>
      </c>
      <c r="W87" s="100">
        <f t="shared" si="29"/>
        <v>1.4859904535637865E-7</v>
      </c>
    </row>
    <row r="88" spans="2:23">
      <c r="B88" s="96">
        <f>Amnt_Deposited!B83</f>
        <v>2069</v>
      </c>
      <c r="C88" s="99">
        <f>Amnt_Deposited!C83</f>
        <v>0</v>
      </c>
      <c r="D88" s="418">
        <f>Dry_Matter_Content!C75</f>
        <v>0.59</v>
      </c>
      <c r="E88" s="284">
        <f>MCF!R87</f>
        <v>1</v>
      </c>
      <c r="F88" s="67">
        <f t="shared" si="18"/>
        <v>0</v>
      </c>
      <c r="G88" s="67">
        <f t="shared" si="19"/>
        <v>0</v>
      </c>
      <c r="H88" s="67">
        <f t="shared" si="20"/>
        <v>0</v>
      </c>
      <c r="I88" s="67">
        <f t="shared" si="21"/>
        <v>4.5407072336739415E-7</v>
      </c>
      <c r="J88" s="67">
        <f t="shared" si="22"/>
        <v>2.233231962279215E-7</v>
      </c>
      <c r="K88" s="100">
        <f t="shared" si="24"/>
        <v>1.4888213081861432E-7</v>
      </c>
      <c r="O88" s="96">
        <f>Amnt_Deposited!B83</f>
        <v>2069</v>
      </c>
      <c r="P88" s="99">
        <f>Amnt_Deposited!C83</f>
        <v>0</v>
      </c>
      <c r="Q88" s="284">
        <f>MCF!R87</f>
        <v>1</v>
      </c>
      <c r="R88" s="67">
        <f t="shared" si="23"/>
        <v>0</v>
      </c>
      <c r="S88" s="67">
        <f t="shared" si="25"/>
        <v>0</v>
      </c>
      <c r="T88" s="67">
        <f t="shared" si="26"/>
        <v>0</v>
      </c>
      <c r="U88" s="67">
        <f t="shared" si="27"/>
        <v>3.0379397192287734E-7</v>
      </c>
      <c r="V88" s="67">
        <f t="shared" si="28"/>
        <v>1.4941337838620969E-7</v>
      </c>
      <c r="W88" s="100">
        <f t="shared" si="29"/>
        <v>9.9608918924139782E-8</v>
      </c>
    </row>
    <row r="89" spans="2:23">
      <c r="B89" s="96">
        <f>Amnt_Deposited!B84</f>
        <v>2070</v>
      </c>
      <c r="C89" s="99">
        <f>Amnt_Deposited!C84</f>
        <v>0</v>
      </c>
      <c r="D89" s="418">
        <f>Dry_Matter_Content!C76</f>
        <v>0.59</v>
      </c>
      <c r="E89" s="284">
        <f>MCF!R88</f>
        <v>1</v>
      </c>
      <c r="F89" s="67">
        <f t="shared" si="18"/>
        <v>0</v>
      </c>
      <c r="G89" s="67">
        <f t="shared" si="19"/>
        <v>0</v>
      </c>
      <c r="H89" s="67">
        <f t="shared" si="20"/>
        <v>0</v>
      </c>
      <c r="I89" s="67">
        <f t="shared" si="21"/>
        <v>3.043727081910677E-7</v>
      </c>
      <c r="J89" s="67">
        <f t="shared" si="22"/>
        <v>1.4969801517632645E-7</v>
      </c>
      <c r="K89" s="100">
        <f t="shared" si="24"/>
        <v>9.9798676784217628E-8</v>
      </c>
      <c r="O89" s="96">
        <f>Amnt_Deposited!B84</f>
        <v>2070</v>
      </c>
      <c r="P89" s="99">
        <f>Amnt_Deposited!C84</f>
        <v>0</v>
      </c>
      <c r="Q89" s="284">
        <f>MCF!R88</f>
        <v>1</v>
      </c>
      <c r="R89" s="67">
        <f t="shared" si="23"/>
        <v>0</v>
      </c>
      <c r="S89" s="67">
        <f t="shared" si="25"/>
        <v>0</v>
      </c>
      <c r="T89" s="67">
        <f t="shared" si="26"/>
        <v>0</v>
      </c>
      <c r="U89" s="67">
        <f t="shared" si="27"/>
        <v>2.0363918924469285E-7</v>
      </c>
      <c r="V89" s="67">
        <f t="shared" si="28"/>
        <v>1.0015478267818448E-7</v>
      </c>
      <c r="W89" s="100">
        <f t="shared" si="29"/>
        <v>6.6769855118789646E-8</v>
      </c>
    </row>
    <row r="90" spans="2:23">
      <c r="B90" s="96">
        <f>Amnt_Deposited!B85</f>
        <v>2071</v>
      </c>
      <c r="C90" s="99">
        <f>Amnt_Deposited!C85</f>
        <v>0</v>
      </c>
      <c r="D90" s="418">
        <f>Dry_Matter_Content!C77</f>
        <v>0.59</v>
      </c>
      <c r="E90" s="284">
        <f>MCF!R89</f>
        <v>1</v>
      </c>
      <c r="F90" s="67">
        <f t="shared" si="18"/>
        <v>0</v>
      </c>
      <c r="G90" s="67">
        <f t="shared" si="19"/>
        <v>0</v>
      </c>
      <c r="H90" s="67">
        <f t="shared" si="20"/>
        <v>0</v>
      </c>
      <c r="I90" s="67">
        <f t="shared" si="21"/>
        <v>2.0402712776662873E-7</v>
      </c>
      <c r="J90" s="67">
        <f t="shared" si="22"/>
        <v>1.0034558042443899E-7</v>
      </c>
      <c r="K90" s="100">
        <f t="shared" si="24"/>
        <v>6.689705361629265E-8</v>
      </c>
      <c r="O90" s="96">
        <f>Amnt_Deposited!B85</f>
        <v>2071</v>
      </c>
      <c r="P90" s="99">
        <f>Amnt_Deposited!C85</f>
        <v>0</v>
      </c>
      <c r="Q90" s="284">
        <f>MCF!R89</f>
        <v>1</v>
      </c>
      <c r="R90" s="67">
        <f t="shared" si="23"/>
        <v>0</v>
      </c>
      <c r="S90" s="67">
        <f t="shared" si="25"/>
        <v>0</v>
      </c>
      <c r="T90" s="67">
        <f t="shared" si="26"/>
        <v>0</v>
      </c>
      <c r="U90" s="67">
        <f t="shared" si="27"/>
        <v>1.3650343070916278E-7</v>
      </c>
      <c r="V90" s="67">
        <f t="shared" si="28"/>
        <v>6.7135758535530065E-8</v>
      </c>
      <c r="W90" s="100">
        <f t="shared" si="29"/>
        <v>4.4757172357020043E-8</v>
      </c>
    </row>
    <row r="91" spans="2:23">
      <c r="B91" s="96">
        <f>Amnt_Deposited!B86</f>
        <v>2072</v>
      </c>
      <c r="C91" s="99">
        <f>Amnt_Deposited!C86</f>
        <v>0</v>
      </c>
      <c r="D91" s="418">
        <f>Dry_Matter_Content!C78</f>
        <v>0.59</v>
      </c>
      <c r="E91" s="284">
        <f>MCF!R90</f>
        <v>1</v>
      </c>
      <c r="F91" s="67">
        <f t="shared" si="18"/>
        <v>0</v>
      </c>
      <c r="G91" s="67">
        <f t="shared" si="19"/>
        <v>0</v>
      </c>
      <c r="H91" s="67">
        <f t="shared" si="20"/>
        <v>0</v>
      </c>
      <c r="I91" s="67">
        <f t="shared" si="21"/>
        <v>1.3676347367704584E-7</v>
      </c>
      <c r="J91" s="67">
        <f t="shared" si="22"/>
        <v>6.7263654089582894E-8</v>
      </c>
      <c r="K91" s="100">
        <f t="shared" si="24"/>
        <v>4.4842436059721929E-8</v>
      </c>
      <c r="O91" s="96">
        <f>Amnt_Deposited!B86</f>
        <v>2072</v>
      </c>
      <c r="P91" s="99">
        <f>Amnt_Deposited!C86</f>
        <v>0</v>
      </c>
      <c r="Q91" s="284">
        <f>MCF!R90</f>
        <v>1</v>
      </c>
      <c r="R91" s="67">
        <f t="shared" si="23"/>
        <v>0</v>
      </c>
      <c r="S91" s="67">
        <f t="shared" si="25"/>
        <v>0</v>
      </c>
      <c r="T91" s="67">
        <f t="shared" si="26"/>
        <v>0</v>
      </c>
      <c r="U91" s="67">
        <f t="shared" si="27"/>
        <v>9.1500985956988695E-8</v>
      </c>
      <c r="V91" s="67">
        <f t="shared" si="28"/>
        <v>4.5002444752174082E-8</v>
      </c>
      <c r="W91" s="100">
        <f t="shared" si="29"/>
        <v>3.0001629834782717E-8</v>
      </c>
    </row>
    <row r="92" spans="2:23">
      <c r="B92" s="96">
        <f>Amnt_Deposited!B87</f>
        <v>2073</v>
      </c>
      <c r="C92" s="99">
        <f>Amnt_Deposited!C87</f>
        <v>0</v>
      </c>
      <c r="D92" s="418">
        <f>Dry_Matter_Content!C79</f>
        <v>0.59</v>
      </c>
      <c r="E92" s="284">
        <f>MCF!R91</f>
        <v>1</v>
      </c>
      <c r="F92" s="67">
        <f t="shared" si="18"/>
        <v>0</v>
      </c>
      <c r="G92" s="67">
        <f t="shared" si="19"/>
        <v>0</v>
      </c>
      <c r="H92" s="67">
        <f t="shared" si="20"/>
        <v>0</v>
      </c>
      <c r="I92" s="67">
        <f t="shared" si="21"/>
        <v>9.1675297971191312E-8</v>
      </c>
      <c r="J92" s="67">
        <f t="shared" si="22"/>
        <v>4.5088175705854524E-8</v>
      </c>
      <c r="K92" s="100">
        <f t="shared" si="24"/>
        <v>3.0058783803903014E-8</v>
      </c>
      <c r="O92" s="96">
        <f>Amnt_Deposited!B87</f>
        <v>2073</v>
      </c>
      <c r="P92" s="99">
        <f>Amnt_Deposited!C87</f>
        <v>0</v>
      </c>
      <c r="Q92" s="284">
        <f>MCF!R91</f>
        <v>1</v>
      </c>
      <c r="R92" s="67">
        <f t="shared" si="23"/>
        <v>0</v>
      </c>
      <c r="S92" s="67">
        <f t="shared" si="25"/>
        <v>0</v>
      </c>
      <c r="T92" s="67">
        <f t="shared" si="26"/>
        <v>0</v>
      </c>
      <c r="U92" s="67">
        <f t="shared" si="27"/>
        <v>6.1334945118995052E-8</v>
      </c>
      <c r="V92" s="67">
        <f t="shared" si="28"/>
        <v>3.0166040837993643E-8</v>
      </c>
      <c r="W92" s="100">
        <f t="shared" si="29"/>
        <v>2.0110693891995761E-8</v>
      </c>
    </row>
    <row r="93" spans="2:23">
      <c r="B93" s="96">
        <f>Amnt_Deposited!B88</f>
        <v>2074</v>
      </c>
      <c r="C93" s="99">
        <f>Amnt_Deposited!C88</f>
        <v>0</v>
      </c>
      <c r="D93" s="418">
        <f>Dry_Matter_Content!C80</f>
        <v>0.59</v>
      </c>
      <c r="E93" s="284">
        <f>MCF!R92</f>
        <v>1</v>
      </c>
      <c r="F93" s="67">
        <f t="shared" si="18"/>
        <v>0</v>
      </c>
      <c r="G93" s="67">
        <f t="shared" si="19"/>
        <v>0</v>
      </c>
      <c r="H93" s="67">
        <f t="shared" si="20"/>
        <v>0</v>
      </c>
      <c r="I93" s="67">
        <f t="shared" si="21"/>
        <v>6.1451789956379913E-8</v>
      </c>
      <c r="J93" s="67">
        <f t="shared" si="22"/>
        <v>3.0223508014811399E-8</v>
      </c>
      <c r="K93" s="100">
        <f t="shared" si="24"/>
        <v>2.0149005343207598E-8</v>
      </c>
      <c r="O93" s="96">
        <f>Amnt_Deposited!B88</f>
        <v>2074</v>
      </c>
      <c r="P93" s="99">
        <f>Amnt_Deposited!C88</f>
        <v>0</v>
      </c>
      <c r="Q93" s="284">
        <f>MCF!R92</f>
        <v>1</v>
      </c>
      <c r="R93" s="67">
        <f t="shared" si="23"/>
        <v>0</v>
      </c>
      <c r="S93" s="67">
        <f t="shared" si="25"/>
        <v>0</v>
      </c>
      <c r="T93" s="67">
        <f t="shared" si="26"/>
        <v>0</v>
      </c>
      <c r="U93" s="67">
        <f t="shared" si="27"/>
        <v>4.1114043235758171E-8</v>
      </c>
      <c r="V93" s="67">
        <f t="shared" si="28"/>
        <v>2.0220901883236877E-8</v>
      </c>
      <c r="W93" s="100">
        <f t="shared" si="29"/>
        <v>1.3480601255491251E-8</v>
      </c>
    </row>
    <row r="94" spans="2:23">
      <c r="B94" s="96">
        <f>Amnt_Deposited!B89</f>
        <v>2075</v>
      </c>
      <c r="C94" s="99">
        <f>Amnt_Deposited!C89</f>
        <v>0</v>
      </c>
      <c r="D94" s="418">
        <f>Dry_Matter_Content!C81</f>
        <v>0.59</v>
      </c>
      <c r="E94" s="284">
        <f>MCF!R93</f>
        <v>1</v>
      </c>
      <c r="F94" s="67">
        <f t="shared" si="18"/>
        <v>0</v>
      </c>
      <c r="G94" s="67">
        <f t="shared" si="19"/>
        <v>0</v>
      </c>
      <c r="H94" s="67">
        <f t="shared" si="20"/>
        <v>0</v>
      </c>
      <c r="I94" s="67">
        <f t="shared" si="21"/>
        <v>4.1192366672533023E-8</v>
      </c>
      <c r="J94" s="67">
        <f t="shared" si="22"/>
        <v>2.025942328384689E-8</v>
      </c>
      <c r="K94" s="100">
        <f t="shared" si="24"/>
        <v>1.3506282189231259E-8</v>
      </c>
      <c r="O94" s="96">
        <f>Amnt_Deposited!B89</f>
        <v>2075</v>
      </c>
      <c r="P94" s="99">
        <f>Amnt_Deposited!C89</f>
        <v>0</v>
      </c>
      <c r="Q94" s="284">
        <f>MCF!R93</f>
        <v>1</v>
      </c>
      <c r="R94" s="67">
        <f t="shared" si="23"/>
        <v>0</v>
      </c>
      <c r="S94" s="67">
        <f t="shared" si="25"/>
        <v>0</v>
      </c>
      <c r="T94" s="67">
        <f t="shared" si="26"/>
        <v>0</v>
      </c>
      <c r="U94" s="67">
        <f t="shared" si="27"/>
        <v>2.7559567354504684E-8</v>
      </c>
      <c r="V94" s="67">
        <f t="shared" si="28"/>
        <v>1.3554475881253488E-8</v>
      </c>
      <c r="W94" s="100">
        <f t="shared" si="29"/>
        <v>9.036317254168992E-9</v>
      </c>
    </row>
    <row r="95" spans="2:23">
      <c r="B95" s="96">
        <f>Amnt_Deposited!B90</f>
        <v>2076</v>
      </c>
      <c r="C95" s="99">
        <f>Amnt_Deposited!C90</f>
        <v>0</v>
      </c>
      <c r="D95" s="418">
        <f>Dry_Matter_Content!C82</f>
        <v>0.59</v>
      </c>
      <c r="E95" s="284">
        <f>MCF!R94</f>
        <v>1</v>
      </c>
      <c r="F95" s="67">
        <f t="shared" si="18"/>
        <v>0</v>
      </c>
      <c r="G95" s="67">
        <f t="shared" si="19"/>
        <v>0</v>
      </c>
      <c r="H95" s="67">
        <f t="shared" si="20"/>
        <v>0</v>
      </c>
      <c r="I95" s="67">
        <f t="shared" si="21"/>
        <v>2.7612069124249273E-8</v>
      </c>
      <c r="J95" s="67">
        <f t="shared" si="22"/>
        <v>1.3580297548283752E-8</v>
      </c>
      <c r="K95" s="100">
        <f t="shared" si="24"/>
        <v>9.0535316988558347E-9</v>
      </c>
      <c r="O95" s="96">
        <f>Amnt_Deposited!B90</f>
        <v>2076</v>
      </c>
      <c r="P95" s="99">
        <f>Amnt_Deposited!C90</f>
        <v>0</v>
      </c>
      <c r="Q95" s="284">
        <f>MCF!R94</f>
        <v>1</v>
      </c>
      <c r="R95" s="67">
        <f t="shared" si="23"/>
        <v>0</v>
      </c>
      <c r="S95" s="67">
        <f t="shared" si="25"/>
        <v>0</v>
      </c>
      <c r="T95" s="67">
        <f t="shared" si="26"/>
        <v>0</v>
      </c>
      <c r="U95" s="67">
        <f t="shared" si="27"/>
        <v>1.8473730457793882E-8</v>
      </c>
      <c r="V95" s="67">
        <f t="shared" si="28"/>
        <v>9.0858368967108011E-9</v>
      </c>
      <c r="W95" s="100">
        <f t="shared" si="29"/>
        <v>6.0572245978072001E-9</v>
      </c>
    </row>
    <row r="96" spans="2:23">
      <c r="B96" s="96">
        <f>Amnt_Deposited!B91</f>
        <v>2077</v>
      </c>
      <c r="C96" s="99">
        <f>Amnt_Deposited!C91</f>
        <v>0</v>
      </c>
      <c r="D96" s="418">
        <f>Dry_Matter_Content!C83</f>
        <v>0.59</v>
      </c>
      <c r="E96" s="284">
        <f>MCF!R95</f>
        <v>1</v>
      </c>
      <c r="F96" s="67">
        <f t="shared" si="18"/>
        <v>0</v>
      </c>
      <c r="G96" s="67">
        <f t="shared" si="19"/>
        <v>0</v>
      </c>
      <c r="H96" s="67">
        <f t="shared" si="20"/>
        <v>0</v>
      </c>
      <c r="I96" s="67">
        <f t="shared" si="21"/>
        <v>1.8508923446506029E-8</v>
      </c>
      <c r="J96" s="67">
        <f t="shared" si="22"/>
        <v>9.1031456777432455E-9</v>
      </c>
      <c r="K96" s="100">
        <f t="shared" si="24"/>
        <v>6.0687637851621636E-9</v>
      </c>
      <c r="O96" s="96">
        <f>Amnt_Deposited!B91</f>
        <v>2077</v>
      </c>
      <c r="P96" s="99">
        <f>Amnt_Deposited!C91</f>
        <v>0</v>
      </c>
      <c r="Q96" s="284">
        <f>MCF!R95</f>
        <v>1</v>
      </c>
      <c r="R96" s="67">
        <f t="shared" si="23"/>
        <v>0</v>
      </c>
      <c r="S96" s="67">
        <f t="shared" si="25"/>
        <v>0</v>
      </c>
      <c r="T96" s="67">
        <f t="shared" si="26"/>
        <v>0</v>
      </c>
      <c r="U96" s="67">
        <f t="shared" si="27"/>
        <v>1.2383311850918387E-8</v>
      </c>
      <c r="V96" s="67">
        <f t="shared" si="28"/>
        <v>6.0904186068754952E-9</v>
      </c>
      <c r="W96" s="100">
        <f t="shared" si="29"/>
        <v>4.0602790712503296E-9</v>
      </c>
    </row>
    <row r="97" spans="2:23">
      <c r="B97" s="96">
        <f>Amnt_Deposited!B92</f>
        <v>2078</v>
      </c>
      <c r="C97" s="99">
        <f>Amnt_Deposited!C92</f>
        <v>0</v>
      </c>
      <c r="D97" s="418">
        <f>Dry_Matter_Content!C84</f>
        <v>0.59</v>
      </c>
      <c r="E97" s="284">
        <f>MCF!R96</f>
        <v>1</v>
      </c>
      <c r="F97" s="67">
        <f t="shared" si="18"/>
        <v>0</v>
      </c>
      <c r="G97" s="67">
        <f t="shared" si="19"/>
        <v>0</v>
      </c>
      <c r="H97" s="67">
        <f t="shared" si="20"/>
        <v>0</v>
      </c>
      <c r="I97" s="67">
        <f t="shared" si="21"/>
        <v>1.2406902416732046E-8</v>
      </c>
      <c r="J97" s="67">
        <f t="shared" si="22"/>
        <v>6.1020210297739839E-9</v>
      </c>
      <c r="K97" s="100">
        <f t="shared" si="24"/>
        <v>4.068014019849322E-9</v>
      </c>
      <c r="O97" s="96">
        <f>Amnt_Deposited!B92</f>
        <v>2078</v>
      </c>
      <c r="P97" s="99">
        <f>Amnt_Deposited!C92</f>
        <v>0</v>
      </c>
      <c r="Q97" s="284">
        <f>MCF!R96</f>
        <v>1</v>
      </c>
      <c r="R97" s="67">
        <f t="shared" si="23"/>
        <v>0</v>
      </c>
      <c r="S97" s="67">
        <f t="shared" si="25"/>
        <v>0</v>
      </c>
      <c r="T97" s="67">
        <f t="shared" si="26"/>
        <v>0</v>
      </c>
      <c r="U97" s="67">
        <f t="shared" si="27"/>
        <v>8.3007821699812907E-9</v>
      </c>
      <c r="V97" s="67">
        <f t="shared" si="28"/>
        <v>4.0825296809370957E-9</v>
      </c>
      <c r="W97" s="100">
        <f t="shared" si="29"/>
        <v>2.7216864539580638E-9</v>
      </c>
    </row>
    <row r="98" spans="2:23">
      <c r="B98" s="96">
        <f>Amnt_Deposited!B93</f>
        <v>2079</v>
      </c>
      <c r="C98" s="99">
        <f>Amnt_Deposited!C93</f>
        <v>0</v>
      </c>
      <c r="D98" s="418">
        <f>Dry_Matter_Content!C85</f>
        <v>0.59</v>
      </c>
      <c r="E98" s="284">
        <f>MCF!R97</f>
        <v>1</v>
      </c>
      <c r="F98" s="67">
        <f t="shared" si="18"/>
        <v>0</v>
      </c>
      <c r="G98" s="67">
        <f t="shared" si="19"/>
        <v>0</v>
      </c>
      <c r="H98" s="67">
        <f t="shared" si="20"/>
        <v>0</v>
      </c>
      <c r="I98" s="67">
        <f t="shared" si="21"/>
        <v>8.3165953991435101E-9</v>
      </c>
      <c r="J98" s="67">
        <f t="shared" si="22"/>
        <v>4.0903070175885357E-9</v>
      </c>
      <c r="K98" s="100">
        <f t="shared" si="24"/>
        <v>2.7268713450590237E-9</v>
      </c>
      <c r="O98" s="96">
        <f>Amnt_Deposited!B93</f>
        <v>2079</v>
      </c>
      <c r="P98" s="99">
        <f>Amnt_Deposited!C93</f>
        <v>0</v>
      </c>
      <c r="Q98" s="284">
        <f>MCF!R97</f>
        <v>1</v>
      </c>
      <c r="R98" s="67">
        <f t="shared" si="23"/>
        <v>0</v>
      </c>
      <c r="S98" s="67">
        <f t="shared" si="25"/>
        <v>0</v>
      </c>
      <c r="T98" s="67">
        <f t="shared" si="26"/>
        <v>0</v>
      </c>
      <c r="U98" s="67">
        <f t="shared" si="27"/>
        <v>5.564180686313673E-9</v>
      </c>
      <c r="V98" s="67">
        <f t="shared" si="28"/>
        <v>2.7366014836676177E-9</v>
      </c>
      <c r="W98" s="100">
        <f t="shared" si="29"/>
        <v>1.824400989111745E-9</v>
      </c>
    </row>
    <row r="99" spans="2:23" ht="13.5" thickBot="1">
      <c r="B99" s="97">
        <f>Amnt_Deposited!B94</f>
        <v>2080</v>
      </c>
      <c r="C99" s="101">
        <f>Amnt_Deposited!C94</f>
        <v>0</v>
      </c>
      <c r="D99" s="419">
        <f>Dry_Matter_Content!C86</f>
        <v>0.59</v>
      </c>
      <c r="E99" s="285">
        <f>MCF!R98</f>
        <v>1</v>
      </c>
      <c r="F99" s="68">
        <f t="shared" si="18"/>
        <v>0</v>
      </c>
      <c r="G99" s="68">
        <f t="shared" si="19"/>
        <v>0</v>
      </c>
      <c r="H99" s="68">
        <f t="shared" si="20"/>
        <v>0</v>
      </c>
      <c r="I99" s="68">
        <f t="shared" si="21"/>
        <v>5.5747806108136642E-9</v>
      </c>
      <c r="J99" s="68">
        <f t="shared" si="22"/>
        <v>2.7418147883298463E-9</v>
      </c>
      <c r="K99" s="102">
        <f t="shared" si="24"/>
        <v>1.8278765255532308E-9</v>
      </c>
      <c r="O99" s="97">
        <f>Amnt_Deposited!B94</f>
        <v>2080</v>
      </c>
      <c r="P99" s="101">
        <f>Amnt_Deposited!C94</f>
        <v>0</v>
      </c>
      <c r="Q99" s="285">
        <f>MCF!R98</f>
        <v>1</v>
      </c>
      <c r="R99" s="68">
        <f t="shared" si="23"/>
        <v>0</v>
      </c>
      <c r="S99" s="68">
        <f>R99*$W$12</f>
        <v>0</v>
      </c>
      <c r="T99" s="68">
        <f>R99*(1-$W$12)</f>
        <v>0</v>
      </c>
      <c r="U99" s="68">
        <f>S99+U98*$W$10</f>
        <v>3.7297818538003962E-9</v>
      </c>
      <c r="V99" s="68">
        <f>U98*(1-$W$10)+T99</f>
        <v>1.8343988325132766E-9</v>
      </c>
      <c r="W99" s="102">
        <f t="shared" si="29"/>
        <v>1.222932555008851E-9</v>
      </c>
    </row>
  </sheetData>
  <phoneticPr fontId="16" type="noConversion"/>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314</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Parameters!O16</f>
        <v>0.44</v>
      </c>
      <c r="O6" s="230"/>
      <c r="P6" s="231"/>
      <c r="Q6" s="222"/>
      <c r="R6" s="108" t="s">
        <v>9</v>
      </c>
      <c r="S6" s="109"/>
      <c r="T6" s="109"/>
      <c r="U6" s="113"/>
      <c r="V6" s="120" t="s">
        <v>9</v>
      </c>
      <c r="W6" s="261">
        <f>Parameters!R16</f>
        <v>0.4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Parameters!O35</f>
        <v>7.0000000000000007E-2</v>
      </c>
      <c r="O8" s="47"/>
      <c r="P8" s="47"/>
      <c r="Q8" s="222"/>
      <c r="R8" s="108" t="s">
        <v>192</v>
      </c>
      <c r="S8" s="109"/>
      <c r="T8" s="109"/>
      <c r="U8" s="113"/>
      <c r="V8" s="120" t="s">
        <v>188</v>
      </c>
      <c r="W8" s="114">
        <f>Parameters!O35</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1.053706086444</v>
      </c>
      <c r="D19" s="416">
        <f>Dry_Matter_Content!D6</f>
        <v>0.44</v>
      </c>
      <c r="E19" s="283">
        <f>MCF!R18</f>
        <v>1</v>
      </c>
      <c r="F19" s="130">
        <f t="shared" ref="F19:F50" si="0">C19*D19*$K$6*DOCF*E19</f>
        <v>0.10199874916777921</v>
      </c>
      <c r="G19" s="65">
        <f t="shared" ref="G19:G82" si="1">F19*$K$12</f>
        <v>0.10199874916777921</v>
      </c>
      <c r="H19" s="65">
        <f t="shared" ref="H19:H82" si="2">F19*(1-$K$12)</f>
        <v>0</v>
      </c>
      <c r="I19" s="65">
        <f t="shared" ref="I19:I82" si="3">G19+I18*$K$10</f>
        <v>0.10199874916777921</v>
      </c>
      <c r="J19" s="65">
        <f t="shared" ref="J19:J82" si="4">I18*(1-$K$10)+H19</f>
        <v>0</v>
      </c>
      <c r="K19" s="66">
        <f>J19*CH4_fraction*conv</f>
        <v>0</v>
      </c>
      <c r="O19" s="95">
        <f>Amnt_Deposited!B14</f>
        <v>2000</v>
      </c>
      <c r="P19" s="98">
        <f>Amnt_Deposited!D14</f>
        <v>1.053706086444</v>
      </c>
      <c r="Q19" s="283">
        <f>MCF!R18</f>
        <v>1</v>
      </c>
      <c r="R19" s="130">
        <f t="shared" ref="R19:R50" si="5">P19*$W$6*DOCF*Q19</f>
        <v>0.21074121728880002</v>
      </c>
      <c r="S19" s="65">
        <f>R19*$W$12</f>
        <v>0.21074121728880002</v>
      </c>
      <c r="T19" s="65">
        <f>R19*(1-$W$12)</f>
        <v>0</v>
      </c>
      <c r="U19" s="65">
        <f>S19+U18*$W$10</f>
        <v>0.21074121728880002</v>
      </c>
      <c r="V19" s="65">
        <f>U18*(1-$W$10)+T19</f>
        <v>0</v>
      </c>
      <c r="W19" s="66">
        <f>V19*CH4_fraction*conv</f>
        <v>0</v>
      </c>
    </row>
    <row r="20" spans="2:23">
      <c r="B20" s="96">
        <f>Amnt_Deposited!B15</f>
        <v>2001</v>
      </c>
      <c r="C20" s="99">
        <f>Amnt_Deposited!D15</f>
        <v>1.1121605881319998</v>
      </c>
      <c r="D20" s="418">
        <f>Dry_Matter_Content!D7</f>
        <v>0.44</v>
      </c>
      <c r="E20" s="284">
        <f>MCF!R19</f>
        <v>1</v>
      </c>
      <c r="F20" s="67">
        <f t="shared" si="0"/>
        <v>0.10765714493117759</v>
      </c>
      <c r="G20" s="67">
        <f t="shared" si="1"/>
        <v>0.10765714493117759</v>
      </c>
      <c r="H20" s="67">
        <f t="shared" si="2"/>
        <v>0</v>
      </c>
      <c r="I20" s="67">
        <f t="shared" si="3"/>
        <v>0.20276014829335193</v>
      </c>
      <c r="J20" s="67">
        <f t="shared" si="4"/>
        <v>6.8957458056048901E-3</v>
      </c>
      <c r="K20" s="100">
        <f>J20*CH4_fraction*conv</f>
        <v>4.5971638704032595E-3</v>
      </c>
      <c r="M20" s="393"/>
      <c r="O20" s="96">
        <f>Amnt_Deposited!B15</f>
        <v>2001</v>
      </c>
      <c r="P20" s="99">
        <f>Amnt_Deposited!D15</f>
        <v>1.1121605881319998</v>
      </c>
      <c r="Q20" s="284">
        <f>MCF!R19</f>
        <v>1</v>
      </c>
      <c r="R20" s="67">
        <f t="shared" si="5"/>
        <v>0.22243211762639997</v>
      </c>
      <c r="S20" s="67">
        <f>R20*$W$12</f>
        <v>0.22243211762639997</v>
      </c>
      <c r="T20" s="67">
        <f>R20*(1-$W$12)</f>
        <v>0</v>
      </c>
      <c r="U20" s="67">
        <f>S20+U19*$W$10</f>
        <v>0.41892592622593372</v>
      </c>
      <c r="V20" s="67">
        <f>U19*(1-$W$10)+T20</f>
        <v>1.4247408689266302E-2</v>
      </c>
      <c r="W20" s="100">
        <f>V20*CH4_fraction*conv</f>
        <v>9.4982724595108672E-3</v>
      </c>
    </row>
    <row r="21" spans="2:23">
      <c r="B21" s="96">
        <f>Amnt_Deposited!B16</f>
        <v>2002</v>
      </c>
      <c r="C21" s="99">
        <f>Amnt_Deposited!D16</f>
        <v>1.1750826069839999</v>
      </c>
      <c r="D21" s="418">
        <f>Dry_Matter_Content!D8</f>
        <v>0.44</v>
      </c>
      <c r="E21" s="284">
        <f>MCF!R20</f>
        <v>1</v>
      </c>
      <c r="F21" s="67">
        <f t="shared" si="0"/>
        <v>0.11374799635605119</v>
      </c>
      <c r="G21" s="67">
        <f t="shared" si="1"/>
        <v>0.11374799635605119</v>
      </c>
      <c r="H21" s="67">
        <f t="shared" si="2"/>
        <v>0</v>
      </c>
      <c r="I21" s="67">
        <f t="shared" si="3"/>
        <v>0.30280030554798615</v>
      </c>
      <c r="J21" s="67">
        <f t="shared" si="4"/>
        <v>1.3707839101416985E-2</v>
      </c>
      <c r="K21" s="100">
        <f t="shared" ref="K21:K84" si="6">J21*CH4_fraction*conv</f>
        <v>9.1385594009446569E-3</v>
      </c>
      <c r="O21" s="96">
        <f>Amnt_Deposited!B16</f>
        <v>2002</v>
      </c>
      <c r="P21" s="99">
        <f>Amnt_Deposited!D16</f>
        <v>1.1750826069839999</v>
      </c>
      <c r="Q21" s="284">
        <f>MCF!R20</f>
        <v>1</v>
      </c>
      <c r="R21" s="67">
        <f t="shared" si="5"/>
        <v>0.23501652139679999</v>
      </c>
      <c r="S21" s="67">
        <f t="shared" ref="S21:S84" si="7">R21*$W$12</f>
        <v>0.23501652139679999</v>
      </c>
      <c r="T21" s="67">
        <f t="shared" ref="T21:T84" si="8">R21*(1-$W$12)</f>
        <v>0</v>
      </c>
      <c r="U21" s="67">
        <f t="shared" ref="U21:U84" si="9">S21+U20*$W$10</f>
        <v>0.62562046600823584</v>
      </c>
      <c r="V21" s="67">
        <f t="shared" ref="V21:V84" si="10">U20*(1-$W$10)+T21</f>
        <v>2.8321981614497903E-2</v>
      </c>
      <c r="W21" s="100">
        <f t="shared" ref="W21:W84" si="11">V21*CH4_fraction*conv</f>
        <v>1.8881321076331933E-2</v>
      </c>
    </row>
    <row r="22" spans="2:23">
      <c r="B22" s="96">
        <f>Amnt_Deposited!B17</f>
        <v>2003</v>
      </c>
      <c r="C22" s="99">
        <f>Amnt_Deposited!D17</f>
        <v>1.1965948683480001</v>
      </c>
      <c r="D22" s="418">
        <f>Dry_Matter_Content!D9</f>
        <v>0.44</v>
      </c>
      <c r="E22" s="284">
        <f>MCF!R21</f>
        <v>1</v>
      </c>
      <c r="F22" s="67">
        <f t="shared" si="0"/>
        <v>0.11583038325608641</v>
      </c>
      <c r="G22" s="67">
        <f t="shared" si="1"/>
        <v>0.11583038325608641</v>
      </c>
      <c r="H22" s="67">
        <f t="shared" si="2"/>
        <v>0</v>
      </c>
      <c r="I22" s="67">
        <f t="shared" si="3"/>
        <v>0.3981595168146615</v>
      </c>
      <c r="J22" s="67">
        <f t="shared" si="4"/>
        <v>2.0471171989411042E-2</v>
      </c>
      <c r="K22" s="100">
        <f t="shared" si="6"/>
        <v>1.3647447992940695E-2</v>
      </c>
      <c r="N22" s="258"/>
      <c r="O22" s="96">
        <f>Amnt_Deposited!B17</f>
        <v>2003</v>
      </c>
      <c r="P22" s="99">
        <f>Amnt_Deposited!D17</f>
        <v>1.1965948683480001</v>
      </c>
      <c r="Q22" s="284">
        <f>MCF!R21</f>
        <v>1</v>
      </c>
      <c r="R22" s="67">
        <f t="shared" si="5"/>
        <v>0.23931897366960003</v>
      </c>
      <c r="S22" s="67">
        <f t="shared" si="7"/>
        <v>0.23931897366960003</v>
      </c>
      <c r="T22" s="67">
        <f t="shared" si="8"/>
        <v>0</v>
      </c>
      <c r="U22" s="67">
        <f t="shared" si="9"/>
        <v>0.8226436297823585</v>
      </c>
      <c r="V22" s="67">
        <f t="shared" si="10"/>
        <v>4.2295809895477356E-2</v>
      </c>
      <c r="W22" s="100">
        <f t="shared" si="11"/>
        <v>2.8197206596984901E-2</v>
      </c>
    </row>
    <row r="23" spans="2:23">
      <c r="B23" s="96">
        <f>Amnt_Deposited!B18</f>
        <v>2004</v>
      </c>
      <c r="C23" s="99">
        <f>Amnt_Deposited!D18</f>
        <v>1.2624862610580001</v>
      </c>
      <c r="D23" s="418">
        <f>Dry_Matter_Content!D10</f>
        <v>0.44</v>
      </c>
      <c r="E23" s="284">
        <f>MCF!R22</f>
        <v>1</v>
      </c>
      <c r="F23" s="67">
        <f t="shared" si="0"/>
        <v>0.1222086700704144</v>
      </c>
      <c r="G23" s="67">
        <f t="shared" si="1"/>
        <v>0.1222086700704144</v>
      </c>
      <c r="H23" s="67">
        <f t="shared" si="2"/>
        <v>0</v>
      </c>
      <c r="I23" s="67">
        <f t="shared" si="3"/>
        <v>0.49345014288514327</v>
      </c>
      <c r="J23" s="67">
        <f t="shared" si="4"/>
        <v>2.6918043999932622E-2</v>
      </c>
      <c r="K23" s="100">
        <f t="shared" si="6"/>
        <v>1.7945362666621747E-2</v>
      </c>
      <c r="N23" s="258"/>
      <c r="O23" s="96">
        <f>Amnt_Deposited!B18</f>
        <v>2004</v>
      </c>
      <c r="P23" s="99">
        <f>Amnt_Deposited!D18</f>
        <v>1.2624862610580001</v>
      </c>
      <c r="Q23" s="284">
        <f>MCF!R22</f>
        <v>1</v>
      </c>
      <c r="R23" s="67">
        <f t="shared" si="5"/>
        <v>0.25249725221160002</v>
      </c>
      <c r="S23" s="67">
        <f t="shared" si="7"/>
        <v>0.25249725221160002</v>
      </c>
      <c r="T23" s="67">
        <f t="shared" si="8"/>
        <v>0</v>
      </c>
      <c r="U23" s="67">
        <f t="shared" si="9"/>
        <v>1.0195250886056679</v>
      </c>
      <c r="V23" s="67">
        <f t="shared" si="10"/>
        <v>5.5615793388290542E-2</v>
      </c>
      <c r="W23" s="100">
        <f t="shared" si="11"/>
        <v>3.707719559219369E-2</v>
      </c>
    </row>
    <row r="24" spans="2:23">
      <c r="B24" s="96">
        <f>Amnt_Deposited!B19</f>
        <v>2005</v>
      </c>
      <c r="C24" s="99">
        <f>Amnt_Deposited!D19</f>
        <v>1.353280922136</v>
      </c>
      <c r="D24" s="418">
        <f>Dry_Matter_Content!D11</f>
        <v>0.44</v>
      </c>
      <c r="E24" s="284">
        <f>MCF!R23</f>
        <v>1</v>
      </c>
      <c r="F24" s="67">
        <f t="shared" si="0"/>
        <v>0.13099759326276481</v>
      </c>
      <c r="G24" s="67">
        <f t="shared" si="1"/>
        <v>0.13099759326276481</v>
      </c>
      <c r="H24" s="67">
        <f t="shared" si="2"/>
        <v>0</v>
      </c>
      <c r="I24" s="67">
        <f t="shared" si="3"/>
        <v>0.59108745692057951</v>
      </c>
      <c r="J24" s="67">
        <f t="shared" si="4"/>
        <v>3.3360279227328551E-2</v>
      </c>
      <c r="K24" s="100">
        <f t="shared" si="6"/>
        <v>2.2240186151552366E-2</v>
      </c>
      <c r="N24" s="258"/>
      <c r="O24" s="96">
        <f>Amnt_Deposited!B19</f>
        <v>2005</v>
      </c>
      <c r="P24" s="99">
        <f>Amnt_Deposited!D19</f>
        <v>1.353280922136</v>
      </c>
      <c r="Q24" s="284">
        <f>MCF!R23</f>
        <v>1</v>
      </c>
      <c r="R24" s="67">
        <f t="shared" si="5"/>
        <v>0.27065618442720002</v>
      </c>
      <c r="S24" s="67">
        <f t="shared" si="7"/>
        <v>0.27065618442720002</v>
      </c>
      <c r="T24" s="67">
        <f t="shared" si="8"/>
        <v>0</v>
      </c>
      <c r="U24" s="67">
        <f t="shared" si="9"/>
        <v>1.2212550762821892</v>
      </c>
      <c r="V24" s="67">
        <f t="shared" si="10"/>
        <v>6.8926196750678834E-2</v>
      </c>
      <c r="W24" s="100">
        <f t="shared" si="11"/>
        <v>4.5950797833785889E-2</v>
      </c>
    </row>
    <row r="25" spans="2:23">
      <c r="B25" s="96">
        <f>Amnt_Deposited!B20</f>
        <v>2006</v>
      </c>
      <c r="C25" s="99">
        <f>Amnt_Deposited!D20</f>
        <v>1.4083533877379999</v>
      </c>
      <c r="D25" s="418">
        <f>Dry_Matter_Content!D12</f>
        <v>0.44</v>
      </c>
      <c r="E25" s="284">
        <f>MCF!R24</f>
        <v>1</v>
      </c>
      <c r="F25" s="67">
        <f t="shared" si="0"/>
        <v>0.13632860793303839</v>
      </c>
      <c r="G25" s="67">
        <f t="shared" si="1"/>
        <v>0.13632860793303839</v>
      </c>
      <c r="H25" s="67">
        <f t="shared" si="2"/>
        <v>0</v>
      </c>
      <c r="I25" s="67">
        <f t="shared" si="3"/>
        <v>0.68745489978971008</v>
      </c>
      <c r="J25" s="67">
        <f t="shared" si="4"/>
        <v>3.996116506390774E-2</v>
      </c>
      <c r="K25" s="100">
        <f t="shared" si="6"/>
        <v>2.6640776709271827E-2</v>
      </c>
      <c r="N25" s="258"/>
      <c r="O25" s="96">
        <f>Amnt_Deposited!B20</f>
        <v>2006</v>
      </c>
      <c r="P25" s="99">
        <f>Amnt_Deposited!D20</f>
        <v>1.4083533877379999</v>
      </c>
      <c r="Q25" s="284">
        <f>MCF!R24</f>
        <v>1</v>
      </c>
      <c r="R25" s="67">
        <f t="shared" si="5"/>
        <v>0.2816706775476</v>
      </c>
      <c r="S25" s="67">
        <f t="shared" si="7"/>
        <v>0.2816706775476</v>
      </c>
      <c r="T25" s="67">
        <f t="shared" si="8"/>
        <v>0</v>
      </c>
      <c r="U25" s="67">
        <f t="shared" si="9"/>
        <v>1.4203613632018808</v>
      </c>
      <c r="V25" s="67">
        <f t="shared" si="10"/>
        <v>8.256439062790856E-2</v>
      </c>
      <c r="W25" s="100">
        <f t="shared" si="11"/>
        <v>5.5042927085272371E-2</v>
      </c>
    </row>
    <row r="26" spans="2:23">
      <c r="B26" s="96">
        <f>Amnt_Deposited!B21</f>
        <v>2007</v>
      </c>
      <c r="C26" s="99">
        <f>Amnt_Deposited!D21</f>
        <v>1.4650316476620002</v>
      </c>
      <c r="D26" s="418">
        <f>Dry_Matter_Content!D13</f>
        <v>0.44</v>
      </c>
      <c r="E26" s="284">
        <f>MCF!R25</f>
        <v>1</v>
      </c>
      <c r="F26" s="67">
        <f t="shared" si="0"/>
        <v>0.14181506349368161</v>
      </c>
      <c r="G26" s="67">
        <f t="shared" si="1"/>
        <v>0.14181506349368161</v>
      </c>
      <c r="H26" s="67">
        <f t="shared" si="2"/>
        <v>0</v>
      </c>
      <c r="I26" s="67">
        <f t="shared" si="3"/>
        <v>0.78279376352167018</v>
      </c>
      <c r="J26" s="67">
        <f t="shared" si="4"/>
        <v>4.6476199761721425E-2</v>
      </c>
      <c r="K26" s="100">
        <f t="shared" si="6"/>
        <v>3.0984133174480948E-2</v>
      </c>
      <c r="N26" s="258"/>
      <c r="O26" s="96">
        <f>Amnt_Deposited!B21</f>
        <v>2007</v>
      </c>
      <c r="P26" s="99">
        <f>Amnt_Deposited!D21</f>
        <v>1.4650316476620002</v>
      </c>
      <c r="Q26" s="284">
        <f>MCF!R25</f>
        <v>1</v>
      </c>
      <c r="R26" s="67">
        <f t="shared" si="5"/>
        <v>0.29300632953240008</v>
      </c>
      <c r="S26" s="67">
        <f t="shared" si="7"/>
        <v>0.29300632953240008</v>
      </c>
      <c r="T26" s="67">
        <f t="shared" si="8"/>
        <v>0</v>
      </c>
      <c r="U26" s="67">
        <f t="shared" si="9"/>
        <v>1.6173424866150217</v>
      </c>
      <c r="V26" s="67">
        <f t="shared" si="10"/>
        <v>9.602520611925916E-2</v>
      </c>
      <c r="W26" s="100">
        <f t="shared" si="11"/>
        <v>6.4016804079506107E-2</v>
      </c>
    </row>
    <row r="27" spans="2:23">
      <c r="B27" s="96">
        <f>Amnt_Deposited!B22</f>
        <v>2008</v>
      </c>
      <c r="C27" s="99">
        <f>Amnt_Deposited!D22</f>
        <v>1.5231990799739998</v>
      </c>
      <c r="D27" s="418">
        <f>Dry_Matter_Content!D14</f>
        <v>0.44</v>
      </c>
      <c r="E27" s="284">
        <f>MCF!R26</f>
        <v>1</v>
      </c>
      <c r="F27" s="67">
        <f t="shared" si="0"/>
        <v>0.14744567094148317</v>
      </c>
      <c r="G27" s="67">
        <f t="shared" si="1"/>
        <v>0.14744567094148317</v>
      </c>
      <c r="H27" s="67">
        <f t="shared" si="2"/>
        <v>0</v>
      </c>
      <c r="I27" s="67">
        <f t="shared" si="3"/>
        <v>0.87731773831000681</v>
      </c>
      <c r="J27" s="67">
        <f t="shared" si="4"/>
        <v>5.2921696153146576E-2</v>
      </c>
      <c r="K27" s="100">
        <f t="shared" si="6"/>
        <v>3.5281130768764379E-2</v>
      </c>
      <c r="N27" s="258"/>
      <c r="O27" s="96">
        <f>Amnt_Deposited!B22</f>
        <v>2008</v>
      </c>
      <c r="P27" s="99">
        <f>Amnt_Deposited!D22</f>
        <v>1.5231990799739998</v>
      </c>
      <c r="Q27" s="284">
        <f>MCF!R26</f>
        <v>1</v>
      </c>
      <c r="R27" s="67">
        <f t="shared" si="5"/>
        <v>0.3046398159948</v>
      </c>
      <c r="S27" s="67">
        <f t="shared" si="7"/>
        <v>0.3046398159948</v>
      </c>
      <c r="T27" s="67">
        <f t="shared" si="8"/>
        <v>0</v>
      </c>
      <c r="U27" s="67">
        <f t="shared" si="9"/>
        <v>1.8126399551859651</v>
      </c>
      <c r="V27" s="67">
        <f t="shared" si="10"/>
        <v>0.1093423474238566</v>
      </c>
      <c r="W27" s="100">
        <f t="shared" si="11"/>
        <v>7.2894898282571063E-2</v>
      </c>
    </row>
    <row r="28" spans="2:23">
      <c r="B28" s="96">
        <f>Amnt_Deposited!B23</f>
        <v>2009</v>
      </c>
      <c r="C28" s="99">
        <f>Amnt_Deposited!D23</f>
        <v>1.5826672953960002</v>
      </c>
      <c r="D28" s="418">
        <f>Dry_Matter_Content!D15</f>
        <v>0.44</v>
      </c>
      <c r="E28" s="284">
        <f>MCF!R27</f>
        <v>1</v>
      </c>
      <c r="F28" s="67">
        <f t="shared" si="0"/>
        <v>0.15320219419433281</v>
      </c>
      <c r="G28" s="67">
        <f t="shared" si="1"/>
        <v>0.15320219419433281</v>
      </c>
      <c r="H28" s="67">
        <f t="shared" si="2"/>
        <v>0</v>
      </c>
      <c r="I28" s="67">
        <f t="shared" si="3"/>
        <v>0.97120783148844714</v>
      </c>
      <c r="J28" s="67">
        <f t="shared" si="4"/>
        <v>5.9312101015892467E-2</v>
      </c>
      <c r="K28" s="100">
        <f t="shared" si="6"/>
        <v>3.954140067726164E-2</v>
      </c>
      <c r="N28" s="258"/>
      <c r="O28" s="96">
        <f>Amnt_Deposited!B23</f>
        <v>2009</v>
      </c>
      <c r="P28" s="99">
        <f>Amnt_Deposited!D23</f>
        <v>1.5826672953960002</v>
      </c>
      <c r="Q28" s="284">
        <f>MCF!R27</f>
        <v>1</v>
      </c>
      <c r="R28" s="67">
        <f t="shared" si="5"/>
        <v>0.31653345907920005</v>
      </c>
      <c r="S28" s="67">
        <f t="shared" si="7"/>
        <v>0.31653345907920005</v>
      </c>
      <c r="T28" s="67">
        <f t="shared" si="8"/>
        <v>0</v>
      </c>
      <c r="U28" s="67">
        <f t="shared" si="9"/>
        <v>2.006627751009189</v>
      </c>
      <c r="V28" s="67">
        <f t="shared" si="10"/>
        <v>0.12254566325597621</v>
      </c>
      <c r="W28" s="100">
        <f t="shared" si="11"/>
        <v>8.169710883731747E-2</v>
      </c>
    </row>
    <row r="29" spans="2:23">
      <c r="B29" s="96">
        <f>Amnt_Deposited!B24</f>
        <v>2010</v>
      </c>
      <c r="C29" s="99">
        <f>Amnt_Deposited!D24</f>
        <v>1.606503024522</v>
      </c>
      <c r="D29" s="418">
        <f>Dry_Matter_Content!D16</f>
        <v>0.44</v>
      </c>
      <c r="E29" s="284">
        <f>MCF!R28</f>
        <v>1</v>
      </c>
      <c r="F29" s="67">
        <f t="shared" si="0"/>
        <v>0.15550949277372961</v>
      </c>
      <c r="G29" s="67">
        <f t="shared" si="1"/>
        <v>0.15550949277372961</v>
      </c>
      <c r="H29" s="67">
        <f t="shared" si="2"/>
        <v>0</v>
      </c>
      <c r="I29" s="67">
        <f t="shared" si="3"/>
        <v>1.0610576726978154</v>
      </c>
      <c r="J29" s="67">
        <f t="shared" si="4"/>
        <v>6.5659651564361404E-2</v>
      </c>
      <c r="K29" s="100">
        <f t="shared" si="6"/>
        <v>4.3773101042907603E-2</v>
      </c>
      <c r="O29" s="96">
        <f>Amnt_Deposited!B24</f>
        <v>2010</v>
      </c>
      <c r="P29" s="99">
        <f>Amnt_Deposited!D24</f>
        <v>1.606503024522</v>
      </c>
      <c r="Q29" s="284">
        <f>MCF!R28</f>
        <v>1</v>
      </c>
      <c r="R29" s="67">
        <f t="shared" si="5"/>
        <v>0.32130060490440004</v>
      </c>
      <c r="S29" s="67">
        <f t="shared" si="7"/>
        <v>0.32130060490440004</v>
      </c>
      <c r="T29" s="67">
        <f t="shared" si="8"/>
        <v>0</v>
      </c>
      <c r="U29" s="67">
        <f t="shared" si="9"/>
        <v>2.1922679187971399</v>
      </c>
      <c r="V29" s="67">
        <f t="shared" si="10"/>
        <v>0.13566043711644921</v>
      </c>
      <c r="W29" s="100">
        <f t="shared" si="11"/>
        <v>9.0440291410966128E-2</v>
      </c>
    </row>
    <row r="30" spans="2:23">
      <c r="B30" s="96">
        <f>Amnt_Deposited!B25</f>
        <v>2011</v>
      </c>
      <c r="C30" s="99">
        <f>Amnt_Deposited!D25</f>
        <v>1.51678650468</v>
      </c>
      <c r="D30" s="418">
        <f>Dry_Matter_Content!D17</f>
        <v>0.44</v>
      </c>
      <c r="E30" s="284">
        <f>MCF!R29</f>
        <v>1</v>
      </c>
      <c r="F30" s="67">
        <f t="shared" si="0"/>
        <v>0.14682493365302401</v>
      </c>
      <c r="G30" s="67">
        <f t="shared" si="1"/>
        <v>0.14682493365302401</v>
      </c>
      <c r="H30" s="67">
        <f t="shared" si="2"/>
        <v>0</v>
      </c>
      <c r="I30" s="67">
        <f t="shared" si="3"/>
        <v>1.1361485502402555</v>
      </c>
      <c r="J30" s="67">
        <f t="shared" si="4"/>
        <v>7.1734056110583894E-2</v>
      </c>
      <c r="K30" s="100">
        <f t="shared" si="6"/>
        <v>4.7822704073722591E-2</v>
      </c>
      <c r="O30" s="96">
        <f>Amnt_Deposited!B25</f>
        <v>2011</v>
      </c>
      <c r="P30" s="99">
        <f>Amnt_Deposited!D25</f>
        <v>1.51678650468</v>
      </c>
      <c r="Q30" s="284">
        <f>MCF!R29</f>
        <v>1</v>
      </c>
      <c r="R30" s="67">
        <f t="shared" si="5"/>
        <v>0.303357300936</v>
      </c>
      <c r="S30" s="67">
        <f t="shared" si="7"/>
        <v>0.303357300936</v>
      </c>
      <c r="T30" s="67">
        <f t="shared" si="8"/>
        <v>0</v>
      </c>
      <c r="U30" s="67">
        <f t="shared" si="9"/>
        <v>2.3474143600005286</v>
      </c>
      <c r="V30" s="67">
        <f t="shared" si="10"/>
        <v>0.14821085973261142</v>
      </c>
      <c r="W30" s="100">
        <f t="shared" si="11"/>
        <v>9.8807239821740944E-2</v>
      </c>
    </row>
    <row r="31" spans="2:23">
      <c r="B31" s="96">
        <f>Amnt_Deposited!B26</f>
        <v>2012</v>
      </c>
      <c r="C31" s="99">
        <f>Amnt_Deposited!D26</f>
        <v>1.5623750788800004</v>
      </c>
      <c r="D31" s="418">
        <f>Dry_Matter_Content!D18</f>
        <v>0.44</v>
      </c>
      <c r="E31" s="284">
        <f>MCF!R30</f>
        <v>1</v>
      </c>
      <c r="F31" s="67">
        <f t="shared" si="0"/>
        <v>0.15123790763558403</v>
      </c>
      <c r="G31" s="67">
        <f t="shared" si="1"/>
        <v>0.15123790763558403</v>
      </c>
      <c r="H31" s="67">
        <f t="shared" si="2"/>
        <v>0</v>
      </c>
      <c r="I31" s="67">
        <f t="shared" si="3"/>
        <v>1.2105757943747011</v>
      </c>
      <c r="J31" s="67">
        <f t="shared" si="4"/>
        <v>7.6810663501138493E-2</v>
      </c>
      <c r="K31" s="100">
        <f t="shared" si="6"/>
        <v>5.1207109000758991E-2</v>
      </c>
      <c r="O31" s="96">
        <f>Amnt_Deposited!B26</f>
        <v>2012</v>
      </c>
      <c r="P31" s="99">
        <f>Amnt_Deposited!D26</f>
        <v>1.5623750788800004</v>
      </c>
      <c r="Q31" s="284">
        <f>MCF!R30</f>
        <v>1</v>
      </c>
      <c r="R31" s="67">
        <f t="shared" si="5"/>
        <v>0.31247501577600012</v>
      </c>
      <c r="S31" s="67">
        <f t="shared" si="7"/>
        <v>0.31247501577600012</v>
      </c>
      <c r="T31" s="67">
        <f t="shared" si="8"/>
        <v>0</v>
      </c>
      <c r="U31" s="67">
        <f t="shared" si="9"/>
        <v>2.5011896577989696</v>
      </c>
      <c r="V31" s="67">
        <f t="shared" si="10"/>
        <v>0.15869971797755891</v>
      </c>
      <c r="W31" s="100">
        <f t="shared" si="11"/>
        <v>0.10579981198503927</v>
      </c>
    </row>
    <row r="32" spans="2:23">
      <c r="B32" s="96">
        <f>Amnt_Deposited!B27</f>
        <v>2013</v>
      </c>
      <c r="C32" s="99">
        <f>Amnt_Deposited!D27</f>
        <v>1.6097741474400002</v>
      </c>
      <c r="D32" s="418">
        <f>Dry_Matter_Content!D19</f>
        <v>0.44</v>
      </c>
      <c r="E32" s="284">
        <f>MCF!R31</f>
        <v>1</v>
      </c>
      <c r="F32" s="67">
        <f t="shared" si="0"/>
        <v>0.15582613747219204</v>
      </c>
      <c r="G32" s="67">
        <f t="shared" si="1"/>
        <v>0.15582613747219204</v>
      </c>
      <c r="H32" s="67">
        <f t="shared" si="2"/>
        <v>0</v>
      </c>
      <c r="I32" s="67">
        <f t="shared" si="3"/>
        <v>1.2845595266748975</v>
      </c>
      <c r="J32" s="67">
        <f t="shared" si="4"/>
        <v>8.1842405171995772E-2</v>
      </c>
      <c r="K32" s="100">
        <f t="shared" si="6"/>
        <v>5.4561603447997181E-2</v>
      </c>
      <c r="O32" s="96">
        <f>Amnt_Deposited!B27</f>
        <v>2013</v>
      </c>
      <c r="P32" s="99">
        <f>Amnt_Deposited!D27</f>
        <v>1.6097741474400002</v>
      </c>
      <c r="Q32" s="284">
        <f>MCF!R31</f>
        <v>1</v>
      </c>
      <c r="R32" s="67">
        <f t="shared" si="5"/>
        <v>0.32195482948800008</v>
      </c>
      <c r="S32" s="67">
        <f t="shared" si="7"/>
        <v>0.32195482948800008</v>
      </c>
      <c r="T32" s="67">
        <f t="shared" si="8"/>
        <v>0</v>
      </c>
      <c r="U32" s="67">
        <f t="shared" si="9"/>
        <v>2.6540486088324329</v>
      </c>
      <c r="V32" s="67">
        <f t="shared" si="10"/>
        <v>0.16909587845453675</v>
      </c>
      <c r="W32" s="100">
        <f t="shared" si="11"/>
        <v>0.11273058563635782</v>
      </c>
    </row>
    <row r="33" spans="2:23">
      <c r="B33" s="96">
        <f>Amnt_Deposited!B28</f>
        <v>2014</v>
      </c>
      <c r="C33" s="99">
        <f>Amnt_Deposited!D28</f>
        <v>1.65736078974</v>
      </c>
      <c r="D33" s="418">
        <f>Dry_Matter_Content!D20</f>
        <v>0.44</v>
      </c>
      <c r="E33" s="284">
        <f>MCF!R32</f>
        <v>1</v>
      </c>
      <c r="F33" s="67">
        <f t="shared" si="0"/>
        <v>0.16043252444683201</v>
      </c>
      <c r="G33" s="67">
        <f t="shared" si="1"/>
        <v>0.16043252444683201</v>
      </c>
      <c r="H33" s="67">
        <f t="shared" si="2"/>
        <v>0</v>
      </c>
      <c r="I33" s="67">
        <f t="shared" si="3"/>
        <v>1.3581478884198166</v>
      </c>
      <c r="J33" s="67">
        <f t="shared" si="4"/>
        <v>8.6844162701912961E-2</v>
      </c>
      <c r="K33" s="100">
        <f t="shared" si="6"/>
        <v>5.7896108467941972E-2</v>
      </c>
      <c r="O33" s="96">
        <f>Amnt_Deposited!B28</f>
        <v>2014</v>
      </c>
      <c r="P33" s="99">
        <f>Amnt_Deposited!D28</f>
        <v>1.65736078974</v>
      </c>
      <c r="Q33" s="284">
        <f>MCF!R32</f>
        <v>1</v>
      </c>
      <c r="R33" s="67">
        <f t="shared" si="5"/>
        <v>0.331472157948</v>
      </c>
      <c r="S33" s="67">
        <f t="shared" si="7"/>
        <v>0.331472157948</v>
      </c>
      <c r="T33" s="67">
        <f t="shared" si="8"/>
        <v>0</v>
      </c>
      <c r="U33" s="67">
        <f t="shared" si="9"/>
        <v>2.8060906785533399</v>
      </c>
      <c r="V33" s="67">
        <f t="shared" si="10"/>
        <v>0.17943008822709289</v>
      </c>
      <c r="W33" s="100">
        <f t="shared" si="11"/>
        <v>0.11962005881806193</v>
      </c>
    </row>
    <row r="34" spans="2:23">
      <c r="B34" s="96">
        <f>Amnt_Deposited!B29</f>
        <v>2015</v>
      </c>
      <c r="C34" s="99">
        <f>Amnt_Deposited!D29</f>
        <v>1.7036017943400001</v>
      </c>
      <c r="D34" s="418">
        <f>Dry_Matter_Content!D21</f>
        <v>0.44</v>
      </c>
      <c r="E34" s="284">
        <f>MCF!R33</f>
        <v>1</v>
      </c>
      <c r="F34" s="67">
        <f t="shared" si="0"/>
        <v>0.16490865369211202</v>
      </c>
      <c r="G34" s="67">
        <f t="shared" si="1"/>
        <v>0.16490865369211202</v>
      </c>
      <c r="H34" s="67">
        <f t="shared" si="2"/>
        <v>0</v>
      </c>
      <c r="I34" s="67">
        <f t="shared" si="3"/>
        <v>1.4312373513730625</v>
      </c>
      <c r="J34" s="67">
        <f t="shared" si="4"/>
        <v>9.1819190738866185E-2</v>
      </c>
      <c r="K34" s="100">
        <f t="shared" si="6"/>
        <v>6.1212793825910786E-2</v>
      </c>
      <c r="O34" s="96">
        <f>Amnt_Deposited!B29</f>
        <v>2015</v>
      </c>
      <c r="P34" s="99">
        <f>Amnt_Deposited!D29</f>
        <v>1.7036017943400001</v>
      </c>
      <c r="Q34" s="284">
        <f>MCF!R33</f>
        <v>1</v>
      </c>
      <c r="R34" s="67">
        <f t="shared" si="5"/>
        <v>0.34072035886800006</v>
      </c>
      <c r="S34" s="67">
        <f t="shared" si="7"/>
        <v>0.34072035886800006</v>
      </c>
      <c r="T34" s="67">
        <f t="shared" si="8"/>
        <v>0</v>
      </c>
      <c r="U34" s="67">
        <f t="shared" si="9"/>
        <v>2.9571019656468227</v>
      </c>
      <c r="V34" s="67">
        <f t="shared" si="10"/>
        <v>0.1897090717745169</v>
      </c>
      <c r="W34" s="100">
        <f t="shared" si="11"/>
        <v>0.12647271451634459</v>
      </c>
    </row>
    <row r="35" spans="2:23">
      <c r="B35" s="96">
        <f>Amnt_Deposited!B30</f>
        <v>2016</v>
      </c>
      <c r="C35" s="99">
        <f>Amnt_Deposited!D30</f>
        <v>1.7520039746400005</v>
      </c>
      <c r="D35" s="418">
        <f>Dry_Matter_Content!D22</f>
        <v>0.44</v>
      </c>
      <c r="E35" s="284">
        <f>MCF!R34</f>
        <v>1</v>
      </c>
      <c r="F35" s="67">
        <f t="shared" si="0"/>
        <v>0.16959398474515205</v>
      </c>
      <c r="G35" s="67">
        <f t="shared" si="1"/>
        <v>0.16959398474515205</v>
      </c>
      <c r="H35" s="67">
        <f t="shared" si="2"/>
        <v>0</v>
      </c>
      <c r="I35" s="67">
        <f t="shared" si="3"/>
        <v>1.5040708459839536</v>
      </c>
      <c r="J35" s="67">
        <f t="shared" si="4"/>
        <v>9.6760490134260857E-2</v>
      </c>
      <c r="K35" s="100">
        <f t="shared" si="6"/>
        <v>6.4506993422840567E-2</v>
      </c>
      <c r="O35" s="96">
        <f>Amnt_Deposited!B30</f>
        <v>2016</v>
      </c>
      <c r="P35" s="99">
        <f>Amnt_Deposited!D30</f>
        <v>1.7520039746400005</v>
      </c>
      <c r="Q35" s="284">
        <f>MCF!R34</f>
        <v>1</v>
      </c>
      <c r="R35" s="67">
        <f t="shared" si="5"/>
        <v>0.35040079492800014</v>
      </c>
      <c r="S35" s="67">
        <f t="shared" si="7"/>
        <v>0.35040079492800014</v>
      </c>
      <c r="T35" s="67">
        <f t="shared" si="8"/>
        <v>0</v>
      </c>
      <c r="U35" s="67">
        <f t="shared" si="9"/>
        <v>3.1075843925288291</v>
      </c>
      <c r="V35" s="67">
        <f t="shared" si="10"/>
        <v>0.19991836804599344</v>
      </c>
      <c r="W35" s="100">
        <f t="shared" si="11"/>
        <v>0.13327891203066228</v>
      </c>
    </row>
    <row r="36" spans="2:23">
      <c r="B36" s="96">
        <f>Amnt_Deposited!B31</f>
        <v>2017</v>
      </c>
      <c r="C36" s="99">
        <f>Amnt_Deposited!D31</f>
        <v>1.8129344496960003</v>
      </c>
      <c r="D36" s="418">
        <f>Dry_Matter_Content!D23</f>
        <v>0.44</v>
      </c>
      <c r="E36" s="284">
        <f>MCF!R35</f>
        <v>1</v>
      </c>
      <c r="F36" s="67">
        <f t="shared" si="0"/>
        <v>0.17549205473057283</v>
      </c>
      <c r="G36" s="67">
        <f t="shared" si="1"/>
        <v>0.17549205473057283</v>
      </c>
      <c r="H36" s="67">
        <f t="shared" si="2"/>
        <v>0</v>
      </c>
      <c r="I36" s="67">
        <f t="shared" si="3"/>
        <v>1.5778784162267225</v>
      </c>
      <c r="J36" s="67">
        <f t="shared" si="4"/>
        <v>0.1016844844878039</v>
      </c>
      <c r="K36" s="100">
        <f t="shared" si="6"/>
        <v>6.7789656325202591E-2</v>
      </c>
      <c r="O36" s="96">
        <f>Amnt_Deposited!B31</f>
        <v>2017</v>
      </c>
      <c r="P36" s="99">
        <f>Amnt_Deposited!D31</f>
        <v>1.8129344496960003</v>
      </c>
      <c r="Q36" s="284">
        <f>MCF!R35</f>
        <v>1</v>
      </c>
      <c r="R36" s="67">
        <f t="shared" si="5"/>
        <v>0.36258688993920007</v>
      </c>
      <c r="S36" s="67">
        <f t="shared" si="7"/>
        <v>0.36258688993920007</v>
      </c>
      <c r="T36" s="67">
        <f t="shared" si="8"/>
        <v>0</v>
      </c>
      <c r="U36" s="67">
        <f t="shared" si="9"/>
        <v>3.2600793723692609</v>
      </c>
      <c r="V36" s="67">
        <f t="shared" si="10"/>
        <v>0.21009191009876835</v>
      </c>
      <c r="W36" s="100">
        <f t="shared" si="11"/>
        <v>0.1400612733991789</v>
      </c>
    </row>
    <row r="37" spans="2:23">
      <c r="B37" s="96">
        <f>Amnt_Deposited!B32</f>
        <v>2018</v>
      </c>
      <c r="C37" s="99">
        <f>Amnt_Deposited!D32</f>
        <v>1.8627140736779997</v>
      </c>
      <c r="D37" s="418">
        <f>Dry_Matter_Content!D24</f>
        <v>0.44</v>
      </c>
      <c r="E37" s="284">
        <f>MCF!R36</f>
        <v>1</v>
      </c>
      <c r="F37" s="67">
        <f t="shared" si="0"/>
        <v>0.18031072233203038</v>
      </c>
      <c r="G37" s="67">
        <f t="shared" si="1"/>
        <v>0.18031072233203038</v>
      </c>
      <c r="H37" s="67">
        <f t="shared" si="2"/>
        <v>0</v>
      </c>
      <c r="I37" s="67">
        <f t="shared" si="3"/>
        <v>1.6515148061848119</v>
      </c>
      <c r="J37" s="67">
        <f t="shared" si="4"/>
        <v>0.10667433237394092</v>
      </c>
      <c r="K37" s="100">
        <f t="shared" si="6"/>
        <v>7.1116221582627273E-2</v>
      </c>
      <c r="O37" s="96">
        <f>Amnt_Deposited!B32</f>
        <v>2018</v>
      </c>
      <c r="P37" s="99">
        <f>Amnt_Deposited!D32</f>
        <v>1.8627140736779997</v>
      </c>
      <c r="Q37" s="284">
        <f>MCF!R36</f>
        <v>1</v>
      </c>
      <c r="R37" s="67">
        <f t="shared" si="5"/>
        <v>0.37254281473559997</v>
      </c>
      <c r="S37" s="67">
        <f t="shared" si="7"/>
        <v>0.37254281473559997</v>
      </c>
      <c r="T37" s="67">
        <f t="shared" si="8"/>
        <v>0</v>
      </c>
      <c r="U37" s="67">
        <f t="shared" si="9"/>
        <v>3.4122206739355616</v>
      </c>
      <c r="V37" s="67">
        <f t="shared" si="10"/>
        <v>0.22040151316929937</v>
      </c>
      <c r="W37" s="100">
        <f t="shared" si="11"/>
        <v>0.14693434211286624</v>
      </c>
    </row>
    <row r="38" spans="2:23">
      <c r="B38" s="96">
        <f>Amnt_Deposited!B33</f>
        <v>2019</v>
      </c>
      <c r="C38" s="99">
        <f>Amnt_Deposited!D33</f>
        <v>1.9124936976600002</v>
      </c>
      <c r="D38" s="418">
        <f>Dry_Matter_Content!D25</f>
        <v>0.44</v>
      </c>
      <c r="E38" s="284">
        <f>MCF!R37</f>
        <v>1</v>
      </c>
      <c r="F38" s="67">
        <f t="shared" si="0"/>
        <v>0.18512938993348801</v>
      </c>
      <c r="G38" s="67">
        <f t="shared" si="1"/>
        <v>0.18512938993348801</v>
      </c>
      <c r="H38" s="67">
        <f t="shared" si="2"/>
        <v>0</v>
      </c>
      <c r="I38" s="67">
        <f t="shared" si="3"/>
        <v>1.7249915887033767</v>
      </c>
      <c r="J38" s="67">
        <f t="shared" si="4"/>
        <v>0.11165260741492333</v>
      </c>
      <c r="K38" s="100">
        <f t="shared" si="6"/>
        <v>7.4435071609948888E-2</v>
      </c>
      <c r="O38" s="96">
        <f>Amnt_Deposited!B33</f>
        <v>2019</v>
      </c>
      <c r="P38" s="99">
        <f>Amnt_Deposited!D33</f>
        <v>1.9124936976600002</v>
      </c>
      <c r="Q38" s="284">
        <f>MCF!R37</f>
        <v>1</v>
      </c>
      <c r="R38" s="67">
        <f t="shared" si="5"/>
        <v>0.38249873953200009</v>
      </c>
      <c r="S38" s="67">
        <f t="shared" si="7"/>
        <v>0.38249873953200009</v>
      </c>
      <c r="T38" s="67">
        <f t="shared" si="8"/>
        <v>0</v>
      </c>
      <c r="U38" s="67">
        <f t="shared" si="9"/>
        <v>3.5640322080648277</v>
      </c>
      <c r="V38" s="67">
        <f t="shared" si="10"/>
        <v>0.23068720540273413</v>
      </c>
      <c r="W38" s="100">
        <f t="shared" si="11"/>
        <v>0.15379147026848941</v>
      </c>
    </row>
    <row r="39" spans="2:23">
      <c r="B39" s="96">
        <f>Amnt_Deposited!B34</f>
        <v>2020</v>
      </c>
      <c r="C39" s="99">
        <f>Amnt_Deposited!D34</f>
        <v>1.9622733216419999</v>
      </c>
      <c r="D39" s="418">
        <f>Dry_Matter_Content!D26</f>
        <v>0.44</v>
      </c>
      <c r="E39" s="284">
        <f>MCF!R38</f>
        <v>1</v>
      </c>
      <c r="F39" s="67">
        <f t="shared" si="0"/>
        <v>0.18994805753494559</v>
      </c>
      <c r="G39" s="67">
        <f t="shared" si="1"/>
        <v>0.18994805753494559</v>
      </c>
      <c r="H39" s="67">
        <f t="shared" si="2"/>
        <v>0</v>
      </c>
      <c r="I39" s="67">
        <f t="shared" si="3"/>
        <v>1.7983195542317172</v>
      </c>
      <c r="J39" s="67">
        <f t="shared" si="4"/>
        <v>0.11662009200660489</v>
      </c>
      <c r="K39" s="100">
        <f t="shared" si="6"/>
        <v>7.7746728004403257E-2</v>
      </c>
      <c r="O39" s="96">
        <f>Amnt_Deposited!B34</f>
        <v>2020</v>
      </c>
      <c r="P39" s="99">
        <f>Amnt_Deposited!D34</f>
        <v>1.9622733216419999</v>
      </c>
      <c r="Q39" s="284">
        <f>MCF!R38</f>
        <v>1</v>
      </c>
      <c r="R39" s="67">
        <f t="shared" si="5"/>
        <v>0.39245466432839998</v>
      </c>
      <c r="S39" s="67">
        <f t="shared" si="7"/>
        <v>0.39245466432839998</v>
      </c>
      <c r="T39" s="67">
        <f t="shared" si="8"/>
        <v>0</v>
      </c>
      <c r="U39" s="67">
        <f t="shared" si="9"/>
        <v>3.7155362690737963</v>
      </c>
      <c r="V39" s="67">
        <f t="shared" si="10"/>
        <v>0.24095060331943158</v>
      </c>
      <c r="W39" s="100">
        <f t="shared" si="11"/>
        <v>0.16063373554628771</v>
      </c>
    </row>
    <row r="40" spans="2:23">
      <c r="B40" s="96">
        <f>Amnt_Deposited!B35</f>
        <v>2021</v>
      </c>
      <c r="C40" s="99">
        <f>Amnt_Deposited!D35</f>
        <v>2.0120529456239997</v>
      </c>
      <c r="D40" s="418">
        <f>Dry_Matter_Content!D27</f>
        <v>0.44</v>
      </c>
      <c r="E40" s="284">
        <f>MCF!R39</f>
        <v>1</v>
      </c>
      <c r="F40" s="67">
        <f t="shared" si="0"/>
        <v>0.1947667251364032</v>
      </c>
      <c r="G40" s="67">
        <f t="shared" si="1"/>
        <v>0.1947667251364032</v>
      </c>
      <c r="H40" s="67">
        <f t="shared" si="2"/>
        <v>0</v>
      </c>
      <c r="I40" s="67">
        <f t="shared" si="3"/>
        <v>1.8715087637180761</v>
      </c>
      <c r="J40" s="67">
        <f t="shared" si="4"/>
        <v>0.12157751565004429</v>
      </c>
      <c r="K40" s="100">
        <f t="shared" si="6"/>
        <v>8.1051677100029529E-2</v>
      </c>
      <c r="O40" s="96">
        <f>Amnt_Deposited!B35</f>
        <v>2021</v>
      </c>
      <c r="P40" s="99">
        <f>Amnt_Deposited!D35</f>
        <v>2.0120529456239997</v>
      </c>
      <c r="Q40" s="284">
        <f>MCF!R39</f>
        <v>1</v>
      </c>
      <c r="R40" s="67">
        <f t="shared" si="5"/>
        <v>0.40241058912479999</v>
      </c>
      <c r="S40" s="67">
        <f t="shared" si="7"/>
        <v>0.40241058912479999</v>
      </c>
      <c r="T40" s="67">
        <f t="shared" si="8"/>
        <v>0</v>
      </c>
      <c r="U40" s="67">
        <f t="shared" si="9"/>
        <v>3.8667536440456125</v>
      </c>
      <c r="V40" s="67">
        <f t="shared" si="10"/>
        <v>0.25119321415298412</v>
      </c>
      <c r="W40" s="100">
        <f t="shared" si="11"/>
        <v>0.16746214276865606</v>
      </c>
    </row>
    <row r="41" spans="2:23">
      <c r="B41" s="96">
        <f>Amnt_Deposited!B36</f>
        <v>2022</v>
      </c>
      <c r="C41" s="99">
        <f>Amnt_Deposited!D36</f>
        <v>2.0618325696059996</v>
      </c>
      <c r="D41" s="418">
        <f>Dry_Matter_Content!D28</f>
        <v>0.44</v>
      </c>
      <c r="E41" s="284">
        <f>MCF!R40</f>
        <v>1</v>
      </c>
      <c r="F41" s="67">
        <f t="shared" si="0"/>
        <v>0.19958539273786075</v>
      </c>
      <c r="G41" s="67">
        <f t="shared" si="1"/>
        <v>0.19958539273786075</v>
      </c>
      <c r="H41" s="67">
        <f t="shared" si="2"/>
        <v>0</v>
      </c>
      <c r="I41" s="67">
        <f t="shared" si="3"/>
        <v>1.9445685979284164</v>
      </c>
      <c r="J41" s="67">
        <f t="shared" si="4"/>
        <v>0.12652555852752034</v>
      </c>
      <c r="K41" s="100">
        <f t="shared" si="6"/>
        <v>8.435037235168022E-2</v>
      </c>
      <c r="O41" s="96">
        <f>Amnt_Deposited!B36</f>
        <v>2022</v>
      </c>
      <c r="P41" s="99">
        <f>Amnt_Deposited!D36</f>
        <v>2.0618325696059996</v>
      </c>
      <c r="Q41" s="284">
        <f>MCF!R40</f>
        <v>1</v>
      </c>
      <c r="R41" s="67">
        <f t="shared" si="5"/>
        <v>0.41236651392119994</v>
      </c>
      <c r="S41" s="67">
        <f t="shared" si="7"/>
        <v>0.41236651392119994</v>
      </c>
      <c r="T41" s="67">
        <f t="shared" si="8"/>
        <v>0</v>
      </c>
      <c r="U41" s="67">
        <f t="shared" si="9"/>
        <v>4.0177037147281345</v>
      </c>
      <c r="V41" s="67">
        <f t="shared" si="10"/>
        <v>0.26141644323867846</v>
      </c>
      <c r="W41" s="100">
        <f t="shared" si="11"/>
        <v>0.17427762882578562</v>
      </c>
    </row>
    <row r="42" spans="2:23">
      <c r="B42" s="96">
        <f>Amnt_Deposited!B37</f>
        <v>2023</v>
      </c>
      <c r="C42" s="99">
        <f>Amnt_Deposited!D37</f>
        <v>2.1116121935879999</v>
      </c>
      <c r="D42" s="418">
        <f>Dry_Matter_Content!D29</f>
        <v>0.44</v>
      </c>
      <c r="E42" s="284">
        <f>MCF!R41</f>
        <v>1</v>
      </c>
      <c r="F42" s="67">
        <f t="shared" si="0"/>
        <v>0.20440406033931841</v>
      </c>
      <c r="G42" s="67">
        <f t="shared" si="1"/>
        <v>0.20440406033931841</v>
      </c>
      <c r="H42" s="67">
        <f t="shared" si="2"/>
        <v>0</v>
      </c>
      <c r="I42" s="67">
        <f t="shared" si="3"/>
        <v>2.0175078034309486</v>
      </c>
      <c r="J42" s="67">
        <f t="shared" si="4"/>
        <v>0.13146485483678619</v>
      </c>
      <c r="K42" s="100">
        <f t="shared" si="6"/>
        <v>8.7643236557857454E-2</v>
      </c>
      <c r="O42" s="96">
        <f>Amnt_Deposited!B37</f>
        <v>2023</v>
      </c>
      <c r="P42" s="99">
        <f>Amnt_Deposited!D37</f>
        <v>2.1116121935879999</v>
      </c>
      <c r="Q42" s="284">
        <f>MCF!R41</f>
        <v>1</v>
      </c>
      <c r="R42" s="67">
        <f t="shared" si="5"/>
        <v>0.4223224387176</v>
      </c>
      <c r="S42" s="67">
        <f t="shared" si="7"/>
        <v>0.4223224387176</v>
      </c>
      <c r="T42" s="67">
        <f t="shared" si="8"/>
        <v>0</v>
      </c>
      <c r="U42" s="67">
        <f t="shared" si="9"/>
        <v>4.1684045525432838</v>
      </c>
      <c r="V42" s="67">
        <f t="shared" si="10"/>
        <v>0.27162160090245085</v>
      </c>
      <c r="W42" s="100">
        <f t="shared" si="11"/>
        <v>0.18108106726830056</v>
      </c>
    </row>
    <row r="43" spans="2:23">
      <c r="B43" s="96">
        <f>Amnt_Deposited!B38</f>
        <v>2024</v>
      </c>
      <c r="C43" s="99">
        <f>Amnt_Deposited!D38</f>
        <v>2.1613918175700002</v>
      </c>
      <c r="D43" s="418">
        <f>Dry_Matter_Content!D30</f>
        <v>0.44</v>
      </c>
      <c r="E43" s="284">
        <f>MCF!R42</f>
        <v>1</v>
      </c>
      <c r="F43" s="67">
        <f t="shared" si="0"/>
        <v>0.20922272794077601</v>
      </c>
      <c r="G43" s="67">
        <f t="shared" si="1"/>
        <v>0.20922272794077601</v>
      </c>
      <c r="H43" s="67">
        <f t="shared" si="2"/>
        <v>0</v>
      </c>
      <c r="I43" s="67">
        <f t="shared" si="3"/>
        <v>2.090334535471817</v>
      </c>
      <c r="J43" s="67">
        <f t="shared" si="4"/>
        <v>0.13639599589990742</v>
      </c>
      <c r="K43" s="100">
        <f t="shared" si="6"/>
        <v>9.0930663933271608E-2</v>
      </c>
      <c r="O43" s="96">
        <f>Amnt_Deposited!B38</f>
        <v>2024</v>
      </c>
      <c r="P43" s="99">
        <f>Amnt_Deposited!D38</f>
        <v>2.1613918175700002</v>
      </c>
      <c r="Q43" s="284">
        <f>MCF!R42</f>
        <v>1</v>
      </c>
      <c r="R43" s="67">
        <f t="shared" si="5"/>
        <v>0.43227836351400006</v>
      </c>
      <c r="S43" s="67">
        <f t="shared" si="7"/>
        <v>0.43227836351400006</v>
      </c>
      <c r="T43" s="67">
        <f t="shared" si="8"/>
        <v>0</v>
      </c>
      <c r="U43" s="67">
        <f t="shared" si="9"/>
        <v>4.3188730071731776</v>
      </c>
      <c r="V43" s="67">
        <f t="shared" si="10"/>
        <v>0.28180990888410634</v>
      </c>
      <c r="W43" s="100">
        <f t="shared" si="11"/>
        <v>0.18787327258940423</v>
      </c>
    </row>
    <row r="44" spans="2:23">
      <c r="B44" s="96">
        <f>Amnt_Deposited!B39</f>
        <v>2025</v>
      </c>
      <c r="C44" s="99">
        <f>Amnt_Deposited!D39</f>
        <v>2.2111714415520005</v>
      </c>
      <c r="D44" s="418">
        <f>Dry_Matter_Content!D31</f>
        <v>0.44</v>
      </c>
      <c r="E44" s="284">
        <f>MCF!R43</f>
        <v>1</v>
      </c>
      <c r="F44" s="67">
        <f t="shared" si="0"/>
        <v>0.21404139554223364</v>
      </c>
      <c r="G44" s="67">
        <f t="shared" si="1"/>
        <v>0.21404139554223364</v>
      </c>
      <c r="H44" s="67">
        <f t="shared" si="2"/>
        <v>0</v>
      </c>
      <c r="I44" s="67">
        <f t="shared" si="3"/>
        <v>2.1630563979521269</v>
      </c>
      <c r="J44" s="67">
        <f t="shared" si="4"/>
        <v>0.14131953306192363</v>
      </c>
      <c r="K44" s="100">
        <f t="shared" si="6"/>
        <v>9.4213022041282415E-2</v>
      </c>
      <c r="O44" s="96">
        <f>Amnt_Deposited!B39</f>
        <v>2025</v>
      </c>
      <c r="P44" s="99">
        <f>Amnt_Deposited!D39</f>
        <v>2.2111714415520005</v>
      </c>
      <c r="Q44" s="284">
        <f>MCF!R43</f>
        <v>1</v>
      </c>
      <c r="R44" s="67">
        <f t="shared" si="5"/>
        <v>0.44223428831040013</v>
      </c>
      <c r="S44" s="67">
        <f t="shared" si="7"/>
        <v>0.44223428831040013</v>
      </c>
      <c r="T44" s="67">
        <f t="shared" si="8"/>
        <v>0</v>
      </c>
      <c r="U44" s="67">
        <f t="shared" si="9"/>
        <v>4.4691247891572896</v>
      </c>
      <c r="V44" s="67">
        <f t="shared" si="10"/>
        <v>0.29198250632628858</v>
      </c>
      <c r="W44" s="100">
        <f t="shared" si="11"/>
        <v>0.19465500421752571</v>
      </c>
    </row>
    <row r="45" spans="2:23">
      <c r="B45" s="96">
        <f>Amnt_Deposited!B40</f>
        <v>2026</v>
      </c>
      <c r="C45" s="99">
        <f>Amnt_Deposited!D40</f>
        <v>2.2609510655339999</v>
      </c>
      <c r="D45" s="418">
        <f>Dry_Matter_Content!D32</f>
        <v>0.44</v>
      </c>
      <c r="E45" s="284">
        <f>MCF!R44</f>
        <v>1</v>
      </c>
      <c r="F45" s="67">
        <f t="shared" si="0"/>
        <v>0.21886006314369119</v>
      </c>
      <c r="G45" s="67">
        <f t="shared" si="1"/>
        <v>0.21886006314369119</v>
      </c>
      <c r="H45" s="67">
        <f t="shared" si="2"/>
        <v>0</v>
      </c>
      <c r="I45" s="67">
        <f t="shared" si="3"/>
        <v>2.2356804807022757</v>
      </c>
      <c r="J45" s="67">
        <f t="shared" si="4"/>
        <v>0.1462359803935423</v>
      </c>
      <c r="K45" s="100">
        <f t="shared" si="6"/>
        <v>9.7490653595694865E-2</v>
      </c>
      <c r="O45" s="96">
        <f>Amnt_Deposited!B40</f>
        <v>2026</v>
      </c>
      <c r="P45" s="99">
        <f>Amnt_Deposited!D40</f>
        <v>2.2609510655339999</v>
      </c>
      <c r="Q45" s="284">
        <f>MCF!R44</f>
        <v>1</v>
      </c>
      <c r="R45" s="67">
        <f t="shared" si="5"/>
        <v>0.45219021310680002</v>
      </c>
      <c r="S45" s="67">
        <f t="shared" si="7"/>
        <v>0.45219021310680002</v>
      </c>
      <c r="T45" s="67">
        <f t="shared" si="8"/>
        <v>0</v>
      </c>
      <c r="U45" s="67">
        <f t="shared" si="9"/>
        <v>4.6191745469055308</v>
      </c>
      <c r="V45" s="67">
        <f t="shared" si="10"/>
        <v>0.30214045535855866</v>
      </c>
      <c r="W45" s="100">
        <f t="shared" si="11"/>
        <v>0.2014269702390391</v>
      </c>
    </row>
    <row r="46" spans="2:23">
      <c r="B46" s="96">
        <f>Amnt_Deposited!B41</f>
        <v>2027</v>
      </c>
      <c r="C46" s="99">
        <f>Amnt_Deposited!D41</f>
        <v>2.3107306895159998</v>
      </c>
      <c r="D46" s="418">
        <f>Dry_Matter_Content!D33</f>
        <v>0.44</v>
      </c>
      <c r="E46" s="284">
        <f>MCF!R45</f>
        <v>1</v>
      </c>
      <c r="F46" s="67">
        <f t="shared" si="0"/>
        <v>0.22367873074514877</v>
      </c>
      <c r="G46" s="67">
        <f t="shared" si="1"/>
        <v>0.22367873074514877</v>
      </c>
      <c r="H46" s="67">
        <f t="shared" si="2"/>
        <v>0</v>
      </c>
      <c r="I46" s="67">
        <f t="shared" si="3"/>
        <v>2.3082133942363106</v>
      </c>
      <c r="J46" s="67">
        <f t="shared" si="4"/>
        <v>0.15114581721111417</v>
      </c>
      <c r="K46" s="100">
        <f t="shared" si="6"/>
        <v>0.10076387814074278</v>
      </c>
      <c r="O46" s="96">
        <f>Amnt_Deposited!B41</f>
        <v>2027</v>
      </c>
      <c r="P46" s="99">
        <f>Amnt_Deposited!D41</f>
        <v>2.3107306895159998</v>
      </c>
      <c r="Q46" s="284">
        <f>MCF!R45</f>
        <v>1</v>
      </c>
      <c r="R46" s="67">
        <f t="shared" si="5"/>
        <v>0.46214613790319997</v>
      </c>
      <c r="S46" s="67">
        <f t="shared" si="7"/>
        <v>0.46214613790319997</v>
      </c>
      <c r="T46" s="67">
        <f t="shared" si="8"/>
        <v>0</v>
      </c>
      <c r="U46" s="67">
        <f t="shared" si="9"/>
        <v>4.7690359385047749</v>
      </c>
      <c r="V46" s="67">
        <f t="shared" si="10"/>
        <v>0.31228474630395509</v>
      </c>
      <c r="W46" s="100">
        <f t="shared" si="11"/>
        <v>0.20818983086930337</v>
      </c>
    </row>
    <row r="47" spans="2:23">
      <c r="B47" s="96">
        <f>Amnt_Deposited!B42</f>
        <v>2028</v>
      </c>
      <c r="C47" s="99">
        <f>Amnt_Deposited!D42</f>
        <v>2.3605103134980001</v>
      </c>
      <c r="D47" s="418">
        <f>Dry_Matter_Content!D34</f>
        <v>0.44</v>
      </c>
      <c r="E47" s="284">
        <f>MCF!R46</f>
        <v>1</v>
      </c>
      <c r="F47" s="67">
        <f t="shared" si="0"/>
        <v>0.22849739834660643</v>
      </c>
      <c r="G47" s="67">
        <f t="shared" si="1"/>
        <v>0.22849739834660643</v>
      </c>
      <c r="H47" s="67">
        <f t="shared" si="2"/>
        <v>0</v>
      </c>
      <c r="I47" s="67">
        <f t="shared" si="3"/>
        <v>2.3806613021566743</v>
      </c>
      <c r="J47" s="67">
        <f t="shared" si="4"/>
        <v>0.15604949042624242</v>
      </c>
      <c r="K47" s="100">
        <f t="shared" si="6"/>
        <v>0.10403299361749493</v>
      </c>
      <c r="O47" s="96">
        <f>Amnt_Deposited!B42</f>
        <v>2028</v>
      </c>
      <c r="P47" s="99">
        <f>Amnt_Deposited!D42</f>
        <v>2.3605103134980001</v>
      </c>
      <c r="Q47" s="284">
        <f>MCF!R46</f>
        <v>1</v>
      </c>
      <c r="R47" s="67">
        <f t="shared" si="5"/>
        <v>0.47210206269960003</v>
      </c>
      <c r="S47" s="67">
        <f t="shared" si="7"/>
        <v>0.47210206269960003</v>
      </c>
      <c r="T47" s="67">
        <f t="shared" si="8"/>
        <v>0</v>
      </c>
      <c r="U47" s="67">
        <f t="shared" si="9"/>
        <v>4.918721698670816</v>
      </c>
      <c r="V47" s="67">
        <f t="shared" si="10"/>
        <v>0.3224163025335588</v>
      </c>
      <c r="W47" s="100">
        <f t="shared" si="11"/>
        <v>0.21494420168903919</v>
      </c>
    </row>
    <row r="48" spans="2:23">
      <c r="B48" s="96">
        <f>Amnt_Deposited!B43</f>
        <v>2029</v>
      </c>
      <c r="C48" s="99">
        <f>Amnt_Deposited!D43</f>
        <v>2.41028993748</v>
      </c>
      <c r="D48" s="418">
        <f>Dry_Matter_Content!D35</f>
        <v>0.44</v>
      </c>
      <c r="E48" s="284">
        <f>MCF!R47</f>
        <v>1</v>
      </c>
      <c r="F48" s="67">
        <f t="shared" si="0"/>
        <v>0.23331606594806401</v>
      </c>
      <c r="G48" s="67">
        <f t="shared" si="1"/>
        <v>0.23331606594806401</v>
      </c>
      <c r="H48" s="67">
        <f t="shared" si="2"/>
        <v>0</v>
      </c>
      <c r="I48" s="67">
        <f t="shared" si="3"/>
        <v>2.4530299513681948</v>
      </c>
      <c r="J48" s="67">
        <f t="shared" si="4"/>
        <v>0.16094741673654381</v>
      </c>
      <c r="K48" s="100">
        <f t="shared" si="6"/>
        <v>0.10729827782436253</v>
      </c>
      <c r="O48" s="96">
        <f>Amnt_Deposited!B43</f>
        <v>2029</v>
      </c>
      <c r="P48" s="99">
        <f>Amnt_Deposited!D43</f>
        <v>2.41028993748</v>
      </c>
      <c r="Q48" s="284">
        <f>MCF!R47</f>
        <v>1</v>
      </c>
      <c r="R48" s="67">
        <f t="shared" si="5"/>
        <v>0.48205798749600004</v>
      </c>
      <c r="S48" s="67">
        <f t="shared" si="7"/>
        <v>0.48205798749600004</v>
      </c>
      <c r="T48" s="67">
        <f t="shared" si="8"/>
        <v>0</v>
      </c>
      <c r="U48" s="67">
        <f t="shared" si="9"/>
        <v>5.0682437011739569</v>
      </c>
      <c r="V48" s="67">
        <f t="shared" si="10"/>
        <v>0.33253598499285919</v>
      </c>
      <c r="W48" s="100">
        <f t="shared" si="11"/>
        <v>0.22169065666190613</v>
      </c>
    </row>
    <row r="49" spans="2:23">
      <c r="B49" s="96">
        <f>Amnt_Deposited!B44</f>
        <v>2030</v>
      </c>
      <c r="C49" s="99">
        <f>Amnt_Deposited!D44</f>
        <v>2.4600695614620007</v>
      </c>
      <c r="D49" s="418">
        <f>Dry_Matter_Content!D36</f>
        <v>0.44</v>
      </c>
      <c r="E49" s="284">
        <f>MCF!R48</f>
        <v>1</v>
      </c>
      <c r="F49" s="67">
        <f t="shared" si="0"/>
        <v>0.23813473354952167</v>
      </c>
      <c r="G49" s="67">
        <f t="shared" si="1"/>
        <v>0.23813473354952167</v>
      </c>
      <c r="H49" s="67">
        <f t="shared" si="2"/>
        <v>0</v>
      </c>
      <c r="I49" s="67">
        <f t="shared" si="3"/>
        <v>2.5253247002494152</v>
      </c>
      <c r="J49" s="67">
        <f t="shared" si="4"/>
        <v>0.16583998466830113</v>
      </c>
      <c r="K49" s="100">
        <f t="shared" si="6"/>
        <v>0.11055998977886741</v>
      </c>
      <c r="O49" s="96">
        <f>Amnt_Deposited!B44</f>
        <v>2030</v>
      </c>
      <c r="P49" s="99">
        <f>Amnt_Deposited!D44</f>
        <v>2.4600695614620007</v>
      </c>
      <c r="Q49" s="284">
        <f>MCF!R48</f>
        <v>1</v>
      </c>
      <c r="R49" s="67">
        <f t="shared" si="5"/>
        <v>0.49201391229240016</v>
      </c>
      <c r="S49" s="67">
        <f t="shared" si="7"/>
        <v>0.49201391229240016</v>
      </c>
      <c r="T49" s="67">
        <f t="shared" si="8"/>
        <v>0</v>
      </c>
      <c r="U49" s="67">
        <f t="shared" si="9"/>
        <v>5.217613017044247</v>
      </c>
      <c r="V49" s="67">
        <f t="shared" si="10"/>
        <v>0.34264459642210982</v>
      </c>
      <c r="W49" s="100">
        <f t="shared" si="11"/>
        <v>0.2284297309480732</v>
      </c>
    </row>
    <row r="50" spans="2:23">
      <c r="B50" s="96">
        <f>Amnt_Deposited!B45</f>
        <v>2031</v>
      </c>
      <c r="C50" s="99">
        <f>Amnt_Deposited!D45</f>
        <v>0</v>
      </c>
      <c r="D50" s="418">
        <f>Dry_Matter_Content!D37</f>
        <v>0.44</v>
      </c>
      <c r="E50" s="284">
        <f>MCF!R49</f>
        <v>1</v>
      </c>
      <c r="F50" s="67">
        <f t="shared" si="0"/>
        <v>0</v>
      </c>
      <c r="G50" s="67">
        <f t="shared" si="1"/>
        <v>0</v>
      </c>
      <c r="H50" s="67">
        <f t="shared" si="2"/>
        <v>0</v>
      </c>
      <c r="I50" s="67">
        <f t="shared" si="3"/>
        <v>2.3545971437683959</v>
      </c>
      <c r="J50" s="67">
        <f t="shared" si="4"/>
        <v>0.17072755648101917</v>
      </c>
      <c r="K50" s="100">
        <f t="shared" si="6"/>
        <v>0.11381837098734611</v>
      </c>
      <c r="O50" s="96">
        <f>Amnt_Deposited!B45</f>
        <v>2031</v>
      </c>
      <c r="P50" s="99">
        <f>Amnt_Deposited!D45</f>
        <v>0</v>
      </c>
      <c r="Q50" s="284">
        <f>MCF!R49</f>
        <v>1</v>
      </c>
      <c r="R50" s="67">
        <f t="shared" si="5"/>
        <v>0</v>
      </c>
      <c r="S50" s="67">
        <f t="shared" si="7"/>
        <v>0</v>
      </c>
      <c r="T50" s="67">
        <f t="shared" si="8"/>
        <v>0</v>
      </c>
      <c r="U50" s="67">
        <f t="shared" si="9"/>
        <v>4.8648701317528849</v>
      </c>
      <c r="V50" s="67">
        <f t="shared" si="10"/>
        <v>0.35274288529136194</v>
      </c>
      <c r="W50" s="100">
        <f t="shared" si="11"/>
        <v>0.23516192352757462</v>
      </c>
    </row>
    <row r="51" spans="2:23">
      <c r="B51" s="96">
        <f>Amnt_Deposited!B46</f>
        <v>2032</v>
      </c>
      <c r="C51" s="99">
        <f>Amnt_Deposited!D46</f>
        <v>0</v>
      </c>
      <c r="D51" s="418">
        <f>Dry_Matter_Content!D38</f>
        <v>0.44</v>
      </c>
      <c r="E51" s="284">
        <f>MCF!R50</f>
        <v>1</v>
      </c>
      <c r="F51" s="67">
        <f t="shared" ref="F51:F82" si="12">C51*D51*$K$6*DOCF*E51</f>
        <v>0</v>
      </c>
      <c r="G51" s="67">
        <f t="shared" si="1"/>
        <v>0</v>
      </c>
      <c r="H51" s="67">
        <f t="shared" si="2"/>
        <v>0</v>
      </c>
      <c r="I51" s="67">
        <f t="shared" si="3"/>
        <v>2.1954118252178501</v>
      </c>
      <c r="J51" s="67">
        <f t="shared" si="4"/>
        <v>0.15918531855054599</v>
      </c>
      <c r="K51" s="100">
        <f t="shared" si="6"/>
        <v>0.10612354570036399</v>
      </c>
      <c r="O51" s="96">
        <f>Amnt_Deposited!B46</f>
        <v>2032</v>
      </c>
      <c r="P51" s="99">
        <f>Amnt_Deposited!D46</f>
        <v>0</v>
      </c>
      <c r="Q51" s="284">
        <f>MCF!R50</f>
        <v>1</v>
      </c>
      <c r="R51" s="67">
        <f t="shared" ref="R51:R82" si="13">P51*$W$6*DOCF*Q51</f>
        <v>0</v>
      </c>
      <c r="S51" s="67">
        <f t="shared" si="7"/>
        <v>0</v>
      </c>
      <c r="T51" s="67">
        <f t="shared" si="8"/>
        <v>0</v>
      </c>
      <c r="U51" s="67">
        <f t="shared" si="9"/>
        <v>4.5359748454914266</v>
      </c>
      <c r="V51" s="67">
        <f t="shared" si="10"/>
        <v>0.3288952862614587</v>
      </c>
      <c r="W51" s="100">
        <f t="shared" si="11"/>
        <v>0.21926352417430578</v>
      </c>
    </row>
    <row r="52" spans="2:23">
      <c r="B52" s="96">
        <f>Amnt_Deposited!B47</f>
        <v>2033</v>
      </c>
      <c r="C52" s="99">
        <f>Amnt_Deposited!D47</f>
        <v>0</v>
      </c>
      <c r="D52" s="418">
        <f>Dry_Matter_Content!D39</f>
        <v>0.44</v>
      </c>
      <c r="E52" s="284">
        <f>MCF!R51</f>
        <v>1</v>
      </c>
      <c r="F52" s="67">
        <f t="shared" si="12"/>
        <v>0</v>
      </c>
      <c r="G52" s="67">
        <f t="shared" si="1"/>
        <v>0</v>
      </c>
      <c r="H52" s="67">
        <f t="shared" si="2"/>
        <v>0</v>
      </c>
      <c r="I52" s="67">
        <f t="shared" si="3"/>
        <v>2.0469884179815612</v>
      </c>
      <c r="J52" s="67">
        <f t="shared" si="4"/>
        <v>0.14842340723628877</v>
      </c>
      <c r="K52" s="100">
        <f t="shared" si="6"/>
        <v>9.894893815752584E-2</v>
      </c>
      <c r="O52" s="96">
        <f>Amnt_Deposited!B47</f>
        <v>2033</v>
      </c>
      <c r="P52" s="99">
        <f>Amnt_Deposited!D47</f>
        <v>0</v>
      </c>
      <c r="Q52" s="284">
        <f>MCF!R51</f>
        <v>1</v>
      </c>
      <c r="R52" s="67">
        <f t="shared" si="13"/>
        <v>0</v>
      </c>
      <c r="S52" s="67">
        <f t="shared" si="7"/>
        <v>0</v>
      </c>
      <c r="T52" s="67">
        <f t="shared" si="8"/>
        <v>0</v>
      </c>
      <c r="U52" s="67">
        <f t="shared" si="9"/>
        <v>4.2293149131850445</v>
      </c>
      <c r="V52" s="67">
        <f t="shared" si="10"/>
        <v>0.30665993230638183</v>
      </c>
      <c r="W52" s="100">
        <f t="shared" si="11"/>
        <v>0.2044399548709212</v>
      </c>
    </row>
    <row r="53" spans="2:23">
      <c r="B53" s="96">
        <f>Amnt_Deposited!B48</f>
        <v>2034</v>
      </c>
      <c r="C53" s="99">
        <f>Amnt_Deposited!D48</f>
        <v>0</v>
      </c>
      <c r="D53" s="418">
        <f>Dry_Matter_Content!D40</f>
        <v>0.44</v>
      </c>
      <c r="E53" s="284">
        <f>MCF!R52</f>
        <v>1</v>
      </c>
      <c r="F53" s="67">
        <f t="shared" si="12"/>
        <v>0</v>
      </c>
      <c r="G53" s="67">
        <f t="shared" si="1"/>
        <v>0</v>
      </c>
      <c r="H53" s="67">
        <f t="shared" si="2"/>
        <v>0</v>
      </c>
      <c r="I53" s="67">
        <f t="shared" si="3"/>
        <v>1.9085993503450618</v>
      </c>
      <c r="J53" s="67">
        <f t="shared" si="4"/>
        <v>0.13838906763649947</v>
      </c>
      <c r="K53" s="100">
        <f t="shared" si="6"/>
        <v>9.2259378424332975E-2</v>
      </c>
      <c r="O53" s="96">
        <f>Amnt_Deposited!B48</f>
        <v>2034</v>
      </c>
      <c r="P53" s="99">
        <f>Amnt_Deposited!D48</f>
        <v>0</v>
      </c>
      <c r="Q53" s="284">
        <f>MCF!R52</f>
        <v>1</v>
      </c>
      <c r="R53" s="67">
        <f t="shared" si="13"/>
        <v>0</v>
      </c>
      <c r="S53" s="67">
        <f t="shared" si="7"/>
        <v>0</v>
      </c>
      <c r="T53" s="67">
        <f t="shared" si="8"/>
        <v>0</v>
      </c>
      <c r="U53" s="67">
        <f t="shared" si="9"/>
        <v>3.9433870874897976</v>
      </c>
      <c r="V53" s="67">
        <f t="shared" si="10"/>
        <v>0.28592782569524688</v>
      </c>
      <c r="W53" s="100">
        <f t="shared" si="11"/>
        <v>0.1906185504634979</v>
      </c>
    </row>
    <row r="54" spans="2:23">
      <c r="B54" s="96">
        <f>Amnt_Deposited!B49</f>
        <v>2035</v>
      </c>
      <c r="C54" s="99">
        <f>Amnt_Deposited!D49</f>
        <v>0</v>
      </c>
      <c r="D54" s="418">
        <f>Dry_Matter_Content!D41</f>
        <v>0.44</v>
      </c>
      <c r="E54" s="284">
        <f>MCF!R53</f>
        <v>1</v>
      </c>
      <c r="F54" s="67">
        <f t="shared" si="12"/>
        <v>0</v>
      </c>
      <c r="G54" s="67">
        <f t="shared" si="1"/>
        <v>0</v>
      </c>
      <c r="H54" s="67">
        <f t="shared" si="2"/>
        <v>0</v>
      </c>
      <c r="I54" s="67">
        <f t="shared" si="3"/>
        <v>1.7795662389382434</v>
      </c>
      <c r="J54" s="67">
        <f t="shared" si="4"/>
        <v>0.12903311140681836</v>
      </c>
      <c r="K54" s="100">
        <f t="shared" si="6"/>
        <v>8.6022074271212237E-2</v>
      </c>
      <c r="O54" s="96">
        <f>Amnt_Deposited!B49</f>
        <v>2035</v>
      </c>
      <c r="P54" s="99">
        <f>Amnt_Deposited!D49</f>
        <v>0</v>
      </c>
      <c r="Q54" s="284">
        <f>MCF!R53</f>
        <v>1</v>
      </c>
      <c r="R54" s="67">
        <f t="shared" si="13"/>
        <v>0</v>
      </c>
      <c r="S54" s="67">
        <f t="shared" si="7"/>
        <v>0</v>
      </c>
      <c r="T54" s="67">
        <f t="shared" si="8"/>
        <v>0</v>
      </c>
      <c r="U54" s="67">
        <f t="shared" si="9"/>
        <v>3.676789749872404</v>
      </c>
      <c r="V54" s="67">
        <f t="shared" si="10"/>
        <v>0.26659733761739335</v>
      </c>
      <c r="W54" s="100">
        <f t="shared" si="11"/>
        <v>0.17773155841159555</v>
      </c>
    </row>
    <row r="55" spans="2:23">
      <c r="B55" s="96">
        <f>Amnt_Deposited!B50</f>
        <v>2036</v>
      </c>
      <c r="C55" s="99">
        <f>Amnt_Deposited!D50</f>
        <v>0</v>
      </c>
      <c r="D55" s="418">
        <f>Dry_Matter_Content!D42</f>
        <v>0.44</v>
      </c>
      <c r="E55" s="284">
        <f>MCF!R54</f>
        <v>1</v>
      </c>
      <c r="F55" s="67">
        <f t="shared" si="12"/>
        <v>0</v>
      </c>
      <c r="G55" s="67">
        <f t="shared" si="1"/>
        <v>0</v>
      </c>
      <c r="H55" s="67">
        <f t="shared" si="2"/>
        <v>0</v>
      </c>
      <c r="I55" s="67">
        <f t="shared" si="3"/>
        <v>1.6592565632992902</v>
      </c>
      <c r="J55" s="67">
        <f t="shared" si="4"/>
        <v>0.12030967563895317</v>
      </c>
      <c r="K55" s="100">
        <f t="shared" si="6"/>
        <v>8.0206450425968773E-2</v>
      </c>
      <c r="O55" s="96">
        <f>Amnt_Deposited!B50</f>
        <v>2036</v>
      </c>
      <c r="P55" s="99">
        <f>Amnt_Deposited!D50</f>
        <v>0</v>
      </c>
      <c r="Q55" s="284">
        <f>MCF!R54</f>
        <v>1</v>
      </c>
      <c r="R55" s="67">
        <f t="shared" si="13"/>
        <v>0</v>
      </c>
      <c r="S55" s="67">
        <f t="shared" si="7"/>
        <v>0</v>
      </c>
      <c r="T55" s="67">
        <f t="shared" si="8"/>
        <v>0</v>
      </c>
      <c r="U55" s="67">
        <f t="shared" si="9"/>
        <v>3.4282160398745667</v>
      </c>
      <c r="V55" s="67">
        <f t="shared" si="10"/>
        <v>0.24857370999783715</v>
      </c>
      <c r="W55" s="100">
        <f t="shared" si="11"/>
        <v>0.16571580666522476</v>
      </c>
    </row>
    <row r="56" spans="2:23">
      <c r="B56" s="96">
        <f>Amnt_Deposited!B51</f>
        <v>2037</v>
      </c>
      <c r="C56" s="99">
        <f>Amnt_Deposited!D51</f>
        <v>0</v>
      </c>
      <c r="D56" s="418">
        <f>Dry_Matter_Content!D43</f>
        <v>0.44</v>
      </c>
      <c r="E56" s="284">
        <f>MCF!R55</f>
        <v>1</v>
      </c>
      <c r="F56" s="67">
        <f t="shared" si="12"/>
        <v>0</v>
      </c>
      <c r="G56" s="67">
        <f t="shared" si="1"/>
        <v>0</v>
      </c>
      <c r="H56" s="67">
        <f t="shared" si="2"/>
        <v>0</v>
      </c>
      <c r="I56" s="67">
        <f t="shared" si="3"/>
        <v>1.547080565258641</v>
      </c>
      <c r="J56" s="67">
        <f t="shared" si="4"/>
        <v>0.11217599804064915</v>
      </c>
      <c r="K56" s="100">
        <f t="shared" si="6"/>
        <v>7.4783998693766091E-2</v>
      </c>
      <c r="O56" s="96">
        <f>Amnt_Deposited!B51</f>
        <v>2037</v>
      </c>
      <c r="P56" s="99">
        <f>Amnt_Deposited!D51</f>
        <v>0</v>
      </c>
      <c r="Q56" s="284">
        <f>MCF!R55</f>
        <v>1</v>
      </c>
      <c r="R56" s="67">
        <f t="shared" si="13"/>
        <v>0</v>
      </c>
      <c r="S56" s="67">
        <f t="shared" si="7"/>
        <v>0</v>
      </c>
      <c r="T56" s="67">
        <f t="shared" si="8"/>
        <v>0</v>
      </c>
      <c r="U56" s="67">
        <f t="shared" si="9"/>
        <v>3.1964474488814898</v>
      </c>
      <c r="V56" s="67">
        <f t="shared" si="10"/>
        <v>0.23176859099307678</v>
      </c>
      <c r="W56" s="100">
        <f t="shared" si="11"/>
        <v>0.15451239399538452</v>
      </c>
    </row>
    <row r="57" spans="2:23">
      <c r="B57" s="96">
        <f>Amnt_Deposited!B52</f>
        <v>2038</v>
      </c>
      <c r="C57" s="99">
        <f>Amnt_Deposited!D52</f>
        <v>0</v>
      </c>
      <c r="D57" s="418">
        <f>Dry_Matter_Content!D44</f>
        <v>0.44</v>
      </c>
      <c r="E57" s="284">
        <f>MCF!R56</f>
        <v>1</v>
      </c>
      <c r="F57" s="67">
        <f t="shared" si="12"/>
        <v>0</v>
      </c>
      <c r="G57" s="67">
        <f t="shared" si="1"/>
        <v>0</v>
      </c>
      <c r="H57" s="67">
        <f t="shared" si="2"/>
        <v>0</v>
      </c>
      <c r="I57" s="67">
        <f t="shared" si="3"/>
        <v>1.442488357943758</v>
      </c>
      <c r="J57" s="67">
        <f t="shared" si="4"/>
        <v>0.10459220731488303</v>
      </c>
      <c r="K57" s="100">
        <f t="shared" si="6"/>
        <v>6.9728138209922019E-2</v>
      </c>
      <c r="O57" s="96">
        <f>Amnt_Deposited!B52</f>
        <v>2038</v>
      </c>
      <c r="P57" s="99">
        <f>Amnt_Deposited!D52</f>
        <v>0</v>
      </c>
      <c r="Q57" s="284">
        <f>MCF!R56</f>
        <v>1</v>
      </c>
      <c r="R57" s="67">
        <f t="shared" si="13"/>
        <v>0</v>
      </c>
      <c r="S57" s="67">
        <f t="shared" si="7"/>
        <v>0</v>
      </c>
      <c r="T57" s="67">
        <f t="shared" si="8"/>
        <v>0</v>
      </c>
      <c r="U57" s="67">
        <f t="shared" si="9"/>
        <v>2.9803478469912354</v>
      </c>
      <c r="V57" s="67">
        <f t="shared" si="10"/>
        <v>0.21609960189025421</v>
      </c>
      <c r="W57" s="100">
        <f t="shared" si="11"/>
        <v>0.14406640126016945</v>
      </c>
    </row>
    <row r="58" spans="2:23">
      <c r="B58" s="96">
        <f>Amnt_Deposited!B53</f>
        <v>2039</v>
      </c>
      <c r="C58" s="99">
        <f>Amnt_Deposited!D53</f>
        <v>0</v>
      </c>
      <c r="D58" s="418">
        <f>Dry_Matter_Content!D45</f>
        <v>0.44</v>
      </c>
      <c r="E58" s="284">
        <f>MCF!R57</f>
        <v>1</v>
      </c>
      <c r="F58" s="67">
        <f t="shared" si="12"/>
        <v>0</v>
      </c>
      <c r="G58" s="67">
        <f t="shared" si="1"/>
        <v>0</v>
      </c>
      <c r="H58" s="67">
        <f t="shared" si="2"/>
        <v>0</v>
      </c>
      <c r="I58" s="67">
        <f t="shared" si="3"/>
        <v>1.3449672302330393</v>
      </c>
      <c r="J58" s="67">
        <f t="shared" si="4"/>
        <v>9.752112771071865E-2</v>
      </c>
      <c r="K58" s="100">
        <f t="shared" si="6"/>
        <v>6.50140851404791E-2</v>
      </c>
      <c r="O58" s="96">
        <f>Amnt_Deposited!B53</f>
        <v>2039</v>
      </c>
      <c r="P58" s="99">
        <f>Amnt_Deposited!D53</f>
        <v>0</v>
      </c>
      <c r="Q58" s="284">
        <f>MCF!R57</f>
        <v>1</v>
      </c>
      <c r="R58" s="67">
        <f t="shared" si="13"/>
        <v>0</v>
      </c>
      <c r="S58" s="67">
        <f t="shared" si="7"/>
        <v>0</v>
      </c>
      <c r="T58" s="67">
        <f t="shared" si="8"/>
        <v>0</v>
      </c>
      <c r="U58" s="67">
        <f t="shared" si="9"/>
        <v>2.7788579137046265</v>
      </c>
      <c r="V58" s="67">
        <f t="shared" si="10"/>
        <v>0.20148993328660877</v>
      </c>
      <c r="W58" s="100">
        <f t="shared" si="11"/>
        <v>0.1343266221910725</v>
      </c>
    </row>
    <row r="59" spans="2:23">
      <c r="B59" s="96">
        <f>Amnt_Deposited!B54</f>
        <v>2040</v>
      </c>
      <c r="C59" s="99">
        <f>Amnt_Deposited!D54</f>
        <v>0</v>
      </c>
      <c r="D59" s="418">
        <f>Dry_Matter_Content!D46</f>
        <v>0.44</v>
      </c>
      <c r="E59" s="284">
        <f>MCF!R58</f>
        <v>1</v>
      </c>
      <c r="F59" s="67">
        <f t="shared" si="12"/>
        <v>0</v>
      </c>
      <c r="G59" s="67">
        <f t="shared" si="1"/>
        <v>0</v>
      </c>
      <c r="H59" s="67">
        <f t="shared" si="2"/>
        <v>0</v>
      </c>
      <c r="I59" s="67">
        <f t="shared" si="3"/>
        <v>1.2540391334453065</v>
      </c>
      <c r="J59" s="67">
        <f t="shared" si="4"/>
        <v>9.0928096787732796E-2</v>
      </c>
      <c r="K59" s="100">
        <f t="shared" si="6"/>
        <v>6.0618731191821859E-2</v>
      </c>
      <c r="O59" s="96">
        <f>Amnt_Deposited!B54</f>
        <v>2040</v>
      </c>
      <c r="P59" s="99">
        <f>Amnt_Deposited!D54</f>
        <v>0</v>
      </c>
      <c r="Q59" s="284">
        <f>MCF!R58</f>
        <v>1</v>
      </c>
      <c r="R59" s="67">
        <f t="shared" si="13"/>
        <v>0</v>
      </c>
      <c r="S59" s="67">
        <f t="shared" si="7"/>
        <v>0</v>
      </c>
      <c r="T59" s="67">
        <f t="shared" si="8"/>
        <v>0</v>
      </c>
      <c r="U59" s="67">
        <f t="shared" si="9"/>
        <v>2.5909899451349307</v>
      </c>
      <c r="V59" s="67">
        <f t="shared" si="10"/>
        <v>0.18786796856969584</v>
      </c>
      <c r="W59" s="100">
        <f t="shared" si="11"/>
        <v>0.12524531237979722</v>
      </c>
    </row>
    <row r="60" spans="2:23">
      <c r="B60" s="96">
        <f>Amnt_Deposited!B55</f>
        <v>2041</v>
      </c>
      <c r="C60" s="99">
        <f>Amnt_Deposited!D55</f>
        <v>0</v>
      </c>
      <c r="D60" s="418">
        <f>Dry_Matter_Content!D47</f>
        <v>0.44</v>
      </c>
      <c r="E60" s="284">
        <f>MCF!R59</f>
        <v>1</v>
      </c>
      <c r="F60" s="67">
        <f t="shared" si="12"/>
        <v>0</v>
      </c>
      <c r="G60" s="67">
        <f t="shared" si="1"/>
        <v>0</v>
      </c>
      <c r="H60" s="67">
        <f t="shared" si="2"/>
        <v>0</v>
      </c>
      <c r="I60" s="67">
        <f t="shared" si="3"/>
        <v>1.1692583379446144</v>
      </c>
      <c r="J60" s="67">
        <f t="shared" si="4"/>
        <v>8.4780795500691952E-2</v>
      </c>
      <c r="K60" s="100">
        <f t="shared" si="6"/>
        <v>5.652053033379463E-2</v>
      </c>
      <c r="O60" s="96">
        <f>Amnt_Deposited!B55</f>
        <v>2041</v>
      </c>
      <c r="P60" s="99">
        <f>Amnt_Deposited!D55</f>
        <v>0</v>
      </c>
      <c r="Q60" s="284">
        <f>MCF!R59</f>
        <v>1</v>
      </c>
      <c r="R60" s="67">
        <f t="shared" si="13"/>
        <v>0</v>
      </c>
      <c r="S60" s="67">
        <f t="shared" si="7"/>
        <v>0</v>
      </c>
      <c r="T60" s="67">
        <f t="shared" si="8"/>
        <v>0</v>
      </c>
      <c r="U60" s="67">
        <f t="shared" si="9"/>
        <v>2.4158230122822615</v>
      </c>
      <c r="V60" s="67">
        <f t="shared" si="10"/>
        <v>0.17516693285266932</v>
      </c>
      <c r="W60" s="100">
        <f t="shared" si="11"/>
        <v>0.11677795523511288</v>
      </c>
    </row>
    <row r="61" spans="2:23">
      <c r="B61" s="96">
        <f>Amnt_Deposited!B56</f>
        <v>2042</v>
      </c>
      <c r="C61" s="99">
        <f>Amnt_Deposited!D56</f>
        <v>0</v>
      </c>
      <c r="D61" s="418">
        <f>Dry_Matter_Content!D48</f>
        <v>0.44</v>
      </c>
      <c r="E61" s="284">
        <f>MCF!R60</f>
        <v>1</v>
      </c>
      <c r="F61" s="67">
        <f t="shared" si="12"/>
        <v>0</v>
      </c>
      <c r="G61" s="67">
        <f t="shared" si="1"/>
        <v>0</v>
      </c>
      <c r="H61" s="67">
        <f t="shared" si="2"/>
        <v>0</v>
      </c>
      <c r="I61" s="67">
        <f t="shared" si="3"/>
        <v>1.0902092481730592</v>
      </c>
      <c r="J61" s="67">
        <f t="shared" si="4"/>
        <v>7.9049089771555198E-2</v>
      </c>
      <c r="K61" s="100">
        <f t="shared" si="6"/>
        <v>5.2699393181036794E-2</v>
      </c>
      <c r="O61" s="96">
        <f>Amnt_Deposited!B56</f>
        <v>2042</v>
      </c>
      <c r="P61" s="99">
        <f>Amnt_Deposited!D56</f>
        <v>0</v>
      </c>
      <c r="Q61" s="284">
        <f>MCF!R60</f>
        <v>1</v>
      </c>
      <c r="R61" s="67">
        <f t="shared" si="13"/>
        <v>0</v>
      </c>
      <c r="S61" s="67">
        <f t="shared" si="7"/>
        <v>0</v>
      </c>
      <c r="T61" s="67">
        <f t="shared" si="8"/>
        <v>0</v>
      </c>
      <c r="U61" s="67">
        <f t="shared" si="9"/>
        <v>2.2524984466385525</v>
      </c>
      <c r="V61" s="67">
        <f t="shared" si="10"/>
        <v>0.16332456564370912</v>
      </c>
      <c r="W61" s="100">
        <f t="shared" si="11"/>
        <v>0.10888304376247274</v>
      </c>
    </row>
    <row r="62" spans="2:23">
      <c r="B62" s="96">
        <f>Amnt_Deposited!B57</f>
        <v>2043</v>
      </c>
      <c r="C62" s="99">
        <f>Amnt_Deposited!D57</f>
        <v>0</v>
      </c>
      <c r="D62" s="418">
        <f>Dry_Matter_Content!D49</f>
        <v>0.44</v>
      </c>
      <c r="E62" s="284">
        <f>MCF!R61</f>
        <v>1</v>
      </c>
      <c r="F62" s="67">
        <f t="shared" si="12"/>
        <v>0</v>
      </c>
      <c r="G62" s="67">
        <f t="shared" si="1"/>
        <v>0</v>
      </c>
      <c r="H62" s="67">
        <f t="shared" si="2"/>
        <v>0</v>
      </c>
      <c r="I62" s="67">
        <f t="shared" si="3"/>
        <v>1.0165043654008705</v>
      </c>
      <c r="J62" s="67">
        <f t="shared" si="4"/>
        <v>7.3704882772188576E-2</v>
      </c>
      <c r="K62" s="100">
        <f t="shared" si="6"/>
        <v>4.9136588514792384E-2</v>
      </c>
      <c r="O62" s="96">
        <f>Amnt_Deposited!B57</f>
        <v>2043</v>
      </c>
      <c r="P62" s="99">
        <f>Amnt_Deposited!D57</f>
        <v>0</v>
      </c>
      <c r="Q62" s="284">
        <f>MCF!R61</f>
        <v>1</v>
      </c>
      <c r="R62" s="67">
        <f t="shared" si="13"/>
        <v>0</v>
      </c>
      <c r="S62" s="67">
        <f t="shared" si="7"/>
        <v>0</v>
      </c>
      <c r="T62" s="67">
        <f t="shared" si="8"/>
        <v>0</v>
      </c>
      <c r="U62" s="67">
        <f t="shared" si="9"/>
        <v>2.1002156309935347</v>
      </c>
      <c r="V62" s="67">
        <f t="shared" si="10"/>
        <v>0.15228281564501775</v>
      </c>
      <c r="W62" s="100">
        <f t="shared" si="11"/>
        <v>0.1015218770966785</v>
      </c>
    </row>
    <row r="63" spans="2:23">
      <c r="B63" s="96">
        <f>Amnt_Deposited!B58</f>
        <v>2044</v>
      </c>
      <c r="C63" s="99">
        <f>Amnt_Deposited!D58</f>
        <v>0</v>
      </c>
      <c r="D63" s="418">
        <f>Dry_Matter_Content!D50</f>
        <v>0.44</v>
      </c>
      <c r="E63" s="284">
        <f>MCF!R62</f>
        <v>1</v>
      </c>
      <c r="F63" s="67">
        <f t="shared" si="12"/>
        <v>0</v>
      </c>
      <c r="G63" s="67">
        <f t="shared" si="1"/>
        <v>0</v>
      </c>
      <c r="H63" s="67">
        <f t="shared" si="2"/>
        <v>0</v>
      </c>
      <c r="I63" s="67">
        <f t="shared" si="3"/>
        <v>0.94778238820718952</v>
      </c>
      <c r="J63" s="67">
        <f t="shared" si="4"/>
        <v>6.8721977193681019E-2</v>
      </c>
      <c r="K63" s="100">
        <f t="shared" si="6"/>
        <v>4.581465146245401E-2</v>
      </c>
      <c r="O63" s="96">
        <f>Amnt_Deposited!B58</f>
        <v>2044</v>
      </c>
      <c r="P63" s="99">
        <f>Amnt_Deposited!D58</f>
        <v>0</v>
      </c>
      <c r="Q63" s="284">
        <f>MCF!R62</f>
        <v>1</v>
      </c>
      <c r="R63" s="67">
        <f t="shared" si="13"/>
        <v>0</v>
      </c>
      <c r="S63" s="67">
        <f t="shared" si="7"/>
        <v>0</v>
      </c>
      <c r="T63" s="67">
        <f t="shared" si="8"/>
        <v>0</v>
      </c>
      <c r="U63" s="67">
        <f t="shared" si="9"/>
        <v>1.9582280748082432</v>
      </c>
      <c r="V63" s="67">
        <f t="shared" si="10"/>
        <v>0.14198755618529138</v>
      </c>
      <c r="W63" s="100">
        <f t="shared" si="11"/>
        <v>9.4658370790194249E-2</v>
      </c>
    </row>
    <row r="64" spans="2:23">
      <c r="B64" s="96">
        <f>Amnt_Deposited!B59</f>
        <v>2045</v>
      </c>
      <c r="C64" s="99">
        <f>Amnt_Deposited!D59</f>
        <v>0</v>
      </c>
      <c r="D64" s="418">
        <f>Dry_Matter_Content!D51</f>
        <v>0.44</v>
      </c>
      <c r="E64" s="284">
        <f>MCF!R63</f>
        <v>1</v>
      </c>
      <c r="F64" s="67">
        <f t="shared" si="12"/>
        <v>0</v>
      </c>
      <c r="G64" s="67">
        <f t="shared" si="1"/>
        <v>0</v>
      </c>
      <c r="H64" s="67">
        <f t="shared" si="2"/>
        <v>0</v>
      </c>
      <c r="I64" s="67">
        <f t="shared" si="3"/>
        <v>0.88370644138008381</v>
      </c>
      <c r="J64" s="67">
        <f t="shared" si="4"/>
        <v>6.4075946827105698E-2</v>
      </c>
      <c r="K64" s="100">
        <f t="shared" si="6"/>
        <v>4.2717297884737132E-2</v>
      </c>
      <c r="O64" s="96">
        <f>Amnt_Deposited!B59</f>
        <v>2045</v>
      </c>
      <c r="P64" s="99">
        <f>Amnt_Deposited!D59</f>
        <v>0</v>
      </c>
      <c r="Q64" s="284">
        <f>MCF!R63</f>
        <v>1</v>
      </c>
      <c r="R64" s="67">
        <f t="shared" si="13"/>
        <v>0</v>
      </c>
      <c r="S64" s="67">
        <f t="shared" si="7"/>
        <v>0</v>
      </c>
      <c r="T64" s="67">
        <f t="shared" si="8"/>
        <v>0</v>
      </c>
      <c r="U64" s="67">
        <f t="shared" si="9"/>
        <v>1.8258397549175289</v>
      </c>
      <c r="V64" s="67">
        <f t="shared" si="10"/>
        <v>0.13238831989071428</v>
      </c>
      <c r="W64" s="100">
        <f t="shared" si="11"/>
        <v>8.8258879927142847E-2</v>
      </c>
    </row>
    <row r="65" spans="2:23">
      <c r="B65" s="96">
        <f>Amnt_Deposited!B60</f>
        <v>2046</v>
      </c>
      <c r="C65" s="99">
        <f>Amnt_Deposited!D60</f>
        <v>0</v>
      </c>
      <c r="D65" s="418">
        <f>Dry_Matter_Content!D52</f>
        <v>0.44</v>
      </c>
      <c r="E65" s="284">
        <f>MCF!R64</f>
        <v>1</v>
      </c>
      <c r="F65" s="67">
        <f t="shared" si="12"/>
        <v>0</v>
      </c>
      <c r="G65" s="67">
        <f t="shared" si="1"/>
        <v>0</v>
      </c>
      <c r="H65" s="67">
        <f t="shared" si="2"/>
        <v>0</v>
      </c>
      <c r="I65" s="67">
        <f t="shared" si="3"/>
        <v>0.82396242455386826</v>
      </c>
      <c r="J65" s="67">
        <f t="shared" si="4"/>
        <v>5.974401682621551E-2</v>
      </c>
      <c r="K65" s="100">
        <f t="shared" si="6"/>
        <v>3.9829344550810337E-2</v>
      </c>
      <c r="O65" s="96">
        <f>Amnt_Deposited!B60</f>
        <v>2046</v>
      </c>
      <c r="P65" s="99">
        <f>Amnt_Deposited!D60</f>
        <v>0</v>
      </c>
      <c r="Q65" s="284">
        <f>MCF!R64</f>
        <v>1</v>
      </c>
      <c r="R65" s="67">
        <f t="shared" si="13"/>
        <v>0</v>
      </c>
      <c r="S65" s="67">
        <f t="shared" si="7"/>
        <v>0</v>
      </c>
      <c r="T65" s="67">
        <f t="shared" si="8"/>
        <v>0</v>
      </c>
      <c r="U65" s="67">
        <f t="shared" si="9"/>
        <v>1.7024017036236951</v>
      </c>
      <c r="V65" s="67">
        <f t="shared" si="10"/>
        <v>0.12343805129383373</v>
      </c>
      <c r="W65" s="100">
        <f t="shared" si="11"/>
        <v>8.2292034195889152E-2</v>
      </c>
    </row>
    <row r="66" spans="2:23">
      <c r="B66" s="96">
        <f>Amnt_Deposited!B61</f>
        <v>2047</v>
      </c>
      <c r="C66" s="99">
        <f>Amnt_Deposited!D61</f>
        <v>0</v>
      </c>
      <c r="D66" s="418">
        <f>Dry_Matter_Content!D53</f>
        <v>0.44</v>
      </c>
      <c r="E66" s="284">
        <f>MCF!R65</f>
        <v>1</v>
      </c>
      <c r="F66" s="67">
        <f t="shared" si="12"/>
        <v>0</v>
      </c>
      <c r="G66" s="67">
        <f t="shared" si="1"/>
        <v>0</v>
      </c>
      <c r="H66" s="67">
        <f t="shared" si="2"/>
        <v>0</v>
      </c>
      <c r="I66" s="67">
        <f t="shared" si="3"/>
        <v>0.76825747248874798</v>
      </c>
      <c r="J66" s="67">
        <f t="shared" si="4"/>
        <v>5.5704952065120328E-2</v>
      </c>
      <c r="K66" s="100">
        <f t="shared" si="6"/>
        <v>3.7136634710080219E-2</v>
      </c>
      <c r="O66" s="96">
        <f>Amnt_Deposited!B61</f>
        <v>2047</v>
      </c>
      <c r="P66" s="99">
        <f>Amnt_Deposited!D61</f>
        <v>0</v>
      </c>
      <c r="Q66" s="284">
        <f>MCF!R65</f>
        <v>1</v>
      </c>
      <c r="R66" s="67">
        <f t="shared" si="13"/>
        <v>0</v>
      </c>
      <c r="S66" s="67">
        <f t="shared" si="7"/>
        <v>0</v>
      </c>
      <c r="T66" s="67">
        <f t="shared" si="8"/>
        <v>0</v>
      </c>
      <c r="U66" s="67">
        <f t="shared" si="9"/>
        <v>1.5873088274560911</v>
      </c>
      <c r="V66" s="67">
        <f t="shared" si="10"/>
        <v>0.11509287616760401</v>
      </c>
      <c r="W66" s="100">
        <f t="shared" si="11"/>
        <v>7.6728584111735998E-2</v>
      </c>
    </row>
    <row r="67" spans="2:23">
      <c r="B67" s="96">
        <f>Amnt_Deposited!B62</f>
        <v>2048</v>
      </c>
      <c r="C67" s="99">
        <f>Amnt_Deposited!D62</f>
        <v>0</v>
      </c>
      <c r="D67" s="418">
        <f>Dry_Matter_Content!D54</f>
        <v>0.44</v>
      </c>
      <c r="E67" s="284">
        <f>MCF!R66</f>
        <v>1</v>
      </c>
      <c r="F67" s="67">
        <f t="shared" si="12"/>
        <v>0</v>
      </c>
      <c r="G67" s="67">
        <f t="shared" si="1"/>
        <v>0</v>
      </c>
      <c r="H67" s="67">
        <f t="shared" si="2"/>
        <v>0</v>
      </c>
      <c r="I67" s="67">
        <f t="shared" si="3"/>
        <v>0.71631851944507274</v>
      </c>
      <c r="J67" s="67">
        <f t="shared" si="4"/>
        <v>5.1938953043675289E-2</v>
      </c>
      <c r="K67" s="100">
        <f t="shared" si="6"/>
        <v>3.4625968695783521E-2</v>
      </c>
      <c r="O67" s="96">
        <f>Amnt_Deposited!B62</f>
        <v>2048</v>
      </c>
      <c r="P67" s="99">
        <f>Amnt_Deposited!D62</f>
        <v>0</v>
      </c>
      <c r="Q67" s="284">
        <f>MCF!R66</f>
        <v>1</v>
      </c>
      <c r="R67" s="67">
        <f t="shared" si="13"/>
        <v>0</v>
      </c>
      <c r="S67" s="67">
        <f t="shared" si="7"/>
        <v>0</v>
      </c>
      <c r="T67" s="67">
        <f t="shared" si="8"/>
        <v>0</v>
      </c>
      <c r="U67" s="67">
        <f t="shared" si="9"/>
        <v>1.4799969410022165</v>
      </c>
      <c r="V67" s="67">
        <f t="shared" si="10"/>
        <v>0.10731188645387457</v>
      </c>
      <c r="W67" s="100">
        <f t="shared" si="11"/>
        <v>7.1541257635916372E-2</v>
      </c>
    </row>
    <row r="68" spans="2:23">
      <c r="B68" s="96">
        <f>Amnt_Deposited!B63</f>
        <v>2049</v>
      </c>
      <c r="C68" s="99">
        <f>Amnt_Deposited!D63</f>
        <v>0</v>
      </c>
      <c r="D68" s="418">
        <f>Dry_Matter_Content!D55</f>
        <v>0.44</v>
      </c>
      <c r="E68" s="284">
        <f>MCF!R67</f>
        <v>1</v>
      </c>
      <c r="F68" s="67">
        <f t="shared" si="12"/>
        <v>0</v>
      </c>
      <c r="G68" s="67">
        <f t="shared" si="1"/>
        <v>0</v>
      </c>
      <c r="H68" s="67">
        <f t="shared" si="2"/>
        <v>0</v>
      </c>
      <c r="I68" s="67">
        <f t="shared" si="3"/>
        <v>0.66789096061476472</v>
      </c>
      <c r="J68" s="67">
        <f t="shared" si="4"/>
        <v>4.8427558830308082E-2</v>
      </c>
      <c r="K68" s="100">
        <f t="shared" si="6"/>
        <v>3.2285039220205383E-2</v>
      </c>
      <c r="O68" s="96">
        <f>Amnt_Deposited!B63</f>
        <v>2049</v>
      </c>
      <c r="P68" s="99">
        <f>Amnt_Deposited!D63</f>
        <v>0</v>
      </c>
      <c r="Q68" s="284">
        <f>MCF!R67</f>
        <v>1</v>
      </c>
      <c r="R68" s="67">
        <f t="shared" si="13"/>
        <v>0</v>
      </c>
      <c r="S68" s="67">
        <f t="shared" si="7"/>
        <v>0</v>
      </c>
      <c r="T68" s="67">
        <f t="shared" si="8"/>
        <v>0</v>
      </c>
      <c r="U68" s="67">
        <f t="shared" si="9"/>
        <v>1.379940001270175</v>
      </c>
      <c r="V68" s="67">
        <f t="shared" si="10"/>
        <v>0.10005693973204149</v>
      </c>
      <c r="W68" s="100">
        <f t="shared" si="11"/>
        <v>6.6704626488027663E-2</v>
      </c>
    </row>
    <row r="69" spans="2:23">
      <c r="B69" s="96">
        <f>Amnt_Deposited!B64</f>
        <v>2050</v>
      </c>
      <c r="C69" s="99">
        <f>Amnt_Deposited!D64</f>
        <v>0</v>
      </c>
      <c r="D69" s="418">
        <f>Dry_Matter_Content!D56</f>
        <v>0.44</v>
      </c>
      <c r="E69" s="284">
        <f>MCF!R68</f>
        <v>1</v>
      </c>
      <c r="F69" s="67">
        <f t="shared" si="12"/>
        <v>0</v>
      </c>
      <c r="G69" s="67">
        <f t="shared" si="1"/>
        <v>0</v>
      </c>
      <c r="H69" s="67">
        <f t="shared" si="2"/>
        <v>0</v>
      </c>
      <c r="I69" s="67">
        <f t="shared" si="3"/>
        <v>0.62273740404825373</v>
      </c>
      <c r="J69" s="67">
        <f t="shared" si="4"/>
        <v>4.5153556566510995E-2</v>
      </c>
      <c r="K69" s="100">
        <f t="shared" si="6"/>
        <v>3.0102371044340662E-2</v>
      </c>
      <c r="O69" s="96">
        <f>Amnt_Deposited!B64</f>
        <v>2050</v>
      </c>
      <c r="P69" s="99">
        <f>Amnt_Deposited!D64</f>
        <v>0</v>
      </c>
      <c r="Q69" s="284">
        <f>MCF!R68</f>
        <v>1</v>
      </c>
      <c r="R69" s="67">
        <f t="shared" si="13"/>
        <v>0</v>
      </c>
      <c r="S69" s="67">
        <f t="shared" si="7"/>
        <v>0</v>
      </c>
      <c r="T69" s="67">
        <f t="shared" si="8"/>
        <v>0</v>
      </c>
      <c r="U69" s="67">
        <f t="shared" si="9"/>
        <v>1.2866475290253176</v>
      </c>
      <c r="V69" s="67">
        <f t="shared" si="10"/>
        <v>9.3292472244857427E-2</v>
      </c>
      <c r="W69" s="100">
        <f t="shared" si="11"/>
        <v>6.2194981496571614E-2</v>
      </c>
    </row>
    <row r="70" spans="2:23">
      <c r="B70" s="96">
        <f>Amnt_Deposited!B65</f>
        <v>2051</v>
      </c>
      <c r="C70" s="99">
        <f>Amnt_Deposited!D65</f>
        <v>0</v>
      </c>
      <c r="D70" s="418">
        <f>Dry_Matter_Content!D57</f>
        <v>0.44</v>
      </c>
      <c r="E70" s="284">
        <f>MCF!R69</f>
        <v>1</v>
      </c>
      <c r="F70" s="67">
        <f t="shared" si="12"/>
        <v>0</v>
      </c>
      <c r="G70" s="67">
        <f t="shared" si="1"/>
        <v>0</v>
      </c>
      <c r="H70" s="67">
        <f t="shared" si="2"/>
        <v>0</v>
      </c>
      <c r="I70" s="67">
        <f t="shared" si="3"/>
        <v>0.58063650695886526</v>
      </c>
      <c r="J70" s="67">
        <f t="shared" si="4"/>
        <v>4.2100897089388502E-2</v>
      </c>
      <c r="K70" s="100">
        <f t="shared" si="6"/>
        <v>2.8067264726258999E-2</v>
      </c>
      <c r="O70" s="96">
        <f>Amnt_Deposited!B65</f>
        <v>2051</v>
      </c>
      <c r="P70" s="99">
        <f>Amnt_Deposited!D65</f>
        <v>0</v>
      </c>
      <c r="Q70" s="284">
        <f>MCF!R69</f>
        <v>1</v>
      </c>
      <c r="R70" s="67">
        <f t="shared" si="13"/>
        <v>0</v>
      </c>
      <c r="S70" s="67">
        <f t="shared" si="7"/>
        <v>0</v>
      </c>
      <c r="T70" s="67">
        <f t="shared" si="8"/>
        <v>0</v>
      </c>
      <c r="U70" s="67">
        <f t="shared" si="9"/>
        <v>1.1996622044604655</v>
      </c>
      <c r="V70" s="67">
        <f t="shared" si="10"/>
        <v>8.6985324564852265E-2</v>
      </c>
      <c r="W70" s="100">
        <f t="shared" si="11"/>
        <v>5.7990216376568177E-2</v>
      </c>
    </row>
    <row r="71" spans="2:23">
      <c r="B71" s="96">
        <f>Amnt_Deposited!B66</f>
        <v>2052</v>
      </c>
      <c r="C71" s="99">
        <f>Amnt_Deposited!D66</f>
        <v>0</v>
      </c>
      <c r="D71" s="418">
        <f>Dry_Matter_Content!D58</f>
        <v>0.44</v>
      </c>
      <c r="E71" s="284">
        <f>MCF!R70</f>
        <v>1</v>
      </c>
      <c r="F71" s="67">
        <f t="shared" si="12"/>
        <v>0</v>
      </c>
      <c r="G71" s="67">
        <f t="shared" si="1"/>
        <v>0</v>
      </c>
      <c r="H71" s="67">
        <f t="shared" si="2"/>
        <v>0</v>
      </c>
      <c r="I71" s="67">
        <f t="shared" si="3"/>
        <v>0.54138189070022313</v>
      </c>
      <c r="J71" s="67">
        <f t="shared" si="4"/>
        <v>3.9254616258642162E-2</v>
      </c>
      <c r="K71" s="100">
        <f t="shared" si="6"/>
        <v>2.6169744172428108E-2</v>
      </c>
      <c r="O71" s="96">
        <f>Amnt_Deposited!B66</f>
        <v>2052</v>
      </c>
      <c r="P71" s="99">
        <f>Amnt_Deposited!D66</f>
        <v>0</v>
      </c>
      <c r="Q71" s="284">
        <f>MCF!R70</f>
        <v>1</v>
      </c>
      <c r="R71" s="67">
        <f t="shared" si="13"/>
        <v>0</v>
      </c>
      <c r="S71" s="67">
        <f t="shared" si="7"/>
        <v>0</v>
      </c>
      <c r="T71" s="67">
        <f t="shared" si="8"/>
        <v>0</v>
      </c>
      <c r="U71" s="67">
        <f t="shared" si="9"/>
        <v>1.1185576254136842</v>
      </c>
      <c r="V71" s="67">
        <f t="shared" si="10"/>
        <v>8.1104579046781339E-2</v>
      </c>
      <c r="W71" s="100">
        <f t="shared" si="11"/>
        <v>5.4069719364520888E-2</v>
      </c>
    </row>
    <row r="72" spans="2:23">
      <c r="B72" s="96">
        <f>Amnt_Deposited!B67</f>
        <v>2053</v>
      </c>
      <c r="C72" s="99">
        <f>Amnt_Deposited!D67</f>
        <v>0</v>
      </c>
      <c r="D72" s="418">
        <f>Dry_Matter_Content!D59</f>
        <v>0.44</v>
      </c>
      <c r="E72" s="284">
        <f>MCF!R71</f>
        <v>1</v>
      </c>
      <c r="F72" s="67">
        <f t="shared" si="12"/>
        <v>0</v>
      </c>
      <c r="G72" s="67">
        <f t="shared" si="1"/>
        <v>0</v>
      </c>
      <c r="H72" s="67">
        <f t="shared" si="2"/>
        <v>0</v>
      </c>
      <c r="I72" s="67">
        <f t="shared" si="3"/>
        <v>0.50478112909788564</v>
      </c>
      <c r="J72" s="67">
        <f t="shared" si="4"/>
        <v>3.6600761602337516E-2</v>
      </c>
      <c r="K72" s="100">
        <f t="shared" si="6"/>
        <v>2.4400507734891677E-2</v>
      </c>
      <c r="O72" s="96">
        <f>Amnt_Deposited!B67</f>
        <v>2053</v>
      </c>
      <c r="P72" s="99">
        <f>Amnt_Deposited!D67</f>
        <v>0</v>
      </c>
      <c r="Q72" s="284">
        <f>MCF!R71</f>
        <v>1</v>
      </c>
      <c r="R72" s="67">
        <f t="shared" si="13"/>
        <v>0</v>
      </c>
      <c r="S72" s="67">
        <f t="shared" si="7"/>
        <v>0</v>
      </c>
      <c r="T72" s="67">
        <f t="shared" si="8"/>
        <v>0</v>
      </c>
      <c r="U72" s="67">
        <f t="shared" si="9"/>
        <v>1.0429362171443919</v>
      </c>
      <c r="V72" s="67">
        <f t="shared" si="10"/>
        <v>7.5621408269292381E-2</v>
      </c>
      <c r="W72" s="100">
        <f t="shared" si="11"/>
        <v>5.0414272179528249E-2</v>
      </c>
    </row>
    <row r="73" spans="2:23">
      <c r="B73" s="96">
        <f>Amnt_Deposited!B68</f>
        <v>2054</v>
      </c>
      <c r="C73" s="99">
        <f>Amnt_Deposited!D68</f>
        <v>0</v>
      </c>
      <c r="D73" s="418">
        <f>Dry_Matter_Content!D60</f>
        <v>0.44</v>
      </c>
      <c r="E73" s="284">
        <f>MCF!R72</f>
        <v>1</v>
      </c>
      <c r="F73" s="67">
        <f t="shared" si="12"/>
        <v>0</v>
      </c>
      <c r="G73" s="67">
        <f t="shared" si="1"/>
        <v>0</v>
      </c>
      <c r="H73" s="67">
        <f t="shared" si="2"/>
        <v>0</v>
      </c>
      <c r="I73" s="67">
        <f t="shared" si="3"/>
        <v>0.47065480517601521</v>
      </c>
      <c r="J73" s="67">
        <f t="shared" si="4"/>
        <v>3.4126323921870434E-2</v>
      </c>
      <c r="K73" s="100">
        <f t="shared" si="6"/>
        <v>2.2750882614580289E-2</v>
      </c>
      <c r="O73" s="96">
        <f>Amnt_Deposited!B68</f>
        <v>2054</v>
      </c>
      <c r="P73" s="99">
        <f>Amnt_Deposited!D68</f>
        <v>0</v>
      </c>
      <c r="Q73" s="284">
        <f>MCF!R72</f>
        <v>1</v>
      </c>
      <c r="R73" s="67">
        <f t="shared" si="13"/>
        <v>0</v>
      </c>
      <c r="S73" s="67">
        <f t="shared" si="7"/>
        <v>0</v>
      </c>
      <c r="T73" s="67">
        <f t="shared" si="8"/>
        <v>0</v>
      </c>
      <c r="U73" s="67">
        <f t="shared" si="9"/>
        <v>0.97242728342151907</v>
      </c>
      <c r="V73" s="67">
        <f t="shared" si="10"/>
        <v>7.0508933722872799E-2</v>
      </c>
      <c r="W73" s="100">
        <f t="shared" si="11"/>
        <v>4.700595581524853E-2</v>
      </c>
    </row>
    <row r="74" spans="2:23">
      <c r="B74" s="96">
        <f>Amnt_Deposited!B69</f>
        <v>2055</v>
      </c>
      <c r="C74" s="99">
        <f>Amnt_Deposited!D69</f>
        <v>0</v>
      </c>
      <c r="D74" s="418">
        <f>Dry_Matter_Content!D61</f>
        <v>0.44</v>
      </c>
      <c r="E74" s="284">
        <f>MCF!R73</f>
        <v>1</v>
      </c>
      <c r="F74" s="67">
        <f t="shared" si="12"/>
        <v>0</v>
      </c>
      <c r="G74" s="67">
        <f t="shared" si="1"/>
        <v>0</v>
      </c>
      <c r="H74" s="67">
        <f t="shared" si="2"/>
        <v>0</v>
      </c>
      <c r="I74" s="67">
        <f t="shared" si="3"/>
        <v>0.43883563165515471</v>
      </c>
      <c r="J74" s="67">
        <f t="shared" si="4"/>
        <v>3.1819173520860514E-2</v>
      </c>
      <c r="K74" s="100">
        <f t="shared" si="6"/>
        <v>2.121278234724034E-2</v>
      </c>
      <c r="O74" s="96">
        <f>Amnt_Deposited!B69</f>
        <v>2055</v>
      </c>
      <c r="P74" s="99">
        <f>Amnt_Deposited!D69</f>
        <v>0</v>
      </c>
      <c r="Q74" s="284">
        <f>MCF!R73</f>
        <v>1</v>
      </c>
      <c r="R74" s="67">
        <f t="shared" si="13"/>
        <v>0</v>
      </c>
      <c r="S74" s="67">
        <f t="shared" si="7"/>
        <v>0</v>
      </c>
      <c r="T74" s="67">
        <f t="shared" si="8"/>
        <v>0</v>
      </c>
      <c r="U74" s="67">
        <f t="shared" si="9"/>
        <v>0.90668518937015441</v>
      </c>
      <c r="V74" s="67">
        <f t="shared" si="10"/>
        <v>6.5742094051364705E-2</v>
      </c>
      <c r="W74" s="100">
        <f t="shared" si="11"/>
        <v>4.3828062700909803E-2</v>
      </c>
    </row>
    <row r="75" spans="2:23">
      <c r="B75" s="96">
        <f>Amnt_Deposited!B70</f>
        <v>2056</v>
      </c>
      <c r="C75" s="99">
        <f>Amnt_Deposited!D70</f>
        <v>0</v>
      </c>
      <c r="D75" s="418">
        <f>Dry_Matter_Content!D62</f>
        <v>0.44</v>
      </c>
      <c r="E75" s="284">
        <f>MCF!R74</f>
        <v>1</v>
      </c>
      <c r="F75" s="67">
        <f t="shared" si="12"/>
        <v>0</v>
      </c>
      <c r="G75" s="67">
        <f t="shared" si="1"/>
        <v>0</v>
      </c>
      <c r="H75" s="67">
        <f t="shared" si="2"/>
        <v>0</v>
      </c>
      <c r="I75" s="67">
        <f t="shared" si="3"/>
        <v>0.40916763090978936</v>
      </c>
      <c r="J75" s="67">
        <f t="shared" si="4"/>
        <v>2.9668000745365335E-2</v>
      </c>
      <c r="K75" s="100">
        <f t="shared" si="6"/>
        <v>1.9778667163576888E-2</v>
      </c>
      <c r="O75" s="96">
        <f>Amnt_Deposited!B70</f>
        <v>2056</v>
      </c>
      <c r="P75" s="99">
        <f>Amnt_Deposited!D70</f>
        <v>0</v>
      </c>
      <c r="Q75" s="284">
        <f>MCF!R74</f>
        <v>1</v>
      </c>
      <c r="R75" s="67">
        <f t="shared" si="13"/>
        <v>0</v>
      </c>
      <c r="S75" s="67">
        <f t="shared" si="7"/>
        <v>0</v>
      </c>
      <c r="T75" s="67">
        <f t="shared" si="8"/>
        <v>0</v>
      </c>
      <c r="U75" s="67">
        <f t="shared" si="9"/>
        <v>0.84538766716898639</v>
      </c>
      <c r="V75" s="67">
        <f t="shared" si="10"/>
        <v>6.1297522201168055E-2</v>
      </c>
      <c r="W75" s="100">
        <f t="shared" si="11"/>
        <v>4.0865014800778698E-2</v>
      </c>
    </row>
    <row r="76" spans="2:23">
      <c r="B76" s="96">
        <f>Amnt_Deposited!B71</f>
        <v>2057</v>
      </c>
      <c r="C76" s="99">
        <f>Amnt_Deposited!D71</f>
        <v>0</v>
      </c>
      <c r="D76" s="418">
        <f>Dry_Matter_Content!D63</f>
        <v>0.44</v>
      </c>
      <c r="E76" s="284">
        <f>MCF!R75</f>
        <v>1</v>
      </c>
      <c r="F76" s="67">
        <f t="shared" si="12"/>
        <v>0</v>
      </c>
      <c r="G76" s="67">
        <f t="shared" si="1"/>
        <v>0</v>
      </c>
      <c r="H76" s="67">
        <f t="shared" si="2"/>
        <v>0</v>
      </c>
      <c r="I76" s="67">
        <f t="shared" si="3"/>
        <v>0.38150537036584564</v>
      </c>
      <c r="J76" s="67">
        <f t="shared" si="4"/>
        <v>2.7662260543943707E-2</v>
      </c>
      <c r="K76" s="100">
        <f t="shared" si="6"/>
        <v>1.8441507029295805E-2</v>
      </c>
      <c r="O76" s="96">
        <f>Amnt_Deposited!B71</f>
        <v>2057</v>
      </c>
      <c r="P76" s="99">
        <f>Amnt_Deposited!D71</f>
        <v>0</v>
      </c>
      <c r="Q76" s="284">
        <f>MCF!R75</f>
        <v>1</v>
      </c>
      <c r="R76" s="67">
        <f t="shared" si="13"/>
        <v>0</v>
      </c>
      <c r="S76" s="67">
        <f t="shared" si="7"/>
        <v>0</v>
      </c>
      <c r="T76" s="67">
        <f t="shared" si="8"/>
        <v>0</v>
      </c>
      <c r="U76" s="67">
        <f t="shared" si="9"/>
        <v>0.78823423629306966</v>
      </c>
      <c r="V76" s="67">
        <f t="shared" si="10"/>
        <v>5.7153430875916754E-2</v>
      </c>
      <c r="W76" s="100">
        <f t="shared" si="11"/>
        <v>3.8102287250611169E-2</v>
      </c>
    </row>
    <row r="77" spans="2:23">
      <c r="B77" s="96">
        <f>Amnt_Deposited!B72</f>
        <v>2058</v>
      </c>
      <c r="C77" s="99">
        <f>Amnt_Deposited!D72</f>
        <v>0</v>
      </c>
      <c r="D77" s="418">
        <f>Dry_Matter_Content!D64</f>
        <v>0.44</v>
      </c>
      <c r="E77" s="284">
        <f>MCF!R76</f>
        <v>1</v>
      </c>
      <c r="F77" s="67">
        <f t="shared" si="12"/>
        <v>0</v>
      </c>
      <c r="G77" s="67">
        <f t="shared" si="1"/>
        <v>0</v>
      </c>
      <c r="H77" s="67">
        <f t="shared" si="2"/>
        <v>0</v>
      </c>
      <c r="I77" s="67">
        <f t="shared" si="3"/>
        <v>0.35571324959004436</v>
      </c>
      <c r="J77" s="67">
        <f t="shared" si="4"/>
        <v>2.5792120775801265E-2</v>
      </c>
      <c r="K77" s="100">
        <f t="shared" si="6"/>
        <v>1.7194747183867508E-2</v>
      </c>
      <c r="O77" s="96">
        <f>Amnt_Deposited!B72</f>
        <v>2058</v>
      </c>
      <c r="P77" s="99">
        <f>Amnt_Deposited!D72</f>
        <v>0</v>
      </c>
      <c r="Q77" s="284">
        <f>MCF!R76</f>
        <v>1</v>
      </c>
      <c r="R77" s="67">
        <f t="shared" si="13"/>
        <v>0</v>
      </c>
      <c r="S77" s="67">
        <f t="shared" si="7"/>
        <v>0</v>
      </c>
      <c r="T77" s="67">
        <f t="shared" si="8"/>
        <v>0</v>
      </c>
      <c r="U77" s="67">
        <f t="shared" si="9"/>
        <v>0.73494473055794307</v>
      </c>
      <c r="V77" s="67">
        <f t="shared" si="10"/>
        <v>5.3289505735126592E-2</v>
      </c>
      <c r="W77" s="100">
        <f t="shared" si="11"/>
        <v>3.5526337156751062E-2</v>
      </c>
    </row>
    <row r="78" spans="2:23">
      <c r="B78" s="96">
        <f>Amnt_Deposited!B73</f>
        <v>2059</v>
      </c>
      <c r="C78" s="99">
        <f>Amnt_Deposited!D73</f>
        <v>0</v>
      </c>
      <c r="D78" s="418">
        <f>Dry_Matter_Content!D65</f>
        <v>0.44</v>
      </c>
      <c r="E78" s="284">
        <f>MCF!R77</f>
        <v>1</v>
      </c>
      <c r="F78" s="67">
        <f t="shared" si="12"/>
        <v>0</v>
      </c>
      <c r="G78" s="67">
        <f t="shared" si="1"/>
        <v>0</v>
      </c>
      <c r="H78" s="67">
        <f t="shared" si="2"/>
        <v>0</v>
      </c>
      <c r="I78" s="67">
        <f t="shared" si="3"/>
        <v>0.33166483557641946</v>
      </c>
      <c r="J78" s="67">
        <f t="shared" si="4"/>
        <v>2.4048414013624911E-2</v>
      </c>
      <c r="K78" s="100">
        <f t="shared" si="6"/>
        <v>1.6032276009083274E-2</v>
      </c>
      <c r="O78" s="96">
        <f>Amnt_Deposited!B73</f>
        <v>2059</v>
      </c>
      <c r="P78" s="99">
        <f>Amnt_Deposited!D73</f>
        <v>0</v>
      </c>
      <c r="Q78" s="284">
        <f>MCF!R77</f>
        <v>1</v>
      </c>
      <c r="R78" s="67">
        <f t="shared" si="13"/>
        <v>0</v>
      </c>
      <c r="S78" s="67">
        <f t="shared" si="7"/>
        <v>0</v>
      </c>
      <c r="T78" s="67">
        <f t="shared" si="8"/>
        <v>0</v>
      </c>
      <c r="U78" s="67">
        <f t="shared" si="9"/>
        <v>0.6852579247446684</v>
      </c>
      <c r="V78" s="67">
        <f t="shared" si="10"/>
        <v>4.9686805813274622E-2</v>
      </c>
      <c r="W78" s="100">
        <f t="shared" si="11"/>
        <v>3.3124537208849746E-2</v>
      </c>
    </row>
    <row r="79" spans="2:23">
      <c r="B79" s="96">
        <f>Amnt_Deposited!B74</f>
        <v>2060</v>
      </c>
      <c r="C79" s="99">
        <f>Amnt_Deposited!D74</f>
        <v>0</v>
      </c>
      <c r="D79" s="418">
        <f>Dry_Matter_Content!D66</f>
        <v>0.44</v>
      </c>
      <c r="E79" s="284">
        <f>MCF!R78</f>
        <v>1</v>
      </c>
      <c r="F79" s="67">
        <f t="shared" si="12"/>
        <v>0</v>
      </c>
      <c r="G79" s="67">
        <f t="shared" si="1"/>
        <v>0</v>
      </c>
      <c r="H79" s="67">
        <f t="shared" si="2"/>
        <v>0</v>
      </c>
      <c r="I79" s="67">
        <f t="shared" si="3"/>
        <v>0.30924224297157599</v>
      </c>
      <c r="J79" s="67">
        <f t="shared" si="4"/>
        <v>2.2422592604843469E-2</v>
      </c>
      <c r="K79" s="100">
        <f t="shared" si="6"/>
        <v>1.4948395069895645E-2</v>
      </c>
      <c r="O79" s="96">
        <f>Amnt_Deposited!B74</f>
        <v>2060</v>
      </c>
      <c r="P79" s="99">
        <f>Amnt_Deposited!D74</f>
        <v>0</v>
      </c>
      <c r="Q79" s="284">
        <f>MCF!R78</f>
        <v>1</v>
      </c>
      <c r="R79" s="67">
        <f t="shared" si="13"/>
        <v>0</v>
      </c>
      <c r="S79" s="67">
        <f t="shared" si="7"/>
        <v>0</v>
      </c>
      <c r="T79" s="67">
        <f t="shared" si="8"/>
        <v>0</v>
      </c>
      <c r="U79" s="67">
        <f t="shared" si="9"/>
        <v>0.63893025407350423</v>
      </c>
      <c r="V79" s="67">
        <f t="shared" si="10"/>
        <v>4.6327670671164195E-2</v>
      </c>
      <c r="W79" s="100">
        <f t="shared" si="11"/>
        <v>3.088511378077613E-2</v>
      </c>
    </row>
    <row r="80" spans="2:23">
      <c r="B80" s="96">
        <f>Amnt_Deposited!B75</f>
        <v>2061</v>
      </c>
      <c r="C80" s="99">
        <f>Amnt_Deposited!D75</f>
        <v>0</v>
      </c>
      <c r="D80" s="418">
        <f>Dry_Matter_Content!D67</f>
        <v>0.44</v>
      </c>
      <c r="E80" s="284">
        <f>MCF!R79</f>
        <v>1</v>
      </c>
      <c r="F80" s="67">
        <f t="shared" si="12"/>
        <v>0</v>
      </c>
      <c r="G80" s="67">
        <f t="shared" si="1"/>
        <v>0</v>
      </c>
      <c r="H80" s="67">
        <f t="shared" si="2"/>
        <v>0</v>
      </c>
      <c r="I80" s="67">
        <f t="shared" si="3"/>
        <v>0.28833555620055112</v>
      </c>
      <c r="J80" s="67">
        <f t="shared" si="4"/>
        <v>2.090668677102487E-2</v>
      </c>
      <c r="K80" s="100">
        <f t="shared" si="6"/>
        <v>1.3937791180683246E-2</v>
      </c>
      <c r="O80" s="96">
        <f>Amnt_Deposited!B75</f>
        <v>2061</v>
      </c>
      <c r="P80" s="99">
        <f>Amnt_Deposited!D75</f>
        <v>0</v>
      </c>
      <c r="Q80" s="284">
        <f>MCF!R79</f>
        <v>1</v>
      </c>
      <c r="R80" s="67">
        <f t="shared" si="13"/>
        <v>0</v>
      </c>
      <c r="S80" s="67">
        <f t="shared" si="7"/>
        <v>0</v>
      </c>
      <c r="T80" s="67">
        <f t="shared" si="8"/>
        <v>0</v>
      </c>
      <c r="U80" s="67">
        <f t="shared" si="9"/>
        <v>0.59573462024907264</v>
      </c>
      <c r="V80" s="67">
        <f t="shared" si="10"/>
        <v>4.3195633824431555E-2</v>
      </c>
      <c r="W80" s="100">
        <f t="shared" si="11"/>
        <v>2.8797089216287701E-2</v>
      </c>
    </row>
    <row r="81" spans="2:23">
      <c r="B81" s="96">
        <f>Amnt_Deposited!B76</f>
        <v>2062</v>
      </c>
      <c r="C81" s="99">
        <f>Amnt_Deposited!D76</f>
        <v>0</v>
      </c>
      <c r="D81" s="418">
        <f>Dry_Matter_Content!D68</f>
        <v>0.44</v>
      </c>
      <c r="E81" s="284">
        <f>MCF!R80</f>
        <v>1</v>
      </c>
      <c r="F81" s="67">
        <f t="shared" si="12"/>
        <v>0</v>
      </c>
      <c r="G81" s="67">
        <f t="shared" si="1"/>
        <v>0</v>
      </c>
      <c r="H81" s="67">
        <f t="shared" si="2"/>
        <v>0</v>
      </c>
      <c r="I81" s="67">
        <f t="shared" si="3"/>
        <v>0.26884229066053811</v>
      </c>
      <c r="J81" s="67">
        <f t="shared" si="4"/>
        <v>1.9493265540013033E-2</v>
      </c>
      <c r="K81" s="100">
        <f t="shared" si="6"/>
        <v>1.2995510360008688E-2</v>
      </c>
      <c r="O81" s="96">
        <f>Amnt_Deposited!B76</f>
        <v>2062</v>
      </c>
      <c r="P81" s="99">
        <f>Amnt_Deposited!D76</f>
        <v>0</v>
      </c>
      <c r="Q81" s="284">
        <f>MCF!R80</f>
        <v>1</v>
      </c>
      <c r="R81" s="67">
        <f t="shared" si="13"/>
        <v>0</v>
      </c>
      <c r="S81" s="67">
        <f t="shared" si="7"/>
        <v>0</v>
      </c>
      <c r="T81" s="67">
        <f t="shared" si="8"/>
        <v>0</v>
      </c>
      <c r="U81" s="67">
        <f t="shared" si="9"/>
        <v>0.55545927822425234</v>
      </c>
      <c r="V81" s="67">
        <f t="shared" si="10"/>
        <v>4.0275342024820318E-2</v>
      </c>
      <c r="W81" s="100">
        <f t="shared" si="11"/>
        <v>2.6850228016546879E-2</v>
      </c>
    </row>
    <row r="82" spans="2:23">
      <c r="B82" s="96">
        <f>Amnt_Deposited!B77</f>
        <v>2063</v>
      </c>
      <c r="C82" s="99">
        <f>Amnt_Deposited!D77</f>
        <v>0</v>
      </c>
      <c r="D82" s="418">
        <f>Dry_Matter_Content!D69</f>
        <v>0.44</v>
      </c>
      <c r="E82" s="284">
        <f>MCF!R81</f>
        <v>1</v>
      </c>
      <c r="F82" s="67">
        <f t="shared" si="12"/>
        <v>0</v>
      </c>
      <c r="G82" s="67">
        <f t="shared" si="1"/>
        <v>0</v>
      </c>
      <c r="H82" s="67">
        <f t="shared" si="2"/>
        <v>0</v>
      </c>
      <c r="I82" s="67">
        <f t="shared" si="3"/>
        <v>0.25066689034124434</v>
      </c>
      <c r="J82" s="67">
        <f t="shared" si="4"/>
        <v>1.8175400319293739E-2</v>
      </c>
      <c r="K82" s="100">
        <f t="shared" si="6"/>
        <v>1.2116933546195825E-2</v>
      </c>
      <c r="O82" s="96">
        <f>Amnt_Deposited!B77</f>
        <v>2063</v>
      </c>
      <c r="P82" s="99">
        <f>Amnt_Deposited!D77</f>
        <v>0</v>
      </c>
      <c r="Q82" s="284">
        <f>MCF!R81</f>
        <v>1</v>
      </c>
      <c r="R82" s="67">
        <f t="shared" si="13"/>
        <v>0</v>
      </c>
      <c r="S82" s="67">
        <f t="shared" si="7"/>
        <v>0</v>
      </c>
      <c r="T82" s="67">
        <f t="shared" si="8"/>
        <v>0</v>
      </c>
      <c r="U82" s="67">
        <f t="shared" si="9"/>
        <v>0.51790679822571151</v>
      </c>
      <c r="V82" s="67">
        <f t="shared" si="10"/>
        <v>3.7552479998540791E-2</v>
      </c>
      <c r="W82" s="100">
        <f t="shared" si="11"/>
        <v>2.503498666569386E-2</v>
      </c>
    </row>
    <row r="83" spans="2:23">
      <c r="B83" s="96">
        <f>Amnt_Deposited!B78</f>
        <v>2064</v>
      </c>
      <c r="C83" s="99">
        <f>Amnt_Deposited!D78</f>
        <v>0</v>
      </c>
      <c r="D83" s="418">
        <f>Dry_Matter_Content!D70</f>
        <v>0.44</v>
      </c>
      <c r="E83" s="284">
        <f>MCF!R82</f>
        <v>1</v>
      </c>
      <c r="F83" s="67">
        <f t="shared" ref="F83:F99" si="14">C83*D83*$K$6*DOCF*E83</f>
        <v>0</v>
      </c>
      <c r="G83" s="67">
        <f t="shared" ref="G83:G99" si="15">F83*$K$12</f>
        <v>0</v>
      </c>
      <c r="H83" s="67">
        <f t="shared" ref="H83:H99" si="16">F83*(1-$K$12)</f>
        <v>0</v>
      </c>
      <c r="I83" s="67">
        <f t="shared" ref="I83:I99" si="17">G83+I82*$K$10</f>
        <v>0.23372025940921826</v>
      </c>
      <c r="J83" s="67">
        <f t="shared" ref="J83:J99" si="18">I82*(1-$K$10)+H83</f>
        <v>1.6946630932026079E-2</v>
      </c>
      <c r="K83" s="100">
        <f t="shared" si="6"/>
        <v>1.1297753954684051E-2</v>
      </c>
      <c r="O83" s="96">
        <f>Amnt_Deposited!B78</f>
        <v>2064</v>
      </c>
      <c r="P83" s="99">
        <f>Amnt_Deposited!D78</f>
        <v>0</v>
      </c>
      <c r="Q83" s="284">
        <f>MCF!R82</f>
        <v>1</v>
      </c>
      <c r="R83" s="67">
        <f t="shared" ref="R83:R99" si="19">P83*$W$6*DOCF*Q83</f>
        <v>0</v>
      </c>
      <c r="S83" s="67">
        <f t="shared" si="7"/>
        <v>0</v>
      </c>
      <c r="T83" s="67">
        <f t="shared" si="8"/>
        <v>0</v>
      </c>
      <c r="U83" s="67">
        <f t="shared" si="9"/>
        <v>0.48289309795293034</v>
      </c>
      <c r="V83" s="67">
        <f t="shared" si="10"/>
        <v>3.5013700272781161E-2</v>
      </c>
      <c r="W83" s="100">
        <f t="shared" si="11"/>
        <v>2.3342466848520774E-2</v>
      </c>
    </row>
    <row r="84" spans="2:23">
      <c r="B84" s="96">
        <f>Amnt_Deposited!B79</f>
        <v>2065</v>
      </c>
      <c r="C84" s="99">
        <f>Amnt_Deposited!D79</f>
        <v>0</v>
      </c>
      <c r="D84" s="418">
        <f>Dry_Matter_Content!D71</f>
        <v>0.44</v>
      </c>
      <c r="E84" s="284">
        <f>MCF!R83</f>
        <v>1</v>
      </c>
      <c r="F84" s="67">
        <f t="shared" si="14"/>
        <v>0</v>
      </c>
      <c r="G84" s="67">
        <f t="shared" si="15"/>
        <v>0</v>
      </c>
      <c r="H84" s="67">
        <f t="shared" si="16"/>
        <v>0</v>
      </c>
      <c r="I84" s="67">
        <f t="shared" si="17"/>
        <v>0.21791932545997017</v>
      </c>
      <c r="J84" s="67">
        <f t="shared" si="18"/>
        <v>1.5800933949248096E-2</v>
      </c>
      <c r="K84" s="100">
        <f t="shared" si="6"/>
        <v>1.0533955966165397E-2</v>
      </c>
      <c r="O84" s="96">
        <f>Amnt_Deposited!B79</f>
        <v>2065</v>
      </c>
      <c r="P84" s="99">
        <f>Amnt_Deposited!D79</f>
        <v>0</v>
      </c>
      <c r="Q84" s="284">
        <f>MCF!R83</f>
        <v>1</v>
      </c>
      <c r="R84" s="67">
        <f t="shared" si="19"/>
        <v>0</v>
      </c>
      <c r="S84" s="67">
        <f t="shared" si="7"/>
        <v>0</v>
      </c>
      <c r="T84" s="67">
        <f t="shared" si="8"/>
        <v>0</v>
      </c>
      <c r="U84" s="67">
        <f t="shared" si="9"/>
        <v>0.45024654020654997</v>
      </c>
      <c r="V84" s="67">
        <f t="shared" si="10"/>
        <v>3.2646557746380367E-2</v>
      </c>
      <c r="W84" s="100">
        <f t="shared" si="11"/>
        <v>2.1764371830920243E-2</v>
      </c>
    </row>
    <row r="85" spans="2:23">
      <c r="B85" s="96">
        <f>Amnt_Deposited!B80</f>
        <v>2066</v>
      </c>
      <c r="C85" s="99">
        <f>Amnt_Deposited!D80</f>
        <v>0</v>
      </c>
      <c r="D85" s="418">
        <f>Dry_Matter_Content!D72</f>
        <v>0.44</v>
      </c>
      <c r="E85" s="284">
        <f>MCF!R84</f>
        <v>1</v>
      </c>
      <c r="F85" s="67">
        <f t="shared" si="14"/>
        <v>0</v>
      </c>
      <c r="G85" s="67">
        <f t="shared" si="15"/>
        <v>0</v>
      </c>
      <c r="H85" s="67">
        <f t="shared" si="16"/>
        <v>0</v>
      </c>
      <c r="I85" s="67">
        <f t="shared" si="17"/>
        <v>0.20318663229694917</v>
      </c>
      <c r="J85" s="67">
        <f t="shared" si="18"/>
        <v>1.4732693163021015E-2</v>
      </c>
      <c r="K85" s="100">
        <f t="shared" ref="K85:K99" si="20">J85*CH4_fraction*conv</f>
        <v>9.8217954420140099E-3</v>
      </c>
      <c r="O85" s="96">
        <f>Amnt_Deposited!B80</f>
        <v>2066</v>
      </c>
      <c r="P85" s="99">
        <f>Amnt_Deposited!D80</f>
        <v>0</v>
      </c>
      <c r="Q85" s="284">
        <f>MCF!R84</f>
        <v>1</v>
      </c>
      <c r="R85" s="67">
        <f t="shared" si="19"/>
        <v>0</v>
      </c>
      <c r="S85" s="67">
        <f t="shared" ref="S85:S98" si="21">R85*$W$12</f>
        <v>0</v>
      </c>
      <c r="T85" s="67">
        <f t="shared" ref="T85:T98" si="22">R85*(1-$W$12)</f>
        <v>0</v>
      </c>
      <c r="U85" s="67">
        <f t="shared" ref="U85:U98" si="23">S85+U84*$W$10</f>
        <v>0.41980709152262224</v>
      </c>
      <c r="V85" s="67">
        <f t="shared" ref="V85:V98" si="24">U84*(1-$W$10)+T85</f>
        <v>3.0439448683927717E-2</v>
      </c>
      <c r="W85" s="100">
        <f t="shared" ref="W85:W99" si="25">V85*CH4_fraction*conv</f>
        <v>2.0292965789285144E-2</v>
      </c>
    </row>
    <row r="86" spans="2:23">
      <c r="B86" s="96">
        <f>Amnt_Deposited!B81</f>
        <v>2067</v>
      </c>
      <c r="C86" s="99">
        <f>Amnt_Deposited!D81</f>
        <v>0</v>
      </c>
      <c r="D86" s="418">
        <f>Dry_Matter_Content!D73</f>
        <v>0.44</v>
      </c>
      <c r="E86" s="284">
        <f>MCF!R85</f>
        <v>1</v>
      </c>
      <c r="F86" s="67">
        <f t="shared" si="14"/>
        <v>0</v>
      </c>
      <c r="G86" s="67">
        <f t="shared" si="15"/>
        <v>0</v>
      </c>
      <c r="H86" s="67">
        <f t="shared" si="16"/>
        <v>0</v>
      </c>
      <c r="I86" s="67">
        <f t="shared" si="17"/>
        <v>0.18944996024117775</v>
      </c>
      <c r="J86" s="67">
        <f t="shared" si="18"/>
        <v>1.3736672055771412E-2</v>
      </c>
      <c r="K86" s="100">
        <f t="shared" si="20"/>
        <v>9.157781370514274E-3</v>
      </c>
      <c r="O86" s="96">
        <f>Amnt_Deposited!B81</f>
        <v>2067</v>
      </c>
      <c r="P86" s="99">
        <f>Amnt_Deposited!D81</f>
        <v>0</v>
      </c>
      <c r="Q86" s="284">
        <f>MCF!R85</f>
        <v>1</v>
      </c>
      <c r="R86" s="67">
        <f t="shared" si="19"/>
        <v>0</v>
      </c>
      <c r="S86" s="67">
        <f t="shared" si="21"/>
        <v>0</v>
      </c>
      <c r="T86" s="67">
        <f t="shared" si="22"/>
        <v>0</v>
      </c>
      <c r="U86" s="67">
        <f t="shared" si="23"/>
        <v>0.39142553768838378</v>
      </c>
      <c r="V86" s="67">
        <f t="shared" si="24"/>
        <v>2.8381553834238456E-2</v>
      </c>
      <c r="W86" s="100">
        <f t="shared" si="25"/>
        <v>1.8921035889492302E-2</v>
      </c>
    </row>
    <row r="87" spans="2:23">
      <c r="B87" s="96">
        <f>Amnt_Deposited!B82</f>
        <v>2068</v>
      </c>
      <c r="C87" s="99">
        <f>Amnt_Deposited!D82</f>
        <v>0</v>
      </c>
      <c r="D87" s="418">
        <f>Dry_Matter_Content!D74</f>
        <v>0.44</v>
      </c>
      <c r="E87" s="284">
        <f>MCF!R86</f>
        <v>1</v>
      </c>
      <c r="F87" s="67">
        <f t="shared" si="14"/>
        <v>0</v>
      </c>
      <c r="G87" s="67">
        <f t="shared" si="15"/>
        <v>0</v>
      </c>
      <c r="H87" s="67">
        <f t="shared" si="16"/>
        <v>0</v>
      </c>
      <c r="I87" s="67">
        <f t="shared" si="17"/>
        <v>0.17664197211030175</v>
      </c>
      <c r="J87" s="67">
        <f t="shared" si="18"/>
        <v>1.2807988130876002E-2</v>
      </c>
      <c r="K87" s="100">
        <f t="shared" si="20"/>
        <v>8.5386587539173341E-3</v>
      </c>
      <c r="O87" s="96">
        <f>Amnt_Deposited!B82</f>
        <v>2068</v>
      </c>
      <c r="P87" s="99">
        <f>Amnt_Deposited!D82</f>
        <v>0</v>
      </c>
      <c r="Q87" s="284">
        <f>MCF!R86</f>
        <v>1</v>
      </c>
      <c r="R87" s="67">
        <f t="shared" si="19"/>
        <v>0</v>
      </c>
      <c r="S87" s="67">
        <f t="shared" si="21"/>
        <v>0</v>
      </c>
      <c r="T87" s="67">
        <f t="shared" si="22"/>
        <v>0</v>
      </c>
      <c r="U87" s="67">
        <f t="shared" si="23"/>
        <v>0.36496275229401187</v>
      </c>
      <c r="V87" s="67">
        <f t="shared" si="24"/>
        <v>2.6462785394371906E-2</v>
      </c>
      <c r="W87" s="100">
        <f t="shared" si="25"/>
        <v>1.764185692958127E-2</v>
      </c>
    </row>
    <row r="88" spans="2:23">
      <c r="B88" s="96">
        <f>Amnt_Deposited!B83</f>
        <v>2069</v>
      </c>
      <c r="C88" s="99">
        <f>Amnt_Deposited!D83</f>
        <v>0</v>
      </c>
      <c r="D88" s="418">
        <f>Dry_Matter_Content!D75</f>
        <v>0.44</v>
      </c>
      <c r="E88" s="284">
        <f>MCF!R87</f>
        <v>1</v>
      </c>
      <c r="F88" s="67">
        <f t="shared" si="14"/>
        <v>0</v>
      </c>
      <c r="G88" s="67">
        <f t="shared" si="15"/>
        <v>0</v>
      </c>
      <c r="H88" s="67">
        <f t="shared" si="16"/>
        <v>0</v>
      </c>
      <c r="I88" s="67">
        <f t="shared" si="17"/>
        <v>0.16469988313164421</v>
      </c>
      <c r="J88" s="67">
        <f t="shared" si="18"/>
        <v>1.1942088978657523E-2</v>
      </c>
      <c r="K88" s="100">
        <f t="shared" si="20"/>
        <v>7.9613926524383476E-3</v>
      </c>
      <c r="O88" s="96">
        <f>Amnt_Deposited!B83</f>
        <v>2069</v>
      </c>
      <c r="P88" s="99">
        <f>Amnt_Deposited!D83</f>
        <v>0</v>
      </c>
      <c r="Q88" s="284">
        <f>MCF!R87</f>
        <v>1</v>
      </c>
      <c r="R88" s="67">
        <f t="shared" si="19"/>
        <v>0</v>
      </c>
      <c r="S88" s="67">
        <f t="shared" si="21"/>
        <v>0</v>
      </c>
      <c r="T88" s="67">
        <f t="shared" si="22"/>
        <v>0</v>
      </c>
      <c r="U88" s="67">
        <f t="shared" si="23"/>
        <v>0.34028901473480211</v>
      </c>
      <c r="V88" s="67">
        <f t="shared" si="24"/>
        <v>2.4673737559209756E-2</v>
      </c>
      <c r="W88" s="100">
        <f t="shared" si="25"/>
        <v>1.6449158372806503E-2</v>
      </c>
    </row>
    <row r="89" spans="2:23">
      <c r="B89" s="96">
        <f>Amnt_Deposited!B84</f>
        <v>2070</v>
      </c>
      <c r="C89" s="99">
        <f>Amnt_Deposited!D84</f>
        <v>0</v>
      </c>
      <c r="D89" s="418">
        <f>Dry_Matter_Content!D76</f>
        <v>0.44</v>
      </c>
      <c r="E89" s="284">
        <f>MCF!R88</f>
        <v>1</v>
      </c>
      <c r="F89" s="67">
        <f t="shared" si="14"/>
        <v>0</v>
      </c>
      <c r="G89" s="67">
        <f t="shared" si="15"/>
        <v>0</v>
      </c>
      <c r="H89" s="67">
        <f t="shared" si="16"/>
        <v>0</v>
      </c>
      <c r="I89" s="67">
        <f t="shared" si="17"/>
        <v>0.153565153171177</v>
      </c>
      <c r="J89" s="67">
        <f t="shared" si="18"/>
        <v>1.113472996046721E-2</v>
      </c>
      <c r="K89" s="100">
        <f t="shared" si="20"/>
        <v>7.42315330697814E-3</v>
      </c>
      <c r="O89" s="96">
        <f>Amnt_Deposited!B84</f>
        <v>2070</v>
      </c>
      <c r="P89" s="99">
        <f>Amnt_Deposited!D84</f>
        <v>0</v>
      </c>
      <c r="Q89" s="284">
        <f>MCF!R88</f>
        <v>1</v>
      </c>
      <c r="R89" s="67">
        <f t="shared" si="19"/>
        <v>0</v>
      </c>
      <c r="S89" s="67">
        <f t="shared" si="21"/>
        <v>0</v>
      </c>
      <c r="T89" s="67">
        <f t="shared" si="22"/>
        <v>0</v>
      </c>
      <c r="U89" s="67">
        <f t="shared" si="23"/>
        <v>0.31728337432061365</v>
      </c>
      <c r="V89" s="67">
        <f t="shared" si="24"/>
        <v>2.3005640414188452E-2</v>
      </c>
      <c r="W89" s="100">
        <f t="shared" si="25"/>
        <v>1.5337093609458967E-2</v>
      </c>
    </row>
    <row r="90" spans="2:23">
      <c r="B90" s="96">
        <f>Amnt_Deposited!B85</f>
        <v>2071</v>
      </c>
      <c r="C90" s="99">
        <f>Amnt_Deposited!D85</f>
        <v>0</v>
      </c>
      <c r="D90" s="418">
        <f>Dry_Matter_Content!D77</f>
        <v>0.44</v>
      </c>
      <c r="E90" s="284">
        <f>MCF!R89</f>
        <v>1</v>
      </c>
      <c r="F90" s="67">
        <f t="shared" si="14"/>
        <v>0</v>
      </c>
      <c r="G90" s="67">
        <f t="shared" si="15"/>
        <v>0</v>
      </c>
      <c r="H90" s="67">
        <f t="shared" si="16"/>
        <v>0</v>
      </c>
      <c r="I90" s="67">
        <f t="shared" si="17"/>
        <v>0.14318319976971577</v>
      </c>
      <c r="J90" s="67">
        <f t="shared" si="18"/>
        <v>1.0381953401461232E-2</v>
      </c>
      <c r="K90" s="100">
        <f t="shared" si="20"/>
        <v>6.9213022676408208E-3</v>
      </c>
      <c r="O90" s="96">
        <f>Amnt_Deposited!B85</f>
        <v>2071</v>
      </c>
      <c r="P90" s="99">
        <f>Amnt_Deposited!D85</f>
        <v>0</v>
      </c>
      <c r="Q90" s="284">
        <f>MCF!R89</f>
        <v>1</v>
      </c>
      <c r="R90" s="67">
        <f t="shared" si="19"/>
        <v>0</v>
      </c>
      <c r="S90" s="67">
        <f t="shared" si="21"/>
        <v>0</v>
      </c>
      <c r="T90" s="67">
        <f t="shared" si="22"/>
        <v>0</v>
      </c>
      <c r="U90" s="67">
        <f t="shared" si="23"/>
        <v>0.2958330573754458</v>
      </c>
      <c r="V90" s="67">
        <f t="shared" si="24"/>
        <v>2.1450316945167833E-2</v>
      </c>
      <c r="W90" s="100">
        <f t="shared" si="25"/>
        <v>1.4300211296778555E-2</v>
      </c>
    </row>
    <row r="91" spans="2:23">
      <c r="B91" s="96">
        <f>Amnt_Deposited!B86</f>
        <v>2072</v>
      </c>
      <c r="C91" s="99">
        <f>Amnt_Deposited!D86</f>
        <v>0</v>
      </c>
      <c r="D91" s="418">
        <f>Dry_Matter_Content!D78</f>
        <v>0.44</v>
      </c>
      <c r="E91" s="284">
        <f>MCF!R90</f>
        <v>1</v>
      </c>
      <c r="F91" s="67">
        <f t="shared" si="14"/>
        <v>0</v>
      </c>
      <c r="G91" s="67">
        <f t="shared" si="15"/>
        <v>0</v>
      </c>
      <c r="H91" s="67">
        <f t="shared" si="16"/>
        <v>0</v>
      </c>
      <c r="I91" s="67">
        <f t="shared" si="17"/>
        <v>0.13350313057964178</v>
      </c>
      <c r="J91" s="67">
        <f t="shared" si="18"/>
        <v>9.6800691900739907E-3</v>
      </c>
      <c r="K91" s="100">
        <f t="shared" si="20"/>
        <v>6.4533794600493272E-3</v>
      </c>
      <c r="O91" s="96">
        <f>Amnt_Deposited!B86</f>
        <v>2072</v>
      </c>
      <c r="P91" s="99">
        <f>Amnt_Deposited!D86</f>
        <v>0</v>
      </c>
      <c r="Q91" s="284">
        <f>MCF!R90</f>
        <v>1</v>
      </c>
      <c r="R91" s="67">
        <f t="shared" si="19"/>
        <v>0</v>
      </c>
      <c r="S91" s="67">
        <f t="shared" si="21"/>
        <v>0</v>
      </c>
      <c r="T91" s="67">
        <f t="shared" si="22"/>
        <v>0</v>
      </c>
      <c r="U91" s="67">
        <f t="shared" si="23"/>
        <v>0.27583291442074748</v>
      </c>
      <c r="V91" s="67">
        <f t="shared" si="24"/>
        <v>2.0000142954698326E-2</v>
      </c>
      <c r="W91" s="100">
        <f t="shared" si="25"/>
        <v>1.333342863646555E-2</v>
      </c>
    </row>
    <row r="92" spans="2:23">
      <c r="B92" s="96">
        <f>Amnt_Deposited!B87</f>
        <v>2073</v>
      </c>
      <c r="C92" s="99">
        <f>Amnt_Deposited!D87</f>
        <v>0</v>
      </c>
      <c r="D92" s="418">
        <f>Dry_Matter_Content!D79</f>
        <v>0.44</v>
      </c>
      <c r="E92" s="284">
        <f>MCF!R91</f>
        <v>1</v>
      </c>
      <c r="F92" s="67">
        <f t="shared" si="14"/>
        <v>0</v>
      </c>
      <c r="G92" s="67">
        <f t="shared" si="15"/>
        <v>0</v>
      </c>
      <c r="H92" s="67">
        <f t="shared" si="16"/>
        <v>0</v>
      </c>
      <c r="I92" s="67">
        <f t="shared" si="17"/>
        <v>0.12447749389055481</v>
      </c>
      <c r="J92" s="67">
        <f t="shared" si="18"/>
        <v>9.0256366890869664E-3</v>
      </c>
      <c r="K92" s="100">
        <f t="shared" si="20"/>
        <v>6.017091126057977E-3</v>
      </c>
      <c r="O92" s="96">
        <f>Amnt_Deposited!B87</f>
        <v>2073</v>
      </c>
      <c r="P92" s="99">
        <f>Amnt_Deposited!D87</f>
        <v>0</v>
      </c>
      <c r="Q92" s="284">
        <f>MCF!R91</f>
        <v>1</v>
      </c>
      <c r="R92" s="67">
        <f t="shared" si="19"/>
        <v>0</v>
      </c>
      <c r="S92" s="67">
        <f t="shared" si="21"/>
        <v>0</v>
      </c>
      <c r="T92" s="67">
        <f t="shared" si="22"/>
        <v>0</v>
      </c>
      <c r="U92" s="67">
        <f t="shared" si="23"/>
        <v>0.25718490473255129</v>
      </c>
      <c r="V92" s="67">
        <f t="shared" si="24"/>
        <v>1.8648009688196212E-2</v>
      </c>
      <c r="W92" s="100">
        <f t="shared" si="25"/>
        <v>1.2432006458797475E-2</v>
      </c>
    </row>
    <row r="93" spans="2:23">
      <c r="B93" s="96">
        <f>Amnt_Deposited!B88</f>
        <v>2074</v>
      </c>
      <c r="C93" s="99">
        <f>Amnt_Deposited!D88</f>
        <v>0</v>
      </c>
      <c r="D93" s="418">
        <f>Dry_Matter_Content!D80</f>
        <v>0.44</v>
      </c>
      <c r="E93" s="284">
        <f>MCF!R92</f>
        <v>1</v>
      </c>
      <c r="F93" s="67">
        <f t="shared" si="14"/>
        <v>0</v>
      </c>
      <c r="G93" s="67">
        <f t="shared" si="15"/>
        <v>0</v>
      </c>
      <c r="H93" s="67">
        <f t="shared" si="16"/>
        <v>0</v>
      </c>
      <c r="I93" s="67">
        <f t="shared" si="17"/>
        <v>0.11606204602093373</v>
      </c>
      <c r="J93" s="67">
        <f t="shared" si="18"/>
        <v>8.4154478696210708E-3</v>
      </c>
      <c r="K93" s="100">
        <f t="shared" si="20"/>
        <v>5.61029857974738E-3</v>
      </c>
      <c r="O93" s="96">
        <f>Amnt_Deposited!B88</f>
        <v>2074</v>
      </c>
      <c r="P93" s="99">
        <f>Amnt_Deposited!D88</f>
        <v>0</v>
      </c>
      <c r="Q93" s="284">
        <f>MCF!R92</f>
        <v>1</v>
      </c>
      <c r="R93" s="67">
        <f t="shared" si="19"/>
        <v>0</v>
      </c>
      <c r="S93" s="67">
        <f t="shared" si="21"/>
        <v>0</v>
      </c>
      <c r="T93" s="67">
        <f t="shared" si="22"/>
        <v>0</v>
      </c>
      <c r="U93" s="67">
        <f t="shared" si="23"/>
        <v>0.23979761574573089</v>
      </c>
      <c r="V93" s="67">
        <f t="shared" si="24"/>
        <v>1.7387288986820397E-2</v>
      </c>
      <c r="W93" s="100">
        <f t="shared" si="25"/>
        <v>1.1591525991213597E-2</v>
      </c>
    </row>
    <row r="94" spans="2:23">
      <c r="B94" s="96">
        <f>Amnt_Deposited!B89</f>
        <v>2075</v>
      </c>
      <c r="C94" s="99">
        <f>Amnt_Deposited!D89</f>
        <v>0</v>
      </c>
      <c r="D94" s="418">
        <f>Dry_Matter_Content!D81</f>
        <v>0.44</v>
      </c>
      <c r="E94" s="284">
        <f>MCF!R93</f>
        <v>1</v>
      </c>
      <c r="F94" s="67">
        <f t="shared" si="14"/>
        <v>0</v>
      </c>
      <c r="G94" s="67">
        <f t="shared" si="15"/>
        <v>0</v>
      </c>
      <c r="H94" s="67">
        <f t="shared" si="16"/>
        <v>0</v>
      </c>
      <c r="I94" s="67">
        <f t="shared" si="17"/>
        <v>0.10821553443555837</v>
      </c>
      <c r="J94" s="67">
        <f t="shared" si="18"/>
        <v>7.846511585375365E-3</v>
      </c>
      <c r="K94" s="100">
        <f t="shared" si="20"/>
        <v>5.2310077235835761E-3</v>
      </c>
      <c r="O94" s="96">
        <f>Amnt_Deposited!B89</f>
        <v>2075</v>
      </c>
      <c r="P94" s="99">
        <f>Amnt_Deposited!D89</f>
        <v>0</v>
      </c>
      <c r="Q94" s="284">
        <f>MCF!R93</f>
        <v>1</v>
      </c>
      <c r="R94" s="67">
        <f t="shared" si="19"/>
        <v>0</v>
      </c>
      <c r="S94" s="67">
        <f t="shared" si="21"/>
        <v>0</v>
      </c>
      <c r="T94" s="67">
        <f t="shared" si="22"/>
        <v>0</v>
      </c>
      <c r="U94" s="67">
        <f t="shared" si="23"/>
        <v>0.22358581494950078</v>
      </c>
      <c r="V94" s="67">
        <f t="shared" si="24"/>
        <v>1.6211800796230098E-2</v>
      </c>
      <c r="W94" s="100">
        <f t="shared" si="25"/>
        <v>1.0807867197486731E-2</v>
      </c>
    </row>
    <row r="95" spans="2:23">
      <c r="B95" s="96">
        <f>Amnt_Deposited!B90</f>
        <v>2076</v>
      </c>
      <c r="C95" s="99">
        <f>Amnt_Deposited!D90</f>
        <v>0</v>
      </c>
      <c r="D95" s="418">
        <f>Dry_Matter_Content!D82</f>
        <v>0.44</v>
      </c>
      <c r="E95" s="284">
        <f>MCF!R94</f>
        <v>1</v>
      </c>
      <c r="F95" s="67">
        <f t="shared" si="14"/>
        <v>0</v>
      </c>
      <c r="G95" s="67">
        <f t="shared" si="15"/>
        <v>0</v>
      </c>
      <c r="H95" s="67">
        <f t="shared" si="16"/>
        <v>0</v>
      </c>
      <c r="I95" s="67">
        <f t="shared" si="17"/>
        <v>0.10089949552553396</v>
      </c>
      <c r="J95" s="67">
        <f t="shared" si="18"/>
        <v>7.3160389100244156E-3</v>
      </c>
      <c r="K95" s="100">
        <f t="shared" si="20"/>
        <v>4.8773592733496098E-3</v>
      </c>
      <c r="O95" s="96">
        <f>Amnt_Deposited!B90</f>
        <v>2076</v>
      </c>
      <c r="P95" s="99">
        <f>Amnt_Deposited!D90</f>
        <v>0</v>
      </c>
      <c r="Q95" s="284">
        <f>MCF!R94</f>
        <v>1</v>
      </c>
      <c r="R95" s="67">
        <f t="shared" si="19"/>
        <v>0</v>
      </c>
      <c r="S95" s="67">
        <f t="shared" si="21"/>
        <v>0</v>
      </c>
      <c r="T95" s="67">
        <f t="shared" si="22"/>
        <v>0</v>
      </c>
      <c r="U95" s="67">
        <f t="shared" si="23"/>
        <v>0.20847003207754949</v>
      </c>
      <c r="V95" s="67">
        <f t="shared" si="24"/>
        <v>1.5115782871951273E-2</v>
      </c>
      <c r="W95" s="100">
        <f t="shared" si="25"/>
        <v>1.0077188581300849E-2</v>
      </c>
    </row>
    <row r="96" spans="2:23">
      <c r="B96" s="96">
        <f>Amnt_Deposited!B91</f>
        <v>2077</v>
      </c>
      <c r="C96" s="99">
        <f>Amnt_Deposited!D91</f>
        <v>0</v>
      </c>
      <c r="D96" s="418">
        <f>Dry_Matter_Content!D83</f>
        <v>0.44</v>
      </c>
      <c r="E96" s="284">
        <f>MCF!R95</f>
        <v>1</v>
      </c>
      <c r="F96" s="67">
        <f t="shared" si="14"/>
        <v>0</v>
      </c>
      <c r="G96" s="67">
        <f t="shared" si="15"/>
        <v>0</v>
      </c>
      <c r="H96" s="67">
        <f t="shared" si="16"/>
        <v>0</v>
      </c>
      <c r="I96" s="67">
        <f t="shared" si="17"/>
        <v>9.4078066059635743E-2</v>
      </c>
      <c r="J96" s="67">
        <f t="shared" si="18"/>
        <v>6.8214294658982154E-3</v>
      </c>
      <c r="K96" s="100">
        <f t="shared" si="20"/>
        <v>4.547619643932143E-3</v>
      </c>
      <c r="O96" s="96">
        <f>Amnt_Deposited!B91</f>
        <v>2077</v>
      </c>
      <c r="P96" s="99">
        <f>Amnt_Deposited!D91</f>
        <v>0</v>
      </c>
      <c r="Q96" s="284">
        <f>MCF!R95</f>
        <v>1</v>
      </c>
      <c r="R96" s="67">
        <f t="shared" si="19"/>
        <v>0</v>
      </c>
      <c r="S96" s="67">
        <f t="shared" si="21"/>
        <v>0</v>
      </c>
      <c r="T96" s="67">
        <f t="shared" si="22"/>
        <v>0</v>
      </c>
      <c r="U96" s="67">
        <f t="shared" si="23"/>
        <v>0.19437616954470194</v>
      </c>
      <c r="V96" s="67">
        <f t="shared" si="24"/>
        <v>1.4093862532847551E-2</v>
      </c>
      <c r="W96" s="100">
        <f t="shared" si="25"/>
        <v>9.3959083552316996E-3</v>
      </c>
    </row>
    <row r="97" spans="2:23">
      <c r="B97" s="96">
        <f>Amnt_Deposited!B92</f>
        <v>2078</v>
      </c>
      <c r="C97" s="99">
        <f>Amnt_Deposited!D92</f>
        <v>0</v>
      </c>
      <c r="D97" s="418">
        <f>Dry_Matter_Content!D84</f>
        <v>0.44</v>
      </c>
      <c r="E97" s="284">
        <f>MCF!R96</f>
        <v>1</v>
      </c>
      <c r="F97" s="67">
        <f t="shared" si="14"/>
        <v>0</v>
      </c>
      <c r="G97" s="67">
        <f t="shared" si="15"/>
        <v>0</v>
      </c>
      <c r="H97" s="67">
        <f t="shared" si="16"/>
        <v>0</v>
      </c>
      <c r="I97" s="67">
        <f t="shared" si="17"/>
        <v>8.7717807382707916E-2</v>
      </c>
      <c r="J97" s="67">
        <f t="shared" si="18"/>
        <v>6.3602586769278295E-3</v>
      </c>
      <c r="K97" s="100">
        <f t="shared" si="20"/>
        <v>4.2401724512852196E-3</v>
      </c>
      <c r="O97" s="96">
        <f>Amnt_Deposited!B92</f>
        <v>2078</v>
      </c>
      <c r="P97" s="99">
        <f>Amnt_Deposited!D92</f>
        <v>0</v>
      </c>
      <c r="Q97" s="284">
        <f>MCF!R96</f>
        <v>1</v>
      </c>
      <c r="R97" s="67">
        <f t="shared" si="19"/>
        <v>0</v>
      </c>
      <c r="S97" s="67">
        <f t="shared" si="21"/>
        <v>0</v>
      </c>
      <c r="T97" s="67">
        <f t="shared" si="22"/>
        <v>0</v>
      </c>
      <c r="U97" s="67">
        <f t="shared" si="23"/>
        <v>0.18123513922047088</v>
      </c>
      <c r="V97" s="67">
        <f t="shared" si="24"/>
        <v>1.3141030324231051E-2</v>
      </c>
      <c r="W97" s="100">
        <f t="shared" si="25"/>
        <v>8.7606868828207004E-3</v>
      </c>
    </row>
    <row r="98" spans="2:23">
      <c r="B98" s="96">
        <f>Amnt_Deposited!B93</f>
        <v>2079</v>
      </c>
      <c r="C98" s="99">
        <f>Amnt_Deposited!D93</f>
        <v>0</v>
      </c>
      <c r="D98" s="418">
        <f>Dry_Matter_Content!D85</f>
        <v>0.44</v>
      </c>
      <c r="E98" s="284">
        <f>MCF!R97</f>
        <v>1</v>
      </c>
      <c r="F98" s="67">
        <f t="shared" si="14"/>
        <v>0</v>
      </c>
      <c r="G98" s="67">
        <f t="shared" si="15"/>
        <v>0</v>
      </c>
      <c r="H98" s="67">
        <f t="shared" si="16"/>
        <v>0</v>
      </c>
      <c r="I98" s="67">
        <f t="shared" si="17"/>
        <v>8.178754149933723E-2</v>
      </c>
      <c r="J98" s="67">
        <f t="shared" si="18"/>
        <v>5.9302658833706914E-3</v>
      </c>
      <c r="K98" s="100">
        <f t="shared" si="20"/>
        <v>3.953510588913794E-3</v>
      </c>
      <c r="O98" s="96">
        <f>Amnt_Deposited!B93</f>
        <v>2079</v>
      </c>
      <c r="P98" s="99">
        <f>Amnt_Deposited!D93</f>
        <v>0</v>
      </c>
      <c r="Q98" s="284">
        <f>MCF!R97</f>
        <v>1</v>
      </c>
      <c r="R98" s="67">
        <f t="shared" si="19"/>
        <v>0</v>
      </c>
      <c r="S98" s="67">
        <f t="shared" si="21"/>
        <v>0</v>
      </c>
      <c r="T98" s="67">
        <f t="shared" si="22"/>
        <v>0</v>
      </c>
      <c r="U98" s="67">
        <f t="shared" si="23"/>
        <v>0.1689825237589612</v>
      </c>
      <c r="V98" s="67">
        <f t="shared" si="24"/>
        <v>1.2252615461509691E-2</v>
      </c>
      <c r="W98" s="100">
        <f t="shared" si="25"/>
        <v>8.1684103076731275E-3</v>
      </c>
    </row>
    <row r="99" spans="2:23" ht="13.5" thickBot="1">
      <c r="B99" s="97">
        <f>Amnt_Deposited!B94</f>
        <v>2080</v>
      </c>
      <c r="C99" s="101">
        <f>Amnt_Deposited!D94</f>
        <v>0</v>
      </c>
      <c r="D99" s="419">
        <f>Dry_Matter_Content!D86</f>
        <v>0.44</v>
      </c>
      <c r="E99" s="285">
        <f>MCF!R98</f>
        <v>1</v>
      </c>
      <c r="F99" s="68">
        <f t="shared" si="14"/>
        <v>0</v>
      </c>
      <c r="G99" s="68">
        <f t="shared" si="15"/>
        <v>0</v>
      </c>
      <c r="H99" s="68">
        <f t="shared" si="16"/>
        <v>0</v>
      </c>
      <c r="I99" s="68">
        <f t="shared" si="17"/>
        <v>7.6258198239283301E-2</v>
      </c>
      <c r="J99" s="68">
        <f t="shared" si="18"/>
        <v>5.5293432600539219E-3</v>
      </c>
      <c r="K99" s="102">
        <f t="shared" si="20"/>
        <v>3.6862288400359476E-3</v>
      </c>
      <c r="O99" s="97">
        <f>Amnt_Deposited!B94</f>
        <v>2080</v>
      </c>
      <c r="P99" s="101">
        <f>Amnt_Deposited!D94</f>
        <v>0</v>
      </c>
      <c r="Q99" s="285">
        <f>MCF!R98</f>
        <v>1</v>
      </c>
      <c r="R99" s="68">
        <f t="shared" si="19"/>
        <v>0</v>
      </c>
      <c r="S99" s="68">
        <f>R99*$W$12</f>
        <v>0</v>
      </c>
      <c r="T99" s="68">
        <f>R99*(1-$W$12)</f>
        <v>0</v>
      </c>
      <c r="U99" s="68">
        <f>S99+U98*$W$10</f>
        <v>0.15755826082496549</v>
      </c>
      <c r="V99" s="68">
        <f>U98*(1-$W$10)+T99</f>
        <v>1.1424262933995705E-2</v>
      </c>
      <c r="W99" s="102">
        <f t="shared" si="25"/>
        <v>7.6161752893304695E-3</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Parameters!O21</f>
        <v>0.6</v>
      </c>
      <c r="O6" s="230"/>
      <c r="P6" s="231"/>
      <c r="Q6" s="222"/>
      <c r="R6" s="108" t="s">
        <v>9</v>
      </c>
      <c r="S6" s="109"/>
      <c r="T6" s="109"/>
      <c r="U6" s="113"/>
      <c r="V6" s="120" t="s">
        <v>9</v>
      </c>
      <c r="W6" s="261">
        <f>Parameters!R21</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Parameters!O40</f>
        <v>0.17</v>
      </c>
      <c r="O8" s="47"/>
      <c r="P8" s="47"/>
      <c r="Q8" s="222"/>
      <c r="R8" s="108" t="s">
        <v>192</v>
      </c>
      <c r="S8" s="109"/>
      <c r="T8" s="109"/>
      <c r="U8" s="113"/>
      <c r="V8" s="120" t="s">
        <v>188</v>
      </c>
      <c r="W8" s="114">
        <f>Parameters!O40</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Amnt_Deposited!D14</f>
        <v>1.053706086444</v>
      </c>
      <c r="D19" s="416">
        <f>Dry_Matter_Content!E6</f>
        <v>0.44</v>
      </c>
      <c r="E19" s="283">
        <f>MCF!R18</f>
        <v>1</v>
      </c>
      <c r="F19" s="130">
        <f t="shared" ref="F19:F82" si="0">C19*D19*$K$6*DOCF*E19</f>
        <v>0.13908920341060799</v>
      </c>
      <c r="G19" s="65">
        <f t="shared" ref="G19:G82" si="1">F19*$K$12</f>
        <v>0.13908920341060799</v>
      </c>
      <c r="H19" s="65">
        <f t="shared" ref="H19:H82" si="2">F19*(1-$K$12)</f>
        <v>0</v>
      </c>
      <c r="I19" s="65">
        <f t="shared" ref="I19:I82" si="3">G19+I18*$K$10</f>
        <v>0.13908920341060799</v>
      </c>
      <c r="J19" s="65">
        <f t="shared" ref="J19:J82" si="4">I18*(1-$K$10)+H19</f>
        <v>0</v>
      </c>
      <c r="K19" s="66">
        <f>J19*CH4_fraction*conv</f>
        <v>0</v>
      </c>
      <c r="O19" s="95">
        <f>Amnt_Deposited!B14</f>
        <v>2000</v>
      </c>
      <c r="P19" s="98">
        <f>Amnt_Deposited!E14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Amnt_Deposited!D15</f>
        <v>1.1121605881319998</v>
      </c>
      <c r="D20" s="418">
        <f>Dry_Matter_Content!E7</f>
        <v>0.44</v>
      </c>
      <c r="E20" s="284">
        <f>MCF!R19</f>
        <v>1</v>
      </c>
      <c r="F20" s="67">
        <f t="shared" si="0"/>
        <v>0.14680519763342398</v>
      </c>
      <c r="G20" s="67">
        <f t="shared" si="1"/>
        <v>0.14680519763342398</v>
      </c>
      <c r="H20" s="67">
        <f t="shared" si="2"/>
        <v>0</v>
      </c>
      <c r="I20" s="67">
        <f t="shared" si="3"/>
        <v>0.26414986491937165</v>
      </c>
      <c r="J20" s="67">
        <f t="shared" si="4"/>
        <v>2.1744536124660294E-2</v>
      </c>
      <c r="K20" s="100">
        <f>J20*CH4_fraction*conv</f>
        <v>1.4496357416440196E-2</v>
      </c>
      <c r="M20" s="393"/>
      <c r="O20" s="96">
        <f>Amnt_Deposited!B15</f>
        <v>2001</v>
      </c>
      <c r="P20" s="99">
        <f>Amnt_Deposited!E15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Amnt_Deposited!D16</f>
        <v>1.1750826069839999</v>
      </c>
      <c r="D21" s="418">
        <f>Dry_Matter_Content!E8</f>
        <v>0.44</v>
      </c>
      <c r="E21" s="284">
        <f>MCF!R20</f>
        <v>1</v>
      </c>
      <c r="F21" s="67">
        <f t="shared" si="0"/>
        <v>0.15511090412188799</v>
      </c>
      <c r="G21" s="67">
        <f t="shared" si="1"/>
        <v>0.15511090412188799</v>
      </c>
      <c r="H21" s="67">
        <f t="shared" si="2"/>
        <v>0</v>
      </c>
      <c r="I21" s="67">
        <f t="shared" si="3"/>
        <v>0.3779648514630492</v>
      </c>
      <c r="J21" s="67">
        <f t="shared" si="4"/>
        <v>4.1295917578210439E-2</v>
      </c>
      <c r="K21" s="100">
        <f t="shared" ref="K21:K84" si="6">J21*CH4_fraction*conv</f>
        <v>2.7530611718806958E-2</v>
      </c>
      <c r="O21" s="96">
        <f>Amnt_Deposited!B16</f>
        <v>2002</v>
      </c>
      <c r="P21" s="99">
        <f>Amnt_Deposited!E16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Amnt_Deposited!D17</f>
        <v>1.1965948683480001</v>
      </c>
      <c r="D22" s="418">
        <f>Dry_Matter_Content!E9</f>
        <v>0.44</v>
      </c>
      <c r="E22" s="284">
        <f>MCF!R21</f>
        <v>1</v>
      </c>
      <c r="F22" s="67">
        <f t="shared" si="0"/>
        <v>0.15795052262193601</v>
      </c>
      <c r="G22" s="67">
        <f t="shared" si="1"/>
        <v>0.15795052262193601</v>
      </c>
      <c r="H22" s="67">
        <f t="shared" si="2"/>
        <v>0</v>
      </c>
      <c r="I22" s="67">
        <f t="shared" si="3"/>
        <v>0.4768261697113888</v>
      </c>
      <c r="J22" s="67">
        <f t="shared" si="4"/>
        <v>5.9089204373596389E-2</v>
      </c>
      <c r="K22" s="100">
        <f t="shared" si="6"/>
        <v>3.9392802915730926E-2</v>
      </c>
      <c r="N22" s="258"/>
      <c r="O22" s="96">
        <f>Amnt_Deposited!B17</f>
        <v>2003</v>
      </c>
      <c r="P22" s="99">
        <f>Amnt_Deposited!E17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Amnt_Deposited!D18</f>
        <v>1.2624862610580001</v>
      </c>
      <c r="D23" s="418">
        <f>Dry_Matter_Content!E10</f>
        <v>0.44</v>
      </c>
      <c r="E23" s="284">
        <f>MCF!R22</f>
        <v>1</v>
      </c>
      <c r="F23" s="67">
        <f t="shared" si="0"/>
        <v>0.16664818645965598</v>
      </c>
      <c r="G23" s="67">
        <f t="shared" si="1"/>
        <v>0.16664818645965598</v>
      </c>
      <c r="H23" s="67">
        <f t="shared" si="2"/>
        <v>0</v>
      </c>
      <c r="I23" s="67">
        <f t="shared" si="3"/>
        <v>0.56892964947757096</v>
      </c>
      <c r="J23" s="67">
        <f t="shared" si="4"/>
        <v>7.4544706693473836E-2</v>
      </c>
      <c r="K23" s="100">
        <f t="shared" si="6"/>
        <v>4.9696471128982553E-2</v>
      </c>
      <c r="N23" s="258"/>
      <c r="O23" s="96">
        <f>Amnt_Deposited!B18</f>
        <v>2004</v>
      </c>
      <c r="P23" s="99">
        <f>Amnt_Deposited!E18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Amnt_Deposited!D19</f>
        <v>1.353280922136</v>
      </c>
      <c r="D24" s="418">
        <f>Dry_Matter_Content!E11</f>
        <v>0.44</v>
      </c>
      <c r="E24" s="284">
        <f>MCF!R23</f>
        <v>1</v>
      </c>
      <c r="F24" s="67">
        <f t="shared" si="0"/>
        <v>0.178633081721952</v>
      </c>
      <c r="G24" s="67">
        <f t="shared" si="1"/>
        <v>0.178633081721952</v>
      </c>
      <c r="H24" s="67">
        <f t="shared" si="2"/>
        <v>0</v>
      </c>
      <c r="I24" s="67">
        <f t="shared" si="3"/>
        <v>0.65861901010469182</v>
      </c>
      <c r="J24" s="67">
        <f t="shared" si="4"/>
        <v>8.8943721094831188E-2</v>
      </c>
      <c r="K24" s="100">
        <f t="shared" si="6"/>
        <v>5.9295814063220792E-2</v>
      </c>
      <c r="N24" s="258"/>
      <c r="O24" s="96">
        <f>Amnt_Deposited!B19</f>
        <v>2005</v>
      </c>
      <c r="P24" s="99">
        <f>Amnt_Deposited!E19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Amnt_Deposited!D20</f>
        <v>1.4083533877379999</v>
      </c>
      <c r="D25" s="418">
        <f>Dry_Matter_Content!E12</f>
        <v>0.44</v>
      </c>
      <c r="E25" s="284">
        <f>MCF!R24</f>
        <v>1</v>
      </c>
      <c r="F25" s="67">
        <f t="shared" si="0"/>
        <v>0.18590264718141597</v>
      </c>
      <c r="G25" s="67">
        <f t="shared" si="1"/>
        <v>0.18590264718141597</v>
      </c>
      <c r="H25" s="67">
        <f t="shared" si="2"/>
        <v>0</v>
      </c>
      <c r="I25" s="67">
        <f t="shared" si="3"/>
        <v>0.74155633354828265</v>
      </c>
      <c r="J25" s="67">
        <f t="shared" si="4"/>
        <v>0.10296532373782522</v>
      </c>
      <c r="K25" s="100">
        <f t="shared" si="6"/>
        <v>6.8643549158550143E-2</v>
      </c>
      <c r="N25" s="258"/>
      <c r="O25" s="96">
        <f>Amnt_Deposited!B20</f>
        <v>2006</v>
      </c>
      <c r="P25" s="99">
        <f>Amnt_Deposited!E20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Amnt_Deposited!D21</f>
        <v>1.4650316476620002</v>
      </c>
      <c r="D26" s="418">
        <f>Dry_Matter_Content!E13</f>
        <v>0.44</v>
      </c>
      <c r="E26" s="284">
        <f>MCF!R25</f>
        <v>1</v>
      </c>
      <c r="F26" s="67">
        <f t="shared" si="0"/>
        <v>0.19338417749138404</v>
      </c>
      <c r="G26" s="67">
        <f t="shared" si="1"/>
        <v>0.19338417749138404</v>
      </c>
      <c r="H26" s="67">
        <f t="shared" si="2"/>
        <v>0</v>
      </c>
      <c r="I26" s="67">
        <f t="shared" si="3"/>
        <v>0.8190091656302827</v>
      </c>
      <c r="J26" s="67">
        <f t="shared" si="4"/>
        <v>0.11593134540938403</v>
      </c>
      <c r="K26" s="100">
        <f t="shared" si="6"/>
        <v>7.7287563606256021E-2</v>
      </c>
      <c r="N26" s="258"/>
      <c r="O26" s="96">
        <f>Amnt_Deposited!B21</f>
        <v>2007</v>
      </c>
      <c r="P26" s="99">
        <f>Amnt_Deposited!E21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Amnt_Deposited!D22</f>
        <v>1.5231990799739998</v>
      </c>
      <c r="D27" s="418">
        <f>Dry_Matter_Content!E14</f>
        <v>0.44</v>
      </c>
      <c r="E27" s="284">
        <f>MCF!R26</f>
        <v>1</v>
      </c>
      <c r="F27" s="67">
        <f t="shared" si="0"/>
        <v>0.20106227855656797</v>
      </c>
      <c r="G27" s="67">
        <f t="shared" si="1"/>
        <v>0.20106227855656797</v>
      </c>
      <c r="H27" s="67">
        <f t="shared" si="2"/>
        <v>0</v>
      </c>
      <c r="I27" s="67">
        <f t="shared" si="3"/>
        <v>0.89203149606879772</v>
      </c>
      <c r="J27" s="67">
        <f t="shared" si="4"/>
        <v>0.128039948118053</v>
      </c>
      <c r="K27" s="100">
        <f t="shared" si="6"/>
        <v>8.5359965412035332E-2</v>
      </c>
      <c r="N27" s="258"/>
      <c r="O27" s="96">
        <f>Amnt_Deposited!B22</f>
        <v>2008</v>
      </c>
      <c r="P27" s="99">
        <f>Amnt_Deposited!E22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Amnt_Deposited!D23</f>
        <v>1.5826672953960002</v>
      </c>
      <c r="D28" s="418">
        <f>Dry_Matter_Content!E15</f>
        <v>0.44</v>
      </c>
      <c r="E28" s="284">
        <f>MCF!R27</f>
        <v>1</v>
      </c>
      <c r="F28" s="67">
        <f t="shared" si="0"/>
        <v>0.20891208299227201</v>
      </c>
      <c r="G28" s="67">
        <f t="shared" si="1"/>
        <v>0.20891208299227201</v>
      </c>
      <c r="H28" s="67">
        <f t="shared" si="2"/>
        <v>0</v>
      </c>
      <c r="I28" s="67">
        <f t="shared" si="3"/>
        <v>0.96148767152135206</v>
      </c>
      <c r="J28" s="67">
        <f t="shared" si="4"/>
        <v>0.13945590753971773</v>
      </c>
      <c r="K28" s="100">
        <f t="shared" si="6"/>
        <v>9.2970605026478484E-2</v>
      </c>
      <c r="N28" s="258"/>
      <c r="O28" s="96">
        <f>Amnt_Deposited!B23</f>
        <v>2009</v>
      </c>
      <c r="P28" s="99">
        <f>Amnt_Deposited!E23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Amnt_Deposited!D24</f>
        <v>1.606503024522</v>
      </c>
      <c r="D29" s="418">
        <f>Dry_Matter_Content!E16</f>
        <v>0.44</v>
      </c>
      <c r="E29" s="284">
        <f>MCF!R28</f>
        <v>1</v>
      </c>
      <c r="F29" s="67">
        <f t="shared" si="0"/>
        <v>0.212058399236904</v>
      </c>
      <c r="G29" s="67">
        <f t="shared" si="1"/>
        <v>0.212058399236904</v>
      </c>
      <c r="H29" s="67">
        <f t="shared" si="2"/>
        <v>0</v>
      </c>
      <c r="I29" s="67">
        <f t="shared" si="3"/>
        <v>1.0232317192906495</v>
      </c>
      <c r="J29" s="67">
        <f t="shared" si="4"/>
        <v>0.15031435146760655</v>
      </c>
      <c r="K29" s="100">
        <f t="shared" si="6"/>
        <v>0.10020956764507102</v>
      </c>
      <c r="O29" s="96">
        <f>Amnt_Deposited!B24</f>
        <v>2010</v>
      </c>
      <c r="P29" s="99">
        <f>Amnt_Deposited!E24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Amnt_Deposited!D25</f>
        <v>1.51678650468</v>
      </c>
      <c r="D30" s="418">
        <f>Dry_Matter_Content!E17</f>
        <v>0.44</v>
      </c>
      <c r="E30" s="284">
        <f>MCF!R29</f>
        <v>1</v>
      </c>
      <c r="F30" s="67">
        <f t="shared" si="0"/>
        <v>0.20021581861776</v>
      </c>
      <c r="G30" s="67">
        <f t="shared" si="1"/>
        <v>0.20021581861776</v>
      </c>
      <c r="H30" s="67">
        <f t="shared" si="2"/>
        <v>0</v>
      </c>
      <c r="I30" s="67">
        <f t="shared" si="3"/>
        <v>1.0634804194087082</v>
      </c>
      <c r="J30" s="67">
        <f t="shared" si="4"/>
        <v>0.15996711849970133</v>
      </c>
      <c r="K30" s="100">
        <f t="shared" si="6"/>
        <v>0.10664474566646755</v>
      </c>
      <c r="O30" s="96">
        <f>Amnt_Deposited!B25</f>
        <v>2011</v>
      </c>
      <c r="P30" s="99">
        <f>Amnt_Deposited!E25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Amnt_Deposited!D26</f>
        <v>1.5623750788800004</v>
      </c>
      <c r="D31" s="418">
        <f>Dry_Matter_Content!E18</f>
        <v>0.44</v>
      </c>
      <c r="E31" s="284">
        <f>MCF!R30</f>
        <v>1</v>
      </c>
      <c r="F31" s="67">
        <f t="shared" si="0"/>
        <v>0.20623351041216006</v>
      </c>
      <c r="G31" s="67">
        <f t="shared" si="1"/>
        <v>0.20623351041216006</v>
      </c>
      <c r="H31" s="67">
        <f t="shared" si="2"/>
        <v>0</v>
      </c>
      <c r="I31" s="67">
        <f t="shared" si="3"/>
        <v>1.103454523406453</v>
      </c>
      <c r="J31" s="67">
        <f t="shared" si="4"/>
        <v>0.16625940641441517</v>
      </c>
      <c r="K31" s="100">
        <f t="shared" si="6"/>
        <v>0.11083960427627677</v>
      </c>
      <c r="O31" s="96">
        <f>Amnt_Deposited!B26</f>
        <v>2012</v>
      </c>
      <c r="P31" s="99">
        <f>Amnt_Deposited!E26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Amnt_Deposited!D27</f>
        <v>1.6097741474400002</v>
      </c>
      <c r="D32" s="418">
        <f>Dry_Matter_Content!E19</f>
        <v>0.44</v>
      </c>
      <c r="E32" s="284">
        <f>MCF!R31</f>
        <v>1</v>
      </c>
      <c r="F32" s="67">
        <f t="shared" si="0"/>
        <v>0.21249018746208004</v>
      </c>
      <c r="G32" s="67">
        <f t="shared" si="1"/>
        <v>0.21249018746208004</v>
      </c>
      <c r="H32" s="67">
        <f t="shared" si="2"/>
        <v>0</v>
      </c>
      <c r="I32" s="67">
        <f t="shared" si="3"/>
        <v>1.1434359455742351</v>
      </c>
      <c r="J32" s="67">
        <f t="shared" si="4"/>
        <v>0.17250876529429784</v>
      </c>
      <c r="K32" s="100">
        <f t="shared" si="6"/>
        <v>0.11500584352953189</v>
      </c>
      <c r="O32" s="96">
        <f>Amnt_Deposited!B27</f>
        <v>2013</v>
      </c>
      <c r="P32" s="99">
        <f>Amnt_Deposited!E27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Amnt_Deposited!D28</f>
        <v>1.65736078974</v>
      </c>
      <c r="D33" s="418">
        <f>Dry_Matter_Content!E20</f>
        <v>0.44</v>
      </c>
      <c r="E33" s="284">
        <f>MCF!R32</f>
        <v>1</v>
      </c>
      <c r="F33" s="67">
        <f t="shared" si="0"/>
        <v>0.21877162424568</v>
      </c>
      <c r="G33" s="67">
        <f t="shared" si="1"/>
        <v>0.21877162424568</v>
      </c>
      <c r="H33" s="67">
        <f t="shared" si="2"/>
        <v>0</v>
      </c>
      <c r="I33" s="67">
        <f t="shared" si="3"/>
        <v>1.1834483015582797</v>
      </c>
      <c r="J33" s="67">
        <f t="shared" si="4"/>
        <v>0.17875926826163546</v>
      </c>
      <c r="K33" s="100">
        <f t="shared" si="6"/>
        <v>0.11917284550775697</v>
      </c>
      <c r="O33" s="96">
        <f>Amnt_Deposited!B28</f>
        <v>2014</v>
      </c>
      <c r="P33" s="99">
        <f>Amnt_Deposited!E28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Amnt_Deposited!D29</f>
        <v>1.7036017943400001</v>
      </c>
      <c r="D34" s="418">
        <f>Dry_Matter_Content!E21</f>
        <v>0.44</v>
      </c>
      <c r="E34" s="284">
        <f>MCF!R33</f>
        <v>1</v>
      </c>
      <c r="F34" s="67">
        <f t="shared" si="0"/>
        <v>0.22487543685288</v>
      </c>
      <c r="G34" s="67">
        <f t="shared" si="1"/>
        <v>0.22487543685288</v>
      </c>
      <c r="H34" s="67">
        <f t="shared" si="2"/>
        <v>0</v>
      </c>
      <c r="I34" s="67">
        <f t="shared" si="3"/>
        <v>1.2233091311383479</v>
      </c>
      <c r="J34" s="67">
        <f t="shared" si="4"/>
        <v>0.18501460727281185</v>
      </c>
      <c r="K34" s="100">
        <f t="shared" si="6"/>
        <v>0.1233430715152079</v>
      </c>
      <c r="O34" s="96">
        <f>Amnt_Deposited!B29</f>
        <v>2015</v>
      </c>
      <c r="P34" s="99">
        <f>Amnt_Deposited!E29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Amnt_Deposited!D30</f>
        <v>1.7520039746400005</v>
      </c>
      <c r="D35" s="418">
        <f>Dry_Matter_Content!E22</f>
        <v>0.44</v>
      </c>
      <c r="E35" s="284">
        <f>MCF!R34</f>
        <v>1</v>
      </c>
      <c r="F35" s="67">
        <f t="shared" si="0"/>
        <v>0.23126452465248004</v>
      </c>
      <c r="G35" s="67">
        <f t="shared" si="1"/>
        <v>0.23126452465248004</v>
      </c>
      <c r="H35" s="67">
        <f t="shared" si="2"/>
        <v>0</v>
      </c>
      <c r="I35" s="67">
        <f t="shared" si="3"/>
        <v>1.2633273984149958</v>
      </c>
      <c r="J35" s="67">
        <f t="shared" si="4"/>
        <v>0.19124625737583212</v>
      </c>
      <c r="K35" s="100">
        <f t="shared" si="6"/>
        <v>0.12749750491722139</v>
      </c>
      <c r="O35" s="96">
        <f>Amnt_Deposited!B30</f>
        <v>2016</v>
      </c>
      <c r="P35" s="99">
        <f>Amnt_Deposited!E30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Amnt_Deposited!D31</f>
        <v>1.8129344496960003</v>
      </c>
      <c r="D36" s="418">
        <f>Dry_Matter_Content!E23</f>
        <v>0.44</v>
      </c>
      <c r="E36" s="284">
        <f>MCF!R35</f>
        <v>1</v>
      </c>
      <c r="F36" s="67">
        <f t="shared" si="0"/>
        <v>0.23930734735987202</v>
      </c>
      <c r="G36" s="67">
        <f t="shared" si="1"/>
        <v>0.23930734735987202</v>
      </c>
      <c r="H36" s="67">
        <f t="shared" si="2"/>
        <v>0</v>
      </c>
      <c r="I36" s="67">
        <f t="shared" si="3"/>
        <v>1.3051322252448458</v>
      </c>
      <c r="J36" s="67">
        <f t="shared" si="4"/>
        <v>0.19750252053002179</v>
      </c>
      <c r="K36" s="100">
        <f t="shared" si="6"/>
        <v>0.13166834702001451</v>
      </c>
      <c r="O36" s="96">
        <f>Amnt_Deposited!B31</f>
        <v>2017</v>
      </c>
      <c r="P36" s="99">
        <f>Amnt_Deposited!E31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Amnt_Deposited!D32</f>
        <v>1.8627140736779997</v>
      </c>
      <c r="D37" s="418">
        <f>Dry_Matter_Content!E24</f>
        <v>0.44</v>
      </c>
      <c r="E37" s="284">
        <f>MCF!R36</f>
        <v>1</v>
      </c>
      <c r="F37" s="67">
        <f t="shared" si="0"/>
        <v>0.24587825772549596</v>
      </c>
      <c r="G37" s="67">
        <f t="shared" si="1"/>
        <v>0.24587825772549596</v>
      </c>
      <c r="H37" s="67">
        <f t="shared" si="2"/>
        <v>0</v>
      </c>
      <c r="I37" s="67">
        <f t="shared" si="3"/>
        <v>1.3469723971707188</v>
      </c>
      <c r="J37" s="67">
        <f t="shared" si="4"/>
        <v>0.20403808579962282</v>
      </c>
      <c r="K37" s="100">
        <f t="shared" si="6"/>
        <v>0.13602539053308188</v>
      </c>
      <c r="O37" s="96">
        <f>Amnt_Deposited!B32</f>
        <v>2018</v>
      </c>
      <c r="P37" s="99">
        <f>Amnt_Deposited!E32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Amnt_Deposited!D33</f>
        <v>1.9124936976600002</v>
      </c>
      <c r="D38" s="418">
        <f>Dry_Matter_Content!E25</f>
        <v>0.44</v>
      </c>
      <c r="E38" s="284">
        <f>MCF!R37</f>
        <v>1</v>
      </c>
      <c r="F38" s="67">
        <f t="shared" si="0"/>
        <v>0.25244916809112</v>
      </c>
      <c r="G38" s="67">
        <f t="shared" si="1"/>
        <v>0.25244916809112</v>
      </c>
      <c r="H38" s="67">
        <f t="shared" si="2"/>
        <v>0</v>
      </c>
      <c r="I38" s="67">
        <f t="shared" si="3"/>
        <v>1.3888423885105459</v>
      </c>
      <c r="J38" s="67">
        <f t="shared" si="4"/>
        <v>0.21057917675129301</v>
      </c>
      <c r="K38" s="100">
        <f t="shared" si="6"/>
        <v>0.14038611783419533</v>
      </c>
      <c r="O38" s="96">
        <f>Amnt_Deposited!B33</f>
        <v>2019</v>
      </c>
      <c r="P38" s="99">
        <f>Amnt_Deposited!E33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Amnt_Deposited!D34</f>
        <v>1.9622733216419999</v>
      </c>
      <c r="D39" s="418">
        <f>Dry_Matter_Content!E26</f>
        <v>0.44</v>
      </c>
      <c r="E39" s="284">
        <f>MCF!R38</f>
        <v>1</v>
      </c>
      <c r="F39" s="67">
        <f t="shared" si="0"/>
        <v>0.25902007845674396</v>
      </c>
      <c r="G39" s="67">
        <f t="shared" si="1"/>
        <v>0.25902007845674396</v>
      </c>
      <c r="H39" s="67">
        <f t="shared" si="2"/>
        <v>0</v>
      </c>
      <c r="I39" s="67">
        <f t="shared" si="3"/>
        <v>1.4307375374407771</v>
      </c>
      <c r="J39" s="67">
        <f t="shared" si="4"/>
        <v>0.21712492952651272</v>
      </c>
      <c r="K39" s="100">
        <f t="shared" si="6"/>
        <v>0.14474995301767513</v>
      </c>
      <c r="O39" s="96">
        <f>Amnt_Deposited!B34</f>
        <v>2020</v>
      </c>
      <c r="P39" s="99">
        <f>Amnt_Deposited!E34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Amnt_Deposited!D35</f>
        <v>2.0120529456239997</v>
      </c>
      <c r="D40" s="418">
        <f>Dry_Matter_Content!E27</f>
        <v>0.44</v>
      </c>
      <c r="E40" s="284">
        <f>MCF!R39</f>
        <v>1</v>
      </c>
      <c r="F40" s="67">
        <f t="shared" si="0"/>
        <v>0.26559098882236798</v>
      </c>
      <c r="G40" s="67">
        <f t="shared" si="1"/>
        <v>0.26559098882236798</v>
      </c>
      <c r="H40" s="67">
        <f t="shared" si="2"/>
        <v>0</v>
      </c>
      <c r="I40" s="67">
        <f t="shared" si="3"/>
        <v>1.4726539109449028</v>
      </c>
      <c r="J40" s="67">
        <f t="shared" si="4"/>
        <v>0.22367461531824223</v>
      </c>
      <c r="K40" s="100">
        <f t="shared" si="6"/>
        <v>0.14911641021216149</v>
      </c>
      <c r="O40" s="96">
        <f>Amnt_Deposited!B35</f>
        <v>2021</v>
      </c>
      <c r="P40" s="99">
        <f>Amnt_Deposited!E35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Amnt_Deposited!D36</f>
        <v>2.0618325696059996</v>
      </c>
      <c r="D41" s="418">
        <f>Dry_Matter_Content!E28</f>
        <v>0.44</v>
      </c>
      <c r="E41" s="284">
        <f>MCF!R40</f>
        <v>1</v>
      </c>
      <c r="F41" s="67">
        <f t="shared" si="0"/>
        <v>0.27216189918799194</v>
      </c>
      <c r="G41" s="67">
        <f t="shared" si="1"/>
        <v>0.27216189918799194</v>
      </c>
      <c r="H41" s="67">
        <f t="shared" si="2"/>
        <v>0</v>
      </c>
      <c r="I41" s="67">
        <f t="shared" si="3"/>
        <v>1.5145881908752705</v>
      </c>
      <c r="J41" s="67">
        <f t="shared" si="4"/>
        <v>0.23022761925762419</v>
      </c>
      <c r="K41" s="100">
        <f t="shared" si="6"/>
        <v>0.15348507950508278</v>
      </c>
      <c r="O41" s="96">
        <f>Amnt_Deposited!B36</f>
        <v>2022</v>
      </c>
      <c r="P41" s="99">
        <f>Amnt_Deposited!E36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Amnt_Deposited!D37</f>
        <v>2.1116121935879999</v>
      </c>
      <c r="D42" s="418">
        <f>Dry_Matter_Content!E29</f>
        <v>0.44</v>
      </c>
      <c r="E42" s="284">
        <f>MCF!R41</f>
        <v>1</v>
      </c>
      <c r="F42" s="67">
        <f t="shared" si="0"/>
        <v>0.27873280955361601</v>
      </c>
      <c r="G42" s="67">
        <f t="shared" si="1"/>
        <v>0.27873280955361601</v>
      </c>
      <c r="H42" s="67">
        <f t="shared" si="2"/>
        <v>0</v>
      </c>
      <c r="I42" s="67">
        <f t="shared" si="3"/>
        <v>1.5565375778274495</v>
      </c>
      <c r="J42" s="67">
        <f t="shared" si="4"/>
        <v>0.23678342260143681</v>
      </c>
      <c r="K42" s="100">
        <f t="shared" si="6"/>
        <v>0.15785561506762452</v>
      </c>
      <c r="O42" s="96">
        <f>Amnt_Deposited!B37</f>
        <v>2023</v>
      </c>
      <c r="P42" s="99">
        <f>Amnt_Deposited!E37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Amnt_Deposited!D38</f>
        <v>2.1613918175700002</v>
      </c>
      <c r="D43" s="418">
        <f>Dry_Matter_Content!E30</f>
        <v>0.44</v>
      </c>
      <c r="E43" s="284">
        <f>MCF!R42</f>
        <v>1</v>
      </c>
      <c r="F43" s="67">
        <f t="shared" si="0"/>
        <v>0.28530371991924003</v>
      </c>
      <c r="G43" s="67">
        <f t="shared" si="1"/>
        <v>0.28530371991924003</v>
      </c>
      <c r="H43" s="67">
        <f t="shared" si="2"/>
        <v>0</v>
      </c>
      <c r="I43" s="67">
        <f t="shared" si="3"/>
        <v>1.5984997100424145</v>
      </c>
      <c r="J43" s="67">
        <f t="shared" si="4"/>
        <v>0.243341587704275</v>
      </c>
      <c r="K43" s="100">
        <f t="shared" si="6"/>
        <v>0.16222772513618333</v>
      </c>
      <c r="O43" s="96">
        <f>Amnt_Deposited!B38</f>
        <v>2024</v>
      </c>
      <c r="P43" s="99">
        <f>Amnt_Deposited!E38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Amnt_Deposited!D39</f>
        <v>2.2111714415520005</v>
      </c>
      <c r="D44" s="418">
        <f>Dry_Matter_Content!E31</f>
        <v>0.44</v>
      </c>
      <c r="E44" s="284">
        <f>MCF!R43</f>
        <v>1</v>
      </c>
      <c r="F44" s="67">
        <f t="shared" si="0"/>
        <v>0.29187463028486405</v>
      </c>
      <c r="G44" s="67">
        <f t="shared" si="1"/>
        <v>0.29187463028486405</v>
      </c>
      <c r="H44" s="67">
        <f t="shared" si="2"/>
        <v>0</v>
      </c>
      <c r="I44" s="67">
        <f t="shared" si="3"/>
        <v>1.6404725949871701</v>
      </c>
      <c r="J44" s="67">
        <f t="shared" si="4"/>
        <v>0.24990174534010834</v>
      </c>
      <c r="K44" s="100">
        <f t="shared" si="6"/>
        <v>0.16660116356007221</v>
      </c>
      <c r="O44" s="96">
        <f>Amnt_Deposited!B39</f>
        <v>2025</v>
      </c>
      <c r="P44" s="99">
        <f>Amnt_Deposited!E39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Amnt_Deposited!D40</f>
        <v>2.2609510655339999</v>
      </c>
      <c r="D45" s="418">
        <f>Dry_Matter_Content!E32</f>
        <v>0.44</v>
      </c>
      <c r="E45" s="284">
        <f>MCF!R44</f>
        <v>1</v>
      </c>
      <c r="F45" s="67">
        <f t="shared" si="0"/>
        <v>0.29844554065048795</v>
      </c>
      <c r="G45" s="67">
        <f t="shared" si="1"/>
        <v>0.29844554065048795</v>
      </c>
      <c r="H45" s="67">
        <f t="shared" si="2"/>
        <v>0</v>
      </c>
      <c r="I45" s="67">
        <f t="shared" si="3"/>
        <v>1.6824545516317326</v>
      </c>
      <c r="J45" s="67">
        <f t="shared" si="4"/>
        <v>0.25646358400592562</v>
      </c>
      <c r="K45" s="100">
        <f t="shared" si="6"/>
        <v>0.17097572267061706</v>
      </c>
      <c r="O45" s="96">
        <f>Amnt_Deposited!B40</f>
        <v>2026</v>
      </c>
      <c r="P45" s="99">
        <f>Amnt_Deposited!E40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Amnt_Deposited!D41</f>
        <v>2.3107306895159998</v>
      </c>
      <c r="D46" s="418">
        <f>Dry_Matter_Content!E33</f>
        <v>0.44</v>
      </c>
      <c r="E46" s="284">
        <f>MCF!R45</f>
        <v>1</v>
      </c>
      <c r="F46" s="67">
        <f t="shared" si="0"/>
        <v>0.30501645101611191</v>
      </c>
      <c r="G46" s="67">
        <f t="shared" si="1"/>
        <v>0.30501645101611191</v>
      </c>
      <c r="H46" s="67">
        <f t="shared" si="2"/>
        <v>0</v>
      </c>
      <c r="I46" s="67">
        <f t="shared" si="3"/>
        <v>1.7244441617502486</v>
      </c>
      <c r="J46" s="67">
        <f t="shared" si="4"/>
        <v>0.26302684089759593</v>
      </c>
      <c r="K46" s="100">
        <f t="shared" si="6"/>
        <v>0.17535122726506394</v>
      </c>
      <c r="O46" s="96">
        <f>Amnt_Deposited!B41</f>
        <v>2027</v>
      </c>
      <c r="P46" s="99">
        <f>Amnt_Deposited!E41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Amnt_Deposited!D42</f>
        <v>2.3605103134980001</v>
      </c>
      <c r="D47" s="418">
        <f>Dry_Matter_Content!E34</f>
        <v>0.44</v>
      </c>
      <c r="E47" s="284">
        <f>MCF!R46</f>
        <v>1</v>
      </c>
      <c r="F47" s="67">
        <f t="shared" si="0"/>
        <v>0.31158736138173604</v>
      </c>
      <c r="G47" s="67">
        <f t="shared" si="1"/>
        <v>0.31158736138173604</v>
      </c>
      <c r="H47" s="67">
        <f t="shared" si="2"/>
        <v>0</v>
      </c>
      <c r="I47" s="67">
        <f t="shared" si="3"/>
        <v>1.7664402288354641</v>
      </c>
      <c r="J47" s="67">
        <f t="shared" si="4"/>
        <v>0.26959129429652046</v>
      </c>
      <c r="K47" s="100">
        <f t="shared" si="6"/>
        <v>0.17972752953101362</v>
      </c>
      <c r="O47" s="96">
        <f>Amnt_Deposited!B42</f>
        <v>2028</v>
      </c>
      <c r="P47" s="99">
        <f>Amnt_Deposited!E42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Amnt_Deposited!D43</f>
        <v>2.41028993748</v>
      </c>
      <c r="D48" s="418">
        <f>Dry_Matter_Content!E35</f>
        <v>0.44</v>
      </c>
      <c r="E48" s="284">
        <f>MCF!R47</f>
        <v>1</v>
      </c>
      <c r="F48" s="67">
        <f t="shared" si="0"/>
        <v>0.31815827174736</v>
      </c>
      <c r="G48" s="67">
        <f t="shared" si="1"/>
        <v>0.31815827174736</v>
      </c>
      <c r="H48" s="67">
        <f t="shared" si="2"/>
        <v>0</v>
      </c>
      <c r="I48" s="67">
        <f t="shared" si="3"/>
        <v>1.808441743436306</v>
      </c>
      <c r="J48" s="67">
        <f t="shared" si="4"/>
        <v>0.27615675714651822</v>
      </c>
      <c r="K48" s="100">
        <f t="shared" si="6"/>
        <v>0.18410450476434548</v>
      </c>
      <c r="O48" s="96">
        <f>Amnt_Deposited!B43</f>
        <v>2029</v>
      </c>
      <c r="P48" s="99">
        <f>Amnt_Deposited!E43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Amnt_Deposited!D44</f>
        <v>2.4600695614620007</v>
      </c>
      <c r="D49" s="418">
        <f>Dry_Matter_Content!E36</f>
        <v>0.44</v>
      </c>
      <c r="E49" s="284">
        <f>MCF!R48</f>
        <v>1</v>
      </c>
      <c r="F49" s="67">
        <f t="shared" si="0"/>
        <v>0.32472918211298407</v>
      </c>
      <c r="G49" s="67">
        <f t="shared" si="1"/>
        <v>0.32472918211298407</v>
      </c>
      <c r="H49" s="67">
        <f t="shared" si="2"/>
        <v>0</v>
      </c>
      <c r="I49" s="67">
        <f t="shared" si="3"/>
        <v>1.8504478539144196</v>
      </c>
      <c r="J49" s="67">
        <f t="shared" si="4"/>
        <v>0.28272307163487054</v>
      </c>
      <c r="K49" s="100">
        <f t="shared" si="6"/>
        <v>0.18848204775658034</v>
      </c>
      <c r="O49" s="96">
        <f>Amnt_Deposited!B44</f>
        <v>2030</v>
      </c>
      <c r="P49" s="99">
        <f>Amnt_Deposited!E44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Amnt_Deposited!D45</f>
        <v>0</v>
      </c>
      <c r="D50" s="418">
        <f>Dry_Matter_Content!E37</f>
        <v>0.44</v>
      </c>
      <c r="E50" s="284">
        <f>MCF!R49</f>
        <v>1</v>
      </c>
      <c r="F50" s="67">
        <f t="shared" si="0"/>
        <v>0</v>
      </c>
      <c r="G50" s="67">
        <f t="shared" si="1"/>
        <v>0</v>
      </c>
      <c r="H50" s="67">
        <f t="shared" si="2"/>
        <v>0</v>
      </c>
      <c r="I50" s="67">
        <f t="shared" si="3"/>
        <v>1.5611577492938806</v>
      </c>
      <c r="J50" s="67">
        <f t="shared" si="4"/>
        <v>0.28929010462053895</v>
      </c>
      <c r="K50" s="100">
        <f t="shared" si="6"/>
        <v>0.19286006974702596</v>
      </c>
      <c r="O50" s="96">
        <f>Amnt_Deposited!B45</f>
        <v>2031</v>
      </c>
      <c r="P50" s="99">
        <f>Amnt_Deposited!E45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Amnt_Deposited!D46</f>
        <v>0</v>
      </c>
      <c r="D51" s="418">
        <f>Dry_Matter_Content!E38</f>
        <v>0.44</v>
      </c>
      <c r="E51" s="284">
        <f>MCF!R50</f>
        <v>1</v>
      </c>
      <c r="F51" s="67">
        <f t="shared" si="0"/>
        <v>0</v>
      </c>
      <c r="G51" s="67">
        <f t="shared" si="1"/>
        <v>0</v>
      </c>
      <c r="H51" s="67">
        <f t="shared" si="2"/>
        <v>0</v>
      </c>
      <c r="I51" s="67">
        <f t="shared" si="3"/>
        <v>1.317093866236045</v>
      </c>
      <c r="J51" s="67">
        <f t="shared" si="4"/>
        <v>0.24406388305783566</v>
      </c>
      <c r="K51" s="100">
        <f t="shared" si="6"/>
        <v>0.16270925537189043</v>
      </c>
      <c r="O51" s="96">
        <f>Amnt_Deposited!B46</f>
        <v>2032</v>
      </c>
      <c r="P51" s="99">
        <f>Amnt_Deposited!E46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Amnt_Deposited!D47</f>
        <v>0</v>
      </c>
      <c r="D52" s="418">
        <f>Dry_Matter_Content!E39</f>
        <v>0.44</v>
      </c>
      <c r="E52" s="284">
        <f>MCF!R51</f>
        <v>1</v>
      </c>
      <c r="F52" s="67">
        <f t="shared" si="0"/>
        <v>0</v>
      </c>
      <c r="G52" s="67">
        <f t="shared" si="1"/>
        <v>0</v>
      </c>
      <c r="H52" s="67">
        <f t="shared" si="2"/>
        <v>0</v>
      </c>
      <c r="I52" s="67">
        <f t="shared" si="3"/>
        <v>1.1111857550982549</v>
      </c>
      <c r="J52" s="67">
        <f t="shared" si="4"/>
        <v>0.20590811113779015</v>
      </c>
      <c r="K52" s="100">
        <f t="shared" si="6"/>
        <v>0.1372720740918601</v>
      </c>
      <c r="O52" s="96">
        <f>Amnt_Deposited!B47</f>
        <v>2033</v>
      </c>
      <c r="P52" s="99">
        <f>Amnt_Deposited!E47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Amnt_Deposited!D48</f>
        <v>0</v>
      </c>
      <c r="D53" s="418">
        <f>Dry_Matter_Content!E40</f>
        <v>0.44</v>
      </c>
      <c r="E53" s="284">
        <f>MCF!R52</f>
        <v>1</v>
      </c>
      <c r="F53" s="67">
        <f t="shared" si="0"/>
        <v>0</v>
      </c>
      <c r="G53" s="67">
        <f t="shared" si="1"/>
        <v>0</v>
      </c>
      <c r="H53" s="67">
        <f t="shared" si="2"/>
        <v>0</v>
      </c>
      <c r="I53" s="67">
        <f t="shared" si="3"/>
        <v>0.9374683262794834</v>
      </c>
      <c r="J53" s="67">
        <f t="shared" si="4"/>
        <v>0.17371742881877153</v>
      </c>
      <c r="K53" s="100">
        <f t="shared" si="6"/>
        <v>0.11581161921251434</v>
      </c>
      <c r="O53" s="96">
        <f>Amnt_Deposited!B48</f>
        <v>2034</v>
      </c>
      <c r="P53" s="99">
        <f>Amnt_Deposited!E48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Amnt_Deposited!D49</f>
        <v>0</v>
      </c>
      <c r="D54" s="418">
        <f>Dry_Matter_Content!E41</f>
        <v>0.44</v>
      </c>
      <c r="E54" s="284">
        <f>MCF!R53</f>
        <v>1</v>
      </c>
      <c r="F54" s="67">
        <f t="shared" si="0"/>
        <v>0</v>
      </c>
      <c r="G54" s="67">
        <f t="shared" si="1"/>
        <v>0</v>
      </c>
      <c r="H54" s="67">
        <f t="shared" si="2"/>
        <v>0</v>
      </c>
      <c r="I54" s="67">
        <f t="shared" si="3"/>
        <v>0.79090904355549918</v>
      </c>
      <c r="J54" s="67">
        <f t="shared" si="4"/>
        <v>0.14655928272398425</v>
      </c>
      <c r="K54" s="100">
        <f t="shared" si="6"/>
        <v>9.7706188482656164E-2</v>
      </c>
      <c r="O54" s="96">
        <f>Amnt_Deposited!B49</f>
        <v>2035</v>
      </c>
      <c r="P54" s="99">
        <f>Amnt_Deposited!E49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Amnt_Deposited!D50</f>
        <v>0</v>
      </c>
      <c r="D55" s="418">
        <f>Dry_Matter_Content!E42</f>
        <v>0.44</v>
      </c>
      <c r="E55" s="284">
        <f>MCF!R54</f>
        <v>1</v>
      </c>
      <c r="F55" s="67">
        <f t="shared" si="0"/>
        <v>0</v>
      </c>
      <c r="G55" s="67">
        <f t="shared" si="1"/>
        <v>0</v>
      </c>
      <c r="H55" s="67">
        <f t="shared" si="2"/>
        <v>0</v>
      </c>
      <c r="I55" s="67">
        <f t="shared" si="3"/>
        <v>0.66726213317567151</v>
      </c>
      <c r="J55" s="67">
        <f t="shared" si="4"/>
        <v>0.12364691037982771</v>
      </c>
      <c r="K55" s="100">
        <f t="shared" si="6"/>
        <v>8.2431273586551806E-2</v>
      </c>
      <c r="O55" s="96">
        <f>Amnt_Deposited!B50</f>
        <v>2036</v>
      </c>
      <c r="P55" s="99">
        <f>Amnt_Deposited!E50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Amnt_Deposited!D51</f>
        <v>0</v>
      </c>
      <c r="D56" s="418">
        <f>Dry_Matter_Content!E43</f>
        <v>0.44</v>
      </c>
      <c r="E56" s="284">
        <f>MCF!R55</f>
        <v>1</v>
      </c>
      <c r="F56" s="67">
        <f t="shared" si="0"/>
        <v>0</v>
      </c>
      <c r="G56" s="67">
        <f t="shared" si="1"/>
        <v>0</v>
      </c>
      <c r="H56" s="67">
        <f t="shared" si="2"/>
        <v>0</v>
      </c>
      <c r="I56" s="67">
        <f t="shared" si="3"/>
        <v>0.56294558520736471</v>
      </c>
      <c r="J56" s="67">
        <f t="shared" si="4"/>
        <v>0.10431654796830685</v>
      </c>
      <c r="K56" s="100">
        <f t="shared" si="6"/>
        <v>6.9544365312204565E-2</v>
      </c>
      <c r="O56" s="96">
        <f>Amnt_Deposited!B51</f>
        <v>2037</v>
      </c>
      <c r="P56" s="99">
        <f>Amnt_Deposited!E51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Amnt_Deposited!D52</f>
        <v>0</v>
      </c>
      <c r="D57" s="418">
        <f>Dry_Matter_Content!E44</f>
        <v>0.44</v>
      </c>
      <c r="E57" s="284">
        <f>MCF!R56</f>
        <v>1</v>
      </c>
      <c r="F57" s="67">
        <f t="shared" si="0"/>
        <v>0</v>
      </c>
      <c r="G57" s="67">
        <f t="shared" si="1"/>
        <v>0</v>
      </c>
      <c r="H57" s="67">
        <f t="shared" si="2"/>
        <v>0</v>
      </c>
      <c r="I57" s="67">
        <f t="shared" si="3"/>
        <v>0.47493738389771523</v>
      </c>
      <c r="J57" s="67">
        <f t="shared" si="4"/>
        <v>8.8008201309649467E-2</v>
      </c>
      <c r="K57" s="100">
        <f t="shared" si="6"/>
        <v>5.8672134206432976E-2</v>
      </c>
      <c r="O57" s="96">
        <f>Amnt_Deposited!B52</f>
        <v>2038</v>
      </c>
      <c r="P57" s="99">
        <f>Amnt_Deposited!E52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Amnt_Deposited!D53</f>
        <v>0</v>
      </c>
      <c r="D58" s="418">
        <f>Dry_Matter_Content!E45</f>
        <v>0.44</v>
      </c>
      <c r="E58" s="284">
        <f>MCF!R57</f>
        <v>1</v>
      </c>
      <c r="F58" s="67">
        <f t="shared" si="0"/>
        <v>0</v>
      </c>
      <c r="G58" s="67">
        <f t="shared" si="1"/>
        <v>0</v>
      </c>
      <c r="H58" s="67">
        <f t="shared" si="2"/>
        <v>0</v>
      </c>
      <c r="I58" s="67">
        <f t="shared" si="3"/>
        <v>0.40068796088083219</v>
      </c>
      <c r="J58" s="67">
        <f t="shared" si="4"/>
        <v>7.4249423016883032E-2</v>
      </c>
      <c r="K58" s="100">
        <f t="shared" si="6"/>
        <v>4.9499615344588688E-2</v>
      </c>
      <c r="O58" s="96">
        <f>Amnt_Deposited!B53</f>
        <v>2039</v>
      </c>
      <c r="P58" s="99">
        <f>Amnt_Deposited!E53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Amnt_Deposited!D54</f>
        <v>0</v>
      </c>
      <c r="D59" s="418">
        <f>Dry_Matter_Content!E46</f>
        <v>0.44</v>
      </c>
      <c r="E59" s="284">
        <f>MCF!R58</f>
        <v>1</v>
      </c>
      <c r="F59" s="67">
        <f t="shared" si="0"/>
        <v>0</v>
      </c>
      <c r="G59" s="67">
        <f t="shared" si="1"/>
        <v>0</v>
      </c>
      <c r="H59" s="67">
        <f t="shared" si="2"/>
        <v>0</v>
      </c>
      <c r="I59" s="67">
        <f t="shared" si="3"/>
        <v>0.33804633502890624</v>
      </c>
      <c r="J59" s="67">
        <f t="shared" si="4"/>
        <v>6.2641625851925939E-2</v>
      </c>
      <c r="K59" s="100">
        <f t="shared" si="6"/>
        <v>4.1761083901283955E-2</v>
      </c>
      <c r="O59" s="96">
        <f>Amnt_Deposited!B54</f>
        <v>2040</v>
      </c>
      <c r="P59" s="99">
        <f>Amnt_Deposited!E54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Amnt_Deposited!D55</f>
        <v>0</v>
      </c>
      <c r="D60" s="418">
        <f>Dry_Matter_Content!E47</f>
        <v>0.44</v>
      </c>
      <c r="E60" s="284">
        <f>MCF!R59</f>
        <v>1</v>
      </c>
      <c r="F60" s="67">
        <f t="shared" si="0"/>
        <v>0</v>
      </c>
      <c r="G60" s="67">
        <f t="shared" si="1"/>
        <v>0</v>
      </c>
      <c r="H60" s="67">
        <f t="shared" si="2"/>
        <v>0</v>
      </c>
      <c r="I60" s="67">
        <f t="shared" si="3"/>
        <v>0.28519779924324185</v>
      </c>
      <c r="J60" s="67">
        <f t="shared" si="4"/>
        <v>5.2848535785664376E-2</v>
      </c>
      <c r="K60" s="100">
        <f t="shared" si="6"/>
        <v>3.5232357190442917E-2</v>
      </c>
      <c r="O60" s="96">
        <f>Amnt_Deposited!B55</f>
        <v>2041</v>
      </c>
      <c r="P60" s="99">
        <f>Amnt_Deposited!E55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Amnt_Deposited!D56</f>
        <v>0</v>
      </c>
      <c r="D61" s="418">
        <f>Dry_Matter_Content!E48</f>
        <v>0.44</v>
      </c>
      <c r="E61" s="284">
        <f>MCF!R60</f>
        <v>1</v>
      </c>
      <c r="F61" s="67">
        <f t="shared" si="0"/>
        <v>0</v>
      </c>
      <c r="G61" s="67">
        <f t="shared" si="1"/>
        <v>0</v>
      </c>
      <c r="H61" s="67">
        <f t="shared" si="2"/>
        <v>0</v>
      </c>
      <c r="I61" s="67">
        <f t="shared" si="3"/>
        <v>0.2406113489922419</v>
      </c>
      <c r="J61" s="67">
        <f t="shared" si="4"/>
        <v>4.4586450250999957E-2</v>
      </c>
      <c r="K61" s="100">
        <f t="shared" si="6"/>
        <v>2.9724300167333302E-2</v>
      </c>
      <c r="O61" s="96">
        <f>Amnt_Deposited!B56</f>
        <v>2042</v>
      </c>
      <c r="P61" s="99">
        <f>Amnt_Deposited!E56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Amnt_Deposited!D57</f>
        <v>0</v>
      </c>
      <c r="D62" s="418">
        <f>Dry_Matter_Content!E49</f>
        <v>0.44</v>
      </c>
      <c r="E62" s="284">
        <f>MCF!R61</f>
        <v>1</v>
      </c>
      <c r="F62" s="67">
        <f t="shared" si="0"/>
        <v>0</v>
      </c>
      <c r="G62" s="67">
        <f t="shared" si="1"/>
        <v>0</v>
      </c>
      <c r="H62" s="67">
        <f t="shared" si="2"/>
        <v>0</v>
      </c>
      <c r="I62" s="67">
        <f t="shared" si="3"/>
        <v>0.20299532961854824</v>
      </c>
      <c r="J62" s="67">
        <f t="shared" si="4"/>
        <v>3.7616019373693667E-2</v>
      </c>
      <c r="K62" s="100">
        <f t="shared" si="6"/>
        <v>2.507734624912911E-2</v>
      </c>
      <c r="O62" s="96">
        <f>Amnt_Deposited!B57</f>
        <v>2043</v>
      </c>
      <c r="P62" s="99">
        <f>Amnt_Deposited!E57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Amnt_Deposited!D58</f>
        <v>0</v>
      </c>
      <c r="D63" s="418">
        <f>Dry_Matter_Content!E50</f>
        <v>0.44</v>
      </c>
      <c r="E63" s="284">
        <f>MCF!R62</f>
        <v>1</v>
      </c>
      <c r="F63" s="67">
        <f t="shared" si="0"/>
        <v>0</v>
      </c>
      <c r="G63" s="67">
        <f t="shared" si="1"/>
        <v>0</v>
      </c>
      <c r="H63" s="67">
        <f t="shared" si="2"/>
        <v>0</v>
      </c>
      <c r="I63" s="67">
        <f t="shared" si="3"/>
        <v>0.17126001753255496</v>
      </c>
      <c r="J63" s="67">
        <f t="shared" si="4"/>
        <v>3.1735312085993284E-2</v>
      </c>
      <c r="K63" s="100">
        <f t="shared" si="6"/>
        <v>2.1156874723995522E-2</v>
      </c>
      <c r="O63" s="96">
        <f>Amnt_Deposited!B58</f>
        <v>2044</v>
      </c>
      <c r="P63" s="99">
        <f>Amnt_Deposited!E58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Amnt_Deposited!D59</f>
        <v>0</v>
      </c>
      <c r="D64" s="418">
        <f>Dry_Matter_Content!E51</f>
        <v>0.44</v>
      </c>
      <c r="E64" s="284">
        <f>MCF!R63</f>
        <v>1</v>
      </c>
      <c r="F64" s="67">
        <f t="shared" si="0"/>
        <v>0</v>
      </c>
      <c r="G64" s="67">
        <f t="shared" si="1"/>
        <v>0</v>
      </c>
      <c r="H64" s="67">
        <f t="shared" si="2"/>
        <v>0</v>
      </c>
      <c r="I64" s="67">
        <f t="shared" si="3"/>
        <v>0.14448605128189643</v>
      </c>
      <c r="J64" s="67">
        <f t="shared" si="4"/>
        <v>2.6773966250658521E-2</v>
      </c>
      <c r="K64" s="100">
        <f t="shared" si="6"/>
        <v>1.7849310833772346E-2</v>
      </c>
      <c r="O64" s="96">
        <f>Amnt_Deposited!B59</f>
        <v>2045</v>
      </c>
      <c r="P64" s="99">
        <f>Amnt_Deposited!E59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Amnt_Deposited!D60</f>
        <v>0</v>
      </c>
      <c r="D65" s="418">
        <f>Dry_Matter_Content!E52</f>
        <v>0.44</v>
      </c>
      <c r="E65" s="284">
        <f>MCF!R64</f>
        <v>1</v>
      </c>
      <c r="F65" s="67">
        <f t="shared" si="0"/>
        <v>0</v>
      </c>
      <c r="G65" s="67">
        <f t="shared" si="1"/>
        <v>0</v>
      </c>
      <c r="H65" s="67">
        <f t="shared" si="2"/>
        <v>0</v>
      </c>
      <c r="I65" s="67">
        <f t="shared" si="3"/>
        <v>0.12189779795547684</v>
      </c>
      <c r="J65" s="67">
        <f t="shared" si="4"/>
        <v>2.2588253326419588E-2</v>
      </c>
      <c r="K65" s="100">
        <f t="shared" si="6"/>
        <v>1.5058835550946392E-2</v>
      </c>
      <c r="O65" s="96">
        <f>Amnt_Deposited!B60</f>
        <v>2046</v>
      </c>
      <c r="P65" s="99">
        <f>Amnt_Deposited!E60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Amnt_Deposited!D61</f>
        <v>0</v>
      </c>
      <c r="D66" s="418">
        <f>Dry_Matter_Content!E53</f>
        <v>0.44</v>
      </c>
      <c r="E66" s="284">
        <f>MCF!R65</f>
        <v>1</v>
      </c>
      <c r="F66" s="67">
        <f t="shared" si="0"/>
        <v>0</v>
      </c>
      <c r="G66" s="67">
        <f t="shared" si="1"/>
        <v>0</v>
      </c>
      <c r="H66" s="67">
        <f t="shared" si="2"/>
        <v>0</v>
      </c>
      <c r="I66" s="67">
        <f t="shared" si="3"/>
        <v>0.10284088335561041</v>
      </c>
      <c r="J66" s="67">
        <f t="shared" si="4"/>
        <v>1.9056914599866435E-2</v>
      </c>
      <c r="K66" s="100">
        <f t="shared" si="6"/>
        <v>1.270460973324429E-2</v>
      </c>
      <c r="O66" s="96">
        <f>Amnt_Deposited!B61</f>
        <v>2047</v>
      </c>
      <c r="P66" s="99">
        <f>Amnt_Deposited!E61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Amnt_Deposited!D62</f>
        <v>0</v>
      </c>
      <c r="D67" s="418">
        <f>Dry_Matter_Content!E54</f>
        <v>0.44</v>
      </c>
      <c r="E67" s="284">
        <f>MCF!R66</f>
        <v>1</v>
      </c>
      <c r="F67" s="67">
        <f t="shared" si="0"/>
        <v>0</v>
      </c>
      <c r="G67" s="67">
        <f t="shared" si="1"/>
        <v>0</v>
      </c>
      <c r="H67" s="67">
        <f t="shared" si="2"/>
        <v>0</v>
      </c>
      <c r="I67" s="67">
        <f t="shared" si="3"/>
        <v>8.6763234994821151E-2</v>
      </c>
      <c r="J67" s="67">
        <f t="shared" si="4"/>
        <v>1.6077648360789263E-2</v>
      </c>
      <c r="K67" s="100">
        <f t="shared" si="6"/>
        <v>1.0718432240526175E-2</v>
      </c>
      <c r="O67" s="96">
        <f>Amnt_Deposited!B62</f>
        <v>2048</v>
      </c>
      <c r="P67" s="99">
        <f>Amnt_Deposited!E62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Amnt_Deposited!D63</f>
        <v>0</v>
      </c>
      <c r="D68" s="418">
        <f>Dry_Matter_Content!E55</f>
        <v>0.44</v>
      </c>
      <c r="E68" s="284">
        <f>MCF!R67</f>
        <v>1</v>
      </c>
      <c r="F68" s="67">
        <f t="shared" si="0"/>
        <v>0</v>
      </c>
      <c r="G68" s="67">
        <f t="shared" si="1"/>
        <v>0</v>
      </c>
      <c r="H68" s="67">
        <f t="shared" si="2"/>
        <v>0</v>
      </c>
      <c r="I68" s="67">
        <f t="shared" si="3"/>
        <v>7.3199088739214727E-2</v>
      </c>
      <c r="J68" s="67">
        <f t="shared" si="4"/>
        <v>1.3564146255606424E-2</v>
      </c>
      <c r="K68" s="100">
        <f t="shared" si="6"/>
        <v>9.0427641704042827E-3</v>
      </c>
      <c r="O68" s="96">
        <f>Amnt_Deposited!B63</f>
        <v>2049</v>
      </c>
      <c r="P68" s="99">
        <f>Amnt_Deposited!E63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Amnt_Deposited!D64</f>
        <v>0</v>
      </c>
      <c r="D69" s="418">
        <f>Dry_Matter_Content!E56</f>
        <v>0.44</v>
      </c>
      <c r="E69" s="284">
        <f>MCF!R68</f>
        <v>1</v>
      </c>
      <c r="F69" s="67">
        <f t="shared" si="0"/>
        <v>0</v>
      </c>
      <c r="G69" s="67">
        <f t="shared" si="1"/>
        <v>0</v>
      </c>
      <c r="H69" s="67">
        <f t="shared" si="2"/>
        <v>0</v>
      </c>
      <c r="I69" s="67">
        <f t="shared" si="3"/>
        <v>6.1755495776192007E-2</v>
      </c>
      <c r="J69" s="67">
        <f t="shared" si="4"/>
        <v>1.1443592963022718E-2</v>
      </c>
      <c r="K69" s="100">
        <f t="shared" si="6"/>
        <v>7.6290619753484785E-3</v>
      </c>
      <c r="O69" s="96">
        <f>Amnt_Deposited!B64</f>
        <v>2050</v>
      </c>
      <c r="P69" s="99">
        <f>Amnt_Deposited!E64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Amnt_Deposited!D65</f>
        <v>0</v>
      </c>
      <c r="D70" s="418">
        <f>Dry_Matter_Content!E57</f>
        <v>0.44</v>
      </c>
      <c r="E70" s="284">
        <f>MCF!R69</f>
        <v>1</v>
      </c>
      <c r="F70" s="67">
        <f t="shared" si="0"/>
        <v>0</v>
      </c>
      <c r="G70" s="67">
        <f t="shared" si="1"/>
        <v>0</v>
      </c>
      <c r="H70" s="67">
        <f t="shared" si="2"/>
        <v>0</v>
      </c>
      <c r="I70" s="67">
        <f t="shared" si="3"/>
        <v>5.2100939017839777E-2</v>
      </c>
      <c r="J70" s="67">
        <f t="shared" si="4"/>
        <v>9.6545567583522281E-3</v>
      </c>
      <c r="K70" s="100">
        <f t="shared" si="6"/>
        <v>6.4363711722348182E-3</v>
      </c>
      <c r="O70" s="96">
        <f>Amnt_Deposited!B65</f>
        <v>2051</v>
      </c>
      <c r="P70" s="99">
        <f>Amnt_Deposited!E65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Amnt_Deposited!D66</f>
        <v>0</v>
      </c>
      <c r="D71" s="418">
        <f>Dry_Matter_Content!E58</f>
        <v>0.44</v>
      </c>
      <c r="E71" s="284">
        <f>MCF!R70</f>
        <v>1</v>
      </c>
      <c r="F71" s="67">
        <f t="shared" si="0"/>
        <v>0</v>
      </c>
      <c r="G71" s="67">
        <f t="shared" si="1"/>
        <v>0</v>
      </c>
      <c r="H71" s="67">
        <f t="shared" si="2"/>
        <v>0</v>
      </c>
      <c r="I71" s="67">
        <f t="shared" si="3"/>
        <v>4.3955729160985169E-2</v>
      </c>
      <c r="J71" s="67">
        <f t="shared" si="4"/>
        <v>8.1452098568546103E-3</v>
      </c>
      <c r="K71" s="100">
        <f t="shared" si="6"/>
        <v>5.4301399045697399E-3</v>
      </c>
      <c r="O71" s="96">
        <f>Amnt_Deposited!B66</f>
        <v>2052</v>
      </c>
      <c r="P71" s="99">
        <f>Amnt_Deposited!E66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Amnt_Deposited!D67</f>
        <v>0</v>
      </c>
      <c r="D72" s="418">
        <f>Dry_Matter_Content!E59</f>
        <v>0.44</v>
      </c>
      <c r="E72" s="284">
        <f>MCF!R71</f>
        <v>1</v>
      </c>
      <c r="F72" s="67">
        <f t="shared" si="0"/>
        <v>0</v>
      </c>
      <c r="G72" s="67">
        <f t="shared" si="1"/>
        <v>0</v>
      </c>
      <c r="H72" s="67">
        <f t="shared" si="2"/>
        <v>0</v>
      </c>
      <c r="I72" s="67">
        <f t="shared" si="3"/>
        <v>3.7083902180962865E-2</v>
      </c>
      <c r="J72" s="67">
        <f t="shared" si="4"/>
        <v>6.8718269800223013E-3</v>
      </c>
      <c r="K72" s="100">
        <f t="shared" si="6"/>
        <v>4.5812179866815336E-3</v>
      </c>
      <c r="O72" s="96">
        <f>Amnt_Deposited!B67</f>
        <v>2053</v>
      </c>
      <c r="P72" s="99">
        <f>Amnt_Deposited!E67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Amnt_Deposited!D68</f>
        <v>0</v>
      </c>
      <c r="D73" s="418">
        <f>Dry_Matter_Content!E60</f>
        <v>0.44</v>
      </c>
      <c r="E73" s="284">
        <f>MCF!R72</f>
        <v>1</v>
      </c>
      <c r="F73" s="67">
        <f t="shared" si="0"/>
        <v>0</v>
      </c>
      <c r="G73" s="67">
        <f t="shared" si="1"/>
        <v>0</v>
      </c>
      <c r="H73" s="67">
        <f t="shared" si="2"/>
        <v>0</v>
      </c>
      <c r="I73" s="67">
        <f t="shared" si="3"/>
        <v>3.1286383532180266E-2</v>
      </c>
      <c r="J73" s="67">
        <f t="shared" si="4"/>
        <v>5.797518648782596E-3</v>
      </c>
      <c r="K73" s="100">
        <f t="shared" si="6"/>
        <v>3.8650124325217304E-3</v>
      </c>
      <c r="O73" s="96">
        <f>Amnt_Deposited!B68</f>
        <v>2054</v>
      </c>
      <c r="P73" s="99">
        <f>Amnt_Deposited!E68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Amnt_Deposited!D69</f>
        <v>0</v>
      </c>
      <c r="D74" s="418">
        <f>Dry_Matter_Content!E61</f>
        <v>0.44</v>
      </c>
      <c r="E74" s="284">
        <f>MCF!R73</f>
        <v>1</v>
      </c>
      <c r="F74" s="67">
        <f t="shared" si="0"/>
        <v>0</v>
      </c>
      <c r="G74" s="67">
        <f t="shared" si="1"/>
        <v>0</v>
      </c>
      <c r="H74" s="67">
        <f t="shared" si="2"/>
        <v>0</v>
      </c>
      <c r="I74" s="67">
        <f t="shared" si="3"/>
        <v>2.6395221024640984E-2</v>
      </c>
      <c r="J74" s="67">
        <f t="shared" si="4"/>
        <v>4.8911625075392824E-3</v>
      </c>
      <c r="K74" s="100">
        <f t="shared" si="6"/>
        <v>3.2607750050261883E-3</v>
      </c>
      <c r="O74" s="96">
        <f>Amnt_Deposited!B69</f>
        <v>2055</v>
      </c>
      <c r="P74" s="99">
        <f>Amnt_Deposited!E69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Amnt_Deposited!D70</f>
        <v>0</v>
      </c>
      <c r="D75" s="418">
        <f>Dry_Matter_Content!E62</f>
        <v>0.44</v>
      </c>
      <c r="E75" s="284">
        <f>MCF!R74</f>
        <v>1</v>
      </c>
      <c r="F75" s="67">
        <f t="shared" si="0"/>
        <v>0</v>
      </c>
      <c r="G75" s="67">
        <f t="shared" si="1"/>
        <v>0</v>
      </c>
      <c r="H75" s="67">
        <f t="shared" si="2"/>
        <v>0</v>
      </c>
      <c r="I75" s="67">
        <f t="shared" si="3"/>
        <v>2.2268719304774746E-2</v>
      </c>
      <c r="J75" s="67">
        <f t="shared" si="4"/>
        <v>4.1265017198662372E-3</v>
      </c>
      <c r="K75" s="100">
        <f t="shared" si="6"/>
        <v>2.7510011465774913E-3</v>
      </c>
      <c r="O75" s="96">
        <f>Amnt_Deposited!B70</f>
        <v>2056</v>
      </c>
      <c r="P75" s="99">
        <f>Amnt_Deposited!E70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Amnt_Deposited!D71</f>
        <v>0</v>
      </c>
      <c r="D76" s="418">
        <f>Dry_Matter_Content!E63</f>
        <v>0.44</v>
      </c>
      <c r="E76" s="284">
        <f>MCF!R75</f>
        <v>1</v>
      </c>
      <c r="F76" s="67">
        <f t="shared" si="0"/>
        <v>0</v>
      </c>
      <c r="G76" s="67">
        <f t="shared" si="1"/>
        <v>0</v>
      </c>
      <c r="H76" s="67">
        <f t="shared" si="2"/>
        <v>0</v>
      </c>
      <c r="I76" s="67">
        <f t="shared" si="3"/>
        <v>1.8787334988099137E-2</v>
      </c>
      <c r="J76" s="67">
        <f t="shared" si="4"/>
        <v>3.4813843166756108E-3</v>
      </c>
      <c r="K76" s="100">
        <f t="shared" si="6"/>
        <v>2.3209228777837402E-3</v>
      </c>
      <c r="O76" s="96">
        <f>Amnt_Deposited!B71</f>
        <v>2057</v>
      </c>
      <c r="P76" s="99">
        <f>Amnt_Deposited!E71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Amnt_Deposited!D72</f>
        <v>0</v>
      </c>
      <c r="D77" s="418">
        <f>Dry_Matter_Content!E64</f>
        <v>0.44</v>
      </c>
      <c r="E77" s="284">
        <f>MCF!R76</f>
        <v>1</v>
      </c>
      <c r="F77" s="67">
        <f t="shared" si="0"/>
        <v>0</v>
      </c>
      <c r="G77" s="67">
        <f t="shared" si="1"/>
        <v>0</v>
      </c>
      <c r="H77" s="67">
        <f t="shared" si="2"/>
        <v>0</v>
      </c>
      <c r="I77" s="67">
        <f t="shared" si="3"/>
        <v>1.585021352706948E-2</v>
      </c>
      <c r="J77" s="67">
        <f t="shared" si="4"/>
        <v>2.9371214610296559E-3</v>
      </c>
      <c r="K77" s="100">
        <f t="shared" si="6"/>
        <v>1.9580809740197703E-3</v>
      </c>
      <c r="O77" s="96">
        <f>Amnt_Deposited!B72</f>
        <v>2058</v>
      </c>
      <c r="P77" s="99">
        <f>Amnt_Deposited!E72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Amnt_Deposited!D73</f>
        <v>0</v>
      </c>
      <c r="D78" s="418">
        <f>Dry_Matter_Content!E65</f>
        <v>0.44</v>
      </c>
      <c r="E78" s="284">
        <f>MCF!R77</f>
        <v>1</v>
      </c>
      <c r="F78" s="67">
        <f t="shared" si="0"/>
        <v>0</v>
      </c>
      <c r="G78" s="67">
        <f t="shared" si="1"/>
        <v>0</v>
      </c>
      <c r="H78" s="67">
        <f t="shared" si="2"/>
        <v>0</v>
      </c>
      <c r="I78" s="67">
        <f t="shared" si="3"/>
        <v>1.3372267488328593E-2</v>
      </c>
      <c r="J78" s="67">
        <f t="shared" si="4"/>
        <v>2.4779460387408872E-3</v>
      </c>
      <c r="K78" s="100">
        <f t="shared" si="6"/>
        <v>1.651964025827258E-3</v>
      </c>
      <c r="O78" s="96">
        <f>Amnt_Deposited!B73</f>
        <v>2059</v>
      </c>
      <c r="P78" s="99">
        <f>Amnt_Deposited!E73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Amnt_Deposited!D74</f>
        <v>0</v>
      </c>
      <c r="D79" s="418">
        <f>Dry_Matter_Content!E66</f>
        <v>0.44</v>
      </c>
      <c r="E79" s="284">
        <f>MCF!R78</f>
        <v>1</v>
      </c>
      <c r="F79" s="67">
        <f t="shared" si="0"/>
        <v>0</v>
      </c>
      <c r="G79" s="67">
        <f t="shared" si="1"/>
        <v>0</v>
      </c>
      <c r="H79" s="67">
        <f t="shared" si="2"/>
        <v>0</v>
      </c>
      <c r="I79" s="67">
        <f t="shared" si="3"/>
        <v>1.1281711598018527E-2</v>
      </c>
      <c r="J79" s="67">
        <f t="shared" si="4"/>
        <v>2.0905558903100661E-3</v>
      </c>
      <c r="K79" s="100">
        <f t="shared" si="6"/>
        <v>1.3937039268733774E-3</v>
      </c>
      <c r="O79" s="96">
        <f>Amnt_Deposited!B74</f>
        <v>2060</v>
      </c>
      <c r="P79" s="99">
        <f>Amnt_Deposited!E74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Amnt_Deposited!D75</f>
        <v>0</v>
      </c>
      <c r="D80" s="418">
        <f>Dry_Matter_Content!E67</f>
        <v>0.44</v>
      </c>
      <c r="E80" s="284">
        <f>MCF!R79</f>
        <v>1</v>
      </c>
      <c r="F80" s="67">
        <f t="shared" si="0"/>
        <v>0</v>
      </c>
      <c r="G80" s="67">
        <f t="shared" si="1"/>
        <v>0</v>
      </c>
      <c r="H80" s="67">
        <f t="shared" si="2"/>
        <v>0</v>
      </c>
      <c r="I80" s="67">
        <f t="shared" si="3"/>
        <v>9.5179831462355955E-3</v>
      </c>
      <c r="J80" s="67">
        <f t="shared" si="4"/>
        <v>1.7637284517829314E-3</v>
      </c>
      <c r="K80" s="100">
        <f t="shared" si="6"/>
        <v>1.1758189678552876E-3</v>
      </c>
      <c r="O80" s="96">
        <f>Amnt_Deposited!B75</f>
        <v>2061</v>
      </c>
      <c r="P80" s="99">
        <f>Amnt_Deposited!E75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Amnt_Deposited!D76</f>
        <v>0</v>
      </c>
      <c r="D81" s="418">
        <f>Dry_Matter_Content!E68</f>
        <v>0.44</v>
      </c>
      <c r="E81" s="284">
        <f>MCF!R80</f>
        <v>1</v>
      </c>
      <c r="F81" s="67">
        <f t="shared" si="0"/>
        <v>0</v>
      </c>
      <c r="G81" s="67">
        <f t="shared" si="1"/>
        <v>0</v>
      </c>
      <c r="H81" s="67">
        <f t="shared" si="2"/>
        <v>0</v>
      </c>
      <c r="I81" s="67">
        <f t="shared" si="3"/>
        <v>8.0299875054363253E-3</v>
      </c>
      <c r="J81" s="67">
        <f t="shared" si="4"/>
        <v>1.4879956407992706E-3</v>
      </c>
      <c r="K81" s="100">
        <f t="shared" si="6"/>
        <v>9.9199709386618034E-4</v>
      </c>
      <c r="O81" s="96">
        <f>Amnt_Deposited!B76</f>
        <v>2062</v>
      </c>
      <c r="P81" s="99">
        <f>Amnt_Deposited!E76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Amnt_Deposited!D77</f>
        <v>0</v>
      </c>
      <c r="D82" s="418">
        <f>Dry_Matter_Content!E69</f>
        <v>0.44</v>
      </c>
      <c r="E82" s="284">
        <f>MCF!R81</f>
        <v>1</v>
      </c>
      <c r="F82" s="67">
        <f t="shared" si="0"/>
        <v>0</v>
      </c>
      <c r="G82" s="67">
        <f t="shared" si="1"/>
        <v>0</v>
      </c>
      <c r="H82" s="67">
        <f t="shared" si="2"/>
        <v>0</v>
      </c>
      <c r="I82" s="67">
        <f t="shared" si="3"/>
        <v>6.7746179360451903E-3</v>
      </c>
      <c r="J82" s="67">
        <f t="shared" si="4"/>
        <v>1.2553695693911353E-3</v>
      </c>
      <c r="K82" s="100">
        <f t="shared" si="6"/>
        <v>8.3691304626075684E-4</v>
      </c>
      <c r="O82" s="96">
        <f>Amnt_Deposited!B77</f>
        <v>2063</v>
      </c>
      <c r="P82" s="99">
        <f>Amnt_Deposited!E77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Amnt_Deposited!D78</f>
        <v>0</v>
      </c>
      <c r="D83" s="418">
        <f>Dry_Matter_Content!E70</f>
        <v>0.44</v>
      </c>
      <c r="E83" s="284">
        <f>MCF!R82</f>
        <v>1</v>
      </c>
      <c r="F83" s="67">
        <f t="shared" ref="F83:F99" si="12">C83*D83*$K$6*DOCF*E83</f>
        <v>0</v>
      </c>
      <c r="G83" s="67">
        <f t="shared" ref="G83:G99" si="13">F83*$K$12</f>
        <v>0</v>
      </c>
      <c r="H83" s="67">
        <f t="shared" ref="H83:H99" si="14">F83*(1-$K$12)</f>
        <v>0</v>
      </c>
      <c r="I83" s="67">
        <f t="shared" ref="I83:I99" si="15">G83+I82*$K$10</f>
        <v>5.715506798524137E-3</v>
      </c>
      <c r="J83" s="67">
        <f t="shared" ref="J83:J99" si="16">I82*(1-$K$10)+H83</f>
        <v>1.0591111375210533E-3</v>
      </c>
      <c r="K83" s="100">
        <f t="shared" si="6"/>
        <v>7.060740916807022E-4</v>
      </c>
      <c r="O83" s="96">
        <f>Amnt_Deposited!B78</f>
        <v>2064</v>
      </c>
      <c r="P83" s="99">
        <f>Amnt_Deposited!E78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Amnt_Deposited!D79</f>
        <v>0</v>
      </c>
      <c r="D84" s="418">
        <f>Dry_Matter_Content!E71</f>
        <v>0.44</v>
      </c>
      <c r="E84" s="284">
        <f>MCF!R83</f>
        <v>1</v>
      </c>
      <c r="F84" s="67">
        <f t="shared" si="12"/>
        <v>0</v>
      </c>
      <c r="G84" s="67">
        <f t="shared" si="13"/>
        <v>0</v>
      </c>
      <c r="H84" s="67">
        <f t="shared" si="14"/>
        <v>0</v>
      </c>
      <c r="I84" s="67">
        <f t="shared" si="15"/>
        <v>4.8219719949322499E-3</v>
      </c>
      <c r="J84" s="67">
        <f t="shared" si="16"/>
        <v>8.935348035918868E-4</v>
      </c>
      <c r="K84" s="100">
        <f t="shared" si="6"/>
        <v>5.9568986906125779E-4</v>
      </c>
      <c r="O84" s="96">
        <f>Amnt_Deposited!B79</f>
        <v>2065</v>
      </c>
      <c r="P84" s="99">
        <f>Amnt_Deposited!E79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Amnt_Deposited!D80</f>
        <v>0</v>
      </c>
      <c r="D85" s="418">
        <f>Dry_Matter_Content!E72</f>
        <v>0.44</v>
      </c>
      <c r="E85" s="284">
        <f>MCF!R84</f>
        <v>1</v>
      </c>
      <c r="F85" s="67">
        <f t="shared" si="12"/>
        <v>0</v>
      </c>
      <c r="G85" s="67">
        <f t="shared" si="13"/>
        <v>0</v>
      </c>
      <c r="H85" s="67">
        <f t="shared" si="14"/>
        <v>0</v>
      </c>
      <c r="I85" s="67">
        <f t="shared" si="15"/>
        <v>4.0681281187374147E-3</v>
      </c>
      <c r="J85" s="67">
        <f t="shared" si="16"/>
        <v>7.5384387619483481E-4</v>
      </c>
      <c r="K85" s="100">
        <f t="shared" ref="K85:K99" si="18">J85*CH4_fraction*conv</f>
        <v>5.0256258412988987E-4</v>
      </c>
      <c r="O85" s="96">
        <f>Amnt_Deposited!B80</f>
        <v>2066</v>
      </c>
      <c r="P85" s="99">
        <f>Amnt_Deposited!E80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Amnt_Deposited!D81</f>
        <v>0</v>
      </c>
      <c r="D86" s="418">
        <f>Dry_Matter_Content!E73</f>
        <v>0.44</v>
      </c>
      <c r="E86" s="284">
        <f>MCF!R85</f>
        <v>1</v>
      </c>
      <c r="F86" s="67">
        <f t="shared" si="12"/>
        <v>0</v>
      </c>
      <c r="G86" s="67">
        <f t="shared" si="13"/>
        <v>0</v>
      </c>
      <c r="H86" s="67">
        <f t="shared" si="14"/>
        <v>0</v>
      </c>
      <c r="I86" s="67">
        <f t="shared" si="15"/>
        <v>3.4321365631851926E-3</v>
      </c>
      <c r="J86" s="67">
        <f t="shared" si="16"/>
        <v>6.3599155555222231E-4</v>
      </c>
      <c r="K86" s="100">
        <f t="shared" si="18"/>
        <v>4.2399437036814817E-4</v>
      </c>
      <c r="O86" s="96">
        <f>Amnt_Deposited!B81</f>
        <v>2067</v>
      </c>
      <c r="P86" s="99">
        <f>Amnt_Deposited!E81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Amnt_Deposited!D82</f>
        <v>0</v>
      </c>
      <c r="D87" s="418">
        <f>Dry_Matter_Content!E74</f>
        <v>0.44</v>
      </c>
      <c r="E87" s="284">
        <f>MCF!R86</f>
        <v>1</v>
      </c>
      <c r="F87" s="67">
        <f t="shared" si="12"/>
        <v>0</v>
      </c>
      <c r="G87" s="67">
        <f t="shared" si="13"/>
        <v>0</v>
      </c>
      <c r="H87" s="67">
        <f t="shared" si="14"/>
        <v>0</v>
      </c>
      <c r="I87" s="67">
        <f t="shared" si="15"/>
        <v>2.8955728641133784E-3</v>
      </c>
      <c r="J87" s="67">
        <f t="shared" si="16"/>
        <v>5.3656369907181443E-4</v>
      </c>
      <c r="K87" s="100">
        <f t="shared" si="18"/>
        <v>3.5770913271454291E-4</v>
      </c>
      <c r="O87" s="96">
        <f>Amnt_Deposited!B82</f>
        <v>2068</v>
      </c>
      <c r="P87" s="99">
        <f>Amnt_Deposited!E82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Amnt_Deposited!D83</f>
        <v>0</v>
      </c>
      <c r="D88" s="418">
        <f>Dry_Matter_Content!E75</f>
        <v>0.44</v>
      </c>
      <c r="E88" s="284">
        <f>MCF!R87</f>
        <v>1</v>
      </c>
      <c r="F88" s="67">
        <f t="shared" si="12"/>
        <v>0</v>
      </c>
      <c r="G88" s="67">
        <f t="shared" si="13"/>
        <v>0</v>
      </c>
      <c r="H88" s="67">
        <f t="shared" si="14"/>
        <v>0</v>
      </c>
      <c r="I88" s="67">
        <f t="shared" si="15"/>
        <v>2.4428929493436791E-3</v>
      </c>
      <c r="J88" s="67">
        <f t="shared" si="16"/>
        <v>4.5267991476969954E-4</v>
      </c>
      <c r="K88" s="100">
        <f t="shared" si="18"/>
        <v>3.0178660984646636E-4</v>
      </c>
      <c r="O88" s="96">
        <f>Amnt_Deposited!B83</f>
        <v>2069</v>
      </c>
      <c r="P88" s="99">
        <f>Amnt_Deposited!E83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Amnt_Deposited!D84</f>
        <v>0</v>
      </c>
      <c r="D89" s="418">
        <f>Dry_Matter_Content!E76</f>
        <v>0.44</v>
      </c>
      <c r="E89" s="284">
        <f>MCF!R88</f>
        <v>1</v>
      </c>
      <c r="F89" s="67">
        <f t="shared" si="12"/>
        <v>0</v>
      </c>
      <c r="G89" s="67">
        <f t="shared" si="13"/>
        <v>0</v>
      </c>
      <c r="H89" s="67">
        <f t="shared" si="14"/>
        <v>0</v>
      </c>
      <c r="I89" s="67">
        <f t="shared" si="15"/>
        <v>2.0609828320726337E-3</v>
      </c>
      <c r="J89" s="67">
        <f t="shared" si="16"/>
        <v>3.819101172710452E-4</v>
      </c>
      <c r="K89" s="100">
        <f t="shared" si="18"/>
        <v>2.5460674484736347E-4</v>
      </c>
      <c r="O89" s="96">
        <f>Amnt_Deposited!B84</f>
        <v>2070</v>
      </c>
      <c r="P89" s="99">
        <f>Amnt_Deposited!E84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Amnt_Deposited!D85</f>
        <v>0</v>
      </c>
      <c r="D90" s="418">
        <f>Dry_Matter_Content!E77</f>
        <v>0.44</v>
      </c>
      <c r="E90" s="284">
        <f>MCF!R89</f>
        <v>1</v>
      </c>
      <c r="F90" s="67">
        <f t="shared" si="12"/>
        <v>0</v>
      </c>
      <c r="G90" s="67">
        <f t="shared" si="13"/>
        <v>0</v>
      </c>
      <c r="H90" s="67">
        <f t="shared" si="14"/>
        <v>0</v>
      </c>
      <c r="I90" s="67">
        <f t="shared" si="15"/>
        <v>1.738778703028854E-3</v>
      </c>
      <c r="J90" s="67">
        <f t="shared" si="16"/>
        <v>3.2220412904377971E-4</v>
      </c>
      <c r="K90" s="100">
        <f t="shared" si="18"/>
        <v>2.1480275269585312E-4</v>
      </c>
      <c r="O90" s="96">
        <f>Amnt_Deposited!B85</f>
        <v>2071</v>
      </c>
      <c r="P90" s="99">
        <f>Amnt_Deposited!E85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Amnt_Deposited!D86</f>
        <v>0</v>
      </c>
      <c r="D91" s="418">
        <f>Dry_Matter_Content!E78</f>
        <v>0.44</v>
      </c>
      <c r="E91" s="284">
        <f>MCF!R90</f>
        <v>1</v>
      </c>
      <c r="F91" s="67">
        <f t="shared" si="12"/>
        <v>0</v>
      </c>
      <c r="G91" s="67">
        <f t="shared" si="13"/>
        <v>0</v>
      </c>
      <c r="H91" s="67">
        <f t="shared" si="14"/>
        <v>0</v>
      </c>
      <c r="I91" s="67">
        <f t="shared" si="15"/>
        <v>1.4669464155925361E-3</v>
      </c>
      <c r="J91" s="67">
        <f t="shared" si="16"/>
        <v>2.7183228743631797E-4</v>
      </c>
      <c r="K91" s="100">
        <f t="shared" si="18"/>
        <v>1.8122152495754531E-4</v>
      </c>
      <c r="O91" s="96">
        <f>Amnt_Deposited!B86</f>
        <v>2072</v>
      </c>
      <c r="P91" s="99">
        <f>Amnt_Deposited!E86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Amnt_Deposited!D87</f>
        <v>0</v>
      </c>
      <c r="D92" s="418">
        <f>Dry_Matter_Content!E79</f>
        <v>0.44</v>
      </c>
      <c r="E92" s="284">
        <f>MCF!R91</f>
        <v>1</v>
      </c>
      <c r="F92" s="67">
        <f t="shared" si="12"/>
        <v>0</v>
      </c>
      <c r="G92" s="67">
        <f t="shared" si="13"/>
        <v>0</v>
      </c>
      <c r="H92" s="67">
        <f t="shared" si="14"/>
        <v>0</v>
      </c>
      <c r="I92" s="67">
        <f t="shared" si="15"/>
        <v>1.2376110786675994E-3</v>
      </c>
      <c r="J92" s="67">
        <f t="shared" si="16"/>
        <v>2.2933533692493665E-4</v>
      </c>
      <c r="K92" s="100">
        <f t="shared" si="18"/>
        <v>1.5289022461662444E-4</v>
      </c>
      <c r="O92" s="96">
        <f>Amnt_Deposited!B87</f>
        <v>2073</v>
      </c>
      <c r="P92" s="99">
        <f>Amnt_Deposited!E87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Amnt_Deposited!D88</f>
        <v>0</v>
      </c>
      <c r="D93" s="418">
        <f>Dry_Matter_Content!E80</f>
        <v>0.44</v>
      </c>
      <c r="E93" s="284">
        <f>MCF!R92</f>
        <v>1</v>
      </c>
      <c r="F93" s="67">
        <f t="shared" si="12"/>
        <v>0</v>
      </c>
      <c r="G93" s="67">
        <f t="shared" si="13"/>
        <v>0</v>
      </c>
      <c r="H93" s="67">
        <f t="shared" si="14"/>
        <v>0</v>
      </c>
      <c r="I93" s="67">
        <f t="shared" si="15"/>
        <v>1.0441289237017527E-3</v>
      </c>
      <c r="J93" s="67">
        <f t="shared" si="16"/>
        <v>1.9348215496584655E-4</v>
      </c>
      <c r="K93" s="100">
        <f t="shared" si="18"/>
        <v>1.2898810331056436E-4</v>
      </c>
      <c r="O93" s="96">
        <f>Amnt_Deposited!B88</f>
        <v>2074</v>
      </c>
      <c r="P93" s="99">
        <f>Amnt_Deposited!E88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Amnt_Deposited!D89</f>
        <v>0</v>
      </c>
      <c r="D94" s="418">
        <f>Dry_Matter_Content!E81</f>
        <v>0.44</v>
      </c>
      <c r="E94" s="284">
        <f>MCF!R93</f>
        <v>1</v>
      </c>
      <c r="F94" s="67">
        <f t="shared" si="12"/>
        <v>0</v>
      </c>
      <c r="G94" s="67">
        <f t="shared" si="13"/>
        <v>0</v>
      </c>
      <c r="H94" s="67">
        <f t="shared" si="14"/>
        <v>0</v>
      </c>
      <c r="I94" s="67">
        <f t="shared" si="15"/>
        <v>8.808948369178187E-4</v>
      </c>
      <c r="J94" s="67">
        <f t="shared" si="16"/>
        <v>1.6323408678393399E-4</v>
      </c>
      <c r="K94" s="100">
        <f t="shared" si="18"/>
        <v>1.0882272452262265E-4</v>
      </c>
      <c r="O94" s="96">
        <f>Amnt_Deposited!B89</f>
        <v>2075</v>
      </c>
      <c r="P94" s="99">
        <f>Amnt_Deposited!E89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Amnt_Deposited!D90</f>
        <v>0</v>
      </c>
      <c r="D95" s="418">
        <f>Dry_Matter_Content!E82</f>
        <v>0.44</v>
      </c>
      <c r="E95" s="284">
        <f>MCF!R94</f>
        <v>1</v>
      </c>
      <c r="F95" s="67">
        <f t="shared" si="12"/>
        <v>0</v>
      </c>
      <c r="G95" s="67">
        <f t="shared" si="13"/>
        <v>0</v>
      </c>
      <c r="H95" s="67">
        <f t="shared" si="14"/>
        <v>0</v>
      </c>
      <c r="I95" s="67">
        <f t="shared" si="15"/>
        <v>7.4317998102897285E-4</v>
      </c>
      <c r="J95" s="67">
        <f t="shared" si="16"/>
        <v>1.3771485588884584E-4</v>
      </c>
      <c r="K95" s="100">
        <f t="shared" si="18"/>
        <v>9.1809903925897229E-5</v>
      </c>
      <c r="O95" s="96">
        <f>Amnt_Deposited!B90</f>
        <v>2076</v>
      </c>
      <c r="P95" s="99">
        <f>Amnt_Deposited!E90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Amnt_Deposited!D91</f>
        <v>0</v>
      </c>
      <c r="D96" s="418">
        <f>Dry_Matter_Content!E83</f>
        <v>0.44</v>
      </c>
      <c r="E96" s="284">
        <f>MCF!R95</f>
        <v>1</v>
      </c>
      <c r="F96" s="67">
        <f t="shared" si="12"/>
        <v>0</v>
      </c>
      <c r="G96" s="67">
        <f t="shared" si="13"/>
        <v>0</v>
      </c>
      <c r="H96" s="67">
        <f t="shared" si="14"/>
        <v>0</v>
      </c>
      <c r="I96" s="67">
        <f t="shared" si="15"/>
        <v>6.2699480239291228E-4</v>
      </c>
      <c r="J96" s="67">
        <f t="shared" si="16"/>
        <v>1.1618517863606055E-4</v>
      </c>
      <c r="K96" s="100">
        <f t="shared" si="18"/>
        <v>7.7456785757373689E-5</v>
      </c>
      <c r="O96" s="96">
        <f>Amnt_Deposited!B91</f>
        <v>2077</v>
      </c>
      <c r="P96" s="99">
        <f>Amnt_Deposited!E91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Amnt_Deposited!D92</f>
        <v>0</v>
      </c>
      <c r="D97" s="418">
        <f>Dry_Matter_Content!E84</f>
        <v>0.44</v>
      </c>
      <c r="E97" s="284">
        <f>MCF!R96</f>
        <v>1</v>
      </c>
      <c r="F97" s="67">
        <f t="shared" si="12"/>
        <v>0</v>
      </c>
      <c r="G97" s="67">
        <f t="shared" si="13"/>
        <v>0</v>
      </c>
      <c r="H97" s="67">
        <f t="shared" si="14"/>
        <v>0</v>
      </c>
      <c r="I97" s="67">
        <f t="shared" si="15"/>
        <v>5.2897345496770215E-4</v>
      </c>
      <c r="J97" s="67">
        <f t="shared" si="16"/>
        <v>9.8021347425210104E-5</v>
      </c>
      <c r="K97" s="100">
        <f t="shared" si="18"/>
        <v>6.5347564950140065E-5</v>
      </c>
      <c r="O97" s="96">
        <f>Amnt_Deposited!B92</f>
        <v>2078</v>
      </c>
      <c r="P97" s="99">
        <f>Amnt_Deposited!E92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Amnt_Deposited!D93</f>
        <v>0</v>
      </c>
      <c r="D98" s="418">
        <f>Dry_Matter_Content!E85</f>
        <v>0.44</v>
      </c>
      <c r="E98" s="284">
        <f>MCF!R97</f>
        <v>1</v>
      </c>
      <c r="F98" s="67">
        <f t="shared" si="12"/>
        <v>0</v>
      </c>
      <c r="G98" s="67">
        <f t="shared" si="13"/>
        <v>0</v>
      </c>
      <c r="H98" s="67">
        <f t="shared" si="14"/>
        <v>0</v>
      </c>
      <c r="I98" s="67">
        <f t="shared" si="15"/>
        <v>4.4627629286968186E-4</v>
      </c>
      <c r="J98" s="67">
        <f t="shared" si="16"/>
        <v>8.269716209802028E-5</v>
      </c>
      <c r="K98" s="100">
        <f t="shared" si="18"/>
        <v>5.5131441398680184E-5</v>
      </c>
      <c r="O98" s="96">
        <f>Amnt_Deposited!B93</f>
        <v>2079</v>
      </c>
      <c r="P98" s="99">
        <f>Amnt_Deposited!E93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101">
        <f>Amnt_Deposited!D94</f>
        <v>0</v>
      </c>
      <c r="D99" s="418">
        <f>Dry_Matter_Content!E86</f>
        <v>0.44</v>
      </c>
      <c r="E99" s="285">
        <f>MCF!R98</f>
        <v>1</v>
      </c>
      <c r="F99" s="68">
        <f t="shared" si="12"/>
        <v>0</v>
      </c>
      <c r="G99" s="68">
        <f t="shared" si="13"/>
        <v>0</v>
      </c>
      <c r="H99" s="68">
        <f t="shared" si="14"/>
        <v>0</v>
      </c>
      <c r="I99" s="68">
        <f t="shared" si="15"/>
        <v>3.7650760677521416E-4</v>
      </c>
      <c r="J99" s="68">
        <f t="shared" si="16"/>
        <v>6.9768686094467697E-5</v>
      </c>
      <c r="K99" s="102">
        <f t="shared" si="18"/>
        <v>4.6512457396311796E-5</v>
      </c>
      <c r="O99" s="97">
        <f>Amnt_Deposited!B94</f>
        <v>2080</v>
      </c>
      <c r="P99" s="99">
        <f>Amnt_Deposited!E94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3"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312</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Parameters!O17</f>
        <v>0.49</v>
      </c>
      <c r="O6" s="230"/>
      <c r="P6" s="231"/>
      <c r="Q6" s="222"/>
      <c r="R6" s="108" t="s">
        <v>9</v>
      </c>
      <c r="S6" s="109"/>
      <c r="T6" s="109"/>
      <c r="U6" s="113"/>
      <c r="V6" s="120" t="s">
        <v>9</v>
      </c>
      <c r="W6" s="261">
        <f>Parameters!R17</f>
        <v>0.2</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Parameters!O36</f>
        <v>0.17</v>
      </c>
      <c r="O8" s="47"/>
      <c r="P8" s="47"/>
      <c r="Q8" s="222"/>
      <c r="R8" s="108" t="s">
        <v>192</v>
      </c>
      <c r="S8" s="109"/>
      <c r="T8" s="109"/>
      <c r="U8" s="113"/>
      <c r="V8" s="120" t="s">
        <v>188</v>
      </c>
      <c r="W8" s="114">
        <f>Parameters!O36</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Dry_Matter_Content!F6</f>
        <v>0.56999999999999995</v>
      </c>
      <c r="E19" s="283">
        <f>MCF!R18</f>
        <v>1</v>
      </c>
      <c r="F19" s="130">
        <f t="shared" ref="F19:F50"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Amnt_Deposited!F14</f>
        <v>0</v>
      </c>
      <c r="Q19" s="283">
        <f>MCF!R18</f>
        <v>1</v>
      </c>
      <c r="R19" s="130">
        <f t="shared" ref="R19:R50" si="5">P19*$W$6*DOCF*Q19</f>
        <v>0</v>
      </c>
      <c r="S19" s="65">
        <f>R19*$W$12</f>
        <v>0</v>
      </c>
      <c r="T19" s="65">
        <f>R19*(1-$W$12)</f>
        <v>0</v>
      </c>
      <c r="U19" s="65">
        <f>S19+U18*$W$10</f>
        <v>0</v>
      </c>
      <c r="V19" s="65">
        <f>U18*(1-$W$10)+T19</f>
        <v>0</v>
      </c>
      <c r="W19" s="66">
        <f>V19*CH4_fraction*conv</f>
        <v>0</v>
      </c>
    </row>
    <row r="20" spans="2:23">
      <c r="B20" s="96">
        <f>Amnt_Deposited!B15</f>
        <v>2001</v>
      </c>
      <c r="C20" s="99">
        <f>Amnt_Deposited!F15</f>
        <v>0</v>
      </c>
      <c r="D20" s="418">
        <f>Dry_Matter_Content!F7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Amnt_Deposited!F15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Amnt_Deposited!F16</f>
        <v>0</v>
      </c>
      <c r="D21" s="418">
        <f>Dry_Matter_Content!F8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Amnt_Deposited!F16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Amnt_Deposited!F17</f>
        <v>0</v>
      </c>
      <c r="D22" s="418">
        <f>Dry_Matter_Content!F9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Amnt_Deposited!F17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Amnt_Deposited!F18</f>
        <v>0</v>
      </c>
      <c r="D23" s="418">
        <f>Dry_Matter_Content!F10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Amnt_Deposited!F18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Amnt_Deposited!F19</f>
        <v>0</v>
      </c>
      <c r="D24" s="418">
        <f>Dry_Matter_Content!F11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Amnt_Deposited!F19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Amnt_Deposited!F20</f>
        <v>0</v>
      </c>
      <c r="D25" s="418">
        <f>Dry_Matter_Content!F12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Amnt_Deposited!F20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Amnt_Deposited!F21</f>
        <v>0</v>
      </c>
      <c r="D26" s="418">
        <f>Dry_Matter_Content!F13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Amnt_Deposited!F21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Amnt_Deposited!F22</f>
        <v>0</v>
      </c>
      <c r="D27" s="418">
        <f>Dry_Matter_Content!F14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Amnt_Deposited!F22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Amnt_Deposited!F23</f>
        <v>0</v>
      </c>
      <c r="D28" s="418">
        <f>Dry_Matter_Content!F15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Amnt_Deposited!F23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Amnt_Deposited!F24</f>
        <v>0</v>
      </c>
      <c r="D29" s="418">
        <f>Dry_Matter_Content!F16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Amnt_Deposited!F24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Amnt_Deposited!F25</f>
        <v>0</v>
      </c>
      <c r="D30" s="418">
        <f>Dry_Matter_Content!F17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Amnt_Deposited!F25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Amnt_Deposited!F26</f>
        <v>0</v>
      </c>
      <c r="D31" s="418">
        <f>Dry_Matter_Content!F18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Amnt_Deposited!F26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Amnt_Deposited!F27</f>
        <v>0</v>
      </c>
      <c r="D32" s="418">
        <f>Dry_Matter_Content!F19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Amnt_Deposited!F27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Amnt_Deposited!F28</f>
        <v>0</v>
      </c>
      <c r="D33" s="418">
        <f>Dry_Matter_Content!F20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Amnt_Deposited!F28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Amnt_Deposited!F29</f>
        <v>0</v>
      </c>
      <c r="D34" s="418">
        <f>Dry_Matter_Content!F21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Amnt_Deposited!F29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Amnt_Deposited!F30</f>
        <v>0</v>
      </c>
      <c r="D35" s="418">
        <f>Dry_Matter_Content!F22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Amnt_Deposited!F30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Amnt_Deposited!F31</f>
        <v>0</v>
      </c>
      <c r="D36" s="418">
        <f>Dry_Matter_Content!F23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Amnt_Deposited!F31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Amnt_Deposited!F32</f>
        <v>0</v>
      </c>
      <c r="D37" s="418">
        <f>Dry_Matter_Content!F24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Amnt_Deposited!F32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Amnt_Deposited!F33</f>
        <v>0</v>
      </c>
      <c r="D38" s="418">
        <f>Dry_Matter_Content!F25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Amnt_Deposited!F33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Amnt_Deposited!F34</f>
        <v>0</v>
      </c>
      <c r="D39" s="418">
        <f>Dry_Matter_Content!F26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Amnt_Deposited!F34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Amnt_Deposited!F35</f>
        <v>0</v>
      </c>
      <c r="D40" s="418">
        <f>Dry_Matter_Content!F27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Amnt_Deposited!F35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Amnt_Deposited!F36</f>
        <v>0</v>
      </c>
      <c r="D41" s="418">
        <f>Dry_Matter_Content!F28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Amnt_Deposited!F36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Amnt_Deposited!F37</f>
        <v>0</v>
      </c>
      <c r="D42" s="418">
        <f>Dry_Matter_Content!F29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Amnt_Deposited!F37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Amnt_Deposited!F38</f>
        <v>0</v>
      </c>
      <c r="D43" s="418">
        <f>Dry_Matter_Content!F30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Amnt_Deposited!F38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Amnt_Deposited!F39</f>
        <v>0</v>
      </c>
      <c r="D44" s="418">
        <f>Dry_Matter_Content!F31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Amnt_Deposited!F39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Amnt_Deposited!F40</f>
        <v>0</v>
      </c>
      <c r="D45" s="418">
        <f>Dry_Matter_Content!F32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Amnt_Deposited!F40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Amnt_Deposited!F41</f>
        <v>0</v>
      </c>
      <c r="D46" s="418">
        <f>Dry_Matter_Content!F33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Amnt_Deposited!F41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Amnt_Deposited!F42</f>
        <v>0</v>
      </c>
      <c r="D47" s="418">
        <f>Dry_Matter_Content!F34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Amnt_Deposited!F42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Amnt_Deposited!F43</f>
        <v>0</v>
      </c>
      <c r="D48" s="418">
        <f>Dry_Matter_Content!F35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Amnt_Deposited!F43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Amnt_Deposited!F44</f>
        <v>0</v>
      </c>
      <c r="D49" s="418">
        <f>Dry_Matter_Content!F36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Amnt_Deposited!F44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Amnt_Deposited!F45</f>
        <v>0</v>
      </c>
      <c r="D50" s="418">
        <f>Dry_Matter_Content!F37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Amnt_Deposited!F45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Amnt_Deposited!F46</f>
        <v>0</v>
      </c>
      <c r="D51" s="418">
        <f>Dry_Matter_Content!F38</f>
        <v>0.56999999999999995</v>
      </c>
      <c r="E51" s="284">
        <f>MCF!R50</f>
        <v>1</v>
      </c>
      <c r="F51" s="67">
        <f t="shared" ref="F51:F82" si="12">C51*D51*$K$6*DOCF*E51</f>
        <v>0</v>
      </c>
      <c r="G51" s="67">
        <f t="shared" si="1"/>
        <v>0</v>
      </c>
      <c r="H51" s="67">
        <f t="shared" si="2"/>
        <v>0</v>
      </c>
      <c r="I51" s="67">
        <f t="shared" si="3"/>
        <v>0</v>
      </c>
      <c r="J51" s="67">
        <f t="shared" si="4"/>
        <v>0</v>
      </c>
      <c r="K51" s="100">
        <f t="shared" si="6"/>
        <v>0</v>
      </c>
      <c r="O51" s="96">
        <f>Amnt_Deposited!B46</f>
        <v>2032</v>
      </c>
      <c r="P51" s="99">
        <f>Amnt_Deposited!F46</f>
        <v>0</v>
      </c>
      <c r="Q51" s="284">
        <f>MCF!R50</f>
        <v>1</v>
      </c>
      <c r="R51" s="67">
        <f t="shared" ref="R51:R82" si="13">P51*$W$6*DOCF*Q51</f>
        <v>0</v>
      </c>
      <c r="S51" s="67">
        <f t="shared" si="7"/>
        <v>0</v>
      </c>
      <c r="T51" s="67">
        <f t="shared" si="8"/>
        <v>0</v>
      </c>
      <c r="U51" s="67">
        <f t="shared" si="9"/>
        <v>0</v>
      </c>
      <c r="V51" s="67">
        <f t="shared" si="10"/>
        <v>0</v>
      </c>
      <c r="W51" s="100">
        <f t="shared" si="11"/>
        <v>0</v>
      </c>
    </row>
    <row r="52" spans="2:23">
      <c r="B52" s="96">
        <f>Amnt_Deposited!B47</f>
        <v>2033</v>
      </c>
      <c r="C52" s="99">
        <f>Amnt_Deposited!F47</f>
        <v>0</v>
      </c>
      <c r="D52" s="418">
        <f>Dry_Matter_Content!F39</f>
        <v>0.56999999999999995</v>
      </c>
      <c r="E52" s="284">
        <f>MCF!R51</f>
        <v>1</v>
      </c>
      <c r="F52" s="67">
        <f t="shared" si="12"/>
        <v>0</v>
      </c>
      <c r="G52" s="67">
        <f t="shared" si="1"/>
        <v>0</v>
      </c>
      <c r="H52" s="67">
        <f t="shared" si="2"/>
        <v>0</v>
      </c>
      <c r="I52" s="67">
        <f t="shared" si="3"/>
        <v>0</v>
      </c>
      <c r="J52" s="67">
        <f t="shared" si="4"/>
        <v>0</v>
      </c>
      <c r="K52" s="100">
        <f t="shared" si="6"/>
        <v>0</v>
      </c>
      <c r="O52" s="96">
        <f>Amnt_Deposited!B47</f>
        <v>2033</v>
      </c>
      <c r="P52" s="99">
        <f>Amnt_Deposited!F47</f>
        <v>0</v>
      </c>
      <c r="Q52" s="284">
        <f>MCF!R51</f>
        <v>1</v>
      </c>
      <c r="R52" s="67">
        <f t="shared" si="13"/>
        <v>0</v>
      </c>
      <c r="S52" s="67">
        <f t="shared" si="7"/>
        <v>0</v>
      </c>
      <c r="T52" s="67">
        <f t="shared" si="8"/>
        <v>0</v>
      </c>
      <c r="U52" s="67">
        <f t="shared" si="9"/>
        <v>0</v>
      </c>
      <c r="V52" s="67">
        <f t="shared" si="10"/>
        <v>0</v>
      </c>
      <c r="W52" s="100">
        <f t="shared" si="11"/>
        <v>0</v>
      </c>
    </row>
    <row r="53" spans="2:23">
      <c r="B53" s="96">
        <f>Amnt_Deposited!B48</f>
        <v>2034</v>
      </c>
      <c r="C53" s="99">
        <f>Amnt_Deposited!F48</f>
        <v>0</v>
      </c>
      <c r="D53" s="418">
        <f>Dry_Matter_Content!F40</f>
        <v>0.56999999999999995</v>
      </c>
      <c r="E53" s="284">
        <f>MCF!R52</f>
        <v>1</v>
      </c>
      <c r="F53" s="67">
        <f t="shared" si="12"/>
        <v>0</v>
      </c>
      <c r="G53" s="67">
        <f t="shared" si="1"/>
        <v>0</v>
      </c>
      <c r="H53" s="67">
        <f t="shared" si="2"/>
        <v>0</v>
      </c>
      <c r="I53" s="67">
        <f t="shared" si="3"/>
        <v>0</v>
      </c>
      <c r="J53" s="67">
        <f t="shared" si="4"/>
        <v>0</v>
      </c>
      <c r="K53" s="100">
        <f t="shared" si="6"/>
        <v>0</v>
      </c>
      <c r="O53" s="96">
        <f>Amnt_Deposited!B48</f>
        <v>2034</v>
      </c>
      <c r="P53" s="99">
        <f>Amnt_Deposited!F48</f>
        <v>0</v>
      </c>
      <c r="Q53" s="284">
        <f>MCF!R52</f>
        <v>1</v>
      </c>
      <c r="R53" s="67">
        <f t="shared" si="13"/>
        <v>0</v>
      </c>
      <c r="S53" s="67">
        <f t="shared" si="7"/>
        <v>0</v>
      </c>
      <c r="T53" s="67">
        <f t="shared" si="8"/>
        <v>0</v>
      </c>
      <c r="U53" s="67">
        <f t="shared" si="9"/>
        <v>0</v>
      </c>
      <c r="V53" s="67">
        <f t="shared" si="10"/>
        <v>0</v>
      </c>
      <c r="W53" s="100">
        <f t="shared" si="11"/>
        <v>0</v>
      </c>
    </row>
    <row r="54" spans="2:23">
      <c r="B54" s="96">
        <f>Amnt_Deposited!B49</f>
        <v>2035</v>
      </c>
      <c r="C54" s="99">
        <f>Amnt_Deposited!F49</f>
        <v>0</v>
      </c>
      <c r="D54" s="418">
        <f>Dry_Matter_Content!F41</f>
        <v>0.56999999999999995</v>
      </c>
      <c r="E54" s="284">
        <f>MCF!R53</f>
        <v>1</v>
      </c>
      <c r="F54" s="67">
        <f t="shared" si="12"/>
        <v>0</v>
      </c>
      <c r="G54" s="67">
        <f t="shared" si="1"/>
        <v>0</v>
      </c>
      <c r="H54" s="67">
        <f t="shared" si="2"/>
        <v>0</v>
      </c>
      <c r="I54" s="67">
        <f t="shared" si="3"/>
        <v>0</v>
      </c>
      <c r="J54" s="67">
        <f t="shared" si="4"/>
        <v>0</v>
      </c>
      <c r="K54" s="100">
        <f t="shared" si="6"/>
        <v>0</v>
      </c>
      <c r="O54" s="96">
        <f>Amnt_Deposited!B49</f>
        <v>2035</v>
      </c>
      <c r="P54" s="99">
        <f>Amnt_Deposited!F49</f>
        <v>0</v>
      </c>
      <c r="Q54" s="284">
        <f>MCF!R53</f>
        <v>1</v>
      </c>
      <c r="R54" s="67">
        <f t="shared" si="13"/>
        <v>0</v>
      </c>
      <c r="S54" s="67">
        <f t="shared" si="7"/>
        <v>0</v>
      </c>
      <c r="T54" s="67">
        <f t="shared" si="8"/>
        <v>0</v>
      </c>
      <c r="U54" s="67">
        <f t="shared" si="9"/>
        <v>0</v>
      </c>
      <c r="V54" s="67">
        <f t="shared" si="10"/>
        <v>0</v>
      </c>
      <c r="W54" s="100">
        <f t="shared" si="11"/>
        <v>0</v>
      </c>
    </row>
    <row r="55" spans="2:23">
      <c r="B55" s="96">
        <f>Amnt_Deposited!B50</f>
        <v>2036</v>
      </c>
      <c r="C55" s="99">
        <f>Amnt_Deposited!F50</f>
        <v>0</v>
      </c>
      <c r="D55" s="418">
        <f>Dry_Matter_Content!F42</f>
        <v>0.56999999999999995</v>
      </c>
      <c r="E55" s="284">
        <f>MCF!R54</f>
        <v>1</v>
      </c>
      <c r="F55" s="67">
        <f t="shared" si="12"/>
        <v>0</v>
      </c>
      <c r="G55" s="67">
        <f t="shared" si="1"/>
        <v>0</v>
      </c>
      <c r="H55" s="67">
        <f t="shared" si="2"/>
        <v>0</v>
      </c>
      <c r="I55" s="67">
        <f t="shared" si="3"/>
        <v>0</v>
      </c>
      <c r="J55" s="67">
        <f t="shared" si="4"/>
        <v>0</v>
      </c>
      <c r="K55" s="100">
        <f t="shared" si="6"/>
        <v>0</v>
      </c>
      <c r="O55" s="96">
        <f>Amnt_Deposited!B50</f>
        <v>2036</v>
      </c>
      <c r="P55" s="99">
        <f>Amnt_Deposited!F50</f>
        <v>0</v>
      </c>
      <c r="Q55" s="284">
        <f>MCF!R54</f>
        <v>1</v>
      </c>
      <c r="R55" s="67">
        <f t="shared" si="13"/>
        <v>0</v>
      </c>
      <c r="S55" s="67">
        <f t="shared" si="7"/>
        <v>0</v>
      </c>
      <c r="T55" s="67">
        <f t="shared" si="8"/>
        <v>0</v>
      </c>
      <c r="U55" s="67">
        <f t="shared" si="9"/>
        <v>0</v>
      </c>
      <c r="V55" s="67">
        <f t="shared" si="10"/>
        <v>0</v>
      </c>
      <c r="W55" s="100">
        <f t="shared" si="11"/>
        <v>0</v>
      </c>
    </row>
    <row r="56" spans="2:23">
      <c r="B56" s="96">
        <f>Amnt_Deposited!B51</f>
        <v>2037</v>
      </c>
      <c r="C56" s="99">
        <f>Amnt_Deposited!F51</f>
        <v>0</v>
      </c>
      <c r="D56" s="418">
        <f>Dry_Matter_Content!F43</f>
        <v>0.56999999999999995</v>
      </c>
      <c r="E56" s="284">
        <f>MCF!R55</f>
        <v>1</v>
      </c>
      <c r="F56" s="67">
        <f t="shared" si="12"/>
        <v>0</v>
      </c>
      <c r="G56" s="67">
        <f t="shared" si="1"/>
        <v>0</v>
      </c>
      <c r="H56" s="67">
        <f t="shared" si="2"/>
        <v>0</v>
      </c>
      <c r="I56" s="67">
        <f t="shared" si="3"/>
        <v>0</v>
      </c>
      <c r="J56" s="67">
        <f t="shared" si="4"/>
        <v>0</v>
      </c>
      <c r="K56" s="100">
        <f t="shared" si="6"/>
        <v>0</v>
      </c>
      <c r="O56" s="96">
        <f>Amnt_Deposited!B51</f>
        <v>2037</v>
      </c>
      <c r="P56" s="99">
        <f>Amnt_Deposited!F51</f>
        <v>0</v>
      </c>
      <c r="Q56" s="284">
        <f>MCF!R55</f>
        <v>1</v>
      </c>
      <c r="R56" s="67">
        <f t="shared" si="13"/>
        <v>0</v>
      </c>
      <c r="S56" s="67">
        <f t="shared" si="7"/>
        <v>0</v>
      </c>
      <c r="T56" s="67">
        <f t="shared" si="8"/>
        <v>0</v>
      </c>
      <c r="U56" s="67">
        <f t="shared" si="9"/>
        <v>0</v>
      </c>
      <c r="V56" s="67">
        <f t="shared" si="10"/>
        <v>0</v>
      </c>
      <c r="W56" s="100">
        <f t="shared" si="11"/>
        <v>0</v>
      </c>
    </row>
    <row r="57" spans="2:23">
      <c r="B57" s="96">
        <f>Amnt_Deposited!B52</f>
        <v>2038</v>
      </c>
      <c r="C57" s="99">
        <f>Amnt_Deposited!F52</f>
        <v>0</v>
      </c>
      <c r="D57" s="418">
        <f>Dry_Matter_Content!F44</f>
        <v>0.56999999999999995</v>
      </c>
      <c r="E57" s="284">
        <f>MCF!R56</f>
        <v>1</v>
      </c>
      <c r="F57" s="67">
        <f t="shared" si="12"/>
        <v>0</v>
      </c>
      <c r="G57" s="67">
        <f t="shared" si="1"/>
        <v>0</v>
      </c>
      <c r="H57" s="67">
        <f t="shared" si="2"/>
        <v>0</v>
      </c>
      <c r="I57" s="67">
        <f t="shared" si="3"/>
        <v>0</v>
      </c>
      <c r="J57" s="67">
        <f t="shared" si="4"/>
        <v>0</v>
      </c>
      <c r="K57" s="100">
        <f t="shared" si="6"/>
        <v>0</v>
      </c>
      <c r="O57" s="96">
        <f>Amnt_Deposited!B52</f>
        <v>2038</v>
      </c>
      <c r="P57" s="99">
        <f>Amnt_Deposited!F52</f>
        <v>0</v>
      </c>
      <c r="Q57" s="284">
        <f>MCF!R56</f>
        <v>1</v>
      </c>
      <c r="R57" s="67">
        <f t="shared" si="13"/>
        <v>0</v>
      </c>
      <c r="S57" s="67">
        <f t="shared" si="7"/>
        <v>0</v>
      </c>
      <c r="T57" s="67">
        <f t="shared" si="8"/>
        <v>0</v>
      </c>
      <c r="U57" s="67">
        <f t="shared" si="9"/>
        <v>0</v>
      </c>
      <c r="V57" s="67">
        <f t="shared" si="10"/>
        <v>0</v>
      </c>
      <c r="W57" s="100">
        <f t="shared" si="11"/>
        <v>0</v>
      </c>
    </row>
    <row r="58" spans="2:23">
      <c r="B58" s="96">
        <f>Amnt_Deposited!B53</f>
        <v>2039</v>
      </c>
      <c r="C58" s="99">
        <f>Amnt_Deposited!F53</f>
        <v>0</v>
      </c>
      <c r="D58" s="418">
        <f>Dry_Matter_Content!F45</f>
        <v>0.56999999999999995</v>
      </c>
      <c r="E58" s="284">
        <f>MCF!R57</f>
        <v>1</v>
      </c>
      <c r="F58" s="67">
        <f t="shared" si="12"/>
        <v>0</v>
      </c>
      <c r="G58" s="67">
        <f t="shared" si="1"/>
        <v>0</v>
      </c>
      <c r="H58" s="67">
        <f t="shared" si="2"/>
        <v>0</v>
      </c>
      <c r="I58" s="67">
        <f t="shared" si="3"/>
        <v>0</v>
      </c>
      <c r="J58" s="67">
        <f t="shared" si="4"/>
        <v>0</v>
      </c>
      <c r="K58" s="100">
        <f t="shared" si="6"/>
        <v>0</v>
      </c>
      <c r="O58" s="96">
        <f>Amnt_Deposited!B53</f>
        <v>2039</v>
      </c>
      <c r="P58" s="99">
        <f>Amnt_Deposited!F53</f>
        <v>0</v>
      </c>
      <c r="Q58" s="284">
        <f>MCF!R57</f>
        <v>1</v>
      </c>
      <c r="R58" s="67">
        <f t="shared" si="13"/>
        <v>0</v>
      </c>
      <c r="S58" s="67">
        <f t="shared" si="7"/>
        <v>0</v>
      </c>
      <c r="T58" s="67">
        <f t="shared" si="8"/>
        <v>0</v>
      </c>
      <c r="U58" s="67">
        <f t="shared" si="9"/>
        <v>0</v>
      </c>
      <c r="V58" s="67">
        <f t="shared" si="10"/>
        <v>0</v>
      </c>
      <c r="W58" s="100">
        <f t="shared" si="11"/>
        <v>0</v>
      </c>
    </row>
    <row r="59" spans="2:23">
      <c r="B59" s="96">
        <f>Amnt_Deposited!B54</f>
        <v>2040</v>
      </c>
      <c r="C59" s="99">
        <f>Amnt_Deposited!F54</f>
        <v>0</v>
      </c>
      <c r="D59" s="418">
        <f>Dry_Matter_Content!F46</f>
        <v>0.56999999999999995</v>
      </c>
      <c r="E59" s="284">
        <f>MCF!R58</f>
        <v>1</v>
      </c>
      <c r="F59" s="67">
        <f t="shared" si="12"/>
        <v>0</v>
      </c>
      <c r="G59" s="67">
        <f t="shared" si="1"/>
        <v>0</v>
      </c>
      <c r="H59" s="67">
        <f t="shared" si="2"/>
        <v>0</v>
      </c>
      <c r="I59" s="67">
        <f t="shared" si="3"/>
        <v>0</v>
      </c>
      <c r="J59" s="67">
        <f t="shared" si="4"/>
        <v>0</v>
      </c>
      <c r="K59" s="100">
        <f t="shared" si="6"/>
        <v>0</v>
      </c>
      <c r="O59" s="96">
        <f>Amnt_Deposited!B54</f>
        <v>2040</v>
      </c>
      <c r="P59" s="99">
        <f>Amnt_Deposited!F54</f>
        <v>0</v>
      </c>
      <c r="Q59" s="284">
        <f>MCF!R58</f>
        <v>1</v>
      </c>
      <c r="R59" s="67">
        <f t="shared" si="13"/>
        <v>0</v>
      </c>
      <c r="S59" s="67">
        <f t="shared" si="7"/>
        <v>0</v>
      </c>
      <c r="T59" s="67">
        <f t="shared" si="8"/>
        <v>0</v>
      </c>
      <c r="U59" s="67">
        <f t="shared" si="9"/>
        <v>0</v>
      </c>
      <c r="V59" s="67">
        <f t="shared" si="10"/>
        <v>0</v>
      </c>
      <c r="W59" s="100">
        <f t="shared" si="11"/>
        <v>0</v>
      </c>
    </row>
    <row r="60" spans="2:23">
      <c r="B60" s="96">
        <f>Amnt_Deposited!B55</f>
        <v>2041</v>
      </c>
      <c r="C60" s="99">
        <f>Amnt_Deposited!F55</f>
        <v>0</v>
      </c>
      <c r="D60" s="418">
        <f>Dry_Matter_Content!F47</f>
        <v>0.56999999999999995</v>
      </c>
      <c r="E60" s="284">
        <f>MCF!R59</f>
        <v>1</v>
      </c>
      <c r="F60" s="67">
        <f t="shared" si="12"/>
        <v>0</v>
      </c>
      <c r="G60" s="67">
        <f t="shared" si="1"/>
        <v>0</v>
      </c>
      <c r="H60" s="67">
        <f t="shared" si="2"/>
        <v>0</v>
      </c>
      <c r="I60" s="67">
        <f t="shared" si="3"/>
        <v>0</v>
      </c>
      <c r="J60" s="67">
        <f t="shared" si="4"/>
        <v>0</v>
      </c>
      <c r="K60" s="100">
        <f t="shared" si="6"/>
        <v>0</v>
      </c>
      <c r="O60" s="96">
        <f>Amnt_Deposited!B55</f>
        <v>2041</v>
      </c>
      <c r="P60" s="99">
        <f>Amnt_Deposited!F55</f>
        <v>0</v>
      </c>
      <c r="Q60" s="284">
        <f>MCF!R59</f>
        <v>1</v>
      </c>
      <c r="R60" s="67">
        <f t="shared" si="13"/>
        <v>0</v>
      </c>
      <c r="S60" s="67">
        <f t="shared" si="7"/>
        <v>0</v>
      </c>
      <c r="T60" s="67">
        <f t="shared" si="8"/>
        <v>0</v>
      </c>
      <c r="U60" s="67">
        <f t="shared" si="9"/>
        <v>0</v>
      </c>
      <c r="V60" s="67">
        <f t="shared" si="10"/>
        <v>0</v>
      </c>
      <c r="W60" s="100">
        <f t="shared" si="11"/>
        <v>0</v>
      </c>
    </row>
    <row r="61" spans="2:23">
      <c r="B61" s="96">
        <f>Amnt_Deposited!B56</f>
        <v>2042</v>
      </c>
      <c r="C61" s="99">
        <f>Amnt_Deposited!F56</f>
        <v>0</v>
      </c>
      <c r="D61" s="418">
        <f>Dry_Matter_Content!F48</f>
        <v>0.56999999999999995</v>
      </c>
      <c r="E61" s="284">
        <f>MCF!R60</f>
        <v>1</v>
      </c>
      <c r="F61" s="67">
        <f t="shared" si="12"/>
        <v>0</v>
      </c>
      <c r="G61" s="67">
        <f t="shared" si="1"/>
        <v>0</v>
      </c>
      <c r="H61" s="67">
        <f t="shared" si="2"/>
        <v>0</v>
      </c>
      <c r="I61" s="67">
        <f t="shared" si="3"/>
        <v>0</v>
      </c>
      <c r="J61" s="67">
        <f t="shared" si="4"/>
        <v>0</v>
      </c>
      <c r="K61" s="100">
        <f t="shared" si="6"/>
        <v>0</v>
      </c>
      <c r="O61" s="96">
        <f>Amnt_Deposited!B56</f>
        <v>2042</v>
      </c>
      <c r="P61" s="99">
        <f>Amnt_Deposited!F56</f>
        <v>0</v>
      </c>
      <c r="Q61" s="284">
        <f>MCF!R60</f>
        <v>1</v>
      </c>
      <c r="R61" s="67">
        <f t="shared" si="13"/>
        <v>0</v>
      </c>
      <c r="S61" s="67">
        <f t="shared" si="7"/>
        <v>0</v>
      </c>
      <c r="T61" s="67">
        <f t="shared" si="8"/>
        <v>0</v>
      </c>
      <c r="U61" s="67">
        <f t="shared" si="9"/>
        <v>0</v>
      </c>
      <c r="V61" s="67">
        <f t="shared" si="10"/>
        <v>0</v>
      </c>
      <c r="W61" s="100">
        <f t="shared" si="11"/>
        <v>0</v>
      </c>
    </row>
    <row r="62" spans="2:23">
      <c r="B62" s="96">
        <f>Amnt_Deposited!B57</f>
        <v>2043</v>
      </c>
      <c r="C62" s="99">
        <f>Amnt_Deposited!F57</f>
        <v>0</v>
      </c>
      <c r="D62" s="418">
        <f>Dry_Matter_Content!F49</f>
        <v>0.56999999999999995</v>
      </c>
      <c r="E62" s="284">
        <f>MCF!R61</f>
        <v>1</v>
      </c>
      <c r="F62" s="67">
        <f t="shared" si="12"/>
        <v>0</v>
      </c>
      <c r="G62" s="67">
        <f t="shared" si="1"/>
        <v>0</v>
      </c>
      <c r="H62" s="67">
        <f t="shared" si="2"/>
        <v>0</v>
      </c>
      <c r="I62" s="67">
        <f t="shared" si="3"/>
        <v>0</v>
      </c>
      <c r="J62" s="67">
        <f t="shared" si="4"/>
        <v>0</v>
      </c>
      <c r="K62" s="100">
        <f t="shared" si="6"/>
        <v>0</v>
      </c>
      <c r="O62" s="96">
        <f>Amnt_Deposited!B57</f>
        <v>2043</v>
      </c>
      <c r="P62" s="99">
        <f>Amnt_Deposited!F57</f>
        <v>0</v>
      </c>
      <c r="Q62" s="284">
        <f>MCF!R61</f>
        <v>1</v>
      </c>
      <c r="R62" s="67">
        <f t="shared" si="13"/>
        <v>0</v>
      </c>
      <c r="S62" s="67">
        <f t="shared" si="7"/>
        <v>0</v>
      </c>
      <c r="T62" s="67">
        <f t="shared" si="8"/>
        <v>0</v>
      </c>
      <c r="U62" s="67">
        <f t="shared" si="9"/>
        <v>0</v>
      </c>
      <c r="V62" s="67">
        <f t="shared" si="10"/>
        <v>0</v>
      </c>
      <c r="W62" s="100">
        <f t="shared" si="11"/>
        <v>0</v>
      </c>
    </row>
    <row r="63" spans="2:23">
      <c r="B63" s="96">
        <f>Amnt_Deposited!B58</f>
        <v>2044</v>
      </c>
      <c r="C63" s="99">
        <f>Amnt_Deposited!F58</f>
        <v>0</v>
      </c>
      <c r="D63" s="418">
        <f>Dry_Matter_Content!F50</f>
        <v>0.56999999999999995</v>
      </c>
      <c r="E63" s="284">
        <f>MCF!R62</f>
        <v>1</v>
      </c>
      <c r="F63" s="67">
        <f t="shared" si="12"/>
        <v>0</v>
      </c>
      <c r="G63" s="67">
        <f t="shared" si="1"/>
        <v>0</v>
      </c>
      <c r="H63" s="67">
        <f t="shared" si="2"/>
        <v>0</v>
      </c>
      <c r="I63" s="67">
        <f t="shared" si="3"/>
        <v>0</v>
      </c>
      <c r="J63" s="67">
        <f t="shared" si="4"/>
        <v>0</v>
      </c>
      <c r="K63" s="100">
        <f t="shared" si="6"/>
        <v>0</v>
      </c>
      <c r="O63" s="96">
        <f>Amnt_Deposited!B58</f>
        <v>2044</v>
      </c>
      <c r="P63" s="99">
        <f>Amnt_Deposited!F58</f>
        <v>0</v>
      </c>
      <c r="Q63" s="284">
        <f>MCF!R62</f>
        <v>1</v>
      </c>
      <c r="R63" s="67">
        <f t="shared" si="13"/>
        <v>0</v>
      </c>
      <c r="S63" s="67">
        <f t="shared" si="7"/>
        <v>0</v>
      </c>
      <c r="T63" s="67">
        <f t="shared" si="8"/>
        <v>0</v>
      </c>
      <c r="U63" s="67">
        <f t="shared" si="9"/>
        <v>0</v>
      </c>
      <c r="V63" s="67">
        <f t="shared" si="10"/>
        <v>0</v>
      </c>
      <c r="W63" s="100">
        <f t="shared" si="11"/>
        <v>0</v>
      </c>
    </row>
    <row r="64" spans="2:23">
      <c r="B64" s="96">
        <f>Amnt_Deposited!B59</f>
        <v>2045</v>
      </c>
      <c r="C64" s="99">
        <f>Amnt_Deposited!F59</f>
        <v>0</v>
      </c>
      <c r="D64" s="418">
        <f>Dry_Matter_Content!F51</f>
        <v>0.56999999999999995</v>
      </c>
      <c r="E64" s="284">
        <f>MCF!R63</f>
        <v>1</v>
      </c>
      <c r="F64" s="67">
        <f t="shared" si="12"/>
        <v>0</v>
      </c>
      <c r="G64" s="67">
        <f t="shared" si="1"/>
        <v>0</v>
      </c>
      <c r="H64" s="67">
        <f t="shared" si="2"/>
        <v>0</v>
      </c>
      <c r="I64" s="67">
        <f t="shared" si="3"/>
        <v>0</v>
      </c>
      <c r="J64" s="67">
        <f t="shared" si="4"/>
        <v>0</v>
      </c>
      <c r="K64" s="100">
        <f t="shared" si="6"/>
        <v>0</v>
      </c>
      <c r="O64" s="96">
        <f>Amnt_Deposited!B59</f>
        <v>2045</v>
      </c>
      <c r="P64" s="99">
        <f>Amnt_Deposited!F59</f>
        <v>0</v>
      </c>
      <c r="Q64" s="284">
        <f>MCF!R63</f>
        <v>1</v>
      </c>
      <c r="R64" s="67">
        <f t="shared" si="13"/>
        <v>0</v>
      </c>
      <c r="S64" s="67">
        <f t="shared" si="7"/>
        <v>0</v>
      </c>
      <c r="T64" s="67">
        <f t="shared" si="8"/>
        <v>0</v>
      </c>
      <c r="U64" s="67">
        <f t="shared" si="9"/>
        <v>0</v>
      </c>
      <c r="V64" s="67">
        <f t="shared" si="10"/>
        <v>0</v>
      </c>
      <c r="W64" s="100">
        <f t="shared" si="11"/>
        <v>0</v>
      </c>
    </row>
    <row r="65" spans="2:23">
      <c r="B65" s="96">
        <f>Amnt_Deposited!B60</f>
        <v>2046</v>
      </c>
      <c r="C65" s="99">
        <f>Amnt_Deposited!F60</f>
        <v>0</v>
      </c>
      <c r="D65" s="418">
        <f>Dry_Matter_Content!F52</f>
        <v>0.56999999999999995</v>
      </c>
      <c r="E65" s="284">
        <f>MCF!R64</f>
        <v>1</v>
      </c>
      <c r="F65" s="67">
        <f t="shared" si="12"/>
        <v>0</v>
      </c>
      <c r="G65" s="67">
        <f t="shared" si="1"/>
        <v>0</v>
      </c>
      <c r="H65" s="67">
        <f t="shared" si="2"/>
        <v>0</v>
      </c>
      <c r="I65" s="67">
        <f t="shared" si="3"/>
        <v>0</v>
      </c>
      <c r="J65" s="67">
        <f t="shared" si="4"/>
        <v>0</v>
      </c>
      <c r="K65" s="100">
        <f t="shared" si="6"/>
        <v>0</v>
      </c>
      <c r="O65" s="96">
        <f>Amnt_Deposited!B60</f>
        <v>2046</v>
      </c>
      <c r="P65" s="99">
        <f>Amnt_Deposited!F60</f>
        <v>0</v>
      </c>
      <c r="Q65" s="284">
        <f>MCF!R64</f>
        <v>1</v>
      </c>
      <c r="R65" s="67">
        <f t="shared" si="13"/>
        <v>0</v>
      </c>
      <c r="S65" s="67">
        <f t="shared" si="7"/>
        <v>0</v>
      </c>
      <c r="T65" s="67">
        <f t="shared" si="8"/>
        <v>0</v>
      </c>
      <c r="U65" s="67">
        <f t="shared" si="9"/>
        <v>0</v>
      </c>
      <c r="V65" s="67">
        <f t="shared" si="10"/>
        <v>0</v>
      </c>
      <c r="W65" s="100">
        <f t="shared" si="11"/>
        <v>0</v>
      </c>
    </row>
    <row r="66" spans="2:23">
      <c r="B66" s="96">
        <f>Amnt_Deposited!B61</f>
        <v>2047</v>
      </c>
      <c r="C66" s="99">
        <f>Amnt_Deposited!F61</f>
        <v>0</v>
      </c>
      <c r="D66" s="418">
        <f>Dry_Matter_Content!F53</f>
        <v>0.56999999999999995</v>
      </c>
      <c r="E66" s="284">
        <f>MCF!R65</f>
        <v>1</v>
      </c>
      <c r="F66" s="67">
        <f t="shared" si="12"/>
        <v>0</v>
      </c>
      <c r="G66" s="67">
        <f t="shared" si="1"/>
        <v>0</v>
      </c>
      <c r="H66" s="67">
        <f t="shared" si="2"/>
        <v>0</v>
      </c>
      <c r="I66" s="67">
        <f t="shared" si="3"/>
        <v>0</v>
      </c>
      <c r="J66" s="67">
        <f t="shared" si="4"/>
        <v>0</v>
      </c>
      <c r="K66" s="100">
        <f t="shared" si="6"/>
        <v>0</v>
      </c>
      <c r="O66" s="96">
        <f>Amnt_Deposited!B61</f>
        <v>2047</v>
      </c>
      <c r="P66" s="99">
        <f>Amnt_Deposited!F61</f>
        <v>0</v>
      </c>
      <c r="Q66" s="284">
        <f>MCF!R65</f>
        <v>1</v>
      </c>
      <c r="R66" s="67">
        <f t="shared" si="13"/>
        <v>0</v>
      </c>
      <c r="S66" s="67">
        <f t="shared" si="7"/>
        <v>0</v>
      </c>
      <c r="T66" s="67">
        <f t="shared" si="8"/>
        <v>0</v>
      </c>
      <c r="U66" s="67">
        <f t="shared" si="9"/>
        <v>0</v>
      </c>
      <c r="V66" s="67">
        <f t="shared" si="10"/>
        <v>0</v>
      </c>
      <c r="W66" s="100">
        <f t="shared" si="11"/>
        <v>0</v>
      </c>
    </row>
    <row r="67" spans="2:23">
      <c r="B67" s="96">
        <f>Amnt_Deposited!B62</f>
        <v>2048</v>
      </c>
      <c r="C67" s="99">
        <f>Amnt_Deposited!F62</f>
        <v>0</v>
      </c>
      <c r="D67" s="418">
        <f>Dry_Matter_Content!F54</f>
        <v>0.56999999999999995</v>
      </c>
      <c r="E67" s="284">
        <f>MCF!R66</f>
        <v>1</v>
      </c>
      <c r="F67" s="67">
        <f t="shared" si="12"/>
        <v>0</v>
      </c>
      <c r="G67" s="67">
        <f t="shared" si="1"/>
        <v>0</v>
      </c>
      <c r="H67" s="67">
        <f t="shared" si="2"/>
        <v>0</v>
      </c>
      <c r="I67" s="67">
        <f t="shared" si="3"/>
        <v>0</v>
      </c>
      <c r="J67" s="67">
        <f t="shared" si="4"/>
        <v>0</v>
      </c>
      <c r="K67" s="100">
        <f t="shared" si="6"/>
        <v>0</v>
      </c>
      <c r="O67" s="96">
        <f>Amnt_Deposited!B62</f>
        <v>2048</v>
      </c>
      <c r="P67" s="99">
        <f>Amnt_Deposited!F62</f>
        <v>0</v>
      </c>
      <c r="Q67" s="284">
        <f>MCF!R66</f>
        <v>1</v>
      </c>
      <c r="R67" s="67">
        <f t="shared" si="13"/>
        <v>0</v>
      </c>
      <c r="S67" s="67">
        <f t="shared" si="7"/>
        <v>0</v>
      </c>
      <c r="T67" s="67">
        <f t="shared" si="8"/>
        <v>0</v>
      </c>
      <c r="U67" s="67">
        <f t="shared" si="9"/>
        <v>0</v>
      </c>
      <c r="V67" s="67">
        <f t="shared" si="10"/>
        <v>0</v>
      </c>
      <c r="W67" s="100">
        <f t="shared" si="11"/>
        <v>0</v>
      </c>
    </row>
    <row r="68" spans="2:23">
      <c r="B68" s="96">
        <f>Amnt_Deposited!B63</f>
        <v>2049</v>
      </c>
      <c r="C68" s="99">
        <f>Amnt_Deposited!F63</f>
        <v>0</v>
      </c>
      <c r="D68" s="418">
        <f>Dry_Matter_Content!F55</f>
        <v>0.56999999999999995</v>
      </c>
      <c r="E68" s="284">
        <f>MCF!R67</f>
        <v>1</v>
      </c>
      <c r="F68" s="67">
        <f t="shared" si="12"/>
        <v>0</v>
      </c>
      <c r="G68" s="67">
        <f t="shared" si="1"/>
        <v>0</v>
      </c>
      <c r="H68" s="67">
        <f t="shared" si="2"/>
        <v>0</v>
      </c>
      <c r="I68" s="67">
        <f t="shared" si="3"/>
        <v>0</v>
      </c>
      <c r="J68" s="67">
        <f t="shared" si="4"/>
        <v>0</v>
      </c>
      <c r="K68" s="100">
        <f t="shared" si="6"/>
        <v>0</v>
      </c>
      <c r="O68" s="96">
        <f>Amnt_Deposited!B63</f>
        <v>2049</v>
      </c>
      <c r="P68" s="99">
        <f>Amnt_Deposited!F63</f>
        <v>0</v>
      </c>
      <c r="Q68" s="284">
        <f>MCF!R67</f>
        <v>1</v>
      </c>
      <c r="R68" s="67">
        <f t="shared" si="13"/>
        <v>0</v>
      </c>
      <c r="S68" s="67">
        <f t="shared" si="7"/>
        <v>0</v>
      </c>
      <c r="T68" s="67">
        <f t="shared" si="8"/>
        <v>0</v>
      </c>
      <c r="U68" s="67">
        <f t="shared" si="9"/>
        <v>0</v>
      </c>
      <c r="V68" s="67">
        <f t="shared" si="10"/>
        <v>0</v>
      </c>
      <c r="W68" s="100">
        <f t="shared" si="11"/>
        <v>0</v>
      </c>
    </row>
    <row r="69" spans="2:23">
      <c r="B69" s="96">
        <f>Amnt_Deposited!B64</f>
        <v>2050</v>
      </c>
      <c r="C69" s="99">
        <f>Amnt_Deposited!F64</f>
        <v>0</v>
      </c>
      <c r="D69" s="418">
        <f>Dry_Matter_Content!F56</f>
        <v>0.56999999999999995</v>
      </c>
      <c r="E69" s="284">
        <f>MCF!R68</f>
        <v>1</v>
      </c>
      <c r="F69" s="67">
        <f t="shared" si="12"/>
        <v>0</v>
      </c>
      <c r="G69" s="67">
        <f t="shared" si="1"/>
        <v>0</v>
      </c>
      <c r="H69" s="67">
        <f t="shared" si="2"/>
        <v>0</v>
      </c>
      <c r="I69" s="67">
        <f t="shared" si="3"/>
        <v>0</v>
      </c>
      <c r="J69" s="67">
        <f t="shared" si="4"/>
        <v>0</v>
      </c>
      <c r="K69" s="100">
        <f t="shared" si="6"/>
        <v>0</v>
      </c>
      <c r="O69" s="96">
        <f>Amnt_Deposited!B64</f>
        <v>2050</v>
      </c>
      <c r="P69" s="99">
        <f>Amnt_Deposited!F64</f>
        <v>0</v>
      </c>
      <c r="Q69" s="284">
        <f>MCF!R68</f>
        <v>1</v>
      </c>
      <c r="R69" s="67">
        <f t="shared" si="13"/>
        <v>0</v>
      </c>
      <c r="S69" s="67">
        <f t="shared" si="7"/>
        <v>0</v>
      </c>
      <c r="T69" s="67">
        <f t="shared" si="8"/>
        <v>0</v>
      </c>
      <c r="U69" s="67">
        <f t="shared" si="9"/>
        <v>0</v>
      </c>
      <c r="V69" s="67">
        <f t="shared" si="10"/>
        <v>0</v>
      </c>
      <c r="W69" s="100">
        <f t="shared" si="11"/>
        <v>0</v>
      </c>
    </row>
    <row r="70" spans="2:23">
      <c r="B70" s="96">
        <f>Amnt_Deposited!B65</f>
        <v>2051</v>
      </c>
      <c r="C70" s="99">
        <f>Amnt_Deposited!F65</f>
        <v>0</v>
      </c>
      <c r="D70" s="418">
        <f>Dry_Matter_Content!F57</f>
        <v>0.56999999999999995</v>
      </c>
      <c r="E70" s="284">
        <f>MCF!R69</f>
        <v>1</v>
      </c>
      <c r="F70" s="67">
        <f t="shared" si="12"/>
        <v>0</v>
      </c>
      <c r="G70" s="67">
        <f t="shared" si="1"/>
        <v>0</v>
      </c>
      <c r="H70" s="67">
        <f t="shared" si="2"/>
        <v>0</v>
      </c>
      <c r="I70" s="67">
        <f t="shared" si="3"/>
        <v>0</v>
      </c>
      <c r="J70" s="67">
        <f t="shared" si="4"/>
        <v>0</v>
      </c>
      <c r="K70" s="100">
        <f t="shared" si="6"/>
        <v>0</v>
      </c>
      <c r="O70" s="96">
        <f>Amnt_Deposited!B65</f>
        <v>2051</v>
      </c>
      <c r="P70" s="99">
        <f>Amnt_Deposited!F65</f>
        <v>0</v>
      </c>
      <c r="Q70" s="284">
        <f>MCF!R69</f>
        <v>1</v>
      </c>
      <c r="R70" s="67">
        <f t="shared" si="13"/>
        <v>0</v>
      </c>
      <c r="S70" s="67">
        <f t="shared" si="7"/>
        <v>0</v>
      </c>
      <c r="T70" s="67">
        <f t="shared" si="8"/>
        <v>0</v>
      </c>
      <c r="U70" s="67">
        <f t="shared" si="9"/>
        <v>0</v>
      </c>
      <c r="V70" s="67">
        <f t="shared" si="10"/>
        <v>0</v>
      </c>
      <c r="W70" s="100">
        <f t="shared" si="11"/>
        <v>0</v>
      </c>
    </row>
    <row r="71" spans="2:23">
      <c r="B71" s="96">
        <f>Amnt_Deposited!B66</f>
        <v>2052</v>
      </c>
      <c r="C71" s="99">
        <f>Amnt_Deposited!F66</f>
        <v>0</v>
      </c>
      <c r="D71" s="418">
        <f>Dry_Matter_Content!F58</f>
        <v>0.56999999999999995</v>
      </c>
      <c r="E71" s="284">
        <f>MCF!R70</f>
        <v>1</v>
      </c>
      <c r="F71" s="67">
        <f t="shared" si="12"/>
        <v>0</v>
      </c>
      <c r="G71" s="67">
        <f t="shared" si="1"/>
        <v>0</v>
      </c>
      <c r="H71" s="67">
        <f t="shared" si="2"/>
        <v>0</v>
      </c>
      <c r="I71" s="67">
        <f t="shared" si="3"/>
        <v>0</v>
      </c>
      <c r="J71" s="67">
        <f t="shared" si="4"/>
        <v>0</v>
      </c>
      <c r="K71" s="100">
        <f t="shared" si="6"/>
        <v>0</v>
      </c>
      <c r="O71" s="96">
        <f>Amnt_Deposited!B66</f>
        <v>2052</v>
      </c>
      <c r="P71" s="99">
        <f>Amnt_Deposited!F66</f>
        <v>0</v>
      </c>
      <c r="Q71" s="284">
        <f>MCF!R70</f>
        <v>1</v>
      </c>
      <c r="R71" s="67">
        <f t="shared" si="13"/>
        <v>0</v>
      </c>
      <c r="S71" s="67">
        <f t="shared" si="7"/>
        <v>0</v>
      </c>
      <c r="T71" s="67">
        <f t="shared" si="8"/>
        <v>0</v>
      </c>
      <c r="U71" s="67">
        <f t="shared" si="9"/>
        <v>0</v>
      </c>
      <c r="V71" s="67">
        <f t="shared" si="10"/>
        <v>0</v>
      </c>
      <c r="W71" s="100">
        <f t="shared" si="11"/>
        <v>0</v>
      </c>
    </row>
    <row r="72" spans="2:23">
      <c r="B72" s="96">
        <f>Amnt_Deposited!B67</f>
        <v>2053</v>
      </c>
      <c r="C72" s="99">
        <f>Amnt_Deposited!F67</f>
        <v>0</v>
      </c>
      <c r="D72" s="418">
        <f>Dry_Matter_Content!F59</f>
        <v>0.56999999999999995</v>
      </c>
      <c r="E72" s="284">
        <f>MCF!R71</f>
        <v>1</v>
      </c>
      <c r="F72" s="67">
        <f t="shared" si="12"/>
        <v>0</v>
      </c>
      <c r="G72" s="67">
        <f t="shared" si="1"/>
        <v>0</v>
      </c>
      <c r="H72" s="67">
        <f t="shared" si="2"/>
        <v>0</v>
      </c>
      <c r="I72" s="67">
        <f t="shared" si="3"/>
        <v>0</v>
      </c>
      <c r="J72" s="67">
        <f t="shared" si="4"/>
        <v>0</v>
      </c>
      <c r="K72" s="100">
        <f t="shared" si="6"/>
        <v>0</v>
      </c>
      <c r="O72" s="96">
        <f>Amnt_Deposited!B67</f>
        <v>2053</v>
      </c>
      <c r="P72" s="99">
        <f>Amnt_Deposited!F67</f>
        <v>0</v>
      </c>
      <c r="Q72" s="284">
        <f>MCF!R71</f>
        <v>1</v>
      </c>
      <c r="R72" s="67">
        <f t="shared" si="13"/>
        <v>0</v>
      </c>
      <c r="S72" s="67">
        <f t="shared" si="7"/>
        <v>0</v>
      </c>
      <c r="T72" s="67">
        <f t="shared" si="8"/>
        <v>0</v>
      </c>
      <c r="U72" s="67">
        <f t="shared" si="9"/>
        <v>0</v>
      </c>
      <c r="V72" s="67">
        <f t="shared" si="10"/>
        <v>0</v>
      </c>
      <c r="W72" s="100">
        <f t="shared" si="11"/>
        <v>0</v>
      </c>
    </row>
    <row r="73" spans="2:23">
      <c r="B73" s="96">
        <f>Amnt_Deposited!B68</f>
        <v>2054</v>
      </c>
      <c r="C73" s="99">
        <f>Amnt_Deposited!F68</f>
        <v>0</v>
      </c>
      <c r="D73" s="418">
        <f>Dry_Matter_Content!F60</f>
        <v>0.56999999999999995</v>
      </c>
      <c r="E73" s="284">
        <f>MCF!R72</f>
        <v>1</v>
      </c>
      <c r="F73" s="67">
        <f t="shared" si="12"/>
        <v>0</v>
      </c>
      <c r="G73" s="67">
        <f t="shared" si="1"/>
        <v>0</v>
      </c>
      <c r="H73" s="67">
        <f t="shared" si="2"/>
        <v>0</v>
      </c>
      <c r="I73" s="67">
        <f t="shared" si="3"/>
        <v>0</v>
      </c>
      <c r="J73" s="67">
        <f t="shared" si="4"/>
        <v>0</v>
      </c>
      <c r="K73" s="100">
        <f t="shared" si="6"/>
        <v>0</v>
      </c>
      <c r="O73" s="96">
        <f>Amnt_Deposited!B68</f>
        <v>2054</v>
      </c>
      <c r="P73" s="99">
        <f>Amnt_Deposited!F68</f>
        <v>0</v>
      </c>
      <c r="Q73" s="284">
        <f>MCF!R72</f>
        <v>1</v>
      </c>
      <c r="R73" s="67">
        <f t="shared" si="13"/>
        <v>0</v>
      </c>
      <c r="S73" s="67">
        <f t="shared" si="7"/>
        <v>0</v>
      </c>
      <c r="T73" s="67">
        <f t="shared" si="8"/>
        <v>0</v>
      </c>
      <c r="U73" s="67">
        <f t="shared" si="9"/>
        <v>0</v>
      </c>
      <c r="V73" s="67">
        <f t="shared" si="10"/>
        <v>0</v>
      </c>
      <c r="W73" s="100">
        <f t="shared" si="11"/>
        <v>0</v>
      </c>
    </row>
    <row r="74" spans="2:23">
      <c r="B74" s="96">
        <f>Amnt_Deposited!B69</f>
        <v>2055</v>
      </c>
      <c r="C74" s="99">
        <f>Amnt_Deposited!F69</f>
        <v>0</v>
      </c>
      <c r="D74" s="418">
        <f>Dry_Matter_Content!F61</f>
        <v>0.56999999999999995</v>
      </c>
      <c r="E74" s="284">
        <f>MCF!R73</f>
        <v>1</v>
      </c>
      <c r="F74" s="67">
        <f t="shared" si="12"/>
        <v>0</v>
      </c>
      <c r="G74" s="67">
        <f t="shared" si="1"/>
        <v>0</v>
      </c>
      <c r="H74" s="67">
        <f t="shared" si="2"/>
        <v>0</v>
      </c>
      <c r="I74" s="67">
        <f t="shared" si="3"/>
        <v>0</v>
      </c>
      <c r="J74" s="67">
        <f t="shared" si="4"/>
        <v>0</v>
      </c>
      <c r="K74" s="100">
        <f t="shared" si="6"/>
        <v>0</v>
      </c>
      <c r="O74" s="96">
        <f>Amnt_Deposited!B69</f>
        <v>2055</v>
      </c>
      <c r="P74" s="99">
        <f>Amnt_Deposited!F69</f>
        <v>0</v>
      </c>
      <c r="Q74" s="284">
        <f>MCF!R73</f>
        <v>1</v>
      </c>
      <c r="R74" s="67">
        <f t="shared" si="13"/>
        <v>0</v>
      </c>
      <c r="S74" s="67">
        <f t="shared" si="7"/>
        <v>0</v>
      </c>
      <c r="T74" s="67">
        <f t="shared" si="8"/>
        <v>0</v>
      </c>
      <c r="U74" s="67">
        <f t="shared" si="9"/>
        <v>0</v>
      </c>
      <c r="V74" s="67">
        <f t="shared" si="10"/>
        <v>0</v>
      </c>
      <c r="W74" s="100">
        <f t="shared" si="11"/>
        <v>0</v>
      </c>
    </row>
    <row r="75" spans="2:23">
      <c r="B75" s="96">
        <f>Amnt_Deposited!B70</f>
        <v>2056</v>
      </c>
      <c r="C75" s="99">
        <f>Amnt_Deposited!F70</f>
        <v>0</v>
      </c>
      <c r="D75" s="418">
        <f>Dry_Matter_Content!F62</f>
        <v>0.56999999999999995</v>
      </c>
      <c r="E75" s="284">
        <f>MCF!R74</f>
        <v>1</v>
      </c>
      <c r="F75" s="67">
        <f t="shared" si="12"/>
        <v>0</v>
      </c>
      <c r="G75" s="67">
        <f t="shared" si="1"/>
        <v>0</v>
      </c>
      <c r="H75" s="67">
        <f t="shared" si="2"/>
        <v>0</v>
      </c>
      <c r="I75" s="67">
        <f t="shared" si="3"/>
        <v>0</v>
      </c>
      <c r="J75" s="67">
        <f t="shared" si="4"/>
        <v>0</v>
      </c>
      <c r="K75" s="100">
        <f t="shared" si="6"/>
        <v>0</v>
      </c>
      <c r="O75" s="96">
        <f>Amnt_Deposited!B70</f>
        <v>2056</v>
      </c>
      <c r="P75" s="99">
        <f>Amnt_Deposited!F70</f>
        <v>0</v>
      </c>
      <c r="Q75" s="284">
        <f>MCF!R74</f>
        <v>1</v>
      </c>
      <c r="R75" s="67">
        <f t="shared" si="13"/>
        <v>0</v>
      </c>
      <c r="S75" s="67">
        <f t="shared" si="7"/>
        <v>0</v>
      </c>
      <c r="T75" s="67">
        <f t="shared" si="8"/>
        <v>0</v>
      </c>
      <c r="U75" s="67">
        <f t="shared" si="9"/>
        <v>0</v>
      </c>
      <c r="V75" s="67">
        <f t="shared" si="10"/>
        <v>0</v>
      </c>
      <c r="W75" s="100">
        <f t="shared" si="11"/>
        <v>0</v>
      </c>
    </row>
    <row r="76" spans="2:23">
      <c r="B76" s="96">
        <f>Amnt_Deposited!B71</f>
        <v>2057</v>
      </c>
      <c r="C76" s="99">
        <f>Amnt_Deposited!F71</f>
        <v>0</v>
      </c>
      <c r="D76" s="418">
        <f>Dry_Matter_Content!F63</f>
        <v>0.56999999999999995</v>
      </c>
      <c r="E76" s="284">
        <f>MCF!R75</f>
        <v>1</v>
      </c>
      <c r="F76" s="67">
        <f t="shared" si="12"/>
        <v>0</v>
      </c>
      <c r="G76" s="67">
        <f t="shared" si="1"/>
        <v>0</v>
      </c>
      <c r="H76" s="67">
        <f t="shared" si="2"/>
        <v>0</v>
      </c>
      <c r="I76" s="67">
        <f t="shared" si="3"/>
        <v>0</v>
      </c>
      <c r="J76" s="67">
        <f t="shared" si="4"/>
        <v>0</v>
      </c>
      <c r="K76" s="100">
        <f t="shared" si="6"/>
        <v>0</v>
      </c>
      <c r="O76" s="96">
        <f>Amnt_Deposited!B71</f>
        <v>2057</v>
      </c>
      <c r="P76" s="99">
        <f>Amnt_Deposited!F71</f>
        <v>0</v>
      </c>
      <c r="Q76" s="284">
        <f>MCF!R75</f>
        <v>1</v>
      </c>
      <c r="R76" s="67">
        <f t="shared" si="13"/>
        <v>0</v>
      </c>
      <c r="S76" s="67">
        <f t="shared" si="7"/>
        <v>0</v>
      </c>
      <c r="T76" s="67">
        <f t="shared" si="8"/>
        <v>0</v>
      </c>
      <c r="U76" s="67">
        <f t="shared" si="9"/>
        <v>0</v>
      </c>
      <c r="V76" s="67">
        <f t="shared" si="10"/>
        <v>0</v>
      </c>
      <c r="W76" s="100">
        <f t="shared" si="11"/>
        <v>0</v>
      </c>
    </row>
    <row r="77" spans="2:23">
      <c r="B77" s="96">
        <f>Amnt_Deposited!B72</f>
        <v>2058</v>
      </c>
      <c r="C77" s="99">
        <f>Amnt_Deposited!F72</f>
        <v>0</v>
      </c>
      <c r="D77" s="418">
        <f>Dry_Matter_Content!F64</f>
        <v>0.56999999999999995</v>
      </c>
      <c r="E77" s="284">
        <f>MCF!R76</f>
        <v>1</v>
      </c>
      <c r="F77" s="67">
        <f t="shared" si="12"/>
        <v>0</v>
      </c>
      <c r="G77" s="67">
        <f t="shared" si="1"/>
        <v>0</v>
      </c>
      <c r="H77" s="67">
        <f t="shared" si="2"/>
        <v>0</v>
      </c>
      <c r="I77" s="67">
        <f t="shared" si="3"/>
        <v>0</v>
      </c>
      <c r="J77" s="67">
        <f t="shared" si="4"/>
        <v>0</v>
      </c>
      <c r="K77" s="100">
        <f t="shared" si="6"/>
        <v>0</v>
      </c>
      <c r="O77" s="96">
        <f>Amnt_Deposited!B72</f>
        <v>2058</v>
      </c>
      <c r="P77" s="99">
        <f>Amnt_Deposited!F72</f>
        <v>0</v>
      </c>
      <c r="Q77" s="284">
        <f>MCF!R76</f>
        <v>1</v>
      </c>
      <c r="R77" s="67">
        <f t="shared" si="13"/>
        <v>0</v>
      </c>
      <c r="S77" s="67">
        <f t="shared" si="7"/>
        <v>0</v>
      </c>
      <c r="T77" s="67">
        <f t="shared" si="8"/>
        <v>0</v>
      </c>
      <c r="U77" s="67">
        <f t="shared" si="9"/>
        <v>0</v>
      </c>
      <c r="V77" s="67">
        <f t="shared" si="10"/>
        <v>0</v>
      </c>
      <c r="W77" s="100">
        <f t="shared" si="11"/>
        <v>0</v>
      </c>
    </row>
    <row r="78" spans="2:23">
      <c r="B78" s="96">
        <f>Amnt_Deposited!B73</f>
        <v>2059</v>
      </c>
      <c r="C78" s="99">
        <f>Amnt_Deposited!F73</f>
        <v>0</v>
      </c>
      <c r="D78" s="418">
        <f>Dry_Matter_Content!F65</f>
        <v>0.56999999999999995</v>
      </c>
      <c r="E78" s="284">
        <f>MCF!R77</f>
        <v>1</v>
      </c>
      <c r="F78" s="67">
        <f t="shared" si="12"/>
        <v>0</v>
      </c>
      <c r="G78" s="67">
        <f t="shared" si="1"/>
        <v>0</v>
      </c>
      <c r="H78" s="67">
        <f t="shared" si="2"/>
        <v>0</v>
      </c>
      <c r="I78" s="67">
        <f t="shared" si="3"/>
        <v>0</v>
      </c>
      <c r="J78" s="67">
        <f t="shared" si="4"/>
        <v>0</v>
      </c>
      <c r="K78" s="100">
        <f t="shared" si="6"/>
        <v>0</v>
      </c>
      <c r="O78" s="96">
        <f>Amnt_Deposited!B73</f>
        <v>2059</v>
      </c>
      <c r="P78" s="99">
        <f>Amnt_Deposited!F73</f>
        <v>0</v>
      </c>
      <c r="Q78" s="284">
        <f>MCF!R77</f>
        <v>1</v>
      </c>
      <c r="R78" s="67">
        <f t="shared" si="13"/>
        <v>0</v>
      </c>
      <c r="S78" s="67">
        <f t="shared" si="7"/>
        <v>0</v>
      </c>
      <c r="T78" s="67">
        <f t="shared" si="8"/>
        <v>0</v>
      </c>
      <c r="U78" s="67">
        <f t="shared" si="9"/>
        <v>0</v>
      </c>
      <c r="V78" s="67">
        <f t="shared" si="10"/>
        <v>0</v>
      </c>
      <c r="W78" s="100">
        <f t="shared" si="11"/>
        <v>0</v>
      </c>
    </row>
    <row r="79" spans="2:23">
      <c r="B79" s="96">
        <f>Amnt_Deposited!B74</f>
        <v>2060</v>
      </c>
      <c r="C79" s="99">
        <f>Amnt_Deposited!F74</f>
        <v>0</v>
      </c>
      <c r="D79" s="418">
        <f>Dry_Matter_Content!F66</f>
        <v>0.56999999999999995</v>
      </c>
      <c r="E79" s="284">
        <f>MCF!R78</f>
        <v>1</v>
      </c>
      <c r="F79" s="67">
        <f t="shared" si="12"/>
        <v>0</v>
      </c>
      <c r="G79" s="67">
        <f t="shared" si="1"/>
        <v>0</v>
      </c>
      <c r="H79" s="67">
        <f t="shared" si="2"/>
        <v>0</v>
      </c>
      <c r="I79" s="67">
        <f t="shared" si="3"/>
        <v>0</v>
      </c>
      <c r="J79" s="67">
        <f t="shared" si="4"/>
        <v>0</v>
      </c>
      <c r="K79" s="100">
        <f t="shared" si="6"/>
        <v>0</v>
      </c>
      <c r="O79" s="96">
        <f>Amnt_Deposited!B74</f>
        <v>2060</v>
      </c>
      <c r="P79" s="99">
        <f>Amnt_Deposited!F74</f>
        <v>0</v>
      </c>
      <c r="Q79" s="284">
        <f>MCF!R78</f>
        <v>1</v>
      </c>
      <c r="R79" s="67">
        <f t="shared" si="13"/>
        <v>0</v>
      </c>
      <c r="S79" s="67">
        <f t="shared" si="7"/>
        <v>0</v>
      </c>
      <c r="T79" s="67">
        <f t="shared" si="8"/>
        <v>0</v>
      </c>
      <c r="U79" s="67">
        <f t="shared" si="9"/>
        <v>0</v>
      </c>
      <c r="V79" s="67">
        <f t="shared" si="10"/>
        <v>0</v>
      </c>
      <c r="W79" s="100">
        <f t="shared" si="11"/>
        <v>0</v>
      </c>
    </row>
    <row r="80" spans="2:23">
      <c r="B80" s="96">
        <f>Amnt_Deposited!B75</f>
        <v>2061</v>
      </c>
      <c r="C80" s="99">
        <f>Amnt_Deposited!F75</f>
        <v>0</v>
      </c>
      <c r="D80" s="418">
        <f>Dry_Matter_Content!F67</f>
        <v>0.56999999999999995</v>
      </c>
      <c r="E80" s="284">
        <f>MCF!R79</f>
        <v>1</v>
      </c>
      <c r="F80" s="67">
        <f t="shared" si="12"/>
        <v>0</v>
      </c>
      <c r="G80" s="67">
        <f t="shared" si="1"/>
        <v>0</v>
      </c>
      <c r="H80" s="67">
        <f t="shared" si="2"/>
        <v>0</v>
      </c>
      <c r="I80" s="67">
        <f t="shared" si="3"/>
        <v>0</v>
      </c>
      <c r="J80" s="67">
        <f t="shared" si="4"/>
        <v>0</v>
      </c>
      <c r="K80" s="100">
        <f t="shared" si="6"/>
        <v>0</v>
      </c>
      <c r="O80" s="96">
        <f>Amnt_Deposited!B75</f>
        <v>2061</v>
      </c>
      <c r="P80" s="99">
        <f>Amnt_Deposited!F75</f>
        <v>0</v>
      </c>
      <c r="Q80" s="284">
        <f>MCF!R79</f>
        <v>1</v>
      </c>
      <c r="R80" s="67">
        <f t="shared" si="13"/>
        <v>0</v>
      </c>
      <c r="S80" s="67">
        <f t="shared" si="7"/>
        <v>0</v>
      </c>
      <c r="T80" s="67">
        <f t="shared" si="8"/>
        <v>0</v>
      </c>
      <c r="U80" s="67">
        <f t="shared" si="9"/>
        <v>0</v>
      </c>
      <c r="V80" s="67">
        <f t="shared" si="10"/>
        <v>0</v>
      </c>
      <c r="W80" s="100">
        <f t="shared" si="11"/>
        <v>0</v>
      </c>
    </row>
    <row r="81" spans="2:23">
      <c r="B81" s="96">
        <f>Amnt_Deposited!B76</f>
        <v>2062</v>
      </c>
      <c r="C81" s="99">
        <f>Amnt_Deposited!F76</f>
        <v>0</v>
      </c>
      <c r="D81" s="418">
        <f>Dry_Matter_Content!F68</f>
        <v>0.56999999999999995</v>
      </c>
      <c r="E81" s="284">
        <f>MCF!R80</f>
        <v>1</v>
      </c>
      <c r="F81" s="67">
        <f t="shared" si="12"/>
        <v>0</v>
      </c>
      <c r="G81" s="67">
        <f t="shared" si="1"/>
        <v>0</v>
      </c>
      <c r="H81" s="67">
        <f t="shared" si="2"/>
        <v>0</v>
      </c>
      <c r="I81" s="67">
        <f t="shared" si="3"/>
        <v>0</v>
      </c>
      <c r="J81" s="67">
        <f t="shared" si="4"/>
        <v>0</v>
      </c>
      <c r="K81" s="100">
        <f t="shared" si="6"/>
        <v>0</v>
      </c>
      <c r="O81" s="96">
        <f>Amnt_Deposited!B76</f>
        <v>2062</v>
      </c>
      <c r="P81" s="99">
        <f>Amnt_Deposited!F76</f>
        <v>0</v>
      </c>
      <c r="Q81" s="284">
        <f>MCF!R80</f>
        <v>1</v>
      </c>
      <c r="R81" s="67">
        <f t="shared" si="13"/>
        <v>0</v>
      </c>
      <c r="S81" s="67">
        <f t="shared" si="7"/>
        <v>0</v>
      </c>
      <c r="T81" s="67">
        <f t="shared" si="8"/>
        <v>0</v>
      </c>
      <c r="U81" s="67">
        <f t="shared" si="9"/>
        <v>0</v>
      </c>
      <c r="V81" s="67">
        <f t="shared" si="10"/>
        <v>0</v>
      </c>
      <c r="W81" s="100">
        <f t="shared" si="11"/>
        <v>0</v>
      </c>
    </row>
    <row r="82" spans="2:23">
      <c r="B82" s="96">
        <f>Amnt_Deposited!B77</f>
        <v>2063</v>
      </c>
      <c r="C82" s="99">
        <f>Amnt_Deposited!F77</f>
        <v>0</v>
      </c>
      <c r="D82" s="418">
        <f>Dry_Matter_Content!F69</f>
        <v>0.56999999999999995</v>
      </c>
      <c r="E82" s="284">
        <f>MCF!R81</f>
        <v>1</v>
      </c>
      <c r="F82" s="67">
        <f t="shared" si="12"/>
        <v>0</v>
      </c>
      <c r="G82" s="67">
        <f t="shared" si="1"/>
        <v>0</v>
      </c>
      <c r="H82" s="67">
        <f t="shared" si="2"/>
        <v>0</v>
      </c>
      <c r="I82" s="67">
        <f t="shared" si="3"/>
        <v>0</v>
      </c>
      <c r="J82" s="67">
        <f t="shared" si="4"/>
        <v>0</v>
      </c>
      <c r="K82" s="100">
        <f t="shared" si="6"/>
        <v>0</v>
      </c>
      <c r="O82" s="96">
        <f>Amnt_Deposited!B77</f>
        <v>2063</v>
      </c>
      <c r="P82" s="99">
        <f>Amnt_Deposited!F77</f>
        <v>0</v>
      </c>
      <c r="Q82" s="284">
        <f>MCF!R81</f>
        <v>1</v>
      </c>
      <c r="R82" s="67">
        <f t="shared" si="13"/>
        <v>0</v>
      </c>
      <c r="S82" s="67">
        <f t="shared" si="7"/>
        <v>0</v>
      </c>
      <c r="T82" s="67">
        <f t="shared" si="8"/>
        <v>0</v>
      </c>
      <c r="U82" s="67">
        <f t="shared" si="9"/>
        <v>0</v>
      </c>
      <c r="V82" s="67">
        <f t="shared" si="10"/>
        <v>0</v>
      </c>
      <c r="W82" s="100">
        <f t="shared" si="11"/>
        <v>0</v>
      </c>
    </row>
    <row r="83" spans="2:23">
      <c r="B83" s="96">
        <f>Amnt_Deposited!B78</f>
        <v>2064</v>
      </c>
      <c r="C83" s="99">
        <f>Amnt_Deposited!F78</f>
        <v>0</v>
      </c>
      <c r="D83" s="418">
        <f>Dry_Matter_Content!F70</f>
        <v>0.56999999999999995</v>
      </c>
      <c r="E83" s="284">
        <f>MCF!R82</f>
        <v>1</v>
      </c>
      <c r="F83" s="67">
        <f t="shared" ref="F83:F99" si="14">C83*D83*$K$6*DOCF*E83</f>
        <v>0</v>
      </c>
      <c r="G83" s="67">
        <f t="shared" ref="G83:G99" si="15">F83*$K$12</f>
        <v>0</v>
      </c>
      <c r="H83" s="67">
        <f t="shared" ref="H83:H99" si="16">F83*(1-$K$12)</f>
        <v>0</v>
      </c>
      <c r="I83" s="67">
        <f t="shared" ref="I83:I99" si="17">G83+I82*$K$10</f>
        <v>0</v>
      </c>
      <c r="J83" s="67">
        <f t="shared" ref="J83:J99" si="18">I82*(1-$K$10)+H83</f>
        <v>0</v>
      </c>
      <c r="K83" s="100">
        <f t="shared" si="6"/>
        <v>0</v>
      </c>
      <c r="O83" s="96">
        <f>Amnt_Deposited!B78</f>
        <v>2064</v>
      </c>
      <c r="P83" s="99">
        <f>Amnt_Deposited!F78</f>
        <v>0</v>
      </c>
      <c r="Q83" s="284">
        <f>MCF!R82</f>
        <v>1</v>
      </c>
      <c r="R83" s="67">
        <f t="shared" ref="R83:R99" si="19">P83*$W$6*DOCF*Q83</f>
        <v>0</v>
      </c>
      <c r="S83" s="67">
        <f t="shared" si="7"/>
        <v>0</v>
      </c>
      <c r="T83" s="67">
        <f t="shared" si="8"/>
        <v>0</v>
      </c>
      <c r="U83" s="67">
        <f t="shared" si="9"/>
        <v>0</v>
      </c>
      <c r="V83" s="67">
        <f t="shared" si="10"/>
        <v>0</v>
      </c>
      <c r="W83" s="100">
        <f t="shared" si="11"/>
        <v>0</v>
      </c>
    </row>
    <row r="84" spans="2:23">
      <c r="B84" s="96">
        <f>Amnt_Deposited!B79</f>
        <v>2065</v>
      </c>
      <c r="C84" s="99">
        <f>Amnt_Deposited!F79</f>
        <v>0</v>
      </c>
      <c r="D84" s="418">
        <f>Dry_Matter_Content!F71</f>
        <v>0.56999999999999995</v>
      </c>
      <c r="E84" s="284">
        <f>MCF!R83</f>
        <v>1</v>
      </c>
      <c r="F84" s="67">
        <f t="shared" si="14"/>
        <v>0</v>
      </c>
      <c r="G84" s="67">
        <f t="shared" si="15"/>
        <v>0</v>
      </c>
      <c r="H84" s="67">
        <f t="shared" si="16"/>
        <v>0</v>
      </c>
      <c r="I84" s="67">
        <f t="shared" si="17"/>
        <v>0</v>
      </c>
      <c r="J84" s="67">
        <f t="shared" si="18"/>
        <v>0</v>
      </c>
      <c r="K84" s="100">
        <f t="shared" si="6"/>
        <v>0</v>
      </c>
      <c r="O84" s="96">
        <f>Amnt_Deposited!B79</f>
        <v>2065</v>
      </c>
      <c r="P84" s="99">
        <f>Amnt_Deposited!F79</f>
        <v>0</v>
      </c>
      <c r="Q84" s="284">
        <f>MCF!R83</f>
        <v>1</v>
      </c>
      <c r="R84" s="67">
        <f t="shared" si="19"/>
        <v>0</v>
      </c>
      <c r="S84" s="67">
        <f t="shared" si="7"/>
        <v>0</v>
      </c>
      <c r="T84" s="67">
        <f t="shared" si="8"/>
        <v>0</v>
      </c>
      <c r="U84" s="67">
        <f t="shared" si="9"/>
        <v>0</v>
      </c>
      <c r="V84" s="67">
        <f t="shared" si="10"/>
        <v>0</v>
      </c>
      <c r="W84" s="100">
        <f t="shared" si="11"/>
        <v>0</v>
      </c>
    </row>
    <row r="85" spans="2:23">
      <c r="B85" s="96">
        <f>Amnt_Deposited!B80</f>
        <v>2066</v>
      </c>
      <c r="C85" s="99">
        <f>Amnt_Deposited!F80</f>
        <v>0</v>
      </c>
      <c r="D85" s="418">
        <f>Dry_Matter_Content!F72</f>
        <v>0.56999999999999995</v>
      </c>
      <c r="E85" s="284">
        <f>MCF!R84</f>
        <v>1</v>
      </c>
      <c r="F85" s="67">
        <f t="shared" si="14"/>
        <v>0</v>
      </c>
      <c r="G85" s="67">
        <f t="shared" si="15"/>
        <v>0</v>
      </c>
      <c r="H85" s="67">
        <f t="shared" si="16"/>
        <v>0</v>
      </c>
      <c r="I85" s="67">
        <f t="shared" si="17"/>
        <v>0</v>
      </c>
      <c r="J85" s="67">
        <f t="shared" si="18"/>
        <v>0</v>
      </c>
      <c r="K85" s="100">
        <f t="shared" ref="K85:K99" si="20">J85*CH4_fraction*conv</f>
        <v>0</v>
      </c>
      <c r="O85" s="96">
        <f>Amnt_Deposited!B80</f>
        <v>2066</v>
      </c>
      <c r="P85" s="99">
        <f>Amnt_Deposited!F80</f>
        <v>0</v>
      </c>
      <c r="Q85" s="284">
        <f>MCF!R84</f>
        <v>1</v>
      </c>
      <c r="R85" s="67">
        <f t="shared" si="19"/>
        <v>0</v>
      </c>
      <c r="S85" s="67">
        <f t="shared" ref="S85:S98" si="21">R85*$W$12</f>
        <v>0</v>
      </c>
      <c r="T85" s="67">
        <f t="shared" ref="T85:T98" si="22">R85*(1-$W$12)</f>
        <v>0</v>
      </c>
      <c r="U85" s="67">
        <f t="shared" ref="U85:U98" si="23">S85+U84*$W$10</f>
        <v>0</v>
      </c>
      <c r="V85" s="67">
        <f t="shared" ref="V85:V98" si="24">U84*(1-$W$10)+T85</f>
        <v>0</v>
      </c>
      <c r="W85" s="100">
        <f t="shared" ref="W85:W99" si="25">V85*CH4_fraction*conv</f>
        <v>0</v>
      </c>
    </row>
    <row r="86" spans="2:23">
      <c r="B86" s="96">
        <f>Amnt_Deposited!B81</f>
        <v>2067</v>
      </c>
      <c r="C86" s="99">
        <f>Amnt_Deposited!F81</f>
        <v>0</v>
      </c>
      <c r="D86" s="418">
        <f>Dry_Matter_Content!F73</f>
        <v>0.56999999999999995</v>
      </c>
      <c r="E86" s="284">
        <f>MCF!R85</f>
        <v>1</v>
      </c>
      <c r="F86" s="67">
        <f t="shared" si="14"/>
        <v>0</v>
      </c>
      <c r="G86" s="67">
        <f t="shared" si="15"/>
        <v>0</v>
      </c>
      <c r="H86" s="67">
        <f t="shared" si="16"/>
        <v>0</v>
      </c>
      <c r="I86" s="67">
        <f t="shared" si="17"/>
        <v>0</v>
      </c>
      <c r="J86" s="67">
        <f t="shared" si="18"/>
        <v>0</v>
      </c>
      <c r="K86" s="100">
        <f t="shared" si="20"/>
        <v>0</v>
      </c>
      <c r="O86" s="96">
        <f>Amnt_Deposited!B81</f>
        <v>2067</v>
      </c>
      <c r="P86" s="99">
        <f>Amnt_Deposited!F81</f>
        <v>0</v>
      </c>
      <c r="Q86" s="284">
        <f>MCF!R85</f>
        <v>1</v>
      </c>
      <c r="R86" s="67">
        <f t="shared" si="19"/>
        <v>0</v>
      </c>
      <c r="S86" s="67">
        <f t="shared" si="21"/>
        <v>0</v>
      </c>
      <c r="T86" s="67">
        <f t="shared" si="22"/>
        <v>0</v>
      </c>
      <c r="U86" s="67">
        <f t="shared" si="23"/>
        <v>0</v>
      </c>
      <c r="V86" s="67">
        <f t="shared" si="24"/>
        <v>0</v>
      </c>
      <c r="W86" s="100">
        <f t="shared" si="25"/>
        <v>0</v>
      </c>
    </row>
    <row r="87" spans="2:23">
      <c r="B87" s="96">
        <f>Amnt_Deposited!B82</f>
        <v>2068</v>
      </c>
      <c r="C87" s="99">
        <f>Amnt_Deposited!F82</f>
        <v>0</v>
      </c>
      <c r="D87" s="418">
        <f>Dry_Matter_Content!F74</f>
        <v>0.56999999999999995</v>
      </c>
      <c r="E87" s="284">
        <f>MCF!R86</f>
        <v>1</v>
      </c>
      <c r="F87" s="67">
        <f t="shared" si="14"/>
        <v>0</v>
      </c>
      <c r="G87" s="67">
        <f t="shared" si="15"/>
        <v>0</v>
      </c>
      <c r="H87" s="67">
        <f t="shared" si="16"/>
        <v>0</v>
      </c>
      <c r="I87" s="67">
        <f t="shared" si="17"/>
        <v>0</v>
      </c>
      <c r="J87" s="67">
        <f t="shared" si="18"/>
        <v>0</v>
      </c>
      <c r="K87" s="100">
        <f t="shared" si="20"/>
        <v>0</v>
      </c>
      <c r="O87" s="96">
        <f>Amnt_Deposited!B82</f>
        <v>2068</v>
      </c>
      <c r="P87" s="99">
        <f>Amnt_Deposited!F82</f>
        <v>0</v>
      </c>
      <c r="Q87" s="284">
        <f>MCF!R86</f>
        <v>1</v>
      </c>
      <c r="R87" s="67">
        <f t="shared" si="19"/>
        <v>0</v>
      </c>
      <c r="S87" s="67">
        <f t="shared" si="21"/>
        <v>0</v>
      </c>
      <c r="T87" s="67">
        <f t="shared" si="22"/>
        <v>0</v>
      </c>
      <c r="U87" s="67">
        <f t="shared" si="23"/>
        <v>0</v>
      </c>
      <c r="V87" s="67">
        <f t="shared" si="24"/>
        <v>0</v>
      </c>
      <c r="W87" s="100">
        <f t="shared" si="25"/>
        <v>0</v>
      </c>
    </row>
    <row r="88" spans="2:23">
      <c r="B88" s="96">
        <f>Amnt_Deposited!B83</f>
        <v>2069</v>
      </c>
      <c r="C88" s="99">
        <f>Amnt_Deposited!F83</f>
        <v>0</v>
      </c>
      <c r="D88" s="418">
        <f>Dry_Matter_Content!F75</f>
        <v>0.56999999999999995</v>
      </c>
      <c r="E88" s="284">
        <f>MCF!R87</f>
        <v>1</v>
      </c>
      <c r="F88" s="67">
        <f t="shared" si="14"/>
        <v>0</v>
      </c>
      <c r="G88" s="67">
        <f t="shared" si="15"/>
        <v>0</v>
      </c>
      <c r="H88" s="67">
        <f t="shared" si="16"/>
        <v>0</v>
      </c>
      <c r="I88" s="67">
        <f t="shared" si="17"/>
        <v>0</v>
      </c>
      <c r="J88" s="67">
        <f t="shared" si="18"/>
        <v>0</v>
      </c>
      <c r="K88" s="100">
        <f t="shared" si="20"/>
        <v>0</v>
      </c>
      <c r="O88" s="96">
        <f>Amnt_Deposited!B83</f>
        <v>2069</v>
      </c>
      <c r="P88" s="99">
        <f>Amnt_Deposited!F83</f>
        <v>0</v>
      </c>
      <c r="Q88" s="284">
        <f>MCF!R87</f>
        <v>1</v>
      </c>
      <c r="R88" s="67">
        <f t="shared" si="19"/>
        <v>0</v>
      </c>
      <c r="S88" s="67">
        <f t="shared" si="21"/>
        <v>0</v>
      </c>
      <c r="T88" s="67">
        <f t="shared" si="22"/>
        <v>0</v>
      </c>
      <c r="U88" s="67">
        <f t="shared" si="23"/>
        <v>0</v>
      </c>
      <c r="V88" s="67">
        <f t="shared" si="24"/>
        <v>0</v>
      </c>
      <c r="W88" s="100">
        <f t="shared" si="25"/>
        <v>0</v>
      </c>
    </row>
    <row r="89" spans="2:23">
      <c r="B89" s="96">
        <f>Amnt_Deposited!B84</f>
        <v>2070</v>
      </c>
      <c r="C89" s="99">
        <f>Amnt_Deposited!F84</f>
        <v>0</v>
      </c>
      <c r="D89" s="418">
        <f>Dry_Matter_Content!F76</f>
        <v>0.56999999999999995</v>
      </c>
      <c r="E89" s="284">
        <f>MCF!R88</f>
        <v>1</v>
      </c>
      <c r="F89" s="67">
        <f t="shared" si="14"/>
        <v>0</v>
      </c>
      <c r="G89" s="67">
        <f t="shared" si="15"/>
        <v>0</v>
      </c>
      <c r="H89" s="67">
        <f t="shared" si="16"/>
        <v>0</v>
      </c>
      <c r="I89" s="67">
        <f t="shared" si="17"/>
        <v>0</v>
      </c>
      <c r="J89" s="67">
        <f t="shared" si="18"/>
        <v>0</v>
      </c>
      <c r="K89" s="100">
        <f t="shared" si="20"/>
        <v>0</v>
      </c>
      <c r="O89" s="96">
        <f>Amnt_Deposited!B84</f>
        <v>2070</v>
      </c>
      <c r="P89" s="99">
        <f>Amnt_Deposited!F84</f>
        <v>0</v>
      </c>
      <c r="Q89" s="284">
        <f>MCF!R88</f>
        <v>1</v>
      </c>
      <c r="R89" s="67">
        <f t="shared" si="19"/>
        <v>0</v>
      </c>
      <c r="S89" s="67">
        <f t="shared" si="21"/>
        <v>0</v>
      </c>
      <c r="T89" s="67">
        <f t="shared" si="22"/>
        <v>0</v>
      </c>
      <c r="U89" s="67">
        <f t="shared" si="23"/>
        <v>0</v>
      </c>
      <c r="V89" s="67">
        <f t="shared" si="24"/>
        <v>0</v>
      </c>
      <c r="W89" s="100">
        <f t="shared" si="25"/>
        <v>0</v>
      </c>
    </row>
    <row r="90" spans="2:23">
      <c r="B90" s="96">
        <f>Amnt_Deposited!B85</f>
        <v>2071</v>
      </c>
      <c r="C90" s="99">
        <f>Amnt_Deposited!F85</f>
        <v>0</v>
      </c>
      <c r="D90" s="418">
        <f>Dry_Matter_Content!F77</f>
        <v>0.56999999999999995</v>
      </c>
      <c r="E90" s="284">
        <f>MCF!R89</f>
        <v>1</v>
      </c>
      <c r="F90" s="67">
        <f t="shared" si="14"/>
        <v>0</v>
      </c>
      <c r="G90" s="67">
        <f t="shared" si="15"/>
        <v>0</v>
      </c>
      <c r="H90" s="67">
        <f t="shared" si="16"/>
        <v>0</v>
      </c>
      <c r="I90" s="67">
        <f t="shared" si="17"/>
        <v>0</v>
      </c>
      <c r="J90" s="67">
        <f t="shared" si="18"/>
        <v>0</v>
      </c>
      <c r="K90" s="100">
        <f t="shared" si="20"/>
        <v>0</v>
      </c>
      <c r="O90" s="96">
        <f>Amnt_Deposited!B85</f>
        <v>2071</v>
      </c>
      <c r="P90" s="99">
        <f>Amnt_Deposited!F85</f>
        <v>0</v>
      </c>
      <c r="Q90" s="284">
        <f>MCF!R89</f>
        <v>1</v>
      </c>
      <c r="R90" s="67">
        <f t="shared" si="19"/>
        <v>0</v>
      </c>
      <c r="S90" s="67">
        <f t="shared" si="21"/>
        <v>0</v>
      </c>
      <c r="T90" s="67">
        <f t="shared" si="22"/>
        <v>0</v>
      </c>
      <c r="U90" s="67">
        <f t="shared" si="23"/>
        <v>0</v>
      </c>
      <c r="V90" s="67">
        <f t="shared" si="24"/>
        <v>0</v>
      </c>
      <c r="W90" s="100">
        <f t="shared" si="25"/>
        <v>0</v>
      </c>
    </row>
    <row r="91" spans="2:23">
      <c r="B91" s="96">
        <f>Amnt_Deposited!B86</f>
        <v>2072</v>
      </c>
      <c r="C91" s="99">
        <f>Amnt_Deposited!F86</f>
        <v>0</v>
      </c>
      <c r="D91" s="418">
        <f>Dry_Matter_Content!F78</f>
        <v>0.56999999999999995</v>
      </c>
      <c r="E91" s="284">
        <f>MCF!R90</f>
        <v>1</v>
      </c>
      <c r="F91" s="67">
        <f t="shared" si="14"/>
        <v>0</v>
      </c>
      <c r="G91" s="67">
        <f t="shared" si="15"/>
        <v>0</v>
      </c>
      <c r="H91" s="67">
        <f t="shared" si="16"/>
        <v>0</v>
      </c>
      <c r="I91" s="67">
        <f t="shared" si="17"/>
        <v>0</v>
      </c>
      <c r="J91" s="67">
        <f t="shared" si="18"/>
        <v>0</v>
      </c>
      <c r="K91" s="100">
        <f t="shared" si="20"/>
        <v>0</v>
      </c>
      <c r="O91" s="96">
        <f>Amnt_Deposited!B86</f>
        <v>2072</v>
      </c>
      <c r="P91" s="99">
        <f>Amnt_Deposited!F86</f>
        <v>0</v>
      </c>
      <c r="Q91" s="284">
        <f>MCF!R90</f>
        <v>1</v>
      </c>
      <c r="R91" s="67">
        <f t="shared" si="19"/>
        <v>0</v>
      </c>
      <c r="S91" s="67">
        <f t="shared" si="21"/>
        <v>0</v>
      </c>
      <c r="T91" s="67">
        <f t="shared" si="22"/>
        <v>0</v>
      </c>
      <c r="U91" s="67">
        <f t="shared" si="23"/>
        <v>0</v>
      </c>
      <c r="V91" s="67">
        <f t="shared" si="24"/>
        <v>0</v>
      </c>
      <c r="W91" s="100">
        <f t="shared" si="25"/>
        <v>0</v>
      </c>
    </row>
    <row r="92" spans="2:23">
      <c r="B92" s="96">
        <f>Amnt_Deposited!B87</f>
        <v>2073</v>
      </c>
      <c r="C92" s="99">
        <f>Amnt_Deposited!F87</f>
        <v>0</v>
      </c>
      <c r="D92" s="418">
        <f>Dry_Matter_Content!F79</f>
        <v>0.56999999999999995</v>
      </c>
      <c r="E92" s="284">
        <f>MCF!R91</f>
        <v>1</v>
      </c>
      <c r="F92" s="67">
        <f t="shared" si="14"/>
        <v>0</v>
      </c>
      <c r="G92" s="67">
        <f t="shared" si="15"/>
        <v>0</v>
      </c>
      <c r="H92" s="67">
        <f t="shared" si="16"/>
        <v>0</v>
      </c>
      <c r="I92" s="67">
        <f t="shared" si="17"/>
        <v>0</v>
      </c>
      <c r="J92" s="67">
        <f t="shared" si="18"/>
        <v>0</v>
      </c>
      <c r="K92" s="100">
        <f t="shared" si="20"/>
        <v>0</v>
      </c>
      <c r="O92" s="96">
        <f>Amnt_Deposited!B87</f>
        <v>2073</v>
      </c>
      <c r="P92" s="99">
        <f>Amnt_Deposited!F87</f>
        <v>0</v>
      </c>
      <c r="Q92" s="284">
        <f>MCF!R91</f>
        <v>1</v>
      </c>
      <c r="R92" s="67">
        <f t="shared" si="19"/>
        <v>0</v>
      </c>
      <c r="S92" s="67">
        <f t="shared" si="21"/>
        <v>0</v>
      </c>
      <c r="T92" s="67">
        <f t="shared" si="22"/>
        <v>0</v>
      </c>
      <c r="U92" s="67">
        <f t="shared" si="23"/>
        <v>0</v>
      </c>
      <c r="V92" s="67">
        <f t="shared" si="24"/>
        <v>0</v>
      </c>
      <c r="W92" s="100">
        <f t="shared" si="25"/>
        <v>0</v>
      </c>
    </row>
    <row r="93" spans="2:23">
      <c r="B93" s="96">
        <f>Amnt_Deposited!B88</f>
        <v>2074</v>
      </c>
      <c r="C93" s="99">
        <f>Amnt_Deposited!F88</f>
        <v>0</v>
      </c>
      <c r="D93" s="418">
        <f>Dry_Matter_Content!F80</f>
        <v>0.56999999999999995</v>
      </c>
      <c r="E93" s="284">
        <f>MCF!R92</f>
        <v>1</v>
      </c>
      <c r="F93" s="67">
        <f t="shared" si="14"/>
        <v>0</v>
      </c>
      <c r="G93" s="67">
        <f t="shared" si="15"/>
        <v>0</v>
      </c>
      <c r="H93" s="67">
        <f t="shared" si="16"/>
        <v>0</v>
      </c>
      <c r="I93" s="67">
        <f t="shared" si="17"/>
        <v>0</v>
      </c>
      <c r="J93" s="67">
        <f t="shared" si="18"/>
        <v>0</v>
      </c>
      <c r="K93" s="100">
        <f t="shared" si="20"/>
        <v>0</v>
      </c>
      <c r="O93" s="96">
        <f>Amnt_Deposited!B88</f>
        <v>2074</v>
      </c>
      <c r="P93" s="99">
        <f>Amnt_Deposited!F88</f>
        <v>0</v>
      </c>
      <c r="Q93" s="284">
        <f>MCF!R92</f>
        <v>1</v>
      </c>
      <c r="R93" s="67">
        <f t="shared" si="19"/>
        <v>0</v>
      </c>
      <c r="S93" s="67">
        <f t="shared" si="21"/>
        <v>0</v>
      </c>
      <c r="T93" s="67">
        <f t="shared" si="22"/>
        <v>0</v>
      </c>
      <c r="U93" s="67">
        <f t="shared" si="23"/>
        <v>0</v>
      </c>
      <c r="V93" s="67">
        <f t="shared" si="24"/>
        <v>0</v>
      </c>
      <c r="W93" s="100">
        <f t="shared" si="25"/>
        <v>0</v>
      </c>
    </row>
    <row r="94" spans="2:23">
      <c r="B94" s="96">
        <f>Amnt_Deposited!B89</f>
        <v>2075</v>
      </c>
      <c r="C94" s="99">
        <f>Amnt_Deposited!F89</f>
        <v>0</v>
      </c>
      <c r="D94" s="418">
        <f>Dry_Matter_Content!F81</f>
        <v>0.56999999999999995</v>
      </c>
      <c r="E94" s="284">
        <f>MCF!R93</f>
        <v>1</v>
      </c>
      <c r="F94" s="67">
        <f t="shared" si="14"/>
        <v>0</v>
      </c>
      <c r="G94" s="67">
        <f t="shared" si="15"/>
        <v>0</v>
      </c>
      <c r="H94" s="67">
        <f t="shared" si="16"/>
        <v>0</v>
      </c>
      <c r="I94" s="67">
        <f t="shared" si="17"/>
        <v>0</v>
      </c>
      <c r="J94" s="67">
        <f t="shared" si="18"/>
        <v>0</v>
      </c>
      <c r="K94" s="100">
        <f t="shared" si="20"/>
        <v>0</v>
      </c>
      <c r="O94" s="96">
        <f>Amnt_Deposited!B89</f>
        <v>2075</v>
      </c>
      <c r="P94" s="99">
        <f>Amnt_Deposited!F89</f>
        <v>0</v>
      </c>
      <c r="Q94" s="284">
        <f>MCF!R93</f>
        <v>1</v>
      </c>
      <c r="R94" s="67">
        <f t="shared" si="19"/>
        <v>0</v>
      </c>
      <c r="S94" s="67">
        <f t="shared" si="21"/>
        <v>0</v>
      </c>
      <c r="T94" s="67">
        <f t="shared" si="22"/>
        <v>0</v>
      </c>
      <c r="U94" s="67">
        <f t="shared" si="23"/>
        <v>0</v>
      </c>
      <c r="V94" s="67">
        <f t="shared" si="24"/>
        <v>0</v>
      </c>
      <c r="W94" s="100">
        <f t="shared" si="25"/>
        <v>0</v>
      </c>
    </row>
    <row r="95" spans="2:23">
      <c r="B95" s="96">
        <f>Amnt_Deposited!B90</f>
        <v>2076</v>
      </c>
      <c r="C95" s="99">
        <f>Amnt_Deposited!F90</f>
        <v>0</v>
      </c>
      <c r="D95" s="418">
        <f>Dry_Matter_Content!F82</f>
        <v>0.56999999999999995</v>
      </c>
      <c r="E95" s="284">
        <f>MCF!R94</f>
        <v>1</v>
      </c>
      <c r="F95" s="67">
        <f t="shared" si="14"/>
        <v>0</v>
      </c>
      <c r="G95" s="67">
        <f t="shared" si="15"/>
        <v>0</v>
      </c>
      <c r="H95" s="67">
        <f t="shared" si="16"/>
        <v>0</v>
      </c>
      <c r="I95" s="67">
        <f t="shared" si="17"/>
        <v>0</v>
      </c>
      <c r="J95" s="67">
        <f t="shared" si="18"/>
        <v>0</v>
      </c>
      <c r="K95" s="100">
        <f t="shared" si="20"/>
        <v>0</v>
      </c>
      <c r="O95" s="96">
        <f>Amnt_Deposited!B90</f>
        <v>2076</v>
      </c>
      <c r="P95" s="99">
        <f>Amnt_Deposited!F90</f>
        <v>0</v>
      </c>
      <c r="Q95" s="284">
        <f>MCF!R94</f>
        <v>1</v>
      </c>
      <c r="R95" s="67">
        <f t="shared" si="19"/>
        <v>0</v>
      </c>
      <c r="S95" s="67">
        <f t="shared" si="21"/>
        <v>0</v>
      </c>
      <c r="T95" s="67">
        <f t="shared" si="22"/>
        <v>0</v>
      </c>
      <c r="U95" s="67">
        <f t="shared" si="23"/>
        <v>0</v>
      </c>
      <c r="V95" s="67">
        <f t="shared" si="24"/>
        <v>0</v>
      </c>
      <c r="W95" s="100">
        <f t="shared" si="25"/>
        <v>0</v>
      </c>
    </row>
    <row r="96" spans="2:23">
      <c r="B96" s="96">
        <f>Amnt_Deposited!B91</f>
        <v>2077</v>
      </c>
      <c r="C96" s="99">
        <f>Amnt_Deposited!F91</f>
        <v>0</v>
      </c>
      <c r="D96" s="418">
        <f>Dry_Matter_Content!F83</f>
        <v>0.56999999999999995</v>
      </c>
      <c r="E96" s="284">
        <f>MCF!R95</f>
        <v>1</v>
      </c>
      <c r="F96" s="67">
        <f t="shared" si="14"/>
        <v>0</v>
      </c>
      <c r="G96" s="67">
        <f t="shared" si="15"/>
        <v>0</v>
      </c>
      <c r="H96" s="67">
        <f t="shared" si="16"/>
        <v>0</v>
      </c>
      <c r="I96" s="67">
        <f t="shared" si="17"/>
        <v>0</v>
      </c>
      <c r="J96" s="67">
        <f t="shared" si="18"/>
        <v>0</v>
      </c>
      <c r="K96" s="100">
        <f t="shared" si="20"/>
        <v>0</v>
      </c>
      <c r="O96" s="96">
        <f>Amnt_Deposited!B91</f>
        <v>2077</v>
      </c>
      <c r="P96" s="99">
        <f>Amnt_Deposited!F91</f>
        <v>0</v>
      </c>
      <c r="Q96" s="284">
        <f>MCF!R95</f>
        <v>1</v>
      </c>
      <c r="R96" s="67">
        <f t="shared" si="19"/>
        <v>0</v>
      </c>
      <c r="S96" s="67">
        <f t="shared" si="21"/>
        <v>0</v>
      </c>
      <c r="T96" s="67">
        <f t="shared" si="22"/>
        <v>0</v>
      </c>
      <c r="U96" s="67">
        <f t="shared" si="23"/>
        <v>0</v>
      </c>
      <c r="V96" s="67">
        <f t="shared" si="24"/>
        <v>0</v>
      </c>
      <c r="W96" s="100">
        <f t="shared" si="25"/>
        <v>0</v>
      </c>
    </row>
    <row r="97" spans="2:23">
      <c r="B97" s="96">
        <f>Amnt_Deposited!B92</f>
        <v>2078</v>
      </c>
      <c r="C97" s="99">
        <f>Amnt_Deposited!F92</f>
        <v>0</v>
      </c>
      <c r="D97" s="418">
        <f>Dry_Matter_Content!F84</f>
        <v>0.56999999999999995</v>
      </c>
      <c r="E97" s="284">
        <f>MCF!R96</f>
        <v>1</v>
      </c>
      <c r="F97" s="67">
        <f t="shared" si="14"/>
        <v>0</v>
      </c>
      <c r="G97" s="67">
        <f t="shared" si="15"/>
        <v>0</v>
      </c>
      <c r="H97" s="67">
        <f t="shared" si="16"/>
        <v>0</v>
      </c>
      <c r="I97" s="67">
        <f t="shared" si="17"/>
        <v>0</v>
      </c>
      <c r="J97" s="67">
        <f t="shared" si="18"/>
        <v>0</v>
      </c>
      <c r="K97" s="100">
        <f t="shared" si="20"/>
        <v>0</v>
      </c>
      <c r="O97" s="96">
        <f>Amnt_Deposited!B92</f>
        <v>2078</v>
      </c>
      <c r="P97" s="99">
        <f>Amnt_Deposited!F92</f>
        <v>0</v>
      </c>
      <c r="Q97" s="284">
        <f>MCF!R96</f>
        <v>1</v>
      </c>
      <c r="R97" s="67">
        <f t="shared" si="19"/>
        <v>0</v>
      </c>
      <c r="S97" s="67">
        <f t="shared" si="21"/>
        <v>0</v>
      </c>
      <c r="T97" s="67">
        <f t="shared" si="22"/>
        <v>0</v>
      </c>
      <c r="U97" s="67">
        <f t="shared" si="23"/>
        <v>0</v>
      </c>
      <c r="V97" s="67">
        <f t="shared" si="24"/>
        <v>0</v>
      </c>
      <c r="W97" s="100">
        <f t="shared" si="25"/>
        <v>0</v>
      </c>
    </row>
    <row r="98" spans="2:23">
      <c r="B98" s="96">
        <f>Amnt_Deposited!B93</f>
        <v>2079</v>
      </c>
      <c r="C98" s="99">
        <f>Amnt_Deposited!F93</f>
        <v>0</v>
      </c>
      <c r="D98" s="418">
        <f>Dry_Matter_Content!F85</f>
        <v>0.56999999999999995</v>
      </c>
      <c r="E98" s="284">
        <f>MCF!R97</f>
        <v>1</v>
      </c>
      <c r="F98" s="67">
        <f t="shared" si="14"/>
        <v>0</v>
      </c>
      <c r="G98" s="67">
        <f t="shared" si="15"/>
        <v>0</v>
      </c>
      <c r="H98" s="67">
        <f t="shared" si="16"/>
        <v>0</v>
      </c>
      <c r="I98" s="67">
        <f t="shared" si="17"/>
        <v>0</v>
      </c>
      <c r="J98" s="67">
        <f t="shared" si="18"/>
        <v>0</v>
      </c>
      <c r="K98" s="100">
        <f t="shared" si="20"/>
        <v>0</v>
      </c>
      <c r="O98" s="96">
        <f>Amnt_Deposited!B93</f>
        <v>2079</v>
      </c>
      <c r="P98" s="99">
        <f>Amnt_Deposited!F93</f>
        <v>0</v>
      </c>
      <c r="Q98" s="284">
        <f>MCF!R97</f>
        <v>1</v>
      </c>
      <c r="R98" s="67">
        <f t="shared" si="19"/>
        <v>0</v>
      </c>
      <c r="S98" s="67">
        <f t="shared" si="21"/>
        <v>0</v>
      </c>
      <c r="T98" s="67">
        <f t="shared" si="22"/>
        <v>0</v>
      </c>
      <c r="U98" s="67">
        <f t="shared" si="23"/>
        <v>0</v>
      </c>
      <c r="V98" s="67">
        <f t="shared" si="24"/>
        <v>0</v>
      </c>
      <c r="W98" s="100">
        <f t="shared" si="25"/>
        <v>0</v>
      </c>
    </row>
    <row r="99" spans="2:23" ht="13.5" thickBot="1">
      <c r="B99" s="97">
        <f>Amnt_Deposited!B94</f>
        <v>2080</v>
      </c>
      <c r="C99" s="101">
        <f>Amnt_Deposited!F94</f>
        <v>0</v>
      </c>
      <c r="D99" s="419">
        <f>Dry_Matter_Content!F86</f>
        <v>0.56999999999999995</v>
      </c>
      <c r="E99" s="285">
        <f>MCF!R98</f>
        <v>1</v>
      </c>
      <c r="F99" s="68">
        <f t="shared" si="14"/>
        <v>0</v>
      </c>
      <c r="G99" s="68">
        <f t="shared" si="15"/>
        <v>0</v>
      </c>
      <c r="H99" s="68">
        <f t="shared" si="16"/>
        <v>0</v>
      </c>
      <c r="I99" s="68">
        <f t="shared" si="17"/>
        <v>0</v>
      </c>
      <c r="J99" s="68">
        <f t="shared" si="18"/>
        <v>0</v>
      </c>
      <c r="K99" s="102">
        <f t="shared" si="20"/>
        <v>0</v>
      </c>
      <c r="O99" s="97">
        <f>Amnt_Deposited!B94</f>
        <v>2080</v>
      </c>
      <c r="P99" s="101">
        <f>Amnt_Deposited!F94</f>
        <v>0</v>
      </c>
      <c r="Q99" s="285">
        <f>MCF!R98</f>
        <v>1</v>
      </c>
      <c r="R99" s="68">
        <f t="shared" si="19"/>
        <v>0</v>
      </c>
      <c r="S99" s="68">
        <f>R99*$W$12</f>
        <v>0</v>
      </c>
      <c r="T99" s="68">
        <f>R99*(1-$W$12)</f>
        <v>0</v>
      </c>
      <c r="U99" s="68">
        <f>S99+U98*$W$10</f>
        <v>0</v>
      </c>
      <c r="V99" s="68">
        <f>U98*(1-$W$10)+T99</f>
        <v>0</v>
      </c>
      <c r="W99" s="102">
        <f t="shared" si="25"/>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K8" sqref="K8"/>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311</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415">
        <f>Parameters!O20</f>
        <v>0.5</v>
      </c>
      <c r="O6" s="230"/>
      <c r="P6" s="231"/>
      <c r="Q6" s="222"/>
      <c r="R6" s="108" t="s">
        <v>9</v>
      </c>
      <c r="S6" s="109"/>
      <c r="T6" s="109"/>
      <c r="U6" s="113"/>
      <c r="V6" s="120" t="s">
        <v>9</v>
      </c>
      <c r="W6" s="261">
        <f>Parameters!R20</f>
        <v>0.43</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Parameters!O39</f>
        <v>3.5000000000000003E-2</v>
      </c>
      <c r="O8" s="47"/>
      <c r="P8" s="47"/>
      <c r="Q8" s="222"/>
      <c r="R8" s="108" t="s">
        <v>192</v>
      </c>
      <c r="S8" s="109"/>
      <c r="T8" s="109"/>
      <c r="U8" s="113"/>
      <c r="V8" s="120" t="s">
        <v>188</v>
      </c>
      <c r="W8" s="114">
        <f>Parameters!O39</f>
        <v>3.5000000000000003E-2</v>
      </c>
    </row>
    <row r="9" spans="1:23" ht="15.75">
      <c r="F9" s="247" t="s">
        <v>190</v>
      </c>
      <c r="G9" s="248"/>
      <c r="H9" s="248"/>
      <c r="I9" s="249"/>
      <c r="J9" s="250" t="s">
        <v>189</v>
      </c>
      <c r="K9" s="256">
        <f>LN(2)/$K$8</f>
        <v>19.804205158855577</v>
      </c>
      <c r="O9" s="47"/>
      <c r="P9" s="47"/>
      <c r="Q9" s="222"/>
      <c r="R9" s="247" t="s">
        <v>190</v>
      </c>
      <c r="S9" s="248"/>
      <c r="T9" s="248"/>
      <c r="U9" s="249"/>
      <c r="V9" s="250" t="s">
        <v>189</v>
      </c>
      <c r="W9" s="256">
        <f>LN(2)/$W$8</f>
        <v>19.804205158855577</v>
      </c>
    </row>
    <row r="10" spans="1:23">
      <c r="F10" s="110" t="s">
        <v>84</v>
      </c>
      <c r="G10" s="111"/>
      <c r="H10" s="111"/>
      <c r="I10" s="112"/>
      <c r="J10" s="121" t="s">
        <v>148</v>
      </c>
      <c r="K10" s="49">
        <f>EXP(-$K$8)</f>
        <v>0.96560541625756646</v>
      </c>
      <c r="O10" s="47"/>
      <c r="P10" s="47"/>
      <c r="Q10" s="222"/>
      <c r="R10" s="110" t="s">
        <v>84</v>
      </c>
      <c r="S10" s="111"/>
      <c r="T10" s="111"/>
      <c r="U10" s="112"/>
      <c r="V10" s="121" t="s">
        <v>148</v>
      </c>
      <c r="W10" s="49">
        <f>EXP(-$W$8)</f>
        <v>0.96560541625756646</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Amnt_Deposited!F14</f>
        <v>0</v>
      </c>
      <c r="D19" s="416">
        <f>Dry_Matter_Content!G6</f>
        <v>0.56999999999999995</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Amnt_Deposited!G14</f>
        <v>0.80865815936399987</v>
      </c>
      <c r="Q19" s="283">
        <f>MCF!R18</f>
        <v>1</v>
      </c>
      <c r="R19" s="130">
        <f t="shared" ref="R19:R82" si="5">P19*$W$6*DOCF*Q19</f>
        <v>0.17386150426325997</v>
      </c>
      <c r="S19" s="65">
        <f>R19*$W$12</f>
        <v>0.17386150426325997</v>
      </c>
      <c r="T19" s="65">
        <f>R19*(1-$W$12)</f>
        <v>0</v>
      </c>
      <c r="U19" s="65">
        <f>S19+U18*$W$10</f>
        <v>0.17386150426325997</v>
      </c>
      <c r="V19" s="65">
        <f>U18*(1-$W$10)+T19</f>
        <v>0</v>
      </c>
      <c r="W19" s="66">
        <f>V19*CH4_fraction*conv</f>
        <v>0</v>
      </c>
    </row>
    <row r="20" spans="2:23">
      <c r="B20" s="96">
        <f>Amnt_Deposited!B15</f>
        <v>2001</v>
      </c>
      <c r="C20" s="99">
        <f>Amnt_Deposited!F15</f>
        <v>0</v>
      </c>
      <c r="D20" s="418">
        <f>Dry_Matter_Content!G7</f>
        <v>0.56999999999999995</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Amnt_Deposited!G15</f>
        <v>0.853518590892</v>
      </c>
      <c r="Q20" s="284">
        <f>MCF!R19</f>
        <v>1</v>
      </c>
      <c r="R20" s="67">
        <f t="shared" si="5"/>
        <v>0.18350649704177999</v>
      </c>
      <c r="S20" s="67">
        <f>R20*$W$12</f>
        <v>0.18350649704177999</v>
      </c>
      <c r="T20" s="67">
        <f>R20*(1-$W$12)</f>
        <v>0</v>
      </c>
      <c r="U20" s="67">
        <f>S20+U19*$W$10</f>
        <v>0.35138810723707181</v>
      </c>
      <c r="V20" s="67">
        <f>U19*(1-$W$10)+T20</f>
        <v>5.979894067968161E-3</v>
      </c>
      <c r="W20" s="100">
        <f>V20*CH4_fraction*conv</f>
        <v>3.9865960453121067E-3</v>
      </c>
    </row>
    <row r="21" spans="2:23">
      <c r="B21" s="96">
        <f>Amnt_Deposited!B16</f>
        <v>2002</v>
      </c>
      <c r="C21" s="99">
        <f>Amnt_Deposited!F16</f>
        <v>0</v>
      </c>
      <c r="D21" s="418">
        <f>Dry_Matter_Content!G8</f>
        <v>0.56999999999999995</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Amnt_Deposited!G16</f>
        <v>0.90180758210400003</v>
      </c>
      <c r="Q21" s="284">
        <f>MCF!R20</f>
        <v>1</v>
      </c>
      <c r="R21" s="67">
        <f t="shared" si="5"/>
        <v>0.19388863015235999</v>
      </c>
      <c r="S21" s="67">
        <f t="shared" ref="S21:S84" si="7">R21*$W$12</f>
        <v>0.19388863015235999</v>
      </c>
      <c r="T21" s="67">
        <f t="shared" ref="T21:T84" si="8">R21*(1-$W$12)</f>
        <v>0</v>
      </c>
      <c r="U21" s="67">
        <f t="shared" ref="U21:U84" si="9">S21+U20*$W$10</f>
        <v>0.53319088970897111</v>
      </c>
      <c r="V21" s="67">
        <f t="shared" ref="V21:V84" si="10">U20*(1-$W$10)+T21</f>
        <v>1.2085847680460683E-2</v>
      </c>
      <c r="W21" s="100">
        <f t="shared" ref="W21:W84" si="11">V21*CH4_fraction*conv</f>
        <v>8.057231786973788E-3</v>
      </c>
    </row>
    <row r="22" spans="2:23">
      <c r="B22" s="96">
        <f>Amnt_Deposited!B17</f>
        <v>2003</v>
      </c>
      <c r="C22" s="99">
        <f>Amnt_Deposited!F17</f>
        <v>0</v>
      </c>
      <c r="D22" s="418">
        <f>Dry_Matter_Content!G9</f>
        <v>0.56999999999999995</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Amnt_Deposited!G17</f>
        <v>0.91831699198800021</v>
      </c>
      <c r="Q22" s="284">
        <f>MCF!R21</f>
        <v>1</v>
      </c>
      <c r="R22" s="67">
        <f t="shared" si="5"/>
        <v>0.19743815327742004</v>
      </c>
      <c r="S22" s="67">
        <f t="shared" si="7"/>
        <v>0.19743815327742004</v>
      </c>
      <c r="T22" s="67">
        <f t="shared" si="8"/>
        <v>0</v>
      </c>
      <c r="U22" s="67">
        <f t="shared" si="9"/>
        <v>0.71229016427959335</v>
      </c>
      <c r="V22" s="67">
        <f t="shared" si="10"/>
        <v>1.8338878706797852E-2</v>
      </c>
      <c r="W22" s="100">
        <f t="shared" si="11"/>
        <v>1.2225919137865235E-2</v>
      </c>
    </row>
    <row r="23" spans="2:23">
      <c r="B23" s="96">
        <f>Amnt_Deposited!B18</f>
        <v>2004</v>
      </c>
      <c r="C23" s="99">
        <f>Amnt_Deposited!F18</f>
        <v>0</v>
      </c>
      <c r="D23" s="418">
        <f>Dry_Matter_Content!G10</f>
        <v>0.56999999999999995</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Amnt_Deposited!G18</f>
        <v>0.968884804998</v>
      </c>
      <c r="Q23" s="284">
        <f>MCF!R22</f>
        <v>1</v>
      </c>
      <c r="R23" s="67">
        <f t="shared" si="5"/>
        <v>0.20831023307457</v>
      </c>
      <c r="S23" s="67">
        <f t="shared" si="7"/>
        <v>0.20831023307457</v>
      </c>
      <c r="T23" s="67">
        <f t="shared" si="8"/>
        <v>0</v>
      </c>
      <c r="U23" s="67">
        <f t="shared" si="9"/>
        <v>0.89610147364993709</v>
      </c>
      <c r="V23" s="67">
        <f t="shared" si="10"/>
        <v>2.4498923704226214E-2</v>
      </c>
      <c r="W23" s="100">
        <f t="shared" si="11"/>
        <v>1.6332615802817474E-2</v>
      </c>
    </row>
    <row r="24" spans="2:23">
      <c r="B24" s="96">
        <f>Amnt_Deposited!B19</f>
        <v>2005</v>
      </c>
      <c r="C24" s="99">
        <f>Amnt_Deposited!F19</f>
        <v>0</v>
      </c>
      <c r="D24" s="418">
        <f>Dry_Matter_Content!G11</f>
        <v>0.56999999999999995</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Amnt_Deposited!G19</f>
        <v>1.0385644286160001</v>
      </c>
      <c r="Q24" s="284">
        <f>MCF!R23</f>
        <v>1</v>
      </c>
      <c r="R24" s="67">
        <f t="shared" si="5"/>
        <v>0.22329135215244</v>
      </c>
      <c r="S24" s="67">
        <f t="shared" si="7"/>
        <v>0.22329135215244</v>
      </c>
      <c r="T24" s="67">
        <f t="shared" si="8"/>
        <v>0</v>
      </c>
      <c r="U24" s="67">
        <f t="shared" si="9"/>
        <v>1.0885717886252062</v>
      </c>
      <c r="V24" s="67">
        <f t="shared" si="10"/>
        <v>3.082103717717086E-2</v>
      </c>
      <c r="W24" s="100">
        <f t="shared" si="11"/>
        <v>2.0547358118113906E-2</v>
      </c>
    </row>
    <row r="25" spans="2:23">
      <c r="B25" s="96">
        <f>Amnt_Deposited!B20</f>
        <v>2006</v>
      </c>
      <c r="C25" s="99">
        <f>Amnt_Deposited!F20</f>
        <v>0</v>
      </c>
      <c r="D25" s="418">
        <f>Dry_Matter_Content!G12</f>
        <v>0.56999999999999995</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Amnt_Deposited!G20</f>
        <v>1.0808293440779999</v>
      </c>
      <c r="Q25" s="284">
        <f>MCF!R24</f>
        <v>1</v>
      </c>
      <c r="R25" s="67">
        <f t="shared" si="5"/>
        <v>0.23237830897676998</v>
      </c>
      <c r="S25" s="67">
        <f t="shared" si="7"/>
        <v>0.23237830897676998</v>
      </c>
      <c r="T25" s="67">
        <f t="shared" si="8"/>
        <v>0</v>
      </c>
      <c r="U25" s="67">
        <f t="shared" si="9"/>
        <v>1.2835091240584557</v>
      </c>
      <c r="V25" s="67">
        <f t="shared" si="10"/>
        <v>3.7440973543520314E-2</v>
      </c>
      <c r="W25" s="100">
        <f t="shared" si="11"/>
        <v>2.4960649029013543E-2</v>
      </c>
    </row>
    <row r="26" spans="2:23">
      <c r="B26" s="96">
        <f>Amnt_Deposited!B21</f>
        <v>2007</v>
      </c>
      <c r="C26" s="99">
        <f>Amnt_Deposited!F21</f>
        <v>0</v>
      </c>
      <c r="D26" s="418">
        <f>Dry_Matter_Content!G13</f>
        <v>0.56999999999999995</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Amnt_Deposited!G21</f>
        <v>1.1243266133220002</v>
      </c>
      <c r="Q26" s="284">
        <f>MCF!R25</f>
        <v>1</v>
      </c>
      <c r="R26" s="67">
        <f t="shared" si="5"/>
        <v>0.24173022186423004</v>
      </c>
      <c r="S26" s="67">
        <f t="shared" si="7"/>
        <v>0.24173022186423004</v>
      </c>
      <c r="T26" s="67">
        <f t="shared" si="8"/>
        <v>0</v>
      </c>
      <c r="U26" s="67">
        <f t="shared" si="9"/>
        <v>1.4810935838710797</v>
      </c>
      <c r="V26" s="67">
        <f t="shared" si="10"/>
        <v>4.4145762051606072E-2</v>
      </c>
      <c r="W26" s="100">
        <f t="shared" si="11"/>
        <v>2.9430508034404047E-2</v>
      </c>
    </row>
    <row r="27" spans="2:23">
      <c r="B27" s="96">
        <f>Amnt_Deposited!B22</f>
        <v>2008</v>
      </c>
      <c r="C27" s="99">
        <f>Amnt_Deposited!F22</f>
        <v>0</v>
      </c>
      <c r="D27" s="418">
        <f>Dry_Matter_Content!G14</f>
        <v>0.56999999999999995</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Amnt_Deposited!G22</f>
        <v>1.1689667357939999</v>
      </c>
      <c r="Q27" s="284">
        <f>MCF!R26</f>
        <v>1</v>
      </c>
      <c r="R27" s="67">
        <f t="shared" si="5"/>
        <v>0.25132784819570997</v>
      </c>
      <c r="S27" s="67">
        <f t="shared" si="7"/>
        <v>0.25132784819570997</v>
      </c>
      <c r="T27" s="67">
        <f t="shared" si="8"/>
        <v>0</v>
      </c>
      <c r="U27" s="67">
        <f t="shared" si="9"/>
        <v>1.6814798347659548</v>
      </c>
      <c r="V27" s="67">
        <f t="shared" si="10"/>
        <v>5.0941597300834862E-2</v>
      </c>
      <c r="W27" s="100">
        <f t="shared" si="11"/>
        <v>3.3961064867223237E-2</v>
      </c>
    </row>
    <row r="28" spans="2:23">
      <c r="B28" s="96">
        <f>Amnt_Deposited!B23</f>
        <v>2009</v>
      </c>
      <c r="C28" s="99">
        <f>Amnt_Deposited!F23</f>
        <v>0</v>
      </c>
      <c r="D28" s="418">
        <f>Dry_Matter_Content!G15</f>
        <v>0.56999999999999995</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Amnt_Deposited!G23</f>
        <v>1.214605133676</v>
      </c>
      <c r="Q28" s="284">
        <f>MCF!R27</f>
        <v>1</v>
      </c>
      <c r="R28" s="67">
        <f t="shared" si="5"/>
        <v>0.26114010374033997</v>
      </c>
      <c r="S28" s="67">
        <f t="shared" si="7"/>
        <v>0.26114010374033997</v>
      </c>
      <c r="T28" s="67">
        <f t="shared" si="8"/>
        <v>0</v>
      </c>
      <c r="U28" s="67">
        <f t="shared" si="9"/>
        <v>1.8847861395182239</v>
      </c>
      <c r="V28" s="67">
        <f t="shared" si="10"/>
        <v>5.7833798988070936E-2</v>
      </c>
      <c r="W28" s="100">
        <f t="shared" si="11"/>
        <v>3.8555865992047286E-2</v>
      </c>
    </row>
    <row r="29" spans="2:23">
      <c r="B29" s="96">
        <f>Amnt_Deposited!B24</f>
        <v>2010</v>
      </c>
      <c r="C29" s="99">
        <f>Amnt_Deposited!F24</f>
        <v>0</v>
      </c>
      <c r="D29" s="418">
        <f>Dry_Matter_Content!G16</f>
        <v>0.56999999999999995</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Amnt_Deposited!G24</f>
        <v>1.232897669982</v>
      </c>
      <c r="Q29" s="284">
        <f>MCF!R28</f>
        <v>1</v>
      </c>
      <c r="R29" s="67">
        <f t="shared" si="5"/>
        <v>0.26507299904613002</v>
      </c>
      <c r="S29" s="67">
        <f t="shared" si="7"/>
        <v>0.26507299904613002</v>
      </c>
      <c r="T29" s="67">
        <f t="shared" si="8"/>
        <v>0</v>
      </c>
      <c r="U29" s="67">
        <f t="shared" si="9"/>
        <v>2.0850327038521161</v>
      </c>
      <c r="V29" s="67">
        <f t="shared" si="10"/>
        <v>6.4826434712237577E-2</v>
      </c>
      <c r="W29" s="100">
        <f t="shared" si="11"/>
        <v>4.3217623141491718E-2</v>
      </c>
    </row>
    <row r="30" spans="2:23">
      <c r="B30" s="96">
        <f>Amnt_Deposited!B25</f>
        <v>2011</v>
      </c>
      <c r="C30" s="99">
        <f>Amnt_Deposited!F25</f>
        <v>0</v>
      </c>
      <c r="D30" s="418">
        <f>Dry_Matter_Content!G17</f>
        <v>0.56999999999999995</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Amnt_Deposited!G25</f>
        <v>1.1640454570800001</v>
      </c>
      <c r="Q30" s="284">
        <f>MCF!R29</f>
        <v>1</v>
      </c>
      <c r="R30" s="67">
        <f t="shared" si="5"/>
        <v>0.25026977327220001</v>
      </c>
      <c r="S30" s="67">
        <f t="shared" si="7"/>
        <v>0.25026977327220001</v>
      </c>
      <c r="T30" s="67">
        <f t="shared" si="8"/>
        <v>0</v>
      </c>
      <c r="U30" s="67">
        <f t="shared" si="9"/>
        <v>2.2635886451859619</v>
      </c>
      <c r="V30" s="67">
        <f t="shared" si="10"/>
        <v>7.1713831938354233E-2</v>
      </c>
      <c r="W30" s="100">
        <f t="shared" si="11"/>
        <v>4.7809221292236151E-2</v>
      </c>
    </row>
    <row r="31" spans="2:23">
      <c r="B31" s="96">
        <f>Amnt_Deposited!B26</f>
        <v>2012</v>
      </c>
      <c r="C31" s="99">
        <f>Amnt_Deposited!F26</f>
        <v>0</v>
      </c>
      <c r="D31" s="418">
        <f>Dry_Matter_Content!G18</f>
        <v>0.56999999999999995</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Amnt_Deposited!G26</f>
        <v>1.1990320372800003</v>
      </c>
      <c r="Q31" s="284">
        <f>MCF!R30</f>
        <v>1</v>
      </c>
      <c r="R31" s="67">
        <f t="shared" si="5"/>
        <v>0.25779188801520003</v>
      </c>
      <c r="S31" s="67">
        <f t="shared" si="7"/>
        <v>0.25779188801520003</v>
      </c>
      <c r="T31" s="67">
        <f t="shared" si="8"/>
        <v>0</v>
      </c>
      <c r="U31" s="67">
        <f t="shared" si="9"/>
        <v>2.4435253439858919</v>
      </c>
      <c r="V31" s="67">
        <f t="shared" si="10"/>
        <v>7.7855189215270237E-2</v>
      </c>
      <c r="W31" s="100">
        <f t="shared" si="11"/>
        <v>5.1903459476846825E-2</v>
      </c>
    </row>
    <row r="32" spans="2:23">
      <c r="B32" s="96">
        <f>Amnt_Deposited!B27</f>
        <v>2013</v>
      </c>
      <c r="C32" s="99">
        <f>Amnt_Deposited!F27</f>
        <v>0</v>
      </c>
      <c r="D32" s="418">
        <f>Dry_Matter_Content!G19</f>
        <v>0.56999999999999995</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Amnt_Deposited!G27</f>
        <v>1.2354080666400002</v>
      </c>
      <c r="Q32" s="284">
        <f>MCF!R31</f>
        <v>1</v>
      </c>
      <c r="R32" s="67">
        <f t="shared" si="5"/>
        <v>0.26561273432760008</v>
      </c>
      <c r="S32" s="67">
        <f t="shared" si="7"/>
        <v>0.26561273432760008</v>
      </c>
      <c r="T32" s="67">
        <f t="shared" si="8"/>
        <v>0</v>
      </c>
      <c r="U32" s="67">
        <f t="shared" si="9"/>
        <v>2.6250940412430106</v>
      </c>
      <c r="V32" s="67">
        <f t="shared" si="10"/>
        <v>8.404403707048147E-2</v>
      </c>
      <c r="W32" s="100">
        <f t="shared" si="11"/>
        <v>5.6029358046987644E-2</v>
      </c>
    </row>
    <row r="33" spans="2:23">
      <c r="B33" s="96">
        <f>Amnt_Deposited!B28</f>
        <v>2014</v>
      </c>
      <c r="C33" s="99">
        <f>Amnt_Deposited!F28</f>
        <v>0</v>
      </c>
      <c r="D33" s="418">
        <f>Dry_Matter_Content!G20</f>
        <v>0.56999999999999995</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Amnt_Deposited!G28</f>
        <v>1.2719280479400001</v>
      </c>
      <c r="Q33" s="284">
        <f>MCF!R32</f>
        <v>1</v>
      </c>
      <c r="R33" s="67">
        <f t="shared" si="5"/>
        <v>0.27346453030710005</v>
      </c>
      <c r="S33" s="67">
        <f t="shared" si="7"/>
        <v>0.27346453030710005</v>
      </c>
      <c r="T33" s="67">
        <f t="shared" si="8"/>
        <v>0</v>
      </c>
      <c r="U33" s="67">
        <f t="shared" si="9"/>
        <v>2.8082695547168148</v>
      </c>
      <c r="V33" s="67">
        <f t="shared" si="10"/>
        <v>9.0289016833296001E-2</v>
      </c>
      <c r="W33" s="100">
        <f t="shared" si="11"/>
        <v>6.0192677888863996E-2</v>
      </c>
    </row>
    <row r="34" spans="2:23">
      <c r="B34" s="96">
        <f>Amnt_Deposited!B29</f>
        <v>2015</v>
      </c>
      <c r="C34" s="99">
        <f>Amnt_Deposited!F29</f>
        <v>0</v>
      </c>
      <c r="D34" s="418">
        <f>Dry_Matter_Content!G21</f>
        <v>0.56999999999999995</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Amnt_Deposited!G29</f>
        <v>1.3074153305400003</v>
      </c>
      <c r="Q34" s="284">
        <f>MCF!R33</f>
        <v>1</v>
      </c>
      <c r="R34" s="67">
        <f t="shared" si="5"/>
        <v>0.28109429606610004</v>
      </c>
      <c r="S34" s="67">
        <f t="shared" si="7"/>
        <v>0.28109429606610004</v>
      </c>
      <c r="T34" s="67">
        <f t="shared" si="8"/>
        <v>0</v>
      </c>
      <c r="U34" s="67">
        <f t="shared" si="9"/>
        <v>2.9927745884118808</v>
      </c>
      <c r="V34" s="67">
        <f t="shared" si="10"/>
        <v>9.6589262371034032E-2</v>
      </c>
      <c r="W34" s="100">
        <f t="shared" si="11"/>
        <v>6.439284158068935E-2</v>
      </c>
    </row>
    <row r="35" spans="2:23">
      <c r="B35" s="96">
        <f>Amnt_Deposited!B30</f>
        <v>2016</v>
      </c>
      <c r="C35" s="99">
        <f>Amnt_Deposited!F30</f>
        <v>0</v>
      </c>
      <c r="D35" s="418">
        <f>Dry_Matter_Content!G22</f>
        <v>0.56999999999999995</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Amnt_Deposited!G30</f>
        <v>1.3445611898400003</v>
      </c>
      <c r="Q35" s="284">
        <f>MCF!R34</f>
        <v>1</v>
      </c>
      <c r="R35" s="67">
        <f t="shared" si="5"/>
        <v>0.28908065581560005</v>
      </c>
      <c r="S35" s="67">
        <f t="shared" si="7"/>
        <v>0.28908065581560005</v>
      </c>
      <c r="T35" s="67">
        <f t="shared" si="8"/>
        <v>0</v>
      </c>
      <c r="U35" s="67">
        <f t="shared" si="9"/>
        <v>3.1789200080241216</v>
      </c>
      <c r="V35" s="67">
        <f t="shared" si="10"/>
        <v>0.1029352362033595</v>
      </c>
      <c r="W35" s="100">
        <f t="shared" si="11"/>
        <v>6.8623490802239659E-2</v>
      </c>
    </row>
    <row r="36" spans="2:23">
      <c r="B36" s="96">
        <f>Amnt_Deposited!B31</f>
        <v>2017</v>
      </c>
      <c r="C36" s="99">
        <f>Amnt_Deposited!F31</f>
        <v>0</v>
      </c>
      <c r="D36" s="418">
        <f>Dry_Matter_Content!G23</f>
        <v>0.56999999999999995</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Amnt_Deposited!G31</f>
        <v>1.3913217869760002</v>
      </c>
      <c r="Q36" s="284">
        <f>MCF!R35</f>
        <v>1</v>
      </c>
      <c r="R36" s="67">
        <f t="shared" si="5"/>
        <v>0.29913418419984006</v>
      </c>
      <c r="S36" s="67">
        <f t="shared" si="7"/>
        <v>0.29913418419984006</v>
      </c>
      <c r="T36" s="67">
        <f t="shared" si="8"/>
        <v>0</v>
      </c>
      <c r="U36" s="67">
        <f t="shared" si="9"/>
        <v>3.3687165617974788</v>
      </c>
      <c r="V36" s="67">
        <f t="shared" si="10"/>
        <v>0.10933763042648315</v>
      </c>
      <c r="W36" s="100">
        <f t="shared" si="11"/>
        <v>7.289175361765543E-2</v>
      </c>
    </row>
    <row r="37" spans="2:23">
      <c r="B37" s="96">
        <f>Amnt_Deposited!B32</f>
        <v>2018</v>
      </c>
      <c r="C37" s="99">
        <f>Amnt_Deposited!F32</f>
        <v>0</v>
      </c>
      <c r="D37" s="418">
        <f>Dry_Matter_Content!G24</f>
        <v>0.56999999999999995</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Amnt_Deposited!G32</f>
        <v>1.4295247542179998</v>
      </c>
      <c r="Q37" s="284">
        <f>MCF!R36</f>
        <v>1</v>
      </c>
      <c r="R37" s="67">
        <f t="shared" si="5"/>
        <v>0.30734782215686995</v>
      </c>
      <c r="S37" s="67">
        <f t="shared" si="7"/>
        <v>0.30734782215686995</v>
      </c>
      <c r="T37" s="67">
        <f t="shared" si="8"/>
        <v>0</v>
      </c>
      <c r="U37" s="67">
        <f t="shared" si="9"/>
        <v>3.5601987800650825</v>
      </c>
      <c r="V37" s="67">
        <f t="shared" si="10"/>
        <v>0.11586560388926617</v>
      </c>
      <c r="W37" s="100">
        <f t="shared" si="11"/>
        <v>7.7243735926177448E-2</v>
      </c>
    </row>
    <row r="38" spans="2:23">
      <c r="B38" s="96">
        <f>Amnt_Deposited!B33</f>
        <v>2019</v>
      </c>
      <c r="C38" s="99">
        <f>Amnt_Deposited!F33</f>
        <v>0</v>
      </c>
      <c r="D38" s="418">
        <f>Dry_Matter_Content!G25</f>
        <v>0.56999999999999995</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Amnt_Deposited!G33</f>
        <v>1.4677277214600002</v>
      </c>
      <c r="Q38" s="284">
        <f>MCF!R37</f>
        <v>1</v>
      </c>
      <c r="R38" s="67">
        <f t="shared" si="5"/>
        <v>0.31556146011390002</v>
      </c>
      <c r="S38" s="67">
        <f t="shared" si="7"/>
        <v>0.31556146011390002</v>
      </c>
      <c r="T38" s="67">
        <f t="shared" si="8"/>
        <v>0</v>
      </c>
      <c r="U38" s="67">
        <f t="shared" si="9"/>
        <v>3.7533086850983244</v>
      </c>
      <c r="V38" s="67">
        <f t="shared" si="10"/>
        <v>0.12245155508065821</v>
      </c>
      <c r="W38" s="100">
        <f t="shared" si="11"/>
        <v>8.1634370053772137E-2</v>
      </c>
    </row>
    <row r="39" spans="2:23">
      <c r="B39" s="96">
        <f>Amnt_Deposited!B34</f>
        <v>2020</v>
      </c>
      <c r="C39" s="99">
        <f>Amnt_Deposited!F34</f>
        <v>0</v>
      </c>
      <c r="D39" s="418">
        <f>Dry_Matter_Content!G26</f>
        <v>0.56999999999999995</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Amnt_Deposited!G34</f>
        <v>1.5059306887019999</v>
      </c>
      <c r="Q39" s="284">
        <f>MCF!R38</f>
        <v>1</v>
      </c>
      <c r="R39" s="67">
        <f t="shared" si="5"/>
        <v>0.32377509807092997</v>
      </c>
      <c r="S39" s="67">
        <f t="shared" si="7"/>
        <v>0.32377509807092997</v>
      </c>
      <c r="T39" s="67">
        <f t="shared" si="8"/>
        <v>0</v>
      </c>
      <c r="U39" s="67">
        <f t="shared" si="9"/>
        <v>3.947990293288437</v>
      </c>
      <c r="V39" s="67">
        <f t="shared" si="10"/>
        <v>0.12909348988081742</v>
      </c>
      <c r="W39" s="100">
        <f t="shared" si="11"/>
        <v>8.6062326587211607E-2</v>
      </c>
    </row>
    <row r="40" spans="2:23">
      <c r="B40" s="96">
        <f>Amnt_Deposited!B35</f>
        <v>2021</v>
      </c>
      <c r="C40" s="99">
        <f>Amnt_Deposited!F35</f>
        <v>0</v>
      </c>
      <c r="D40" s="418">
        <f>Dry_Matter_Content!G27</f>
        <v>0.56999999999999995</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Amnt_Deposited!G35</f>
        <v>1.544133655944</v>
      </c>
      <c r="Q40" s="284">
        <f>MCF!R39</f>
        <v>1</v>
      </c>
      <c r="R40" s="67">
        <f t="shared" si="5"/>
        <v>0.33198873602795997</v>
      </c>
      <c r="S40" s="67">
        <f t="shared" si="7"/>
        <v>0.33198873602795997</v>
      </c>
      <c r="T40" s="67">
        <f t="shared" si="8"/>
        <v>0</v>
      </c>
      <c r="U40" s="67">
        <f t="shared" si="9"/>
        <v>4.1441895465595735</v>
      </c>
      <c r="V40" s="67">
        <f t="shared" si="10"/>
        <v>0.1357894827568239</v>
      </c>
      <c r="W40" s="100">
        <f t="shared" si="11"/>
        <v>9.052632183788259E-2</v>
      </c>
    </row>
    <row r="41" spans="2:23">
      <c r="B41" s="96">
        <f>Amnt_Deposited!B36</f>
        <v>2022</v>
      </c>
      <c r="C41" s="99">
        <f>Amnt_Deposited!F36</f>
        <v>0</v>
      </c>
      <c r="D41" s="418">
        <f>Dry_Matter_Content!G28</f>
        <v>0.56999999999999995</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Amnt_Deposited!G36</f>
        <v>1.5823366231859999</v>
      </c>
      <c r="Q41" s="284">
        <f>MCF!R40</f>
        <v>1</v>
      </c>
      <c r="R41" s="67">
        <f t="shared" si="5"/>
        <v>0.34020237398498998</v>
      </c>
      <c r="S41" s="67">
        <f t="shared" si="7"/>
        <v>0.34020237398498998</v>
      </c>
      <c r="T41" s="67">
        <f t="shared" si="8"/>
        <v>0</v>
      </c>
      <c r="U41" s="67">
        <f t="shared" si="9"/>
        <v>4.3418542461409029</v>
      </c>
      <c r="V41" s="67">
        <f t="shared" si="10"/>
        <v>0.14253767440366091</v>
      </c>
      <c r="W41" s="100">
        <f t="shared" si="11"/>
        <v>9.5025116269107271E-2</v>
      </c>
    </row>
    <row r="42" spans="2:23">
      <c r="B42" s="96">
        <f>Amnt_Deposited!B37</f>
        <v>2023</v>
      </c>
      <c r="C42" s="99">
        <f>Amnt_Deposited!F37</f>
        <v>0</v>
      </c>
      <c r="D42" s="418">
        <f>Dry_Matter_Content!G29</f>
        <v>0.56999999999999995</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Amnt_Deposited!G37</f>
        <v>1.620539590428</v>
      </c>
      <c r="Q42" s="284">
        <f>MCF!R41</f>
        <v>1</v>
      </c>
      <c r="R42" s="67">
        <f t="shared" si="5"/>
        <v>0.34841601194201999</v>
      </c>
      <c r="S42" s="67">
        <f t="shared" si="7"/>
        <v>0.34841601194201999</v>
      </c>
      <c r="T42" s="67">
        <f t="shared" si="8"/>
        <v>0</v>
      </c>
      <c r="U42" s="67">
        <f t="shared" si="9"/>
        <v>4.5409339886165894</v>
      </c>
      <c r="V42" s="67">
        <f t="shared" si="10"/>
        <v>0.14933626946633391</v>
      </c>
      <c r="W42" s="100">
        <f t="shared" si="11"/>
        <v>9.955751297755594E-2</v>
      </c>
    </row>
    <row r="43" spans="2:23">
      <c r="B43" s="96">
        <f>Amnt_Deposited!B38</f>
        <v>2024</v>
      </c>
      <c r="C43" s="99">
        <f>Amnt_Deposited!F38</f>
        <v>0</v>
      </c>
      <c r="D43" s="418">
        <f>Dry_Matter_Content!G30</f>
        <v>0.56999999999999995</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Amnt_Deposited!G38</f>
        <v>1.6587425576700001</v>
      </c>
      <c r="Q43" s="284">
        <f>MCF!R42</f>
        <v>1</v>
      </c>
      <c r="R43" s="67">
        <f t="shared" si="5"/>
        <v>0.35662964989904999</v>
      </c>
      <c r="S43" s="67">
        <f t="shared" si="7"/>
        <v>0.35662964989904999</v>
      </c>
      <c r="T43" s="67">
        <f t="shared" si="8"/>
        <v>0</v>
      </c>
      <c r="U43" s="67">
        <f t="shared" si="9"/>
        <v>4.7413801041753034</v>
      </c>
      <c r="V43" s="67">
        <f t="shared" si="10"/>
        <v>0.15618353434033602</v>
      </c>
      <c r="W43" s="100">
        <f t="shared" si="11"/>
        <v>0.10412235622689067</v>
      </c>
    </row>
    <row r="44" spans="2:23">
      <c r="B44" s="96">
        <f>Amnt_Deposited!B39</f>
        <v>2025</v>
      </c>
      <c r="C44" s="99">
        <f>Amnt_Deposited!F39</f>
        <v>0</v>
      </c>
      <c r="D44" s="418">
        <f>Dry_Matter_Content!G31</f>
        <v>0.56999999999999995</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Amnt_Deposited!G39</f>
        <v>1.6969455249120002</v>
      </c>
      <c r="Q44" s="284">
        <f>MCF!R43</f>
        <v>1</v>
      </c>
      <c r="R44" s="67">
        <f t="shared" si="5"/>
        <v>0.36484328785608006</v>
      </c>
      <c r="S44" s="67">
        <f t="shared" si="7"/>
        <v>0.36484328785608006</v>
      </c>
      <c r="T44" s="67">
        <f t="shared" si="8"/>
        <v>0</v>
      </c>
      <c r="U44" s="67">
        <f t="shared" si="9"/>
        <v>4.9431455969836176</v>
      </c>
      <c r="V44" s="67">
        <f t="shared" si="10"/>
        <v>0.16307779504776573</v>
      </c>
      <c r="W44" s="100">
        <f t="shared" si="11"/>
        <v>0.10871853003184381</v>
      </c>
    </row>
    <row r="45" spans="2:23">
      <c r="B45" s="96">
        <f>Amnt_Deposited!B40</f>
        <v>2026</v>
      </c>
      <c r="C45" s="99">
        <f>Amnt_Deposited!F40</f>
        <v>0</v>
      </c>
      <c r="D45" s="418">
        <f>Dry_Matter_Content!G32</f>
        <v>0.56999999999999995</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Amnt_Deposited!G40</f>
        <v>1.7351484921540001</v>
      </c>
      <c r="Q45" s="284">
        <f>MCF!R44</f>
        <v>1</v>
      </c>
      <c r="R45" s="67">
        <f t="shared" si="5"/>
        <v>0.37305692581311001</v>
      </c>
      <c r="S45" s="67">
        <f t="shared" si="7"/>
        <v>0.37305692581311001</v>
      </c>
      <c r="T45" s="67">
        <f t="shared" si="8"/>
        <v>0</v>
      </c>
      <c r="U45" s="67">
        <f t="shared" si="9"/>
        <v>5.1461850876102329</v>
      </c>
      <c r="V45" s="67">
        <f t="shared" si="10"/>
        <v>0.17001743518649465</v>
      </c>
      <c r="W45" s="100">
        <f t="shared" si="11"/>
        <v>0.11334495679099643</v>
      </c>
    </row>
    <row r="46" spans="2:23">
      <c r="B46" s="96">
        <f>Amnt_Deposited!B41</f>
        <v>2027</v>
      </c>
      <c r="C46" s="99">
        <f>Amnt_Deposited!F41</f>
        <v>0</v>
      </c>
      <c r="D46" s="418">
        <f>Dry_Matter_Content!G33</f>
        <v>0.56999999999999995</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Amnt_Deposited!G41</f>
        <v>1.7733514593959998</v>
      </c>
      <c r="Q46" s="284">
        <f>MCF!R45</f>
        <v>1</v>
      </c>
      <c r="R46" s="67">
        <f t="shared" si="5"/>
        <v>0.38127056377013996</v>
      </c>
      <c r="S46" s="67">
        <f t="shared" si="7"/>
        <v>0.38127056377013996</v>
      </c>
      <c r="T46" s="67">
        <f t="shared" si="8"/>
        <v>0</v>
      </c>
      <c r="U46" s="67">
        <f t="shared" si="9"/>
        <v>5.3504547574304997</v>
      </c>
      <c r="V46" s="67">
        <f t="shared" si="10"/>
        <v>0.17700089394987284</v>
      </c>
      <c r="W46" s="100">
        <f t="shared" si="11"/>
        <v>0.11800059596658188</v>
      </c>
    </row>
    <row r="47" spans="2:23">
      <c r="B47" s="96">
        <f>Amnt_Deposited!B42</f>
        <v>2028</v>
      </c>
      <c r="C47" s="99">
        <f>Amnt_Deposited!F42</f>
        <v>0</v>
      </c>
      <c r="D47" s="418">
        <f>Dry_Matter_Content!G34</f>
        <v>0.56999999999999995</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Amnt_Deposited!G42</f>
        <v>1.8115544266379999</v>
      </c>
      <c r="Q47" s="284">
        <f>MCF!R46</f>
        <v>1</v>
      </c>
      <c r="R47" s="67">
        <f t="shared" si="5"/>
        <v>0.38948420172716997</v>
      </c>
      <c r="S47" s="67">
        <f t="shared" si="7"/>
        <v>0.38948420172716997</v>
      </c>
      <c r="T47" s="67">
        <f t="shared" si="8"/>
        <v>0</v>
      </c>
      <c r="U47" s="67">
        <f t="shared" si="9"/>
        <v>5.5559122949431243</v>
      </c>
      <c r="V47" s="67">
        <f t="shared" si="10"/>
        <v>0.18402666421454525</v>
      </c>
      <c r="W47" s="100">
        <f t="shared" si="11"/>
        <v>0.12268444280969683</v>
      </c>
    </row>
    <row r="48" spans="2:23">
      <c r="B48" s="96">
        <f>Amnt_Deposited!B43</f>
        <v>2029</v>
      </c>
      <c r="C48" s="99">
        <f>Amnt_Deposited!F43</f>
        <v>0</v>
      </c>
      <c r="D48" s="418">
        <f>Dry_Matter_Content!G35</f>
        <v>0.56999999999999995</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Amnt_Deposited!G43</f>
        <v>1.84975739388</v>
      </c>
      <c r="Q48" s="284">
        <f>MCF!R47</f>
        <v>1</v>
      </c>
      <c r="R48" s="67">
        <f t="shared" si="5"/>
        <v>0.39769783968420003</v>
      </c>
      <c r="S48" s="67">
        <f t="shared" si="7"/>
        <v>0.39769783968420003</v>
      </c>
      <c r="T48" s="67">
        <f t="shared" si="8"/>
        <v>0</v>
      </c>
      <c r="U48" s="67">
        <f t="shared" si="9"/>
        <v>5.7625168439332874</v>
      </c>
      <c r="V48" s="67">
        <f t="shared" si="10"/>
        <v>0.19109329069403738</v>
      </c>
      <c r="W48" s="100">
        <f t="shared" si="11"/>
        <v>0.12739552712935825</v>
      </c>
    </row>
    <row r="49" spans="2:23">
      <c r="B49" s="96">
        <f>Amnt_Deposited!B44</f>
        <v>2030</v>
      </c>
      <c r="C49" s="99">
        <f>Amnt_Deposited!F44</f>
        <v>0</v>
      </c>
      <c r="D49" s="418">
        <f>Dry_Matter_Content!G36</f>
        <v>0.56999999999999995</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Amnt_Deposited!G44</f>
        <v>1.8879603611220006</v>
      </c>
      <c r="Q49" s="284">
        <f>MCF!R48</f>
        <v>1</v>
      </c>
      <c r="R49" s="67">
        <f t="shared" si="5"/>
        <v>0.40591147764123015</v>
      </c>
      <c r="S49" s="67">
        <f t="shared" si="7"/>
        <v>0.40591147764123015</v>
      </c>
      <c r="T49" s="67">
        <f t="shared" si="8"/>
        <v>0</v>
      </c>
      <c r="U49" s="67">
        <f t="shared" si="9"/>
        <v>5.9702289534186708</v>
      </c>
      <c r="V49" s="67">
        <f t="shared" si="10"/>
        <v>0.19819936815584727</v>
      </c>
      <c r="W49" s="100">
        <f t="shared" si="11"/>
        <v>0.13213291210389816</v>
      </c>
    </row>
    <row r="50" spans="2:23">
      <c r="B50" s="96">
        <f>Amnt_Deposited!B45</f>
        <v>2031</v>
      </c>
      <c r="C50" s="99">
        <f>Amnt_Deposited!F45</f>
        <v>0</v>
      </c>
      <c r="D50" s="418">
        <f>Dry_Matter_Content!G37</f>
        <v>0.56999999999999995</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Amnt_Deposited!G45</f>
        <v>0</v>
      </c>
      <c r="Q50" s="284">
        <f>MCF!R49</f>
        <v>1</v>
      </c>
      <c r="R50" s="67">
        <f t="shared" si="5"/>
        <v>0</v>
      </c>
      <c r="S50" s="67">
        <f t="shared" si="7"/>
        <v>0</v>
      </c>
      <c r="T50" s="67">
        <f t="shared" si="8"/>
        <v>0</v>
      </c>
      <c r="U50" s="67">
        <f t="shared" si="9"/>
        <v>5.7648854137188108</v>
      </c>
      <c r="V50" s="67">
        <f t="shared" si="10"/>
        <v>0.2053435396998598</v>
      </c>
      <c r="W50" s="100">
        <f t="shared" si="11"/>
        <v>0.13689569313323985</v>
      </c>
    </row>
    <row r="51" spans="2:23">
      <c r="B51" s="96">
        <f>Amnt_Deposited!B46</f>
        <v>2032</v>
      </c>
      <c r="C51" s="99">
        <f>Amnt_Deposited!F46</f>
        <v>0</v>
      </c>
      <c r="D51" s="418">
        <f>Dry_Matter_Content!G38</f>
        <v>0.56999999999999995</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Amnt_Deposited!G46</f>
        <v>0</v>
      </c>
      <c r="Q51" s="284">
        <f>MCF!R50</f>
        <v>1</v>
      </c>
      <c r="R51" s="67">
        <f t="shared" si="5"/>
        <v>0</v>
      </c>
      <c r="S51" s="67">
        <f t="shared" si="7"/>
        <v>0</v>
      </c>
      <c r="T51" s="67">
        <f t="shared" si="8"/>
        <v>0</v>
      </c>
      <c r="U51" s="67">
        <f t="shared" si="9"/>
        <v>5.5666045795911252</v>
      </c>
      <c r="V51" s="67">
        <f t="shared" si="10"/>
        <v>0.19828083412768524</v>
      </c>
      <c r="W51" s="100">
        <f t="shared" si="11"/>
        <v>0.13218722275179015</v>
      </c>
    </row>
    <row r="52" spans="2:23">
      <c r="B52" s="96">
        <f>Amnt_Deposited!B47</f>
        <v>2033</v>
      </c>
      <c r="C52" s="99">
        <f>Amnt_Deposited!F47</f>
        <v>0</v>
      </c>
      <c r="D52" s="418">
        <f>Dry_Matter_Content!G39</f>
        <v>0.56999999999999995</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Amnt_Deposited!G47</f>
        <v>0</v>
      </c>
      <c r="Q52" s="284">
        <f>MCF!R51</f>
        <v>1</v>
      </c>
      <c r="R52" s="67">
        <f t="shared" si="5"/>
        <v>0</v>
      </c>
      <c r="S52" s="67">
        <f t="shared" si="7"/>
        <v>0</v>
      </c>
      <c r="T52" s="67">
        <f t="shared" si="8"/>
        <v>0</v>
      </c>
      <c r="U52" s="67">
        <f t="shared" si="9"/>
        <v>5.375143532217364</v>
      </c>
      <c r="V52" s="67">
        <f t="shared" si="10"/>
        <v>0.19146104737376099</v>
      </c>
      <c r="W52" s="100">
        <f t="shared" si="11"/>
        <v>0.12764069824917398</v>
      </c>
    </row>
    <row r="53" spans="2:23">
      <c r="B53" s="96">
        <f>Amnt_Deposited!B48</f>
        <v>2034</v>
      </c>
      <c r="C53" s="99">
        <f>Amnt_Deposited!F48</f>
        <v>0</v>
      </c>
      <c r="D53" s="418">
        <f>Dry_Matter_Content!G40</f>
        <v>0.56999999999999995</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Amnt_Deposited!G48</f>
        <v>0</v>
      </c>
      <c r="Q53" s="284">
        <f>MCF!R52</f>
        <v>1</v>
      </c>
      <c r="R53" s="67">
        <f t="shared" si="5"/>
        <v>0</v>
      </c>
      <c r="S53" s="67">
        <f t="shared" si="7"/>
        <v>0</v>
      </c>
      <c r="T53" s="67">
        <f t="shared" si="8"/>
        <v>0</v>
      </c>
      <c r="U53" s="67">
        <f t="shared" si="9"/>
        <v>5.1902677078709134</v>
      </c>
      <c r="V53" s="67">
        <f t="shared" si="10"/>
        <v>0.18487582434645014</v>
      </c>
      <c r="W53" s="100">
        <f t="shared" si="11"/>
        <v>0.12325054956430009</v>
      </c>
    </row>
    <row r="54" spans="2:23">
      <c r="B54" s="96">
        <f>Amnt_Deposited!B49</f>
        <v>2035</v>
      </c>
      <c r="C54" s="99">
        <f>Amnt_Deposited!F49</f>
        <v>0</v>
      </c>
      <c r="D54" s="418">
        <f>Dry_Matter_Content!G41</f>
        <v>0.56999999999999995</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Amnt_Deposited!G49</f>
        <v>0</v>
      </c>
      <c r="Q54" s="284">
        <f>MCF!R53</f>
        <v>1</v>
      </c>
      <c r="R54" s="67">
        <f t="shared" si="5"/>
        <v>0</v>
      </c>
      <c r="S54" s="67">
        <f t="shared" si="7"/>
        <v>0</v>
      </c>
      <c r="T54" s="67">
        <f t="shared" si="8"/>
        <v>0</v>
      </c>
      <c r="U54" s="67">
        <f t="shared" si="9"/>
        <v>5.0117506105468985</v>
      </c>
      <c r="V54" s="67">
        <f t="shared" si="10"/>
        <v>0.17851709732401469</v>
      </c>
      <c r="W54" s="100">
        <f t="shared" si="11"/>
        <v>0.11901139821600978</v>
      </c>
    </row>
    <row r="55" spans="2:23">
      <c r="B55" s="96">
        <f>Amnt_Deposited!B50</f>
        <v>2036</v>
      </c>
      <c r="C55" s="99">
        <f>Amnt_Deposited!F50</f>
        <v>0</v>
      </c>
      <c r="D55" s="418">
        <f>Dry_Matter_Content!G42</f>
        <v>0.56999999999999995</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Amnt_Deposited!G50</f>
        <v>0</v>
      </c>
      <c r="Q55" s="284">
        <f>MCF!R54</f>
        <v>1</v>
      </c>
      <c r="R55" s="67">
        <f t="shared" si="5"/>
        <v>0</v>
      </c>
      <c r="S55" s="67">
        <f t="shared" si="7"/>
        <v>0</v>
      </c>
      <c r="T55" s="67">
        <f t="shared" si="8"/>
        <v>0</v>
      </c>
      <c r="U55" s="67">
        <f t="shared" si="9"/>
        <v>4.839373534476251</v>
      </c>
      <c r="V55" s="67">
        <f t="shared" si="10"/>
        <v>0.1723770760706477</v>
      </c>
      <c r="W55" s="100">
        <f t="shared" si="11"/>
        <v>0.11491805071376512</v>
      </c>
    </row>
    <row r="56" spans="2:23">
      <c r="B56" s="96">
        <f>Amnt_Deposited!B51</f>
        <v>2037</v>
      </c>
      <c r="C56" s="99">
        <f>Amnt_Deposited!F51</f>
        <v>0</v>
      </c>
      <c r="D56" s="418">
        <f>Dry_Matter_Content!G43</f>
        <v>0.56999999999999995</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Amnt_Deposited!G51</f>
        <v>0</v>
      </c>
      <c r="Q56" s="284">
        <f>MCF!R55</f>
        <v>1</v>
      </c>
      <c r="R56" s="67">
        <f t="shared" si="5"/>
        <v>0</v>
      </c>
      <c r="S56" s="67">
        <f t="shared" si="7"/>
        <v>0</v>
      </c>
      <c r="T56" s="67">
        <f t="shared" si="8"/>
        <v>0</v>
      </c>
      <c r="U56" s="67">
        <f t="shared" si="9"/>
        <v>4.6729252961837906</v>
      </c>
      <c r="V56" s="67">
        <f t="shared" si="10"/>
        <v>0.16644823829246</v>
      </c>
      <c r="W56" s="100">
        <f t="shared" si="11"/>
        <v>0.11096549219497333</v>
      </c>
    </row>
    <row r="57" spans="2:23">
      <c r="B57" s="96">
        <f>Amnt_Deposited!B52</f>
        <v>2038</v>
      </c>
      <c r="C57" s="99">
        <f>Amnt_Deposited!F52</f>
        <v>0</v>
      </c>
      <c r="D57" s="418">
        <f>Dry_Matter_Content!G44</f>
        <v>0.56999999999999995</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Amnt_Deposited!G52</f>
        <v>0</v>
      </c>
      <c r="Q57" s="284">
        <f>MCF!R56</f>
        <v>1</v>
      </c>
      <c r="R57" s="67">
        <f t="shared" si="5"/>
        <v>0</v>
      </c>
      <c r="S57" s="67">
        <f t="shared" si="7"/>
        <v>0</v>
      </c>
      <c r="T57" s="67">
        <f t="shared" si="8"/>
        <v>0</v>
      </c>
      <c r="U57" s="67">
        <f t="shared" si="9"/>
        <v>4.5122019757620615</v>
      </c>
      <c r="V57" s="67">
        <f t="shared" si="10"/>
        <v>0.16072332042172943</v>
      </c>
      <c r="W57" s="100">
        <f t="shared" si="11"/>
        <v>0.10714888028115295</v>
      </c>
    </row>
    <row r="58" spans="2:23">
      <c r="B58" s="96">
        <f>Amnt_Deposited!B53</f>
        <v>2039</v>
      </c>
      <c r="C58" s="99">
        <f>Amnt_Deposited!F53</f>
        <v>0</v>
      </c>
      <c r="D58" s="418">
        <f>Dry_Matter_Content!G45</f>
        <v>0.56999999999999995</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Amnt_Deposited!G53</f>
        <v>0</v>
      </c>
      <c r="Q58" s="284">
        <f>MCF!R57</f>
        <v>1</v>
      </c>
      <c r="R58" s="67">
        <f t="shared" si="5"/>
        <v>0</v>
      </c>
      <c r="S58" s="67">
        <f t="shared" si="7"/>
        <v>0</v>
      </c>
      <c r="T58" s="67">
        <f t="shared" si="8"/>
        <v>0</v>
      </c>
      <c r="U58" s="67">
        <f t="shared" si="9"/>
        <v>4.3570066670439394</v>
      </c>
      <c r="V58" s="67">
        <f t="shared" si="10"/>
        <v>0.15519530871812229</v>
      </c>
      <c r="W58" s="100">
        <f t="shared" si="11"/>
        <v>0.10346353914541485</v>
      </c>
    </row>
    <row r="59" spans="2:23">
      <c r="B59" s="96">
        <f>Amnt_Deposited!B54</f>
        <v>2040</v>
      </c>
      <c r="C59" s="99">
        <f>Amnt_Deposited!F54</f>
        <v>0</v>
      </c>
      <c r="D59" s="418">
        <f>Dry_Matter_Content!G46</f>
        <v>0.56999999999999995</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Amnt_Deposited!G54</f>
        <v>0</v>
      </c>
      <c r="Q59" s="284">
        <f>MCF!R58</f>
        <v>1</v>
      </c>
      <c r="R59" s="67">
        <f t="shared" si="5"/>
        <v>0</v>
      </c>
      <c r="S59" s="67">
        <f t="shared" si="7"/>
        <v>0</v>
      </c>
      <c r="T59" s="67">
        <f t="shared" si="8"/>
        <v>0</v>
      </c>
      <c r="U59" s="67">
        <f t="shared" si="9"/>
        <v>4.2071492363679557</v>
      </c>
      <c r="V59" s="67">
        <f t="shared" si="10"/>
        <v>0.149857430675984</v>
      </c>
      <c r="W59" s="100">
        <f t="shared" si="11"/>
        <v>9.9904953783989336E-2</v>
      </c>
    </row>
    <row r="60" spans="2:23">
      <c r="B60" s="96">
        <f>Amnt_Deposited!B55</f>
        <v>2041</v>
      </c>
      <c r="C60" s="99">
        <f>Amnt_Deposited!F55</f>
        <v>0</v>
      </c>
      <c r="D60" s="418">
        <f>Dry_Matter_Content!G47</f>
        <v>0.56999999999999995</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Amnt_Deposited!G55</f>
        <v>0</v>
      </c>
      <c r="Q60" s="284">
        <f>MCF!R59</f>
        <v>1</v>
      </c>
      <c r="R60" s="67">
        <f t="shared" si="5"/>
        <v>0</v>
      </c>
      <c r="S60" s="67">
        <f t="shared" si="7"/>
        <v>0</v>
      </c>
      <c r="T60" s="67">
        <f t="shared" si="8"/>
        <v>0</v>
      </c>
      <c r="U60" s="67">
        <f t="shared" si="9"/>
        <v>4.0624460896407824</v>
      </c>
      <c r="V60" s="67">
        <f t="shared" si="10"/>
        <v>0.14470314672717297</v>
      </c>
      <c r="W60" s="100">
        <f t="shared" si="11"/>
        <v>9.6468764484781977E-2</v>
      </c>
    </row>
    <row r="61" spans="2:23">
      <c r="B61" s="96">
        <f>Amnt_Deposited!B56</f>
        <v>2042</v>
      </c>
      <c r="C61" s="99">
        <f>Amnt_Deposited!F56</f>
        <v>0</v>
      </c>
      <c r="D61" s="418">
        <f>Dry_Matter_Content!G48</f>
        <v>0.56999999999999995</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Amnt_Deposited!G56</f>
        <v>0</v>
      </c>
      <c r="Q61" s="284">
        <f>MCF!R60</f>
        <v>1</v>
      </c>
      <c r="R61" s="67">
        <f t="shared" si="5"/>
        <v>0</v>
      </c>
      <c r="S61" s="67">
        <f t="shared" si="7"/>
        <v>0</v>
      </c>
      <c r="T61" s="67">
        <f t="shared" si="8"/>
        <v>0</v>
      </c>
      <c r="U61" s="67">
        <f t="shared" si="9"/>
        <v>3.9227199474115109</v>
      </c>
      <c r="V61" s="67">
        <f t="shared" si="10"/>
        <v>0.13972614222927154</v>
      </c>
      <c r="W61" s="100">
        <f t="shared" si="11"/>
        <v>9.3150761486181025E-2</v>
      </c>
    </row>
    <row r="62" spans="2:23">
      <c r="B62" s="96">
        <f>Amnt_Deposited!B57</f>
        <v>2043</v>
      </c>
      <c r="C62" s="99">
        <f>Amnt_Deposited!F57</f>
        <v>0</v>
      </c>
      <c r="D62" s="418">
        <f>Dry_Matter_Content!G49</f>
        <v>0.56999999999999995</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Amnt_Deposited!G57</f>
        <v>0</v>
      </c>
      <c r="Q62" s="284">
        <f>MCF!R61</f>
        <v>1</v>
      </c>
      <c r="R62" s="67">
        <f t="shared" si="5"/>
        <v>0</v>
      </c>
      <c r="S62" s="67">
        <f t="shared" si="7"/>
        <v>0</v>
      </c>
      <c r="T62" s="67">
        <f t="shared" si="8"/>
        <v>0</v>
      </c>
      <c r="U62" s="67">
        <f t="shared" si="9"/>
        <v>3.7877996276821513</v>
      </c>
      <c r="V62" s="67">
        <f t="shared" si="10"/>
        <v>0.13492031972935969</v>
      </c>
      <c r="W62" s="100">
        <f t="shared" si="11"/>
        <v>8.9946879819573125E-2</v>
      </c>
    </row>
    <row r="63" spans="2:23">
      <c r="B63" s="96">
        <f>Amnt_Deposited!B58</f>
        <v>2044</v>
      </c>
      <c r="C63" s="99">
        <f>Amnt_Deposited!F58</f>
        <v>0</v>
      </c>
      <c r="D63" s="418">
        <f>Dry_Matter_Content!G50</f>
        <v>0.56999999999999995</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Amnt_Deposited!G58</f>
        <v>0</v>
      </c>
      <c r="Q63" s="284">
        <f>MCF!R62</f>
        <v>1</v>
      </c>
      <c r="R63" s="67">
        <f t="shared" si="5"/>
        <v>0</v>
      </c>
      <c r="S63" s="67">
        <f t="shared" si="7"/>
        <v>0</v>
      </c>
      <c r="T63" s="67">
        <f t="shared" si="8"/>
        <v>0</v>
      </c>
      <c r="U63" s="67">
        <f t="shared" si="9"/>
        <v>3.6575198361882788</v>
      </c>
      <c r="V63" s="67">
        <f t="shared" si="10"/>
        <v>0.13027979149387234</v>
      </c>
      <c r="W63" s="100">
        <f t="shared" si="11"/>
        <v>8.6853194329248221E-2</v>
      </c>
    </row>
    <row r="64" spans="2:23">
      <c r="B64" s="96">
        <f>Amnt_Deposited!B59</f>
        <v>2045</v>
      </c>
      <c r="C64" s="99">
        <f>Amnt_Deposited!F59</f>
        <v>0</v>
      </c>
      <c r="D64" s="418">
        <f>Dry_Matter_Content!G51</f>
        <v>0.56999999999999995</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Amnt_Deposited!G59</f>
        <v>0</v>
      </c>
      <c r="Q64" s="284">
        <f>MCF!R63</f>
        <v>1</v>
      </c>
      <c r="R64" s="67">
        <f t="shared" si="5"/>
        <v>0</v>
      </c>
      <c r="S64" s="67">
        <f t="shared" si="7"/>
        <v>0</v>
      </c>
      <c r="T64" s="67">
        <f t="shared" si="8"/>
        <v>0</v>
      </c>
      <c r="U64" s="67">
        <f t="shared" si="9"/>
        <v>3.5317209638928895</v>
      </c>
      <c r="V64" s="67">
        <f t="shared" si="10"/>
        <v>0.12579887229538955</v>
      </c>
      <c r="W64" s="100">
        <f t="shared" si="11"/>
        <v>8.386591486359303E-2</v>
      </c>
    </row>
    <row r="65" spans="2:23">
      <c r="B65" s="96">
        <f>Amnt_Deposited!B60</f>
        <v>2046</v>
      </c>
      <c r="C65" s="99">
        <f>Amnt_Deposited!F60</f>
        <v>0</v>
      </c>
      <c r="D65" s="418">
        <f>Dry_Matter_Content!G52</f>
        <v>0.56999999999999995</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Amnt_Deposited!G60</f>
        <v>0</v>
      </c>
      <c r="Q65" s="284">
        <f>MCF!R64</f>
        <v>1</v>
      </c>
      <c r="R65" s="67">
        <f t="shared" si="5"/>
        <v>0</v>
      </c>
      <c r="S65" s="67">
        <f t="shared" si="7"/>
        <v>0</v>
      </c>
      <c r="T65" s="67">
        <f t="shared" si="8"/>
        <v>0</v>
      </c>
      <c r="U65" s="67">
        <f t="shared" si="9"/>
        <v>3.4102488914453675</v>
      </c>
      <c r="V65" s="67">
        <f t="shared" si="10"/>
        <v>0.12147207244752208</v>
      </c>
      <c r="W65" s="100">
        <f t="shared" si="11"/>
        <v>8.0981381631681379E-2</v>
      </c>
    </row>
    <row r="66" spans="2:23">
      <c r="B66" s="96">
        <f>Amnt_Deposited!B61</f>
        <v>2047</v>
      </c>
      <c r="C66" s="99">
        <f>Amnt_Deposited!F61</f>
        <v>0</v>
      </c>
      <c r="D66" s="418">
        <f>Dry_Matter_Content!G53</f>
        <v>0.56999999999999995</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Amnt_Deposited!G61</f>
        <v>0</v>
      </c>
      <c r="Q66" s="284">
        <f>MCF!R65</f>
        <v>1</v>
      </c>
      <c r="R66" s="67">
        <f t="shared" si="5"/>
        <v>0</v>
      </c>
      <c r="S66" s="67">
        <f t="shared" si="7"/>
        <v>0</v>
      </c>
      <c r="T66" s="67">
        <f t="shared" si="8"/>
        <v>0</v>
      </c>
      <c r="U66" s="67">
        <f t="shared" si="9"/>
        <v>3.2929548003660085</v>
      </c>
      <c r="V66" s="67">
        <f t="shared" si="10"/>
        <v>0.11729409107935883</v>
      </c>
      <c r="W66" s="100">
        <f t="shared" si="11"/>
        <v>7.8196060719572552E-2</v>
      </c>
    </row>
    <row r="67" spans="2:23">
      <c r="B67" s="96">
        <f>Amnt_Deposited!B62</f>
        <v>2048</v>
      </c>
      <c r="C67" s="99">
        <f>Amnt_Deposited!F62</f>
        <v>0</v>
      </c>
      <c r="D67" s="418">
        <f>Dry_Matter_Content!G54</f>
        <v>0.56999999999999995</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Amnt_Deposited!G62</f>
        <v>0</v>
      </c>
      <c r="Q67" s="284">
        <f>MCF!R66</f>
        <v>1</v>
      </c>
      <c r="R67" s="67">
        <f t="shared" si="5"/>
        <v>0</v>
      </c>
      <c r="S67" s="67">
        <f t="shared" si="7"/>
        <v>0</v>
      </c>
      <c r="T67" s="67">
        <f t="shared" si="8"/>
        <v>0</v>
      </c>
      <c r="U67" s="67">
        <f t="shared" si="9"/>
        <v>3.1796949907247711</v>
      </c>
      <c r="V67" s="67">
        <f t="shared" si="10"/>
        <v>0.11325980964123719</v>
      </c>
      <c r="W67" s="100">
        <f t="shared" si="11"/>
        <v>7.550653976082479E-2</v>
      </c>
    </row>
    <row r="68" spans="2:23">
      <c r="B68" s="96">
        <f>Amnt_Deposited!B63</f>
        <v>2049</v>
      </c>
      <c r="C68" s="99">
        <f>Amnt_Deposited!F63</f>
        <v>0</v>
      </c>
      <c r="D68" s="418">
        <f>Dry_Matter_Content!G55</f>
        <v>0.56999999999999995</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Amnt_Deposited!G63</f>
        <v>0</v>
      </c>
      <c r="Q68" s="284">
        <f>MCF!R67</f>
        <v>1</v>
      </c>
      <c r="R68" s="67">
        <f t="shared" si="5"/>
        <v>0</v>
      </c>
      <c r="S68" s="67">
        <f t="shared" si="7"/>
        <v>0</v>
      </c>
      <c r="T68" s="67">
        <f t="shared" si="8"/>
        <v>0</v>
      </c>
      <c r="U68" s="67">
        <f t="shared" si="9"/>
        <v>3.0703307050908917</v>
      </c>
      <c r="V68" s="67">
        <f t="shared" si="10"/>
        <v>0.10936428563387957</v>
      </c>
      <c r="W68" s="100">
        <f t="shared" si="11"/>
        <v>7.2909523755919706E-2</v>
      </c>
    </row>
    <row r="69" spans="2:23">
      <c r="B69" s="96">
        <f>Amnt_Deposited!B64</f>
        <v>2050</v>
      </c>
      <c r="C69" s="99">
        <f>Amnt_Deposited!F64</f>
        <v>0</v>
      </c>
      <c r="D69" s="418">
        <f>Dry_Matter_Content!G56</f>
        <v>0.56999999999999995</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Amnt_Deposited!G64</f>
        <v>0</v>
      </c>
      <c r="Q69" s="284">
        <f>MCF!R68</f>
        <v>1</v>
      </c>
      <c r="R69" s="67">
        <f t="shared" si="5"/>
        <v>0</v>
      </c>
      <c r="S69" s="67">
        <f t="shared" si="7"/>
        <v>0</v>
      </c>
      <c r="T69" s="67">
        <f t="shared" si="8"/>
        <v>0</v>
      </c>
      <c r="U69" s="67">
        <f t="shared" si="9"/>
        <v>2.964727958537678</v>
      </c>
      <c r="V69" s="67">
        <f t="shared" si="10"/>
        <v>0.10560274655321368</v>
      </c>
      <c r="W69" s="100">
        <f t="shared" si="11"/>
        <v>7.0401831035475787E-2</v>
      </c>
    </row>
    <row r="70" spans="2:23">
      <c r="B70" s="96">
        <f>Amnt_Deposited!B65</f>
        <v>2051</v>
      </c>
      <c r="C70" s="99">
        <f>Amnt_Deposited!F65</f>
        <v>0</v>
      </c>
      <c r="D70" s="418">
        <f>Dry_Matter_Content!G57</f>
        <v>0.56999999999999995</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Amnt_Deposited!G65</f>
        <v>0</v>
      </c>
      <c r="Q70" s="284">
        <f>MCF!R69</f>
        <v>1</v>
      </c>
      <c r="R70" s="67">
        <f t="shared" si="5"/>
        <v>0</v>
      </c>
      <c r="S70" s="67">
        <f t="shared" si="7"/>
        <v>0</v>
      </c>
      <c r="T70" s="67">
        <f t="shared" si="8"/>
        <v>0</v>
      </c>
      <c r="U70" s="67">
        <f t="shared" si="9"/>
        <v>2.8627573744942199</v>
      </c>
      <c r="V70" s="67">
        <f t="shared" si="10"/>
        <v>0.10197058404345818</v>
      </c>
      <c r="W70" s="100">
        <f t="shared" si="11"/>
        <v>6.7980389362305452E-2</v>
      </c>
    </row>
    <row r="71" spans="2:23">
      <c r="B71" s="96">
        <f>Amnt_Deposited!B66</f>
        <v>2052</v>
      </c>
      <c r="C71" s="99">
        <f>Amnt_Deposited!F66</f>
        <v>0</v>
      </c>
      <c r="D71" s="418">
        <f>Dry_Matter_Content!G58</f>
        <v>0.56999999999999995</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Amnt_Deposited!G66</f>
        <v>0</v>
      </c>
      <c r="Q71" s="284">
        <f>MCF!R70</f>
        <v>1</v>
      </c>
      <c r="R71" s="67">
        <f t="shared" si="5"/>
        <v>0</v>
      </c>
      <c r="S71" s="67">
        <f t="shared" si="7"/>
        <v>0</v>
      </c>
      <c r="T71" s="67">
        <f t="shared" si="8"/>
        <v>0</v>
      </c>
      <c r="U71" s="67">
        <f t="shared" si="9"/>
        <v>2.7642940262429092</v>
      </c>
      <c r="V71" s="67">
        <f t="shared" si="10"/>
        <v>9.8463348251310617E-2</v>
      </c>
      <c r="W71" s="100">
        <f t="shared" si="11"/>
        <v>6.5642232167540407E-2</v>
      </c>
    </row>
    <row r="72" spans="2:23">
      <c r="B72" s="96">
        <f>Amnt_Deposited!B67</f>
        <v>2053</v>
      </c>
      <c r="C72" s="99">
        <f>Amnt_Deposited!F67</f>
        <v>0</v>
      </c>
      <c r="D72" s="418">
        <f>Dry_Matter_Content!G59</f>
        <v>0.56999999999999995</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Amnt_Deposited!G67</f>
        <v>0</v>
      </c>
      <c r="Q72" s="284">
        <f>MCF!R71</f>
        <v>1</v>
      </c>
      <c r="R72" s="67">
        <f t="shared" si="5"/>
        <v>0</v>
      </c>
      <c r="S72" s="67">
        <f t="shared" si="7"/>
        <v>0</v>
      </c>
      <c r="T72" s="67">
        <f t="shared" si="8"/>
        <v>0</v>
      </c>
      <c r="U72" s="67">
        <f t="shared" si="9"/>
        <v>2.6692172838685888</v>
      </c>
      <c r="V72" s="67">
        <f t="shared" si="10"/>
        <v>9.5076742374320511E-2</v>
      </c>
      <c r="W72" s="100">
        <f t="shared" si="11"/>
        <v>6.3384494916213674E-2</v>
      </c>
    </row>
    <row r="73" spans="2:23">
      <c r="B73" s="96">
        <f>Amnt_Deposited!B68</f>
        <v>2054</v>
      </c>
      <c r="C73" s="99">
        <f>Amnt_Deposited!F68</f>
        <v>0</v>
      </c>
      <c r="D73" s="418">
        <f>Dry_Matter_Content!G60</f>
        <v>0.56999999999999995</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Amnt_Deposited!G68</f>
        <v>0</v>
      </c>
      <c r="Q73" s="284">
        <f>MCF!R72</f>
        <v>1</v>
      </c>
      <c r="R73" s="67">
        <f t="shared" si="5"/>
        <v>0</v>
      </c>
      <c r="S73" s="67">
        <f t="shared" si="7"/>
        <v>0</v>
      </c>
      <c r="T73" s="67">
        <f t="shared" si="8"/>
        <v>0</v>
      </c>
      <c r="U73" s="67">
        <f t="shared" si="9"/>
        <v>2.5774106664718195</v>
      </c>
      <c r="V73" s="67">
        <f t="shared" si="10"/>
        <v>9.1806617396769166E-2</v>
      </c>
      <c r="W73" s="100">
        <f t="shared" si="11"/>
        <v>6.1204411597846106E-2</v>
      </c>
    </row>
    <row r="74" spans="2:23">
      <c r="B74" s="96">
        <f>Amnt_Deposited!B69</f>
        <v>2055</v>
      </c>
      <c r="C74" s="99">
        <f>Amnt_Deposited!F69</f>
        <v>0</v>
      </c>
      <c r="D74" s="418">
        <f>Dry_Matter_Content!G61</f>
        <v>0.56999999999999995</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Amnt_Deposited!G69</f>
        <v>0</v>
      </c>
      <c r="Q74" s="284">
        <f>MCF!R73</f>
        <v>1</v>
      </c>
      <c r="R74" s="67">
        <f t="shared" si="5"/>
        <v>0</v>
      </c>
      <c r="S74" s="67">
        <f t="shared" si="7"/>
        <v>0</v>
      </c>
      <c r="T74" s="67">
        <f t="shared" si="8"/>
        <v>0</v>
      </c>
      <c r="U74" s="67">
        <f t="shared" si="9"/>
        <v>2.4887616994652131</v>
      </c>
      <c r="V74" s="67">
        <f t="shared" si="10"/>
        <v>8.8648967006606433E-2</v>
      </c>
      <c r="W74" s="100">
        <f t="shared" si="11"/>
        <v>5.9099311337737617E-2</v>
      </c>
    </row>
    <row r="75" spans="2:23">
      <c r="B75" s="96">
        <f>Amnt_Deposited!B70</f>
        <v>2056</v>
      </c>
      <c r="C75" s="99">
        <f>Amnt_Deposited!F70</f>
        <v>0</v>
      </c>
      <c r="D75" s="418">
        <f>Dry_Matter_Content!G62</f>
        <v>0.56999999999999995</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Amnt_Deposited!G70</f>
        <v>0</v>
      </c>
      <c r="Q75" s="284">
        <f>MCF!R74</f>
        <v>1</v>
      </c>
      <c r="R75" s="67">
        <f t="shared" si="5"/>
        <v>0</v>
      </c>
      <c r="S75" s="67">
        <f t="shared" si="7"/>
        <v>0</v>
      </c>
      <c r="T75" s="67">
        <f t="shared" si="8"/>
        <v>0</v>
      </c>
      <c r="U75" s="67">
        <f t="shared" si="9"/>
        <v>2.4031617767779956</v>
      </c>
      <c r="V75" s="67">
        <f t="shared" si="10"/>
        <v>8.5599922687217486E-2</v>
      </c>
      <c r="W75" s="100">
        <f t="shared" si="11"/>
        <v>5.7066615124811655E-2</v>
      </c>
    </row>
    <row r="76" spans="2:23">
      <c r="B76" s="96">
        <f>Amnt_Deposited!B71</f>
        <v>2057</v>
      </c>
      <c r="C76" s="99">
        <f>Amnt_Deposited!F71</f>
        <v>0</v>
      </c>
      <c r="D76" s="418">
        <f>Dry_Matter_Content!G63</f>
        <v>0.56999999999999995</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Amnt_Deposited!G71</f>
        <v>0</v>
      </c>
      <c r="Q76" s="284">
        <f>MCF!R75</f>
        <v>1</v>
      </c>
      <c r="R76" s="67">
        <f t="shared" si="5"/>
        <v>0</v>
      </c>
      <c r="S76" s="67">
        <f t="shared" si="7"/>
        <v>0</v>
      </c>
      <c r="T76" s="67">
        <f t="shared" si="8"/>
        <v>0</v>
      </c>
      <c r="U76" s="67">
        <f t="shared" si="9"/>
        <v>2.3205060277999894</v>
      </c>
      <c r="V76" s="67">
        <f t="shared" si="10"/>
        <v>8.2655748978006136E-2</v>
      </c>
      <c r="W76" s="100">
        <f t="shared" si="11"/>
        <v>5.5103832652004088E-2</v>
      </c>
    </row>
    <row r="77" spans="2:23">
      <c r="B77" s="96">
        <f>Amnt_Deposited!B72</f>
        <v>2058</v>
      </c>
      <c r="C77" s="99">
        <f>Amnt_Deposited!F72</f>
        <v>0</v>
      </c>
      <c r="D77" s="418">
        <f>Dry_Matter_Content!G64</f>
        <v>0.56999999999999995</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Amnt_Deposited!G72</f>
        <v>0</v>
      </c>
      <c r="Q77" s="284">
        <f>MCF!R76</f>
        <v>1</v>
      </c>
      <c r="R77" s="67">
        <f t="shared" si="5"/>
        <v>0</v>
      </c>
      <c r="S77" s="67">
        <f t="shared" si="7"/>
        <v>0</v>
      </c>
      <c r="T77" s="67">
        <f t="shared" si="8"/>
        <v>0</v>
      </c>
      <c r="U77" s="67">
        <f t="shared" si="9"/>
        <v>2.240693188902001</v>
      </c>
      <c r="V77" s="67">
        <f t="shared" si="10"/>
        <v>7.9812838897988542E-2</v>
      </c>
      <c r="W77" s="100">
        <f t="shared" si="11"/>
        <v>5.3208559265325694E-2</v>
      </c>
    </row>
    <row r="78" spans="2:23">
      <c r="B78" s="96">
        <f>Amnt_Deposited!B73</f>
        <v>2059</v>
      </c>
      <c r="C78" s="99">
        <f>Amnt_Deposited!F73</f>
        <v>0</v>
      </c>
      <c r="D78" s="418">
        <f>Dry_Matter_Content!G65</f>
        <v>0.56999999999999995</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Amnt_Deposited!G73</f>
        <v>0</v>
      </c>
      <c r="Q78" s="284">
        <f>MCF!R77</f>
        <v>1</v>
      </c>
      <c r="R78" s="67">
        <f t="shared" si="5"/>
        <v>0</v>
      </c>
      <c r="S78" s="67">
        <f t="shared" si="7"/>
        <v>0</v>
      </c>
      <c r="T78" s="67">
        <f t="shared" si="8"/>
        <v>0</v>
      </c>
      <c r="U78" s="67">
        <f t="shared" si="9"/>
        <v>2.1636254793752108</v>
      </c>
      <c r="V78" s="67">
        <f t="shared" si="10"/>
        <v>7.7067709526790318E-2</v>
      </c>
      <c r="W78" s="100">
        <f t="shared" si="11"/>
        <v>5.1378473017860207E-2</v>
      </c>
    </row>
    <row r="79" spans="2:23">
      <c r="B79" s="96">
        <f>Amnt_Deposited!B74</f>
        <v>2060</v>
      </c>
      <c r="C79" s="99">
        <f>Amnt_Deposited!F74</f>
        <v>0</v>
      </c>
      <c r="D79" s="418">
        <f>Dry_Matter_Content!G66</f>
        <v>0.56999999999999995</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Amnt_Deposited!G74</f>
        <v>0</v>
      </c>
      <c r="Q79" s="284">
        <f>MCF!R78</f>
        <v>1</v>
      </c>
      <c r="R79" s="67">
        <f t="shared" si="5"/>
        <v>0</v>
      </c>
      <c r="S79" s="67">
        <f t="shared" si="7"/>
        <v>0</v>
      </c>
      <c r="T79" s="67">
        <f t="shared" si="8"/>
        <v>0</v>
      </c>
      <c r="U79" s="67">
        <f t="shared" si="9"/>
        <v>2.0892084816375771</v>
      </c>
      <c r="V79" s="67">
        <f t="shared" si="10"/>
        <v>7.4416997737633592E-2</v>
      </c>
      <c r="W79" s="100">
        <f t="shared" si="11"/>
        <v>4.9611331825089061E-2</v>
      </c>
    </row>
    <row r="80" spans="2:23">
      <c r="B80" s="96">
        <f>Amnt_Deposited!B75</f>
        <v>2061</v>
      </c>
      <c r="C80" s="99">
        <f>Amnt_Deposited!F75</f>
        <v>0</v>
      </c>
      <c r="D80" s="418">
        <f>Dry_Matter_Content!G67</f>
        <v>0.56999999999999995</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Amnt_Deposited!G75</f>
        <v>0</v>
      </c>
      <c r="Q80" s="284">
        <f>MCF!R79</f>
        <v>1</v>
      </c>
      <c r="R80" s="67">
        <f t="shared" si="5"/>
        <v>0</v>
      </c>
      <c r="S80" s="67">
        <f t="shared" si="7"/>
        <v>0</v>
      </c>
      <c r="T80" s="67">
        <f t="shared" si="8"/>
        <v>0</v>
      </c>
      <c r="U80" s="67">
        <f t="shared" si="9"/>
        <v>2.0173510255604912</v>
      </c>
      <c r="V80" s="67">
        <f t="shared" si="10"/>
        <v>7.185745607708606E-2</v>
      </c>
      <c r="W80" s="100">
        <f t="shared" si="11"/>
        <v>4.7904970718057369E-2</v>
      </c>
    </row>
    <row r="81" spans="2:23">
      <c r="B81" s="96">
        <f>Amnt_Deposited!B76</f>
        <v>2062</v>
      </c>
      <c r="C81" s="99">
        <f>Amnt_Deposited!F76</f>
        <v>0</v>
      </c>
      <c r="D81" s="418">
        <f>Dry_Matter_Content!G68</f>
        <v>0.56999999999999995</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Amnt_Deposited!G76</f>
        <v>0</v>
      </c>
      <c r="Q81" s="284">
        <f>MCF!R80</f>
        <v>1</v>
      </c>
      <c r="R81" s="67">
        <f t="shared" si="5"/>
        <v>0</v>
      </c>
      <c r="S81" s="67">
        <f t="shared" si="7"/>
        <v>0</v>
      </c>
      <c r="T81" s="67">
        <f t="shared" si="8"/>
        <v>0</v>
      </c>
      <c r="U81" s="67">
        <f t="shared" si="9"/>
        <v>1.9479650767739667</v>
      </c>
      <c r="V81" s="67">
        <f t="shared" si="10"/>
        <v>6.9385948786524487E-2</v>
      </c>
      <c r="W81" s="100">
        <f t="shared" si="11"/>
        <v>4.6257299191016323E-2</v>
      </c>
    </row>
    <row r="82" spans="2:23">
      <c r="B82" s="96">
        <f>Amnt_Deposited!B77</f>
        <v>2063</v>
      </c>
      <c r="C82" s="99">
        <f>Amnt_Deposited!F77</f>
        <v>0</v>
      </c>
      <c r="D82" s="418">
        <f>Dry_Matter_Content!G69</f>
        <v>0.56999999999999995</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Amnt_Deposited!G77</f>
        <v>0</v>
      </c>
      <c r="Q82" s="284">
        <f>MCF!R81</f>
        <v>1</v>
      </c>
      <c r="R82" s="67">
        <f t="shared" si="5"/>
        <v>0</v>
      </c>
      <c r="S82" s="67">
        <f t="shared" si="7"/>
        <v>0</v>
      </c>
      <c r="T82" s="67">
        <f t="shared" si="8"/>
        <v>0</v>
      </c>
      <c r="U82" s="67">
        <f t="shared" si="9"/>
        <v>1.8809656288135286</v>
      </c>
      <c r="V82" s="67">
        <f t="shared" si="10"/>
        <v>6.6999447960438177E-2</v>
      </c>
      <c r="W82" s="100">
        <f t="shared" si="11"/>
        <v>4.4666298640292118E-2</v>
      </c>
    </row>
    <row r="83" spans="2:23">
      <c r="B83" s="96">
        <f>Amnt_Deposited!B78</f>
        <v>2064</v>
      </c>
      <c r="C83" s="99">
        <f>Amnt_Deposited!F78</f>
        <v>0</v>
      </c>
      <c r="D83" s="418">
        <f>Dry_Matter_Content!G70</f>
        <v>0.56999999999999995</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Amnt_Deposited!G78</f>
        <v>0</v>
      </c>
      <c r="Q83" s="284">
        <f>MCF!R82</f>
        <v>1</v>
      </c>
      <c r="R83" s="67">
        <f t="shared" ref="R83:R99" si="17">P83*$W$6*DOCF*Q83</f>
        <v>0</v>
      </c>
      <c r="S83" s="67">
        <f t="shared" si="7"/>
        <v>0</v>
      </c>
      <c r="T83" s="67">
        <f t="shared" si="8"/>
        <v>0</v>
      </c>
      <c r="U83" s="67">
        <f t="shared" si="9"/>
        <v>1.8162705989766625</v>
      </c>
      <c r="V83" s="67">
        <f t="shared" si="10"/>
        <v>6.4695029836866064E-2</v>
      </c>
      <c r="W83" s="100">
        <f t="shared" si="11"/>
        <v>4.3130019891244042E-2</v>
      </c>
    </row>
    <row r="84" spans="2:23">
      <c r="B84" s="96">
        <f>Amnt_Deposited!B79</f>
        <v>2065</v>
      </c>
      <c r="C84" s="99">
        <f>Amnt_Deposited!F79</f>
        <v>0</v>
      </c>
      <c r="D84" s="418">
        <f>Dry_Matter_Content!G71</f>
        <v>0.56999999999999995</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Amnt_Deposited!G79</f>
        <v>0</v>
      </c>
      <c r="Q84" s="284">
        <f>MCF!R83</f>
        <v>1</v>
      </c>
      <c r="R84" s="67">
        <f t="shared" si="17"/>
        <v>0</v>
      </c>
      <c r="S84" s="67">
        <f t="shared" si="7"/>
        <v>0</v>
      </c>
      <c r="T84" s="67">
        <f t="shared" si="8"/>
        <v>0</v>
      </c>
      <c r="U84" s="67">
        <f t="shared" si="9"/>
        <v>1.7538007277612397</v>
      </c>
      <c r="V84" s="67">
        <f t="shared" si="10"/>
        <v>6.2469871215422738E-2</v>
      </c>
      <c r="W84" s="100">
        <f t="shared" si="11"/>
        <v>4.1646580810281823E-2</v>
      </c>
    </row>
    <row r="85" spans="2:23">
      <c r="B85" s="96">
        <f>Amnt_Deposited!B80</f>
        <v>2066</v>
      </c>
      <c r="C85" s="99">
        <f>Amnt_Deposited!F80</f>
        <v>0</v>
      </c>
      <c r="D85" s="418">
        <f>Dry_Matter_Content!G72</f>
        <v>0.56999999999999995</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Amnt_Deposited!G80</f>
        <v>0</v>
      </c>
      <c r="Q85" s="284">
        <f>MCF!R84</f>
        <v>1</v>
      </c>
      <c r="R85" s="67">
        <f t="shared" si="17"/>
        <v>0</v>
      </c>
      <c r="S85" s="67">
        <f t="shared" ref="S85:S98" si="19">R85*$W$12</f>
        <v>0</v>
      </c>
      <c r="T85" s="67">
        <f t="shared" ref="T85:T98" si="20">R85*(1-$W$12)</f>
        <v>0</v>
      </c>
      <c r="U85" s="67">
        <f t="shared" ref="U85:U98" si="21">S85+U84*$W$10</f>
        <v>1.6934794817627148</v>
      </c>
      <c r="V85" s="67">
        <f t="shared" ref="V85:V98" si="22">U84*(1-$W$10)+T85</f>
        <v>6.0321245998524842E-2</v>
      </c>
      <c r="W85" s="100">
        <f t="shared" ref="W85:W99" si="23">V85*CH4_fraction*conv</f>
        <v>4.0214163999016561E-2</v>
      </c>
    </row>
    <row r="86" spans="2:23">
      <c r="B86" s="96">
        <f>Amnt_Deposited!B81</f>
        <v>2067</v>
      </c>
      <c r="C86" s="99">
        <f>Amnt_Deposited!F81</f>
        <v>0</v>
      </c>
      <c r="D86" s="418">
        <f>Dry_Matter_Content!G73</f>
        <v>0.56999999999999995</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Amnt_Deposited!G81</f>
        <v>0</v>
      </c>
      <c r="Q86" s="284">
        <f>MCF!R85</f>
        <v>1</v>
      </c>
      <c r="R86" s="67">
        <f t="shared" si="17"/>
        <v>0</v>
      </c>
      <c r="S86" s="67">
        <f t="shared" si="19"/>
        <v>0</v>
      </c>
      <c r="T86" s="67">
        <f t="shared" si="20"/>
        <v>0</v>
      </c>
      <c r="U86" s="67">
        <f t="shared" si="21"/>
        <v>1.6352329599111342</v>
      </c>
      <c r="V86" s="67">
        <f t="shared" si="22"/>
        <v>5.8246521851580642E-2</v>
      </c>
      <c r="W86" s="100">
        <f t="shared" si="23"/>
        <v>3.8831014567720423E-2</v>
      </c>
    </row>
    <row r="87" spans="2:23">
      <c r="B87" s="96">
        <f>Amnt_Deposited!B82</f>
        <v>2068</v>
      </c>
      <c r="C87" s="99">
        <f>Amnt_Deposited!F82</f>
        <v>0</v>
      </c>
      <c r="D87" s="418">
        <f>Dry_Matter_Content!G74</f>
        <v>0.56999999999999995</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Amnt_Deposited!G82</f>
        <v>0</v>
      </c>
      <c r="Q87" s="284">
        <f>MCF!R86</f>
        <v>1</v>
      </c>
      <c r="R87" s="67">
        <f t="shared" si="17"/>
        <v>0</v>
      </c>
      <c r="S87" s="67">
        <f t="shared" si="19"/>
        <v>0</v>
      </c>
      <c r="T87" s="67">
        <f t="shared" si="20"/>
        <v>0</v>
      </c>
      <c r="U87" s="67">
        <f t="shared" si="21"/>
        <v>1.5789898029330831</v>
      </c>
      <c r="V87" s="67">
        <f t="shared" si="22"/>
        <v>5.6243156978050969E-2</v>
      </c>
      <c r="W87" s="100">
        <f t="shared" si="23"/>
        <v>3.7495437985367308E-2</v>
      </c>
    </row>
    <row r="88" spans="2:23">
      <c r="B88" s="96">
        <f>Amnt_Deposited!B83</f>
        <v>2069</v>
      </c>
      <c r="C88" s="99">
        <f>Amnt_Deposited!F83</f>
        <v>0</v>
      </c>
      <c r="D88" s="418">
        <f>Dry_Matter_Content!G75</f>
        <v>0.56999999999999995</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Amnt_Deposited!G83</f>
        <v>0</v>
      </c>
      <c r="Q88" s="284">
        <f>MCF!R87</f>
        <v>1</v>
      </c>
      <c r="R88" s="67">
        <f t="shared" si="17"/>
        <v>0</v>
      </c>
      <c r="S88" s="67">
        <f t="shared" si="19"/>
        <v>0</v>
      </c>
      <c r="T88" s="67">
        <f t="shared" si="20"/>
        <v>0</v>
      </c>
      <c r="U88" s="67">
        <f t="shared" si="21"/>
        <v>1.5246811059276526</v>
      </c>
      <c r="V88" s="67">
        <f t="shared" si="22"/>
        <v>5.4308697005430555E-2</v>
      </c>
      <c r="W88" s="100">
        <f t="shared" si="23"/>
        <v>3.6205798003620365E-2</v>
      </c>
    </row>
    <row r="89" spans="2:23">
      <c r="B89" s="96">
        <f>Amnt_Deposited!B84</f>
        <v>2070</v>
      </c>
      <c r="C89" s="99">
        <f>Amnt_Deposited!F84</f>
        <v>0</v>
      </c>
      <c r="D89" s="418">
        <f>Dry_Matter_Content!G76</f>
        <v>0.56999999999999995</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Amnt_Deposited!G84</f>
        <v>0</v>
      </c>
      <c r="Q89" s="284">
        <f>MCF!R88</f>
        <v>1</v>
      </c>
      <c r="R89" s="67">
        <f t="shared" si="17"/>
        <v>0</v>
      </c>
      <c r="S89" s="67">
        <f t="shared" si="19"/>
        <v>0</v>
      </c>
      <c r="T89" s="67">
        <f t="shared" si="20"/>
        <v>0</v>
      </c>
      <c r="U89" s="67">
        <f t="shared" si="21"/>
        <v>1.4722403339493177</v>
      </c>
      <c r="V89" s="67">
        <f t="shared" si="22"/>
        <v>5.2440771978334827E-2</v>
      </c>
      <c r="W89" s="100">
        <f t="shared" si="23"/>
        <v>3.4960514652223218E-2</v>
      </c>
    </row>
    <row r="90" spans="2:23">
      <c r="B90" s="96">
        <f>Amnt_Deposited!B85</f>
        <v>2071</v>
      </c>
      <c r="C90" s="99">
        <f>Amnt_Deposited!F85</f>
        <v>0</v>
      </c>
      <c r="D90" s="418">
        <f>Dry_Matter_Content!G77</f>
        <v>0.56999999999999995</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Amnt_Deposited!G85</f>
        <v>0</v>
      </c>
      <c r="Q90" s="284">
        <f>MCF!R89</f>
        <v>1</v>
      </c>
      <c r="R90" s="67">
        <f t="shared" si="17"/>
        <v>0</v>
      </c>
      <c r="S90" s="67">
        <f t="shared" si="19"/>
        <v>0</v>
      </c>
      <c r="T90" s="67">
        <f t="shared" si="20"/>
        <v>0</v>
      </c>
      <c r="U90" s="67">
        <f t="shared" si="21"/>
        <v>1.4216032404943095</v>
      </c>
      <c r="V90" s="67">
        <f t="shared" si="22"/>
        <v>5.0637093455008129E-2</v>
      </c>
      <c r="W90" s="100">
        <f t="shared" si="23"/>
        <v>3.3758062303338748E-2</v>
      </c>
    </row>
    <row r="91" spans="2:23">
      <c r="B91" s="96">
        <f>Amnt_Deposited!B86</f>
        <v>2072</v>
      </c>
      <c r="C91" s="99">
        <f>Amnt_Deposited!F86</f>
        <v>0</v>
      </c>
      <c r="D91" s="418">
        <f>Dry_Matter_Content!G78</f>
        <v>0.56999999999999995</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Amnt_Deposited!G86</f>
        <v>0</v>
      </c>
      <c r="Q91" s="284">
        <f>MCF!R90</f>
        <v>1</v>
      </c>
      <c r="R91" s="67">
        <f t="shared" si="17"/>
        <v>0</v>
      </c>
      <c r="S91" s="67">
        <f t="shared" si="19"/>
        <v>0</v>
      </c>
      <c r="T91" s="67">
        <f t="shared" si="20"/>
        <v>0</v>
      </c>
      <c r="U91" s="67">
        <f t="shared" si="21"/>
        <v>1.3727077887906132</v>
      </c>
      <c r="V91" s="67">
        <f t="shared" si="22"/>
        <v>4.8895451703696413E-2</v>
      </c>
      <c r="W91" s="100">
        <f t="shared" si="23"/>
        <v>3.2596967802464273E-2</v>
      </c>
    </row>
    <row r="92" spans="2:23">
      <c r="B92" s="96">
        <f>Amnt_Deposited!B87</f>
        <v>2073</v>
      </c>
      <c r="C92" s="99">
        <f>Amnt_Deposited!F87</f>
        <v>0</v>
      </c>
      <c r="D92" s="418">
        <f>Dry_Matter_Content!G79</f>
        <v>0.56999999999999995</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Amnt_Deposited!G87</f>
        <v>0</v>
      </c>
      <c r="Q92" s="284">
        <f>MCF!R91</f>
        <v>1</v>
      </c>
      <c r="R92" s="67">
        <f t="shared" si="17"/>
        <v>0</v>
      </c>
      <c r="S92" s="67">
        <f t="shared" si="19"/>
        <v>0</v>
      </c>
      <c r="T92" s="67">
        <f t="shared" si="20"/>
        <v>0</v>
      </c>
      <c r="U92" s="67">
        <f t="shared" si="21"/>
        <v>1.3254940757951637</v>
      </c>
      <c r="V92" s="67">
        <f t="shared" si="22"/>
        <v>4.7213712995449512E-2</v>
      </c>
      <c r="W92" s="100">
        <f t="shared" si="23"/>
        <v>3.1475808663633004E-2</v>
      </c>
    </row>
    <row r="93" spans="2:23">
      <c r="B93" s="96">
        <f>Amnt_Deposited!B88</f>
        <v>2074</v>
      </c>
      <c r="C93" s="99">
        <f>Amnt_Deposited!F88</f>
        <v>0</v>
      </c>
      <c r="D93" s="418">
        <f>Dry_Matter_Content!G80</f>
        <v>0.56999999999999995</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Amnt_Deposited!G88</f>
        <v>0</v>
      </c>
      <c r="Q93" s="284">
        <f>MCF!R92</f>
        <v>1</v>
      </c>
      <c r="R93" s="67">
        <f t="shared" si="17"/>
        <v>0</v>
      </c>
      <c r="S93" s="67">
        <f t="shared" si="19"/>
        <v>0</v>
      </c>
      <c r="T93" s="67">
        <f t="shared" si="20"/>
        <v>0</v>
      </c>
      <c r="U93" s="67">
        <f t="shared" si="21"/>
        <v>1.2799042588051273</v>
      </c>
      <c r="V93" s="67">
        <f t="shared" si="22"/>
        <v>4.5589816990036301E-2</v>
      </c>
      <c r="W93" s="100">
        <f t="shared" si="23"/>
        <v>3.0393211326690865E-2</v>
      </c>
    </row>
    <row r="94" spans="2:23">
      <c r="B94" s="96">
        <f>Amnt_Deposited!B89</f>
        <v>2075</v>
      </c>
      <c r="C94" s="99">
        <f>Amnt_Deposited!F89</f>
        <v>0</v>
      </c>
      <c r="D94" s="418">
        <f>Dry_Matter_Content!G81</f>
        <v>0.56999999999999995</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Amnt_Deposited!G89</f>
        <v>0</v>
      </c>
      <c r="Q94" s="284">
        <f>MCF!R93</f>
        <v>1</v>
      </c>
      <c r="R94" s="67">
        <f t="shared" si="17"/>
        <v>0</v>
      </c>
      <c r="S94" s="67">
        <f t="shared" si="19"/>
        <v>0</v>
      </c>
      <c r="T94" s="67">
        <f t="shared" si="20"/>
        <v>0</v>
      </c>
      <c r="U94" s="67">
        <f t="shared" si="21"/>
        <v>1.2358824845933569</v>
      </c>
      <c r="V94" s="67">
        <f t="shared" si="22"/>
        <v>4.4021774211770275E-2</v>
      </c>
      <c r="W94" s="100">
        <f t="shared" si="23"/>
        <v>2.9347849474513514E-2</v>
      </c>
    </row>
    <row r="95" spans="2:23">
      <c r="B95" s="96">
        <f>Amnt_Deposited!B90</f>
        <v>2076</v>
      </c>
      <c r="C95" s="99">
        <f>Amnt_Deposited!F90</f>
        <v>0</v>
      </c>
      <c r="D95" s="418">
        <f>Dry_Matter_Content!G82</f>
        <v>0.56999999999999995</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Amnt_Deposited!G90</f>
        <v>0</v>
      </c>
      <c r="Q95" s="284">
        <f>MCF!R94</f>
        <v>1</v>
      </c>
      <c r="R95" s="67">
        <f t="shared" si="17"/>
        <v>0</v>
      </c>
      <c r="S95" s="67">
        <f t="shared" si="19"/>
        <v>0</v>
      </c>
      <c r="T95" s="67">
        <f t="shared" si="20"/>
        <v>0</v>
      </c>
      <c r="U95" s="67">
        <f t="shared" si="21"/>
        <v>1.1933748209812038</v>
      </c>
      <c r="V95" s="67">
        <f t="shared" si="22"/>
        <v>4.2507663612153038E-2</v>
      </c>
      <c r="W95" s="100">
        <f t="shared" si="23"/>
        <v>2.8338442408102023E-2</v>
      </c>
    </row>
    <row r="96" spans="2:23">
      <c r="B96" s="96">
        <f>Amnt_Deposited!B91</f>
        <v>2077</v>
      </c>
      <c r="C96" s="99">
        <f>Amnt_Deposited!F91</f>
        <v>0</v>
      </c>
      <c r="D96" s="418">
        <f>Dry_Matter_Content!G83</f>
        <v>0.56999999999999995</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Amnt_Deposited!G91</f>
        <v>0</v>
      </c>
      <c r="Q96" s="284">
        <f>MCF!R95</f>
        <v>1</v>
      </c>
      <c r="R96" s="67">
        <f t="shared" si="17"/>
        <v>0</v>
      </c>
      <c r="S96" s="67">
        <f t="shared" si="19"/>
        <v>0</v>
      </c>
      <c r="T96" s="67">
        <f t="shared" si="20"/>
        <v>0</v>
      </c>
      <c r="U96" s="67">
        <f t="shared" si="21"/>
        <v>1.1523291907648543</v>
      </c>
      <c r="V96" s="67">
        <f t="shared" si="22"/>
        <v>4.1045630216349646E-2</v>
      </c>
      <c r="W96" s="100">
        <f t="shared" si="23"/>
        <v>2.7363753477566428E-2</v>
      </c>
    </row>
    <row r="97" spans="2:23">
      <c r="B97" s="96">
        <f>Amnt_Deposited!B92</f>
        <v>2078</v>
      </c>
      <c r="C97" s="99">
        <f>Amnt_Deposited!F92</f>
        <v>0</v>
      </c>
      <c r="D97" s="418">
        <f>Dry_Matter_Content!G84</f>
        <v>0.56999999999999995</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Amnt_Deposited!G92</f>
        <v>0</v>
      </c>
      <c r="Q97" s="284">
        <f>MCF!R96</f>
        <v>1</v>
      </c>
      <c r="R97" s="67">
        <f t="shared" si="17"/>
        <v>0</v>
      </c>
      <c r="S97" s="67">
        <f t="shared" si="19"/>
        <v>0</v>
      </c>
      <c r="T97" s="67">
        <f t="shared" si="20"/>
        <v>0</v>
      </c>
      <c r="U97" s="67">
        <f t="shared" si="21"/>
        <v>1.1126953079142419</v>
      </c>
      <c r="V97" s="67">
        <f t="shared" si="22"/>
        <v>3.9633882850612451E-2</v>
      </c>
      <c r="W97" s="100">
        <f t="shared" si="23"/>
        <v>2.6422588567074967E-2</v>
      </c>
    </row>
    <row r="98" spans="2:23">
      <c r="B98" s="96">
        <f>Amnt_Deposited!B93</f>
        <v>2079</v>
      </c>
      <c r="C98" s="99">
        <f>Amnt_Deposited!F93</f>
        <v>0</v>
      </c>
      <c r="D98" s="418">
        <f>Dry_Matter_Content!G85</f>
        <v>0.56999999999999995</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Amnt_Deposited!G93</f>
        <v>0</v>
      </c>
      <c r="Q98" s="284">
        <f>MCF!R97</f>
        <v>1</v>
      </c>
      <c r="R98" s="67">
        <f t="shared" si="17"/>
        <v>0</v>
      </c>
      <c r="S98" s="67">
        <f t="shared" si="19"/>
        <v>0</v>
      </c>
      <c r="T98" s="67">
        <f t="shared" si="20"/>
        <v>0</v>
      </c>
      <c r="U98" s="67">
        <f t="shared" si="21"/>
        <v>1.0744246159663726</v>
      </c>
      <c r="V98" s="67">
        <f t="shared" si="22"/>
        <v>3.8270691947869265E-2</v>
      </c>
      <c r="W98" s="100">
        <f t="shared" si="23"/>
        <v>2.5513794631912841E-2</v>
      </c>
    </row>
    <row r="99" spans="2:23" ht="13.5" thickBot="1">
      <c r="B99" s="97">
        <f>Amnt_Deposited!B94</f>
        <v>2080</v>
      </c>
      <c r="C99" s="101">
        <f>Amnt_Deposited!F94</f>
        <v>0</v>
      </c>
      <c r="D99" s="418">
        <f>Dry_Matter_Content!G86</f>
        <v>0.56999999999999995</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Amnt_Deposited!G94</f>
        <v>0</v>
      </c>
      <c r="Q99" s="285">
        <f>MCF!R98</f>
        <v>1</v>
      </c>
      <c r="R99" s="68">
        <f t="shared" si="17"/>
        <v>0</v>
      </c>
      <c r="S99" s="68">
        <f>R99*$W$12</f>
        <v>0</v>
      </c>
      <c r="T99" s="68">
        <f>R99*(1-$W$12)</f>
        <v>0</v>
      </c>
      <c r="U99" s="68">
        <f>S99+U98*$W$10</f>
        <v>1.0374702285375852</v>
      </c>
      <c r="V99" s="68">
        <f>U98*(1-$W$10)+T99</f>
        <v>3.69543874287874E-2</v>
      </c>
      <c r="W99" s="102">
        <f t="shared" si="23"/>
        <v>2.4636258285858265E-2</v>
      </c>
    </row>
  </sheetData>
  <pageMargins left="0.75" right="0.75" top="1" bottom="1" header="0.5" footer="0.5"/>
  <headerFooter alignWithMargins="0"/>
  <ignoredErrors>
    <ignoredError sqref="K9" evalError="1"/>
  </ignoredErrors>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153</v>
      </c>
      <c r="C2" s="224"/>
      <c r="D2" s="224"/>
      <c r="E2" s="225"/>
      <c r="F2" s="226"/>
      <c r="G2" s="226"/>
      <c r="H2" s="226"/>
      <c r="I2" s="226"/>
      <c r="J2" s="226"/>
      <c r="K2" s="226"/>
    </row>
    <row r="3" spans="1:23" ht="15">
      <c r="B3" s="243" t="str">
        <f>IF(Select2=2,"This sheet applies only to the waste compositon option and can be deleted when the bulk waste option has been chosen","")</f>
        <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Parameters!O18</f>
        <v>0.3</v>
      </c>
      <c r="O6" s="230"/>
      <c r="P6" s="231"/>
      <c r="Q6" s="222"/>
      <c r="R6" s="108" t="s">
        <v>9</v>
      </c>
      <c r="S6" s="109"/>
      <c r="T6" s="109"/>
      <c r="U6" s="113"/>
      <c r="V6" s="120" t="s">
        <v>9</v>
      </c>
      <c r="W6" s="261">
        <f>Parameters!R18</f>
        <v>0.24</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Parameters!O37</f>
        <v>7.0000000000000007E-2</v>
      </c>
      <c r="O8" s="47"/>
      <c r="P8" s="47"/>
      <c r="Q8" s="222"/>
      <c r="R8" s="108" t="s">
        <v>192</v>
      </c>
      <c r="S8" s="109"/>
      <c r="T8" s="109"/>
      <c r="U8" s="113"/>
      <c r="V8" s="120" t="s">
        <v>188</v>
      </c>
      <c r="W8" s="114">
        <f>Parameters!O37</f>
        <v>7.0000000000000007E-2</v>
      </c>
    </row>
    <row r="9" spans="1:23" ht="15.75">
      <c r="F9" s="247" t="s">
        <v>190</v>
      </c>
      <c r="G9" s="248"/>
      <c r="H9" s="248"/>
      <c r="I9" s="249"/>
      <c r="J9" s="250" t="s">
        <v>189</v>
      </c>
      <c r="K9" s="256">
        <f>LN(2)/$K$8</f>
        <v>9.9021025794277886</v>
      </c>
      <c r="O9" s="47"/>
      <c r="P9" s="47"/>
      <c r="Q9" s="222"/>
      <c r="R9" s="247" t="s">
        <v>190</v>
      </c>
      <c r="S9" s="248"/>
      <c r="T9" s="248"/>
      <c r="U9" s="249"/>
      <c r="V9" s="250" t="s">
        <v>189</v>
      </c>
      <c r="W9" s="256">
        <f>LN(2)/$W$8</f>
        <v>9.9021025794277886</v>
      </c>
    </row>
    <row r="10" spans="1:23">
      <c r="F10" s="110" t="s">
        <v>84</v>
      </c>
      <c r="G10" s="111"/>
      <c r="H10" s="111"/>
      <c r="I10" s="112"/>
      <c r="J10" s="121" t="s">
        <v>148</v>
      </c>
      <c r="K10" s="49">
        <f>EXP(-$K$8)</f>
        <v>0.93239381990594827</v>
      </c>
      <c r="O10" s="47"/>
      <c r="P10" s="47"/>
      <c r="Q10" s="222"/>
      <c r="R10" s="110" t="s">
        <v>84</v>
      </c>
      <c r="S10" s="111"/>
      <c r="T10" s="111"/>
      <c r="U10" s="112"/>
      <c r="V10" s="121" t="s">
        <v>148</v>
      </c>
      <c r="W10" s="49">
        <f>EXP(-$W$8)</f>
        <v>0.93239381990594827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Amnt_Deposited!H14</f>
        <v>0.22054313437199996</v>
      </c>
      <c r="D19" s="416">
        <f>Dry_Matter_Content!H6</f>
        <v>0.73</v>
      </c>
      <c r="E19" s="283">
        <f>MCF!R18</f>
        <v>1</v>
      </c>
      <c r="F19" s="130">
        <f t="shared" ref="F19:F50" si="0">C19*D19*$K$6*DOCF*E19</f>
        <v>2.4149473213733997E-2</v>
      </c>
      <c r="G19" s="65">
        <f t="shared" ref="G19:G82" si="1">F19*$K$12</f>
        <v>2.4149473213733997E-2</v>
      </c>
      <c r="H19" s="65">
        <f t="shared" ref="H19:H82" si="2">F19*(1-$K$12)</f>
        <v>0</v>
      </c>
      <c r="I19" s="65">
        <f t="shared" ref="I19:I82" si="3">G19+I18*$K$10</f>
        <v>2.4149473213733997E-2</v>
      </c>
      <c r="J19" s="65">
        <f t="shared" ref="J19:J82" si="4">I18*(1-$K$10)+H19</f>
        <v>0</v>
      </c>
      <c r="K19" s="66">
        <f>J19*CH4_fraction*conv</f>
        <v>0</v>
      </c>
      <c r="O19" s="95">
        <f>Amnt_Deposited!B14</f>
        <v>2000</v>
      </c>
      <c r="P19" s="98">
        <f>Amnt_Deposited!H14</f>
        <v>0.22054313437199996</v>
      </c>
      <c r="Q19" s="283">
        <f>MCF!R18</f>
        <v>1</v>
      </c>
      <c r="R19" s="130">
        <f t="shared" ref="R19:R50" si="5">P19*$W$6*DOCF*Q19</f>
        <v>2.6465176124639993E-2</v>
      </c>
      <c r="S19" s="65">
        <f>R19*$W$12</f>
        <v>2.6465176124639993E-2</v>
      </c>
      <c r="T19" s="65">
        <f>R19*(1-$W$12)</f>
        <v>0</v>
      </c>
      <c r="U19" s="65">
        <f>S19+U18*$W$10</f>
        <v>2.6465176124639993E-2</v>
      </c>
      <c r="V19" s="65">
        <f>U18*(1-$W$10)+T19</f>
        <v>0</v>
      </c>
      <c r="W19" s="66">
        <f>V19*CH4_fraction*conv</f>
        <v>0</v>
      </c>
    </row>
    <row r="20" spans="2:23">
      <c r="B20" s="96">
        <f>Amnt_Deposited!B15</f>
        <v>2001</v>
      </c>
      <c r="C20" s="99">
        <f>Amnt_Deposited!H15</f>
        <v>0.23277779751599997</v>
      </c>
      <c r="D20" s="418">
        <f>Dry_Matter_Content!H7</f>
        <v>0.73</v>
      </c>
      <c r="E20" s="284">
        <f>MCF!R19</f>
        <v>1</v>
      </c>
      <c r="F20" s="67">
        <f t="shared" si="0"/>
        <v>2.5489168828001996E-2</v>
      </c>
      <c r="G20" s="67">
        <f t="shared" si="1"/>
        <v>2.5489168828001996E-2</v>
      </c>
      <c r="H20" s="67">
        <f t="shared" si="2"/>
        <v>0</v>
      </c>
      <c r="I20" s="67">
        <f t="shared" si="3"/>
        <v>4.8005988406471814E-2</v>
      </c>
      <c r="J20" s="67">
        <f t="shared" si="4"/>
        <v>1.6326536352641787E-3</v>
      </c>
      <c r="K20" s="100">
        <f>J20*CH4_fraction*conv</f>
        <v>1.0884357568427857E-3</v>
      </c>
      <c r="M20" s="393"/>
      <c r="O20" s="96">
        <f>Amnt_Deposited!B15</f>
        <v>2001</v>
      </c>
      <c r="P20" s="99">
        <f>Amnt_Deposited!H15</f>
        <v>0.23277779751599997</v>
      </c>
      <c r="Q20" s="284">
        <f>MCF!R19</f>
        <v>1</v>
      </c>
      <c r="R20" s="67">
        <f t="shared" si="5"/>
        <v>2.7933335701919994E-2</v>
      </c>
      <c r="S20" s="67">
        <f>R20*$W$12</f>
        <v>2.7933335701919994E-2</v>
      </c>
      <c r="T20" s="67">
        <f>R20*(1-$W$12)</f>
        <v>0</v>
      </c>
      <c r="U20" s="67">
        <f>S20+U19*$W$10</f>
        <v>5.2609302363256782E-2</v>
      </c>
      <c r="V20" s="67">
        <f>U19*(1-$W$10)+T20</f>
        <v>1.7892094633032093E-3</v>
      </c>
      <c r="W20" s="100">
        <f>V20*CH4_fraction*conv</f>
        <v>1.1928063088688062E-3</v>
      </c>
    </row>
    <row r="21" spans="2:23">
      <c r="B21" s="96">
        <f>Amnt_Deposited!B16</f>
        <v>2002</v>
      </c>
      <c r="C21" s="99">
        <f>Amnt_Deposited!H16</f>
        <v>0.24594752239199999</v>
      </c>
      <c r="D21" s="418">
        <f>Dry_Matter_Content!H8</f>
        <v>0.73</v>
      </c>
      <c r="E21" s="284">
        <f>MCF!R20</f>
        <v>1</v>
      </c>
      <c r="F21" s="67">
        <f t="shared" si="0"/>
        <v>2.6931253701923997E-2</v>
      </c>
      <c r="G21" s="67">
        <f t="shared" si="1"/>
        <v>2.6931253701923997E-2</v>
      </c>
      <c r="H21" s="67">
        <f t="shared" si="2"/>
        <v>0</v>
      </c>
      <c r="I21" s="67">
        <f t="shared" si="3"/>
        <v>7.1691740610594912E-2</v>
      </c>
      <c r="J21" s="67">
        <f t="shared" si="4"/>
        <v>3.2455014978008925E-3</v>
      </c>
      <c r="K21" s="100">
        <f t="shared" ref="K21:K84" si="6">J21*CH4_fraction*conv</f>
        <v>2.1636676652005949E-3</v>
      </c>
      <c r="O21" s="96">
        <f>Amnt_Deposited!B16</f>
        <v>2002</v>
      </c>
      <c r="P21" s="99">
        <f>Amnt_Deposited!H16</f>
        <v>0.24594752239199999</v>
      </c>
      <c r="Q21" s="284">
        <f>MCF!R20</f>
        <v>1</v>
      </c>
      <c r="R21" s="67">
        <f t="shared" si="5"/>
        <v>2.9513702687039997E-2</v>
      </c>
      <c r="S21" s="67">
        <f t="shared" ref="S21:S84" si="7">R21*$W$12</f>
        <v>2.9513702687039997E-2</v>
      </c>
      <c r="T21" s="67">
        <f t="shared" ref="T21:T84" si="8">R21*(1-$W$12)</f>
        <v>0</v>
      </c>
      <c r="U21" s="67">
        <f t="shared" ref="U21:U84" si="9">S21+U20*$W$10</f>
        <v>7.8566291080104017E-2</v>
      </c>
      <c r="V21" s="67">
        <f t="shared" ref="V21:V84" si="10">U20*(1-$W$10)+T21</f>
        <v>3.556713970192759E-3</v>
      </c>
      <c r="W21" s="100">
        <f t="shared" ref="W21:W84" si="11">V21*CH4_fraction*conv</f>
        <v>2.3711426467951727E-3</v>
      </c>
    </row>
    <row r="22" spans="2:23">
      <c r="B22" s="96">
        <f>Amnt_Deposited!B17</f>
        <v>2003</v>
      </c>
      <c r="C22" s="99">
        <f>Amnt_Deposited!H17</f>
        <v>0.25045008872400004</v>
      </c>
      <c r="D22" s="418">
        <f>Dry_Matter_Content!H9</f>
        <v>0.73</v>
      </c>
      <c r="E22" s="284">
        <f>MCF!R21</f>
        <v>1</v>
      </c>
      <c r="F22" s="67">
        <f t="shared" si="0"/>
        <v>2.7424284715278004E-2</v>
      </c>
      <c r="G22" s="67">
        <f t="shared" si="1"/>
        <v>2.7424284715278004E-2</v>
      </c>
      <c r="H22" s="67">
        <f t="shared" si="2"/>
        <v>0</v>
      </c>
      <c r="I22" s="67">
        <f t="shared" si="3"/>
        <v>9.4269220598897002E-2</v>
      </c>
      <c r="J22" s="67">
        <f t="shared" si="4"/>
        <v>4.8468047269759219E-3</v>
      </c>
      <c r="K22" s="100">
        <f t="shared" si="6"/>
        <v>3.231203151317281E-3</v>
      </c>
      <c r="N22" s="258"/>
      <c r="O22" s="96">
        <f>Amnt_Deposited!B17</f>
        <v>2003</v>
      </c>
      <c r="P22" s="99">
        <f>Amnt_Deposited!H17</f>
        <v>0.25045008872400004</v>
      </c>
      <c r="Q22" s="284">
        <f>MCF!R21</f>
        <v>1</v>
      </c>
      <c r="R22" s="67">
        <f t="shared" si="5"/>
        <v>3.0054010646880003E-2</v>
      </c>
      <c r="S22" s="67">
        <f t="shared" si="7"/>
        <v>3.0054010646880003E-2</v>
      </c>
      <c r="T22" s="67">
        <f t="shared" si="8"/>
        <v>0</v>
      </c>
      <c r="U22" s="67">
        <f t="shared" si="9"/>
        <v>0.10330873490290081</v>
      </c>
      <c r="V22" s="67">
        <f t="shared" si="10"/>
        <v>5.3115668240832021E-3</v>
      </c>
      <c r="W22" s="100">
        <f t="shared" si="11"/>
        <v>3.5410445493888011E-3</v>
      </c>
    </row>
    <row r="23" spans="2:23">
      <c r="B23" s="96">
        <f>Amnt_Deposited!B18</f>
        <v>2004</v>
      </c>
      <c r="C23" s="99">
        <f>Amnt_Deposited!H18</f>
        <v>0.26424131045400001</v>
      </c>
      <c r="D23" s="418">
        <f>Dry_Matter_Content!H10</f>
        <v>0.73</v>
      </c>
      <c r="E23" s="284">
        <f>MCF!R22</f>
        <v>1</v>
      </c>
      <c r="F23" s="67">
        <f t="shared" si="0"/>
        <v>2.8934423494713001E-2</v>
      </c>
      <c r="G23" s="67">
        <f t="shared" si="1"/>
        <v>2.8934423494713001E-2</v>
      </c>
      <c r="H23" s="67">
        <f t="shared" si="2"/>
        <v>0</v>
      </c>
      <c r="I23" s="67">
        <f t="shared" si="3"/>
        <v>0.11683046218847509</v>
      </c>
      <c r="J23" s="67">
        <f t="shared" si="4"/>
        <v>6.3731819051349213E-3</v>
      </c>
      <c r="K23" s="100">
        <f t="shared" si="6"/>
        <v>4.2487879367566136E-3</v>
      </c>
      <c r="N23" s="258"/>
      <c r="O23" s="96">
        <f>Amnt_Deposited!B18</f>
        <v>2004</v>
      </c>
      <c r="P23" s="99">
        <f>Amnt_Deposited!H18</f>
        <v>0.26424131045400001</v>
      </c>
      <c r="Q23" s="284">
        <f>MCF!R22</f>
        <v>1</v>
      </c>
      <c r="R23" s="67">
        <f t="shared" si="5"/>
        <v>3.1708957254480002E-2</v>
      </c>
      <c r="S23" s="67">
        <f t="shared" si="7"/>
        <v>3.1708957254480002E-2</v>
      </c>
      <c r="T23" s="67">
        <f t="shared" si="8"/>
        <v>0</v>
      </c>
      <c r="U23" s="67">
        <f t="shared" si="9"/>
        <v>0.12803338322024665</v>
      </c>
      <c r="V23" s="67">
        <f t="shared" si="10"/>
        <v>6.9843089371341592E-3</v>
      </c>
      <c r="W23" s="100">
        <f t="shared" si="11"/>
        <v>4.6562059580894394E-3</v>
      </c>
    </row>
    <row r="24" spans="2:23">
      <c r="B24" s="96">
        <f>Amnt_Deposited!B19</f>
        <v>2005</v>
      </c>
      <c r="C24" s="99">
        <f>Amnt_Deposited!H19</f>
        <v>0.283244844168</v>
      </c>
      <c r="D24" s="418">
        <f>Dry_Matter_Content!H11</f>
        <v>0.73</v>
      </c>
      <c r="E24" s="284">
        <f>MCF!R23</f>
        <v>1</v>
      </c>
      <c r="F24" s="67">
        <f t="shared" si="0"/>
        <v>3.1015310436396E-2</v>
      </c>
      <c r="G24" s="67">
        <f t="shared" si="1"/>
        <v>3.1015310436396E-2</v>
      </c>
      <c r="H24" s="67">
        <f t="shared" si="2"/>
        <v>0</v>
      </c>
      <c r="I24" s="67">
        <f t="shared" si="3"/>
        <v>0.13994731135768573</v>
      </c>
      <c r="J24" s="67">
        <f t="shared" si="4"/>
        <v>7.8984612671853475E-3</v>
      </c>
      <c r="K24" s="100">
        <f t="shared" si="6"/>
        <v>5.2656408447902311E-3</v>
      </c>
      <c r="N24" s="258"/>
      <c r="O24" s="96">
        <f>Amnt_Deposited!B19</f>
        <v>2005</v>
      </c>
      <c r="P24" s="99">
        <f>Amnt_Deposited!H19</f>
        <v>0.283244844168</v>
      </c>
      <c r="Q24" s="284">
        <f>MCF!R23</f>
        <v>1</v>
      </c>
      <c r="R24" s="67">
        <f t="shared" si="5"/>
        <v>3.398938130016E-2</v>
      </c>
      <c r="S24" s="67">
        <f t="shared" si="7"/>
        <v>3.398938130016E-2</v>
      </c>
      <c r="T24" s="67">
        <f t="shared" si="8"/>
        <v>0</v>
      </c>
      <c r="U24" s="67">
        <f t="shared" si="9"/>
        <v>0.15336691655636792</v>
      </c>
      <c r="V24" s="67">
        <f t="shared" si="10"/>
        <v>8.6558479640387355E-3</v>
      </c>
      <c r="W24" s="100">
        <f t="shared" si="11"/>
        <v>5.7705653093591564E-3</v>
      </c>
    </row>
    <row r="25" spans="2:23">
      <c r="B25" s="96">
        <f>Amnt_Deposited!B20</f>
        <v>2006</v>
      </c>
      <c r="C25" s="99">
        <f>Amnt_Deposited!H20</f>
        <v>0.29477163929399997</v>
      </c>
      <c r="D25" s="418">
        <f>Dry_Matter_Content!H12</f>
        <v>0.73</v>
      </c>
      <c r="E25" s="284">
        <f>MCF!R24</f>
        <v>1</v>
      </c>
      <c r="F25" s="67">
        <f t="shared" si="0"/>
        <v>3.2277494502692995E-2</v>
      </c>
      <c r="G25" s="67">
        <f t="shared" si="1"/>
        <v>3.2277494502692995E-2</v>
      </c>
      <c r="H25" s="67">
        <f t="shared" si="2"/>
        <v>0</v>
      </c>
      <c r="I25" s="67">
        <f t="shared" si="3"/>
        <v>0.16276350272505269</v>
      </c>
      <c r="J25" s="67">
        <f t="shared" si="4"/>
        <v>9.4613031353260324E-3</v>
      </c>
      <c r="K25" s="100">
        <f t="shared" si="6"/>
        <v>6.307535423550688E-3</v>
      </c>
      <c r="N25" s="258"/>
      <c r="O25" s="96">
        <f>Amnt_Deposited!B20</f>
        <v>2006</v>
      </c>
      <c r="P25" s="99">
        <f>Amnt_Deposited!H20</f>
        <v>0.29477163929399997</v>
      </c>
      <c r="Q25" s="284">
        <f>MCF!R24</f>
        <v>1</v>
      </c>
      <c r="R25" s="67">
        <f t="shared" si="5"/>
        <v>3.5372596715279994E-2</v>
      </c>
      <c r="S25" s="67">
        <f t="shared" si="7"/>
        <v>3.5372596715279994E-2</v>
      </c>
      <c r="T25" s="67">
        <f t="shared" si="8"/>
        <v>0</v>
      </c>
      <c r="U25" s="67">
        <f t="shared" si="9"/>
        <v>0.17837096189046869</v>
      </c>
      <c r="V25" s="67">
        <f t="shared" si="10"/>
        <v>1.0368551381179213E-2</v>
      </c>
      <c r="W25" s="100">
        <f t="shared" si="11"/>
        <v>6.9123675874528086E-3</v>
      </c>
    </row>
    <row r="26" spans="2:23">
      <c r="B26" s="96">
        <f>Amnt_Deposited!B21</f>
        <v>2007</v>
      </c>
      <c r="C26" s="99">
        <f>Amnt_Deposited!H21</f>
        <v>0.30663453090600001</v>
      </c>
      <c r="D26" s="418">
        <f>Dry_Matter_Content!H13</f>
        <v>0.73</v>
      </c>
      <c r="E26" s="284">
        <f>MCF!R25</f>
        <v>1</v>
      </c>
      <c r="F26" s="67">
        <f t="shared" si="0"/>
        <v>3.3576481134206998E-2</v>
      </c>
      <c r="G26" s="67">
        <f t="shared" si="1"/>
        <v>3.3576481134206998E-2</v>
      </c>
      <c r="H26" s="67">
        <f t="shared" si="2"/>
        <v>0</v>
      </c>
      <c r="I26" s="67">
        <f t="shared" si="3"/>
        <v>0.18533616518129109</v>
      </c>
      <c r="J26" s="67">
        <f t="shared" si="4"/>
        <v>1.1003818677968591E-2</v>
      </c>
      <c r="K26" s="100">
        <f t="shared" si="6"/>
        <v>7.3358791186457269E-3</v>
      </c>
      <c r="N26" s="258"/>
      <c r="O26" s="96">
        <f>Amnt_Deposited!B21</f>
        <v>2007</v>
      </c>
      <c r="P26" s="99">
        <f>Amnt_Deposited!H21</f>
        <v>0.30663453090600001</v>
      </c>
      <c r="Q26" s="284">
        <f>MCF!R25</f>
        <v>1</v>
      </c>
      <c r="R26" s="67">
        <f t="shared" si="5"/>
        <v>3.6796143708720003E-2</v>
      </c>
      <c r="S26" s="67">
        <f t="shared" si="7"/>
        <v>3.6796143708720003E-2</v>
      </c>
      <c r="T26" s="67">
        <f t="shared" si="8"/>
        <v>0</v>
      </c>
      <c r="U26" s="67">
        <f t="shared" si="9"/>
        <v>0.20310812622607244</v>
      </c>
      <c r="V26" s="67">
        <f t="shared" si="10"/>
        <v>1.2058979373116264E-2</v>
      </c>
      <c r="W26" s="100">
        <f t="shared" si="11"/>
        <v>8.0393195820775091E-3</v>
      </c>
    </row>
    <row r="27" spans="2:23">
      <c r="B27" s="96">
        <f>Amnt_Deposited!B22</f>
        <v>2008</v>
      </c>
      <c r="C27" s="99">
        <f>Amnt_Deposited!H22</f>
        <v>0.31880910976199994</v>
      </c>
      <c r="D27" s="418">
        <f>Dry_Matter_Content!H14</f>
        <v>0.73</v>
      </c>
      <c r="E27" s="284">
        <f>MCF!R26</f>
        <v>1</v>
      </c>
      <c r="F27" s="67">
        <f t="shared" si="0"/>
        <v>3.490959751893899E-2</v>
      </c>
      <c r="G27" s="67">
        <f t="shared" si="1"/>
        <v>3.490959751893899E-2</v>
      </c>
      <c r="H27" s="67">
        <f t="shared" si="2"/>
        <v>0</v>
      </c>
      <c r="I27" s="67">
        <f t="shared" si="3"/>
        <v>0.2077158925390428</v>
      </c>
      <c r="J27" s="67">
        <f t="shared" si="4"/>
        <v>1.2529870161187284E-2</v>
      </c>
      <c r="K27" s="100">
        <f t="shared" si="6"/>
        <v>8.3532467741248562E-3</v>
      </c>
      <c r="N27" s="258"/>
      <c r="O27" s="96">
        <f>Amnt_Deposited!B22</f>
        <v>2008</v>
      </c>
      <c r="P27" s="99">
        <f>Amnt_Deposited!H22</f>
        <v>0.31880910976199994</v>
      </c>
      <c r="Q27" s="284">
        <f>MCF!R26</f>
        <v>1</v>
      </c>
      <c r="R27" s="67">
        <f t="shared" si="5"/>
        <v>3.8257093171439993E-2</v>
      </c>
      <c r="S27" s="67">
        <f t="shared" si="7"/>
        <v>3.8257093171439993E-2</v>
      </c>
      <c r="T27" s="67">
        <f t="shared" si="8"/>
        <v>0</v>
      </c>
      <c r="U27" s="67">
        <f t="shared" si="9"/>
        <v>0.22763385483730719</v>
      </c>
      <c r="V27" s="67">
        <f t="shared" si="10"/>
        <v>1.3731364560205244E-2</v>
      </c>
      <c r="W27" s="100">
        <f t="shared" si="11"/>
        <v>9.154243040136829E-3</v>
      </c>
    </row>
    <row r="28" spans="2:23">
      <c r="B28" s="96">
        <f>Amnt_Deposited!B23</f>
        <v>2009</v>
      </c>
      <c r="C28" s="99">
        <f>Amnt_Deposited!H23</f>
        <v>0.33125594554800003</v>
      </c>
      <c r="D28" s="418">
        <f>Dry_Matter_Content!H15</f>
        <v>0.73</v>
      </c>
      <c r="E28" s="284">
        <f>MCF!R27</f>
        <v>1</v>
      </c>
      <c r="F28" s="67">
        <f t="shared" si="0"/>
        <v>3.6272526037506005E-2</v>
      </c>
      <c r="G28" s="67">
        <f t="shared" si="1"/>
        <v>3.6272526037506005E-2</v>
      </c>
      <c r="H28" s="67">
        <f t="shared" si="2"/>
        <v>0</v>
      </c>
      <c r="I28" s="67">
        <f t="shared" si="3"/>
        <v>0.22994554053715757</v>
      </c>
      <c r="J28" s="67">
        <f t="shared" si="4"/>
        <v>1.4042878039391223E-2</v>
      </c>
      <c r="K28" s="100">
        <f t="shared" si="6"/>
        <v>9.3619186929274813E-3</v>
      </c>
      <c r="N28" s="258"/>
      <c r="O28" s="96">
        <f>Amnt_Deposited!B23</f>
        <v>2009</v>
      </c>
      <c r="P28" s="99">
        <f>Amnt_Deposited!H23</f>
        <v>0.33125594554800003</v>
      </c>
      <c r="Q28" s="284">
        <f>MCF!R27</f>
        <v>1</v>
      </c>
      <c r="R28" s="67">
        <f t="shared" si="5"/>
        <v>3.975071346576E-2</v>
      </c>
      <c r="S28" s="67">
        <f t="shared" si="7"/>
        <v>3.975071346576E-2</v>
      </c>
      <c r="T28" s="67">
        <f t="shared" si="8"/>
        <v>0</v>
      </c>
      <c r="U28" s="67">
        <f t="shared" si="9"/>
        <v>0.25199511291743298</v>
      </c>
      <c r="V28" s="67">
        <f t="shared" si="10"/>
        <v>1.5389455385634217E-2</v>
      </c>
      <c r="W28" s="100">
        <f t="shared" si="11"/>
        <v>1.0259636923756144E-2</v>
      </c>
    </row>
    <row r="29" spans="2:23">
      <c r="B29" s="96">
        <f>Amnt_Deposited!B24</f>
        <v>2010</v>
      </c>
      <c r="C29" s="99">
        <f>Amnt_Deposited!H24</f>
        <v>0.33624481908599996</v>
      </c>
      <c r="D29" s="418">
        <f>Dry_Matter_Content!H16</f>
        <v>0.73</v>
      </c>
      <c r="E29" s="284">
        <f>MCF!R28</f>
        <v>1</v>
      </c>
      <c r="F29" s="67">
        <f t="shared" si="0"/>
        <v>3.6818807689916994E-2</v>
      </c>
      <c r="G29" s="67">
        <f t="shared" si="1"/>
        <v>3.6818807689916994E-2</v>
      </c>
      <c r="H29" s="67">
        <f t="shared" si="2"/>
        <v>0</v>
      </c>
      <c r="I29" s="67">
        <f t="shared" si="3"/>
        <v>0.25121860860169543</v>
      </c>
      <c r="J29" s="67">
        <f t="shared" si="4"/>
        <v>1.5545739625379147E-2</v>
      </c>
      <c r="K29" s="100">
        <f t="shared" si="6"/>
        <v>1.0363826416919431E-2</v>
      </c>
      <c r="O29" s="96">
        <f>Amnt_Deposited!B24</f>
        <v>2010</v>
      </c>
      <c r="P29" s="99">
        <f>Amnt_Deposited!H24</f>
        <v>0.33624481908599996</v>
      </c>
      <c r="Q29" s="284">
        <f>MCF!R28</f>
        <v>1</v>
      </c>
      <c r="R29" s="67">
        <f t="shared" si="5"/>
        <v>4.0349378290319995E-2</v>
      </c>
      <c r="S29" s="67">
        <f t="shared" si="7"/>
        <v>4.0349378290319995E-2</v>
      </c>
      <c r="T29" s="67">
        <f t="shared" si="8"/>
        <v>0</v>
      </c>
      <c r="U29" s="67">
        <f t="shared" si="9"/>
        <v>0.2753080642210361</v>
      </c>
      <c r="V29" s="67">
        <f t="shared" si="10"/>
        <v>1.7036426986716875E-2</v>
      </c>
      <c r="W29" s="100">
        <f t="shared" si="11"/>
        <v>1.1357617991144583E-2</v>
      </c>
    </row>
    <row r="30" spans="2:23">
      <c r="B30" s="96">
        <f>Amnt_Deposited!B25</f>
        <v>2011</v>
      </c>
      <c r="C30" s="99">
        <f>Amnt_Deposited!H25</f>
        <v>0.31746694283999999</v>
      </c>
      <c r="D30" s="418">
        <f>Dry_Matter_Content!H17</f>
        <v>0.73</v>
      </c>
      <c r="E30" s="284">
        <f>MCF!R29</f>
        <v>1</v>
      </c>
      <c r="F30" s="67">
        <f t="shared" si="0"/>
        <v>3.4762630240979996E-2</v>
      </c>
      <c r="G30" s="67">
        <f t="shared" si="1"/>
        <v>3.4762630240979996E-2</v>
      </c>
      <c r="H30" s="67">
        <f t="shared" si="2"/>
        <v>0</v>
      </c>
      <c r="I30" s="67">
        <f t="shared" si="3"/>
        <v>0.26899730834657209</v>
      </c>
      <c r="J30" s="67">
        <f t="shared" si="4"/>
        <v>1.6983930496103312E-2</v>
      </c>
      <c r="K30" s="100">
        <f t="shared" si="6"/>
        <v>1.1322620330735542E-2</v>
      </c>
      <c r="O30" s="96">
        <f>Amnt_Deposited!B25</f>
        <v>2011</v>
      </c>
      <c r="P30" s="99">
        <f>Amnt_Deposited!H25</f>
        <v>0.31746694283999999</v>
      </c>
      <c r="Q30" s="284">
        <f>MCF!R29</f>
        <v>1</v>
      </c>
      <c r="R30" s="67">
        <f t="shared" si="5"/>
        <v>3.8096033140799998E-2</v>
      </c>
      <c r="S30" s="67">
        <f t="shared" si="7"/>
        <v>3.8096033140799998E-2</v>
      </c>
      <c r="T30" s="67">
        <f t="shared" si="8"/>
        <v>0</v>
      </c>
      <c r="U30" s="67">
        <f t="shared" si="9"/>
        <v>0.29479157079076396</v>
      </c>
      <c r="V30" s="67">
        <f t="shared" si="10"/>
        <v>1.8612526571072124E-2</v>
      </c>
      <c r="W30" s="100">
        <f t="shared" si="11"/>
        <v>1.2408351047381416E-2</v>
      </c>
    </row>
    <row r="31" spans="2:23">
      <c r="B31" s="96">
        <f>Amnt_Deposited!B26</f>
        <v>2012</v>
      </c>
      <c r="C31" s="99">
        <f>Amnt_Deposited!H26</f>
        <v>0.32700873744000003</v>
      </c>
      <c r="D31" s="418">
        <f>Dry_Matter_Content!H18</f>
        <v>0.73</v>
      </c>
      <c r="E31" s="284">
        <f>MCF!R30</f>
        <v>1</v>
      </c>
      <c r="F31" s="67">
        <f t="shared" si="0"/>
        <v>3.580745674968E-2</v>
      </c>
      <c r="G31" s="67">
        <f t="shared" si="1"/>
        <v>3.580745674968E-2</v>
      </c>
      <c r="H31" s="67">
        <f t="shared" si="2"/>
        <v>0</v>
      </c>
      <c r="I31" s="67">
        <f t="shared" si="3"/>
        <v>0.28661888462335861</v>
      </c>
      <c r="J31" s="67">
        <f t="shared" si="4"/>
        <v>1.8185880472893518E-2</v>
      </c>
      <c r="K31" s="100">
        <f t="shared" si="6"/>
        <v>1.2123920315262344E-2</v>
      </c>
      <c r="O31" s="96">
        <f>Amnt_Deposited!B26</f>
        <v>2012</v>
      </c>
      <c r="P31" s="99">
        <f>Amnt_Deposited!H26</f>
        <v>0.32700873744000003</v>
      </c>
      <c r="Q31" s="284">
        <f>MCF!R30</f>
        <v>1</v>
      </c>
      <c r="R31" s="67">
        <f t="shared" si="5"/>
        <v>3.9241048492800003E-2</v>
      </c>
      <c r="S31" s="67">
        <f t="shared" si="7"/>
        <v>3.9241048492800003E-2</v>
      </c>
      <c r="T31" s="67">
        <f t="shared" si="8"/>
        <v>0</v>
      </c>
      <c r="U31" s="67">
        <f t="shared" si="9"/>
        <v>0.31410288725847518</v>
      </c>
      <c r="V31" s="67">
        <f t="shared" si="10"/>
        <v>1.9929732025088787E-2</v>
      </c>
      <c r="W31" s="100">
        <f t="shared" si="11"/>
        <v>1.3286488016725858E-2</v>
      </c>
    </row>
    <row r="32" spans="2:23">
      <c r="B32" s="96">
        <f>Amnt_Deposited!B27</f>
        <v>2013</v>
      </c>
      <c r="C32" s="99">
        <f>Amnt_Deposited!H27</f>
        <v>0.33692947272000001</v>
      </c>
      <c r="D32" s="418">
        <f>Dry_Matter_Content!H19</f>
        <v>0.73</v>
      </c>
      <c r="E32" s="284">
        <f>MCF!R31</f>
        <v>1</v>
      </c>
      <c r="F32" s="67">
        <f t="shared" si="0"/>
        <v>3.6893777262840002E-2</v>
      </c>
      <c r="G32" s="67">
        <f t="shared" si="1"/>
        <v>3.6893777262840002E-2</v>
      </c>
      <c r="H32" s="67">
        <f t="shared" si="2"/>
        <v>0</v>
      </c>
      <c r="I32" s="67">
        <f t="shared" si="3"/>
        <v>0.3041354539539956</v>
      </c>
      <c r="J32" s="67">
        <f t="shared" si="4"/>
        <v>1.9377207932203017E-2</v>
      </c>
      <c r="K32" s="100">
        <f t="shared" si="6"/>
        <v>1.2918138621468678E-2</v>
      </c>
      <c r="O32" s="96">
        <f>Amnt_Deposited!B27</f>
        <v>2013</v>
      </c>
      <c r="P32" s="99">
        <f>Amnt_Deposited!H27</f>
        <v>0.33692947272000001</v>
      </c>
      <c r="Q32" s="284">
        <f>MCF!R31</f>
        <v>1</v>
      </c>
      <c r="R32" s="67">
        <f t="shared" si="5"/>
        <v>4.04315367264E-2</v>
      </c>
      <c r="S32" s="67">
        <f t="shared" si="7"/>
        <v>4.04315367264E-2</v>
      </c>
      <c r="T32" s="67">
        <f t="shared" si="8"/>
        <v>0</v>
      </c>
      <c r="U32" s="67">
        <f t="shared" si="9"/>
        <v>0.33329912762081709</v>
      </c>
      <c r="V32" s="67">
        <f t="shared" si="10"/>
        <v>2.1235296364058097E-2</v>
      </c>
      <c r="W32" s="100">
        <f t="shared" si="11"/>
        <v>1.4156864242705397E-2</v>
      </c>
    </row>
    <row r="33" spans="2:23">
      <c r="B33" s="96">
        <f>Amnt_Deposited!B28</f>
        <v>2014</v>
      </c>
      <c r="C33" s="99">
        <f>Amnt_Deposited!H28</f>
        <v>0.34688946762</v>
      </c>
      <c r="D33" s="418">
        <f>Dry_Matter_Content!H20</f>
        <v>0.73</v>
      </c>
      <c r="E33" s="284">
        <f>MCF!R32</f>
        <v>1</v>
      </c>
      <c r="F33" s="67">
        <f t="shared" si="0"/>
        <v>3.7984396704390001E-2</v>
      </c>
      <c r="G33" s="67">
        <f t="shared" si="1"/>
        <v>3.7984396704390001E-2</v>
      </c>
      <c r="H33" s="67">
        <f t="shared" si="2"/>
        <v>0</v>
      </c>
      <c r="I33" s="67">
        <f t="shared" si="3"/>
        <v>0.32155841438538563</v>
      </c>
      <c r="J33" s="67">
        <f t="shared" si="4"/>
        <v>2.0561436273000003E-2</v>
      </c>
      <c r="K33" s="100">
        <f t="shared" si="6"/>
        <v>1.3707624182000002E-2</v>
      </c>
      <c r="O33" s="96">
        <f>Amnt_Deposited!B28</f>
        <v>2014</v>
      </c>
      <c r="P33" s="99">
        <f>Amnt_Deposited!H28</f>
        <v>0.34688946762</v>
      </c>
      <c r="Q33" s="284">
        <f>MCF!R32</f>
        <v>1</v>
      </c>
      <c r="R33" s="67">
        <f t="shared" si="5"/>
        <v>4.1626736114400001E-2</v>
      </c>
      <c r="S33" s="67">
        <f t="shared" si="7"/>
        <v>4.1626736114400001E-2</v>
      </c>
      <c r="T33" s="67">
        <f t="shared" si="8"/>
        <v>0</v>
      </c>
      <c r="U33" s="67">
        <f t="shared" si="9"/>
        <v>0.35239278288809378</v>
      </c>
      <c r="V33" s="67">
        <f t="shared" si="10"/>
        <v>2.2533080847123292E-2</v>
      </c>
      <c r="W33" s="100">
        <f t="shared" si="11"/>
        <v>1.5022053898082194E-2</v>
      </c>
    </row>
    <row r="34" spans="2:23">
      <c r="B34" s="96">
        <f>Amnt_Deposited!B29</f>
        <v>2015</v>
      </c>
      <c r="C34" s="99">
        <f>Amnt_Deposited!H29</f>
        <v>0.35656781742000004</v>
      </c>
      <c r="D34" s="418">
        <f>Dry_Matter_Content!H21</f>
        <v>0.73</v>
      </c>
      <c r="E34" s="284">
        <f>MCF!R33</f>
        <v>1</v>
      </c>
      <c r="F34" s="67">
        <f t="shared" si="0"/>
        <v>3.9044176007490002E-2</v>
      </c>
      <c r="G34" s="67">
        <f t="shared" si="1"/>
        <v>3.9044176007490002E-2</v>
      </c>
      <c r="H34" s="67">
        <f t="shared" si="2"/>
        <v>0</v>
      </c>
      <c r="I34" s="67">
        <f t="shared" si="3"/>
        <v>0.33886325431917952</v>
      </c>
      <c r="J34" s="67">
        <f t="shared" si="4"/>
        <v>2.1739336073696096E-2</v>
      </c>
      <c r="K34" s="100">
        <f t="shared" si="6"/>
        <v>1.4492890715797397E-2</v>
      </c>
      <c r="O34" s="96">
        <f>Amnt_Deposited!B29</f>
        <v>2015</v>
      </c>
      <c r="P34" s="99">
        <f>Amnt_Deposited!H29</f>
        <v>0.35656781742000004</v>
      </c>
      <c r="Q34" s="284">
        <f>MCF!R33</f>
        <v>1</v>
      </c>
      <c r="R34" s="67">
        <f t="shared" si="5"/>
        <v>4.2788138090400003E-2</v>
      </c>
      <c r="S34" s="67">
        <f t="shared" si="7"/>
        <v>4.2788138090400003E-2</v>
      </c>
      <c r="T34" s="67">
        <f t="shared" si="8"/>
        <v>0</v>
      </c>
      <c r="U34" s="67">
        <f t="shared" si="9"/>
        <v>0.37135699103471725</v>
      </c>
      <c r="V34" s="67">
        <f t="shared" si="10"/>
        <v>2.3823929943776537E-2</v>
      </c>
      <c r="W34" s="100">
        <f t="shared" si="11"/>
        <v>1.5882619962517691E-2</v>
      </c>
    </row>
    <row r="35" spans="2:23">
      <c r="B35" s="96">
        <f>Amnt_Deposited!B30</f>
        <v>2016</v>
      </c>
      <c r="C35" s="99">
        <f>Amnt_Deposited!H30</f>
        <v>0.36669850632000006</v>
      </c>
      <c r="D35" s="418">
        <f>Dry_Matter_Content!H22</f>
        <v>0.73</v>
      </c>
      <c r="E35" s="284">
        <f>MCF!R34</f>
        <v>1</v>
      </c>
      <c r="F35" s="67">
        <f t="shared" si="0"/>
        <v>4.0153486442040011E-2</v>
      </c>
      <c r="G35" s="67">
        <f t="shared" si="1"/>
        <v>4.0153486442040011E-2</v>
      </c>
      <c r="H35" s="67">
        <f t="shared" si="2"/>
        <v>0</v>
      </c>
      <c r="I35" s="67">
        <f t="shared" si="3"/>
        <v>0.35610749056246066</v>
      </c>
      <c r="J35" s="67">
        <f t="shared" si="4"/>
        <v>2.2909250198758901E-2</v>
      </c>
      <c r="K35" s="100">
        <f t="shared" si="6"/>
        <v>1.5272833465839266E-2</v>
      </c>
      <c r="O35" s="96">
        <f>Amnt_Deposited!B30</f>
        <v>2016</v>
      </c>
      <c r="P35" s="99">
        <f>Amnt_Deposited!H30</f>
        <v>0.36669850632000006</v>
      </c>
      <c r="Q35" s="284">
        <f>MCF!R34</f>
        <v>1</v>
      </c>
      <c r="R35" s="67">
        <f t="shared" si="5"/>
        <v>4.4003820758400009E-2</v>
      </c>
      <c r="S35" s="67">
        <f t="shared" si="7"/>
        <v>4.4003820758400009E-2</v>
      </c>
      <c r="T35" s="67">
        <f t="shared" si="8"/>
        <v>0</v>
      </c>
      <c r="U35" s="67">
        <f t="shared" si="9"/>
        <v>0.39025478417803905</v>
      </c>
      <c r="V35" s="67">
        <f t="shared" si="10"/>
        <v>2.5106027615078248E-2</v>
      </c>
      <c r="W35" s="100">
        <f t="shared" si="11"/>
        <v>1.6737351743385497E-2</v>
      </c>
    </row>
    <row r="36" spans="2:23">
      <c r="B36" s="96">
        <f>Amnt_Deposited!B31</f>
        <v>2017</v>
      </c>
      <c r="C36" s="99">
        <f>Amnt_Deposited!H31</f>
        <v>0.37945139644800002</v>
      </c>
      <c r="D36" s="418">
        <f>Dry_Matter_Content!H23</f>
        <v>0.73</v>
      </c>
      <c r="E36" s="284">
        <f>MCF!R35</f>
        <v>1</v>
      </c>
      <c r="F36" s="67">
        <f t="shared" si="0"/>
        <v>4.1549927911055995E-2</v>
      </c>
      <c r="G36" s="67">
        <f t="shared" si="1"/>
        <v>4.1549927911055995E-2</v>
      </c>
      <c r="H36" s="67">
        <f t="shared" si="2"/>
        <v>0</v>
      </c>
      <c r="I36" s="67">
        <f t="shared" si="3"/>
        <v>0.37358235133371009</v>
      </c>
      <c r="J36" s="67">
        <f t="shared" si="4"/>
        <v>2.407506713980654E-2</v>
      </c>
      <c r="K36" s="100">
        <f t="shared" si="6"/>
        <v>1.6050044759871027E-2</v>
      </c>
      <c r="O36" s="96">
        <f>Amnt_Deposited!B31</f>
        <v>2017</v>
      </c>
      <c r="P36" s="99">
        <f>Amnt_Deposited!H31</f>
        <v>0.37945139644800002</v>
      </c>
      <c r="Q36" s="284">
        <f>MCF!R35</f>
        <v>1</v>
      </c>
      <c r="R36" s="67">
        <f t="shared" si="5"/>
        <v>4.5534167573759998E-2</v>
      </c>
      <c r="S36" s="67">
        <f t="shared" si="7"/>
        <v>4.5534167573759998E-2</v>
      </c>
      <c r="T36" s="67">
        <f t="shared" si="8"/>
        <v>0</v>
      </c>
      <c r="U36" s="67">
        <f t="shared" si="9"/>
        <v>0.40940531653009327</v>
      </c>
      <c r="V36" s="67">
        <f t="shared" si="10"/>
        <v>2.6383635221705795E-2</v>
      </c>
      <c r="W36" s="100">
        <f t="shared" si="11"/>
        <v>1.7589090147803861E-2</v>
      </c>
    </row>
    <row r="37" spans="2:23">
      <c r="B37" s="96">
        <f>Amnt_Deposited!B32</f>
        <v>2018</v>
      </c>
      <c r="C37" s="99">
        <f>Amnt_Deposited!H32</f>
        <v>0.38987038751399994</v>
      </c>
      <c r="D37" s="418">
        <f>Dry_Matter_Content!H24</f>
        <v>0.73</v>
      </c>
      <c r="E37" s="284">
        <f>MCF!R36</f>
        <v>1</v>
      </c>
      <c r="F37" s="67">
        <f t="shared" si="0"/>
        <v>4.2690807432782994E-2</v>
      </c>
      <c r="G37" s="67">
        <f t="shared" si="1"/>
        <v>4.2690807432782994E-2</v>
      </c>
      <c r="H37" s="67">
        <f t="shared" si="2"/>
        <v>0</v>
      </c>
      <c r="I37" s="67">
        <f t="shared" si="3"/>
        <v>0.39101668304226694</v>
      </c>
      <c r="J37" s="67">
        <f t="shared" si="4"/>
        <v>2.525647572422611E-2</v>
      </c>
      <c r="K37" s="100">
        <f t="shared" si="6"/>
        <v>1.6837650482817407E-2</v>
      </c>
      <c r="O37" s="96">
        <f>Amnt_Deposited!B32</f>
        <v>2018</v>
      </c>
      <c r="P37" s="99">
        <f>Amnt_Deposited!H32</f>
        <v>0.38987038751399994</v>
      </c>
      <c r="Q37" s="284">
        <f>MCF!R36</f>
        <v>1</v>
      </c>
      <c r="R37" s="67">
        <f t="shared" si="5"/>
        <v>4.678444650167999E-2</v>
      </c>
      <c r="S37" s="67">
        <f t="shared" si="7"/>
        <v>4.678444650167999E-2</v>
      </c>
      <c r="T37" s="67">
        <f t="shared" si="8"/>
        <v>0</v>
      </c>
      <c r="U37" s="67">
        <f t="shared" si="9"/>
        <v>0.42851143347097753</v>
      </c>
      <c r="V37" s="67">
        <f t="shared" si="10"/>
        <v>2.7678329560795738E-2</v>
      </c>
      <c r="W37" s="100">
        <f t="shared" si="11"/>
        <v>1.8452219707197157E-2</v>
      </c>
    </row>
    <row r="38" spans="2:23">
      <c r="B38" s="96">
        <f>Amnt_Deposited!B33</f>
        <v>2019</v>
      </c>
      <c r="C38" s="99">
        <f>Amnt_Deposited!H33</f>
        <v>0.40028937858000002</v>
      </c>
      <c r="D38" s="418">
        <f>Dry_Matter_Content!H25</f>
        <v>0.73</v>
      </c>
      <c r="E38" s="284">
        <f>MCF!R37</f>
        <v>1</v>
      </c>
      <c r="F38" s="67">
        <f t="shared" si="0"/>
        <v>4.383168695451E-2</v>
      </c>
      <c r="G38" s="67">
        <f t="shared" si="1"/>
        <v>4.383168695451E-2</v>
      </c>
      <c r="H38" s="67">
        <f t="shared" si="2"/>
        <v>0</v>
      </c>
      <c r="I38" s="67">
        <f t="shared" si="3"/>
        <v>0.40841322570324273</v>
      </c>
      <c r="J38" s="67">
        <f t="shared" si="4"/>
        <v>2.6435144293534239E-2</v>
      </c>
      <c r="K38" s="100">
        <f t="shared" si="6"/>
        <v>1.7623429529022825E-2</v>
      </c>
      <c r="O38" s="96">
        <f>Amnt_Deposited!B33</f>
        <v>2019</v>
      </c>
      <c r="P38" s="99">
        <f>Amnt_Deposited!H33</f>
        <v>0.40028937858000002</v>
      </c>
      <c r="Q38" s="284">
        <f>MCF!R37</f>
        <v>1</v>
      </c>
      <c r="R38" s="67">
        <f t="shared" si="5"/>
        <v>4.8034725429600002E-2</v>
      </c>
      <c r="S38" s="67">
        <f t="shared" si="7"/>
        <v>4.8034725429600002E-2</v>
      </c>
      <c r="T38" s="67">
        <f t="shared" si="8"/>
        <v>0</v>
      </c>
      <c r="U38" s="67">
        <f t="shared" si="9"/>
        <v>0.44757613775697841</v>
      </c>
      <c r="V38" s="67">
        <f t="shared" si="10"/>
        <v>2.8970021143599173E-2</v>
      </c>
      <c r="W38" s="100">
        <f t="shared" si="11"/>
        <v>1.9313347429066114E-2</v>
      </c>
    </row>
    <row r="39" spans="2:23">
      <c r="B39" s="96">
        <f>Amnt_Deposited!B34</f>
        <v>2020</v>
      </c>
      <c r="C39" s="99">
        <f>Amnt_Deposited!H34</f>
        <v>0.41070836964599994</v>
      </c>
      <c r="D39" s="418">
        <f>Dry_Matter_Content!H26</f>
        <v>0.73</v>
      </c>
      <c r="E39" s="284">
        <f>MCF!R38</f>
        <v>1</v>
      </c>
      <c r="F39" s="67">
        <f t="shared" si="0"/>
        <v>4.4972566476236993E-2</v>
      </c>
      <c r="G39" s="67">
        <f t="shared" si="1"/>
        <v>4.4972566476236993E-2</v>
      </c>
      <c r="H39" s="67">
        <f t="shared" si="2"/>
        <v>0</v>
      </c>
      <c r="I39" s="67">
        <f t="shared" si="3"/>
        <v>0.42577453408979371</v>
      </c>
      <c r="J39" s="67">
        <f t="shared" si="4"/>
        <v>2.7611258089686022E-2</v>
      </c>
      <c r="K39" s="100">
        <f t="shared" si="6"/>
        <v>1.8407505393124014E-2</v>
      </c>
      <c r="O39" s="96">
        <f>Amnt_Deposited!B34</f>
        <v>2020</v>
      </c>
      <c r="P39" s="99">
        <f>Amnt_Deposited!H34</f>
        <v>0.41070836964599994</v>
      </c>
      <c r="Q39" s="284">
        <f>MCF!R38</f>
        <v>1</v>
      </c>
      <c r="R39" s="67">
        <f t="shared" si="5"/>
        <v>4.9285004357519993E-2</v>
      </c>
      <c r="S39" s="67">
        <f t="shared" si="7"/>
        <v>4.9285004357519993E-2</v>
      </c>
      <c r="T39" s="67">
        <f t="shared" si="8"/>
        <v>0</v>
      </c>
      <c r="U39" s="67">
        <f t="shared" si="9"/>
        <v>0.4666022291395</v>
      </c>
      <c r="V39" s="67">
        <f t="shared" si="10"/>
        <v>3.0258912974998387E-2</v>
      </c>
      <c r="W39" s="100">
        <f t="shared" si="11"/>
        <v>2.0172608649998924E-2</v>
      </c>
    </row>
    <row r="40" spans="2:23">
      <c r="B40" s="96">
        <f>Amnt_Deposited!B35</f>
        <v>2021</v>
      </c>
      <c r="C40" s="99">
        <f>Amnt_Deposited!H35</f>
        <v>0.42112736071199997</v>
      </c>
      <c r="D40" s="418">
        <f>Dry_Matter_Content!H27</f>
        <v>0.73</v>
      </c>
      <c r="E40" s="284">
        <f>MCF!R39</f>
        <v>1</v>
      </c>
      <c r="F40" s="67">
        <f t="shared" si="0"/>
        <v>4.6113445997963999E-2</v>
      </c>
      <c r="G40" s="67">
        <f t="shared" si="1"/>
        <v>4.6113445997963999E-2</v>
      </c>
      <c r="H40" s="67">
        <f t="shared" si="2"/>
        <v>0</v>
      </c>
      <c r="I40" s="67">
        <f t="shared" si="3"/>
        <v>0.4431029902566222</v>
      </c>
      <c r="J40" s="67">
        <f t="shared" si="4"/>
        <v>2.878498983113556E-2</v>
      </c>
      <c r="K40" s="100">
        <f t="shared" si="6"/>
        <v>1.918999322075704E-2</v>
      </c>
      <c r="O40" s="96">
        <f>Amnt_Deposited!B35</f>
        <v>2021</v>
      </c>
      <c r="P40" s="99">
        <f>Amnt_Deposited!H35</f>
        <v>0.42112736071199997</v>
      </c>
      <c r="Q40" s="284">
        <f>MCF!R39</f>
        <v>1</v>
      </c>
      <c r="R40" s="67">
        <f t="shared" si="5"/>
        <v>5.0535283285439991E-2</v>
      </c>
      <c r="S40" s="67">
        <f t="shared" si="7"/>
        <v>5.0535283285439991E-2</v>
      </c>
      <c r="T40" s="67">
        <f t="shared" si="8"/>
        <v>0</v>
      </c>
      <c r="U40" s="67">
        <f t="shared" si="9"/>
        <v>0.48559231808944897</v>
      </c>
      <c r="V40" s="67">
        <f t="shared" si="10"/>
        <v>3.1545194335491029E-2</v>
      </c>
      <c r="W40" s="100">
        <f t="shared" si="11"/>
        <v>2.1030129556994018E-2</v>
      </c>
    </row>
    <row r="41" spans="2:23">
      <c r="B41" s="96">
        <f>Amnt_Deposited!B36</f>
        <v>2022</v>
      </c>
      <c r="C41" s="99">
        <f>Amnt_Deposited!H36</f>
        <v>0.43154635177799994</v>
      </c>
      <c r="D41" s="418">
        <f>Dry_Matter_Content!H28</f>
        <v>0.73</v>
      </c>
      <c r="E41" s="284">
        <f>MCF!R40</f>
        <v>1</v>
      </c>
      <c r="F41" s="67">
        <f t="shared" si="0"/>
        <v>4.7254325519690991E-2</v>
      </c>
      <c r="G41" s="67">
        <f t="shared" si="1"/>
        <v>4.7254325519690991E-2</v>
      </c>
      <c r="H41" s="67">
        <f t="shared" si="2"/>
        <v>0</v>
      </c>
      <c r="I41" s="67">
        <f t="shared" si="3"/>
        <v>0.46040081521681114</v>
      </c>
      <c r="J41" s="67">
        <f t="shared" si="4"/>
        <v>2.9956500559502049E-2</v>
      </c>
      <c r="K41" s="100">
        <f t="shared" si="6"/>
        <v>1.9971000373001365E-2</v>
      </c>
      <c r="O41" s="96">
        <f>Amnt_Deposited!B36</f>
        <v>2022</v>
      </c>
      <c r="P41" s="99">
        <f>Amnt_Deposited!H36</f>
        <v>0.43154635177799994</v>
      </c>
      <c r="Q41" s="284">
        <f>MCF!R40</f>
        <v>1</v>
      </c>
      <c r="R41" s="67">
        <f t="shared" si="5"/>
        <v>5.178556221335999E-2</v>
      </c>
      <c r="S41" s="67">
        <f t="shared" si="7"/>
        <v>5.178556221335999E-2</v>
      </c>
      <c r="T41" s="67">
        <f t="shared" si="8"/>
        <v>0</v>
      </c>
      <c r="U41" s="67">
        <f t="shared" si="9"/>
        <v>0.50454883859376565</v>
      </c>
      <c r="V41" s="67">
        <f t="shared" si="10"/>
        <v>3.2829041709043341E-2</v>
      </c>
      <c r="W41" s="100">
        <f t="shared" si="11"/>
        <v>2.1886027806028892E-2</v>
      </c>
    </row>
    <row r="42" spans="2:23">
      <c r="B42" s="96">
        <f>Amnt_Deposited!B37</f>
        <v>2023</v>
      </c>
      <c r="C42" s="99">
        <f>Amnt_Deposited!H37</f>
        <v>0.44196534284399996</v>
      </c>
      <c r="D42" s="418">
        <f>Dry_Matter_Content!H29</f>
        <v>0.73</v>
      </c>
      <c r="E42" s="284">
        <f>MCF!R41</f>
        <v>1</v>
      </c>
      <c r="F42" s="67">
        <f t="shared" si="0"/>
        <v>4.8395205041417991E-2</v>
      </c>
      <c r="G42" s="67">
        <f t="shared" si="1"/>
        <v>4.8395205041417991E-2</v>
      </c>
      <c r="H42" s="67">
        <f t="shared" si="2"/>
        <v>0</v>
      </c>
      <c r="I42" s="67">
        <f t="shared" si="3"/>
        <v>0.47767007982923315</v>
      </c>
      <c r="J42" s="67">
        <f t="shared" si="4"/>
        <v>3.1125940428995965E-2</v>
      </c>
      <c r="K42" s="100">
        <f t="shared" si="6"/>
        <v>2.0750626952663977E-2</v>
      </c>
      <c r="O42" s="96">
        <f>Amnt_Deposited!B37</f>
        <v>2023</v>
      </c>
      <c r="P42" s="99">
        <f>Amnt_Deposited!H37</f>
        <v>0.44196534284399996</v>
      </c>
      <c r="Q42" s="284">
        <f>MCF!R41</f>
        <v>1</v>
      </c>
      <c r="R42" s="67">
        <f t="shared" si="5"/>
        <v>5.3035841141279995E-2</v>
      </c>
      <c r="S42" s="67">
        <f t="shared" si="7"/>
        <v>5.3035841141279995E-2</v>
      </c>
      <c r="T42" s="67">
        <f t="shared" si="8"/>
        <v>0</v>
      </c>
      <c r="U42" s="67">
        <f t="shared" si="9"/>
        <v>0.52347406008683084</v>
      </c>
      <c r="V42" s="67">
        <f t="shared" si="10"/>
        <v>3.4110619648214754E-2</v>
      </c>
      <c r="W42" s="100">
        <f t="shared" si="11"/>
        <v>2.2740413098809836E-2</v>
      </c>
    </row>
    <row r="43" spans="2:23">
      <c r="B43" s="96">
        <f>Amnt_Deposited!B38</f>
        <v>2024</v>
      </c>
      <c r="C43" s="99">
        <f>Amnt_Deposited!H38</f>
        <v>0.45238433390999999</v>
      </c>
      <c r="D43" s="418">
        <f>Dry_Matter_Content!H30</f>
        <v>0.73</v>
      </c>
      <c r="E43" s="284">
        <f>MCF!R42</f>
        <v>1</v>
      </c>
      <c r="F43" s="67">
        <f t="shared" si="0"/>
        <v>4.9536084563144997E-2</v>
      </c>
      <c r="G43" s="67">
        <f t="shared" si="1"/>
        <v>4.9536084563144997E-2</v>
      </c>
      <c r="H43" s="67">
        <f t="shared" si="2"/>
        <v>0</v>
      </c>
      <c r="I43" s="67">
        <f t="shared" si="3"/>
        <v>0.49491271494990297</v>
      </c>
      <c r="J43" s="67">
        <f t="shared" si="4"/>
        <v>3.2293449442475204E-2</v>
      </c>
      <c r="K43" s="100">
        <f t="shared" si="6"/>
        <v>2.1528966294983468E-2</v>
      </c>
      <c r="O43" s="96">
        <f>Amnt_Deposited!B38</f>
        <v>2024</v>
      </c>
      <c r="P43" s="99">
        <f>Amnt_Deposited!H38</f>
        <v>0.45238433390999999</v>
      </c>
      <c r="Q43" s="284">
        <f>MCF!R42</f>
        <v>1</v>
      </c>
      <c r="R43" s="67">
        <f t="shared" si="5"/>
        <v>5.42861200692E-2</v>
      </c>
      <c r="S43" s="67">
        <f t="shared" si="7"/>
        <v>5.42861200692E-2</v>
      </c>
      <c r="T43" s="67">
        <f t="shared" si="8"/>
        <v>0</v>
      </c>
      <c r="U43" s="67">
        <f t="shared" si="9"/>
        <v>0.5423700985752361</v>
      </c>
      <c r="V43" s="67">
        <f t="shared" si="10"/>
        <v>3.5390081580794742E-2</v>
      </c>
      <c r="W43" s="100">
        <f t="shared" si="11"/>
        <v>2.3593387720529827E-2</v>
      </c>
    </row>
    <row r="44" spans="2:23">
      <c r="B44" s="96">
        <f>Amnt_Deposited!B39</f>
        <v>2025</v>
      </c>
      <c r="C44" s="99">
        <f>Amnt_Deposited!H39</f>
        <v>0.46280332497600007</v>
      </c>
      <c r="D44" s="418">
        <f>Dry_Matter_Content!H31</f>
        <v>0.73</v>
      </c>
      <c r="E44" s="284">
        <f>MCF!R43</f>
        <v>1</v>
      </c>
      <c r="F44" s="67">
        <f t="shared" si="0"/>
        <v>5.0676964084872003E-2</v>
      </c>
      <c r="G44" s="67">
        <f t="shared" si="1"/>
        <v>5.0676964084872003E-2</v>
      </c>
      <c r="H44" s="67">
        <f t="shared" si="2"/>
        <v>0</v>
      </c>
      <c r="I44" s="67">
        <f t="shared" si="3"/>
        <v>0.5121305208970357</v>
      </c>
      <c r="J44" s="67">
        <f t="shared" si="4"/>
        <v>3.3459158137739226E-2</v>
      </c>
      <c r="K44" s="100">
        <f t="shared" si="6"/>
        <v>2.2306105425159484E-2</v>
      </c>
      <c r="O44" s="96">
        <f>Amnt_Deposited!B39</f>
        <v>2025</v>
      </c>
      <c r="P44" s="99">
        <f>Amnt_Deposited!H39</f>
        <v>0.46280332497600007</v>
      </c>
      <c r="Q44" s="284">
        <f>MCF!R43</f>
        <v>1</v>
      </c>
      <c r="R44" s="67">
        <f t="shared" si="5"/>
        <v>5.5536398997120005E-2</v>
      </c>
      <c r="S44" s="67">
        <f t="shared" si="7"/>
        <v>5.5536398997120005E-2</v>
      </c>
      <c r="T44" s="67">
        <f t="shared" si="8"/>
        <v>0</v>
      </c>
      <c r="U44" s="67">
        <f t="shared" si="9"/>
        <v>0.56123892701045019</v>
      </c>
      <c r="V44" s="67">
        <f t="shared" si="10"/>
        <v>3.6667570561905997E-2</v>
      </c>
      <c r="W44" s="100">
        <f t="shared" si="11"/>
        <v>2.4445047041270665E-2</v>
      </c>
    </row>
    <row r="45" spans="2:23">
      <c r="B45" s="96">
        <f>Amnt_Deposited!B40</f>
        <v>2026</v>
      </c>
      <c r="C45" s="99">
        <f>Amnt_Deposited!H40</f>
        <v>0.47322231604199999</v>
      </c>
      <c r="D45" s="418">
        <f>Dry_Matter_Content!H32</f>
        <v>0.73</v>
      </c>
      <c r="E45" s="284">
        <f>MCF!R44</f>
        <v>1</v>
      </c>
      <c r="F45" s="67">
        <f t="shared" si="0"/>
        <v>5.1817843606598996E-2</v>
      </c>
      <c r="G45" s="67">
        <f t="shared" si="1"/>
        <v>5.1817843606598996E-2</v>
      </c>
      <c r="H45" s="67">
        <f t="shared" si="2"/>
        <v>0</v>
      </c>
      <c r="I45" s="67">
        <f t="shared" si="3"/>
        <v>0.52932517627620923</v>
      </c>
      <c r="J45" s="67">
        <f t="shared" si="4"/>
        <v>3.4623188227425515E-2</v>
      </c>
      <c r="K45" s="100">
        <f t="shared" si="6"/>
        <v>2.3082125484950342E-2</v>
      </c>
      <c r="O45" s="96">
        <f>Amnt_Deposited!B40</f>
        <v>2026</v>
      </c>
      <c r="P45" s="99">
        <f>Amnt_Deposited!H40</f>
        <v>0.47322231604199999</v>
      </c>
      <c r="Q45" s="284">
        <f>MCF!R44</f>
        <v>1</v>
      </c>
      <c r="R45" s="67">
        <f t="shared" si="5"/>
        <v>5.6786677925039997E-2</v>
      </c>
      <c r="S45" s="67">
        <f t="shared" si="7"/>
        <v>5.6786677925039997E-2</v>
      </c>
      <c r="T45" s="67">
        <f t="shared" si="8"/>
        <v>0</v>
      </c>
      <c r="U45" s="67">
        <f t="shared" si="9"/>
        <v>0.58008238496022935</v>
      </c>
      <c r="V45" s="67">
        <f t="shared" si="10"/>
        <v>3.7943219975260845E-2</v>
      </c>
      <c r="W45" s="100">
        <f t="shared" si="11"/>
        <v>2.529547998350723E-2</v>
      </c>
    </row>
    <row r="46" spans="2:23">
      <c r="B46" s="96">
        <f>Amnt_Deposited!B41</f>
        <v>2027</v>
      </c>
      <c r="C46" s="99">
        <f>Amnt_Deposited!H41</f>
        <v>0.48364130710799991</v>
      </c>
      <c r="D46" s="418">
        <f>Dry_Matter_Content!H33</f>
        <v>0.73</v>
      </c>
      <c r="E46" s="284">
        <f>MCF!R45</f>
        <v>1</v>
      </c>
      <c r="F46" s="67">
        <f t="shared" si="0"/>
        <v>5.2958723128325981E-2</v>
      </c>
      <c r="G46" s="67">
        <f t="shared" si="1"/>
        <v>5.2958723128325981E-2</v>
      </c>
      <c r="H46" s="67">
        <f t="shared" si="2"/>
        <v>0</v>
      </c>
      <c r="I46" s="67">
        <f t="shared" si="3"/>
        <v>0.54649824620889009</v>
      </c>
      <c r="J46" s="67">
        <f t="shared" si="4"/>
        <v>3.5785653195645077E-2</v>
      </c>
      <c r="K46" s="100">
        <f t="shared" si="6"/>
        <v>2.385710213043005E-2</v>
      </c>
      <c r="O46" s="96">
        <f>Amnt_Deposited!B41</f>
        <v>2027</v>
      </c>
      <c r="P46" s="99">
        <f>Amnt_Deposited!H41</f>
        <v>0.48364130710799991</v>
      </c>
      <c r="Q46" s="284">
        <f>MCF!R45</f>
        <v>1</v>
      </c>
      <c r="R46" s="67">
        <f t="shared" si="5"/>
        <v>5.8036956852959988E-2</v>
      </c>
      <c r="S46" s="67">
        <f t="shared" si="7"/>
        <v>5.8036956852959988E-2</v>
      </c>
      <c r="T46" s="67">
        <f t="shared" si="8"/>
        <v>0</v>
      </c>
      <c r="U46" s="67">
        <f t="shared" si="9"/>
        <v>0.59890218762618097</v>
      </c>
      <c r="V46" s="67">
        <f t="shared" si="10"/>
        <v>3.9217154187008309E-2</v>
      </c>
      <c r="W46" s="100">
        <f t="shared" si="11"/>
        <v>2.6144769458005538E-2</v>
      </c>
    </row>
    <row r="47" spans="2:23">
      <c r="B47" s="96">
        <f>Amnt_Deposited!B42</f>
        <v>2028</v>
      </c>
      <c r="C47" s="99">
        <f>Amnt_Deposited!H42</f>
        <v>0.49406029817399993</v>
      </c>
      <c r="D47" s="418">
        <f>Dry_Matter_Content!H34</f>
        <v>0.73</v>
      </c>
      <c r="E47" s="284">
        <f>MCF!R46</f>
        <v>1</v>
      </c>
      <c r="F47" s="67">
        <f t="shared" si="0"/>
        <v>5.4099602650052987E-2</v>
      </c>
      <c r="G47" s="67">
        <f t="shared" si="1"/>
        <v>5.4099602650052987E-2</v>
      </c>
      <c r="H47" s="67">
        <f t="shared" si="2"/>
        <v>0</v>
      </c>
      <c r="I47" s="67">
        <f t="shared" si="3"/>
        <v>0.56365119000466146</v>
      </c>
      <c r="J47" s="67">
        <f t="shared" si="4"/>
        <v>3.6946658854281646E-2</v>
      </c>
      <c r="K47" s="100">
        <f t="shared" si="6"/>
        <v>2.463110590285443E-2</v>
      </c>
      <c r="O47" s="96">
        <f>Amnt_Deposited!B42</f>
        <v>2028</v>
      </c>
      <c r="P47" s="99">
        <f>Amnt_Deposited!H42</f>
        <v>0.49406029817399993</v>
      </c>
      <c r="Q47" s="284">
        <f>MCF!R46</f>
        <v>1</v>
      </c>
      <c r="R47" s="67">
        <f t="shared" si="5"/>
        <v>5.9287235780879993E-2</v>
      </c>
      <c r="S47" s="67">
        <f t="shared" si="7"/>
        <v>5.9287235780879993E-2</v>
      </c>
      <c r="T47" s="67">
        <f t="shared" si="8"/>
        <v>0</v>
      </c>
      <c r="U47" s="67">
        <f t="shared" si="9"/>
        <v>0.61769993425168379</v>
      </c>
      <c r="V47" s="67">
        <f t="shared" si="10"/>
        <v>4.0489489155377145E-2</v>
      </c>
      <c r="W47" s="100">
        <f t="shared" si="11"/>
        <v>2.6992992770251429E-2</v>
      </c>
    </row>
    <row r="48" spans="2:23">
      <c r="B48" s="96">
        <f>Amnt_Deposited!B43</f>
        <v>2029</v>
      </c>
      <c r="C48" s="99">
        <f>Amnt_Deposited!H43</f>
        <v>0.50447928923999996</v>
      </c>
      <c r="D48" s="418">
        <f>Dry_Matter_Content!H35</f>
        <v>0.73</v>
      </c>
      <c r="E48" s="284">
        <f>MCF!R47</f>
        <v>1</v>
      </c>
      <c r="F48" s="67">
        <f t="shared" si="0"/>
        <v>5.5240482171779993E-2</v>
      </c>
      <c r="G48" s="67">
        <f t="shared" si="1"/>
        <v>5.5240482171779993E-2</v>
      </c>
      <c r="H48" s="67">
        <f t="shared" si="2"/>
        <v>0</v>
      </c>
      <c r="I48" s="67">
        <f t="shared" si="3"/>
        <v>0.5807853683147598</v>
      </c>
      <c r="J48" s="67">
        <f t="shared" si="4"/>
        <v>3.8106303861681713E-2</v>
      </c>
      <c r="K48" s="100">
        <f t="shared" si="6"/>
        <v>2.5404202574454474E-2</v>
      </c>
      <c r="O48" s="96">
        <f>Amnt_Deposited!B43</f>
        <v>2029</v>
      </c>
      <c r="P48" s="99">
        <f>Amnt_Deposited!H43</f>
        <v>0.50447928923999996</v>
      </c>
      <c r="Q48" s="284">
        <f>MCF!R47</f>
        <v>1</v>
      </c>
      <c r="R48" s="67">
        <f t="shared" si="5"/>
        <v>6.0537514708799992E-2</v>
      </c>
      <c r="S48" s="67">
        <f t="shared" si="7"/>
        <v>6.0537514708799992E-2</v>
      </c>
      <c r="T48" s="67">
        <f t="shared" si="8"/>
        <v>0</v>
      </c>
      <c r="U48" s="67">
        <f t="shared" si="9"/>
        <v>0.63647711596138057</v>
      </c>
      <c r="V48" s="67">
        <f t="shared" si="10"/>
        <v>4.1760332999103242E-2</v>
      </c>
      <c r="W48" s="100">
        <f t="shared" si="11"/>
        <v>2.784022199940216E-2</v>
      </c>
    </row>
    <row r="49" spans="2:23">
      <c r="B49" s="96">
        <f>Amnt_Deposited!B44</f>
        <v>2030</v>
      </c>
      <c r="C49" s="99">
        <f>Amnt_Deposited!H44</f>
        <v>0.51489828030600016</v>
      </c>
      <c r="D49" s="418">
        <f>Dry_Matter_Content!H36</f>
        <v>0.73</v>
      </c>
      <c r="E49" s="284">
        <f>MCF!R48</f>
        <v>1</v>
      </c>
      <c r="F49" s="67">
        <f t="shared" si="0"/>
        <v>5.6381361693507007E-2</v>
      </c>
      <c r="G49" s="67">
        <f t="shared" si="1"/>
        <v>5.6381361693507007E-2</v>
      </c>
      <c r="H49" s="67">
        <f t="shared" si="2"/>
        <v>0</v>
      </c>
      <c r="I49" s="67">
        <f t="shared" si="3"/>
        <v>0.59790204980198902</v>
      </c>
      <c r="J49" s="67">
        <f t="shared" si="4"/>
        <v>3.9264680206277817E-2</v>
      </c>
      <c r="K49" s="100">
        <f t="shared" si="6"/>
        <v>2.6176453470851877E-2</v>
      </c>
      <c r="O49" s="96">
        <f>Amnt_Deposited!B44</f>
        <v>2030</v>
      </c>
      <c r="P49" s="99">
        <f>Amnt_Deposited!H44</f>
        <v>0.51489828030600016</v>
      </c>
      <c r="Q49" s="284">
        <f>MCF!R48</f>
        <v>1</v>
      </c>
      <c r="R49" s="67">
        <f t="shared" si="5"/>
        <v>6.1787793636720018E-2</v>
      </c>
      <c r="S49" s="67">
        <f t="shared" si="7"/>
        <v>6.1787793636720018E-2</v>
      </c>
      <c r="T49" s="67">
        <f t="shared" si="8"/>
        <v>0</v>
      </c>
      <c r="U49" s="67">
        <f t="shared" si="9"/>
        <v>0.65523512307067289</v>
      </c>
      <c r="V49" s="67">
        <f t="shared" si="10"/>
        <v>4.3029786527427741E-2</v>
      </c>
      <c r="W49" s="100">
        <f t="shared" si="11"/>
        <v>2.8686524351618493E-2</v>
      </c>
    </row>
    <row r="50" spans="2:23">
      <c r="B50" s="96">
        <f>Amnt_Deposited!B45</f>
        <v>2031</v>
      </c>
      <c r="C50" s="99">
        <f>Amnt_Deposited!H45</f>
        <v>0</v>
      </c>
      <c r="D50" s="418">
        <f>Dry_Matter_Content!H37</f>
        <v>0.73</v>
      </c>
      <c r="E50" s="284">
        <f>MCF!R49</f>
        <v>1</v>
      </c>
      <c r="F50" s="67">
        <f t="shared" si="0"/>
        <v>0</v>
      </c>
      <c r="G50" s="67">
        <f t="shared" si="1"/>
        <v>0</v>
      </c>
      <c r="H50" s="67">
        <f t="shared" si="2"/>
        <v>0</v>
      </c>
      <c r="I50" s="67">
        <f t="shared" si="3"/>
        <v>0.55748017614447309</v>
      </c>
      <c r="J50" s="67">
        <f t="shared" si="4"/>
        <v>4.0421873657515955E-2</v>
      </c>
      <c r="K50" s="100">
        <f t="shared" si="6"/>
        <v>2.6947915771677301E-2</v>
      </c>
      <c r="O50" s="96">
        <f>Amnt_Deposited!B45</f>
        <v>2031</v>
      </c>
      <c r="P50" s="99">
        <f>Amnt_Deposited!H45</f>
        <v>0</v>
      </c>
      <c r="Q50" s="284">
        <f>MCF!R49</f>
        <v>1</v>
      </c>
      <c r="R50" s="67">
        <f t="shared" si="5"/>
        <v>0</v>
      </c>
      <c r="S50" s="67">
        <f t="shared" si="7"/>
        <v>0</v>
      </c>
      <c r="T50" s="67">
        <f t="shared" si="8"/>
        <v>0</v>
      </c>
      <c r="U50" s="67">
        <f t="shared" si="9"/>
        <v>0.61093717933640879</v>
      </c>
      <c r="V50" s="67">
        <f t="shared" si="10"/>
        <v>4.4297943734264059E-2</v>
      </c>
      <c r="W50" s="100">
        <f t="shared" si="11"/>
        <v>2.9531962489509372E-2</v>
      </c>
    </row>
    <row r="51" spans="2:23">
      <c r="B51" s="96">
        <f>Amnt_Deposited!B46</f>
        <v>2032</v>
      </c>
      <c r="C51" s="99">
        <f>Amnt_Deposited!H46</f>
        <v>0</v>
      </c>
      <c r="D51" s="418">
        <f>Dry_Matter_Content!H38</f>
        <v>0.73</v>
      </c>
      <c r="E51" s="284">
        <f>MCF!R50</f>
        <v>1</v>
      </c>
      <c r="F51" s="67">
        <f t="shared" ref="F51:F82" si="12">C51*D51*$K$6*DOCF*E51</f>
        <v>0</v>
      </c>
      <c r="G51" s="67">
        <f t="shared" si="1"/>
        <v>0</v>
      </c>
      <c r="H51" s="67">
        <f t="shared" si="2"/>
        <v>0</v>
      </c>
      <c r="I51" s="67">
        <f t="shared" si="3"/>
        <v>0.51979107095718613</v>
      </c>
      <c r="J51" s="67">
        <f t="shared" si="4"/>
        <v>3.768910518728693E-2</v>
      </c>
      <c r="K51" s="100">
        <f t="shared" si="6"/>
        <v>2.5126070124857951E-2</v>
      </c>
      <c r="O51" s="96">
        <f>Amnt_Deposited!B46</f>
        <v>2032</v>
      </c>
      <c r="P51" s="99">
        <f>Amnt_Deposited!H46</f>
        <v>0</v>
      </c>
      <c r="Q51" s="284">
        <f>MCF!R50</f>
        <v>1</v>
      </c>
      <c r="R51" s="67">
        <f t="shared" ref="R51:R82" si="13">P51*$W$6*DOCF*Q51</f>
        <v>0</v>
      </c>
      <c r="S51" s="67">
        <f t="shared" si="7"/>
        <v>0</v>
      </c>
      <c r="T51" s="67">
        <f t="shared" si="8"/>
        <v>0</v>
      </c>
      <c r="U51" s="67">
        <f t="shared" si="9"/>
        <v>0.56963405036403958</v>
      </c>
      <c r="V51" s="67">
        <f t="shared" si="10"/>
        <v>4.1303128972369228E-2</v>
      </c>
      <c r="W51" s="100">
        <f t="shared" si="11"/>
        <v>2.7535419314912817E-2</v>
      </c>
    </row>
    <row r="52" spans="2:23">
      <c r="B52" s="96">
        <f>Amnt_Deposited!B47</f>
        <v>2033</v>
      </c>
      <c r="C52" s="99">
        <f>Amnt_Deposited!H47</f>
        <v>0</v>
      </c>
      <c r="D52" s="418">
        <f>Dry_Matter_Content!H39</f>
        <v>0.73</v>
      </c>
      <c r="E52" s="284">
        <f>MCF!R51</f>
        <v>1</v>
      </c>
      <c r="F52" s="67">
        <f t="shared" si="12"/>
        <v>0</v>
      </c>
      <c r="G52" s="67">
        <f t="shared" si="1"/>
        <v>0</v>
      </c>
      <c r="H52" s="67">
        <f t="shared" si="2"/>
        <v>0</v>
      </c>
      <c r="I52" s="67">
        <f t="shared" si="3"/>
        <v>0.48464998220277461</v>
      </c>
      <c r="J52" s="67">
        <f t="shared" si="4"/>
        <v>3.5141088754411548E-2</v>
      </c>
      <c r="K52" s="100">
        <f t="shared" si="6"/>
        <v>2.3427392502941031E-2</v>
      </c>
      <c r="O52" s="96">
        <f>Amnt_Deposited!B47</f>
        <v>2033</v>
      </c>
      <c r="P52" s="99">
        <f>Amnt_Deposited!H47</f>
        <v>0</v>
      </c>
      <c r="Q52" s="284">
        <f>MCF!R51</f>
        <v>1</v>
      </c>
      <c r="R52" s="67">
        <f t="shared" si="13"/>
        <v>0</v>
      </c>
      <c r="S52" s="67">
        <f t="shared" si="7"/>
        <v>0</v>
      </c>
      <c r="T52" s="67">
        <f t="shared" si="8"/>
        <v>0</v>
      </c>
      <c r="U52" s="67">
        <f t="shared" si="9"/>
        <v>0.53112326816742417</v>
      </c>
      <c r="V52" s="67">
        <f t="shared" si="10"/>
        <v>3.8510782196615391E-2</v>
      </c>
      <c r="W52" s="100">
        <f t="shared" si="11"/>
        <v>2.5673854797743593E-2</v>
      </c>
    </row>
    <row r="53" spans="2:23">
      <c r="B53" s="96">
        <f>Amnt_Deposited!B48</f>
        <v>2034</v>
      </c>
      <c r="C53" s="99">
        <f>Amnt_Deposited!H48</f>
        <v>0</v>
      </c>
      <c r="D53" s="418">
        <f>Dry_Matter_Content!H40</f>
        <v>0.73</v>
      </c>
      <c r="E53" s="284">
        <f>MCF!R52</f>
        <v>1</v>
      </c>
      <c r="F53" s="67">
        <f t="shared" si="12"/>
        <v>0</v>
      </c>
      <c r="G53" s="67">
        <f t="shared" si="1"/>
        <v>0</v>
      </c>
      <c r="H53" s="67">
        <f t="shared" si="2"/>
        <v>0</v>
      </c>
      <c r="I53" s="67">
        <f t="shared" si="3"/>
        <v>0.45188464822339486</v>
      </c>
      <c r="J53" s="67">
        <f t="shared" si="4"/>
        <v>3.2765333979379745E-2</v>
      </c>
      <c r="K53" s="100">
        <f t="shared" si="6"/>
        <v>2.1843555986253163E-2</v>
      </c>
      <c r="O53" s="96">
        <f>Amnt_Deposited!B48</f>
        <v>2034</v>
      </c>
      <c r="P53" s="99">
        <f>Amnt_Deposited!H48</f>
        <v>0</v>
      </c>
      <c r="Q53" s="284">
        <f>MCF!R52</f>
        <v>1</v>
      </c>
      <c r="R53" s="67">
        <f t="shared" si="13"/>
        <v>0</v>
      </c>
      <c r="S53" s="67">
        <f t="shared" si="7"/>
        <v>0</v>
      </c>
      <c r="T53" s="67">
        <f t="shared" si="8"/>
        <v>0</v>
      </c>
      <c r="U53" s="67">
        <f t="shared" si="9"/>
        <v>0.49521605284755593</v>
      </c>
      <c r="V53" s="67">
        <f t="shared" si="10"/>
        <v>3.5907215319868208E-2</v>
      </c>
      <c r="W53" s="100">
        <f t="shared" si="11"/>
        <v>2.3938143546578805E-2</v>
      </c>
    </row>
    <row r="54" spans="2:23">
      <c r="B54" s="96">
        <f>Amnt_Deposited!B49</f>
        <v>2035</v>
      </c>
      <c r="C54" s="99">
        <f>Amnt_Deposited!H49</f>
        <v>0</v>
      </c>
      <c r="D54" s="418">
        <f>Dry_Matter_Content!H41</f>
        <v>0.73</v>
      </c>
      <c r="E54" s="284">
        <f>MCF!R53</f>
        <v>1</v>
      </c>
      <c r="F54" s="67">
        <f t="shared" si="12"/>
        <v>0</v>
      </c>
      <c r="G54" s="67">
        <f t="shared" si="1"/>
        <v>0</v>
      </c>
      <c r="H54" s="67">
        <f t="shared" si="2"/>
        <v>0</v>
      </c>
      <c r="I54" s="67">
        <f t="shared" si="3"/>
        <v>0.42133445331386682</v>
      </c>
      <c r="J54" s="67">
        <f t="shared" si="4"/>
        <v>3.0550194909528046E-2</v>
      </c>
      <c r="K54" s="100">
        <f t="shared" si="6"/>
        <v>2.0366796606352031E-2</v>
      </c>
      <c r="O54" s="96">
        <f>Amnt_Deposited!B49</f>
        <v>2035</v>
      </c>
      <c r="P54" s="99">
        <f>Amnt_Deposited!H49</f>
        <v>0</v>
      </c>
      <c r="Q54" s="284">
        <f>MCF!R53</f>
        <v>1</v>
      </c>
      <c r="R54" s="67">
        <f t="shared" si="13"/>
        <v>0</v>
      </c>
      <c r="S54" s="67">
        <f t="shared" si="7"/>
        <v>0</v>
      </c>
      <c r="T54" s="67">
        <f t="shared" si="8"/>
        <v>0</v>
      </c>
      <c r="U54" s="67">
        <f t="shared" si="9"/>
        <v>0.46173638719327864</v>
      </c>
      <c r="V54" s="67">
        <f t="shared" si="10"/>
        <v>3.3479665654277305E-2</v>
      </c>
      <c r="W54" s="100">
        <f t="shared" si="11"/>
        <v>2.2319777102851535E-2</v>
      </c>
    </row>
    <row r="55" spans="2:23">
      <c r="B55" s="96">
        <f>Amnt_Deposited!B50</f>
        <v>2036</v>
      </c>
      <c r="C55" s="99">
        <f>Amnt_Deposited!H50</f>
        <v>0</v>
      </c>
      <c r="D55" s="418">
        <f>Dry_Matter_Content!H42</f>
        <v>0.73</v>
      </c>
      <c r="E55" s="284">
        <f>MCF!R54</f>
        <v>1</v>
      </c>
      <c r="F55" s="67">
        <f t="shared" si="12"/>
        <v>0</v>
      </c>
      <c r="G55" s="67">
        <f t="shared" si="1"/>
        <v>0</v>
      </c>
      <c r="H55" s="67">
        <f t="shared" si="2"/>
        <v>0</v>
      </c>
      <c r="I55" s="67">
        <f t="shared" si="3"/>
        <v>0.39284964038330072</v>
      </c>
      <c r="J55" s="67">
        <f t="shared" si="4"/>
        <v>2.8484812930566109E-2</v>
      </c>
      <c r="K55" s="100">
        <f t="shared" si="6"/>
        <v>1.8989875287044072E-2</v>
      </c>
      <c r="O55" s="96">
        <f>Amnt_Deposited!B50</f>
        <v>2036</v>
      </c>
      <c r="P55" s="99">
        <f>Amnt_Deposited!H50</f>
        <v>0</v>
      </c>
      <c r="Q55" s="284">
        <f>MCF!R54</f>
        <v>1</v>
      </c>
      <c r="R55" s="67">
        <f t="shared" si="13"/>
        <v>0</v>
      </c>
      <c r="S55" s="67">
        <f t="shared" si="7"/>
        <v>0</v>
      </c>
      <c r="T55" s="67">
        <f t="shared" si="8"/>
        <v>0</v>
      </c>
      <c r="U55" s="67">
        <f t="shared" si="9"/>
        <v>0.43052015384471304</v>
      </c>
      <c r="V55" s="67">
        <f t="shared" si="10"/>
        <v>3.1216233348565596E-2</v>
      </c>
      <c r="W55" s="100">
        <f t="shared" si="11"/>
        <v>2.0810822232377062E-2</v>
      </c>
    </row>
    <row r="56" spans="2:23">
      <c r="B56" s="96">
        <f>Amnt_Deposited!B51</f>
        <v>2037</v>
      </c>
      <c r="C56" s="99">
        <f>Amnt_Deposited!H51</f>
        <v>0</v>
      </c>
      <c r="D56" s="418">
        <f>Dry_Matter_Content!H43</f>
        <v>0.73</v>
      </c>
      <c r="E56" s="284">
        <f>MCF!R55</f>
        <v>1</v>
      </c>
      <c r="F56" s="67">
        <f t="shared" si="12"/>
        <v>0</v>
      </c>
      <c r="G56" s="67">
        <f t="shared" si="1"/>
        <v>0</v>
      </c>
      <c r="H56" s="67">
        <f t="shared" si="2"/>
        <v>0</v>
      </c>
      <c r="I56" s="67">
        <f t="shared" si="3"/>
        <v>0.36629057684566385</v>
      </c>
      <c r="J56" s="67">
        <f t="shared" si="4"/>
        <v>2.6559063537636884E-2</v>
      </c>
      <c r="K56" s="100">
        <f t="shared" si="6"/>
        <v>1.7706042358424587E-2</v>
      </c>
      <c r="O56" s="96">
        <f>Amnt_Deposited!B51</f>
        <v>2037</v>
      </c>
      <c r="P56" s="99">
        <f>Amnt_Deposited!H51</f>
        <v>0</v>
      </c>
      <c r="Q56" s="284">
        <f>MCF!R55</f>
        <v>1</v>
      </c>
      <c r="R56" s="67">
        <f t="shared" si="13"/>
        <v>0</v>
      </c>
      <c r="S56" s="67">
        <f t="shared" si="7"/>
        <v>0</v>
      </c>
      <c r="T56" s="67">
        <f t="shared" si="8"/>
        <v>0</v>
      </c>
      <c r="U56" s="67">
        <f t="shared" si="9"/>
        <v>0.40141433078976851</v>
      </c>
      <c r="V56" s="67">
        <f t="shared" si="10"/>
        <v>2.9105823054944524E-2</v>
      </c>
      <c r="W56" s="100">
        <f t="shared" si="11"/>
        <v>1.9403882036629683E-2</v>
      </c>
    </row>
    <row r="57" spans="2:23">
      <c r="B57" s="96">
        <f>Amnt_Deposited!B52</f>
        <v>2038</v>
      </c>
      <c r="C57" s="99">
        <f>Amnt_Deposited!H52</f>
        <v>0</v>
      </c>
      <c r="D57" s="418">
        <f>Dry_Matter_Content!H44</f>
        <v>0.73</v>
      </c>
      <c r="E57" s="284">
        <f>MCF!R56</f>
        <v>1</v>
      </c>
      <c r="F57" s="67">
        <f t="shared" si="12"/>
        <v>0</v>
      </c>
      <c r="G57" s="67">
        <f t="shared" si="1"/>
        <v>0</v>
      </c>
      <c r="H57" s="67">
        <f t="shared" si="2"/>
        <v>0</v>
      </c>
      <c r="I57" s="67">
        <f t="shared" si="3"/>
        <v>0.34152707014068179</v>
      </c>
      <c r="J57" s="67">
        <f t="shared" si="4"/>
        <v>2.4763506704982043E-2</v>
      </c>
      <c r="K57" s="100">
        <f t="shared" si="6"/>
        <v>1.6509004469988028E-2</v>
      </c>
      <c r="O57" s="96">
        <f>Amnt_Deposited!B52</f>
        <v>2038</v>
      </c>
      <c r="P57" s="99">
        <f>Amnt_Deposited!H52</f>
        <v>0</v>
      </c>
      <c r="Q57" s="284">
        <f>MCF!R56</f>
        <v>1</v>
      </c>
      <c r="R57" s="67">
        <f t="shared" si="13"/>
        <v>0</v>
      </c>
      <c r="S57" s="67">
        <f t="shared" si="7"/>
        <v>0</v>
      </c>
      <c r="T57" s="67">
        <f t="shared" si="8"/>
        <v>0</v>
      </c>
      <c r="U57" s="67">
        <f t="shared" si="9"/>
        <v>0.37427624125006215</v>
      </c>
      <c r="V57" s="67">
        <f t="shared" si="10"/>
        <v>2.7138089539706343E-2</v>
      </c>
      <c r="W57" s="100">
        <f t="shared" si="11"/>
        <v>1.8092059693137562E-2</v>
      </c>
    </row>
    <row r="58" spans="2:23">
      <c r="B58" s="96">
        <f>Amnt_Deposited!B53</f>
        <v>2039</v>
      </c>
      <c r="C58" s="99">
        <f>Amnt_Deposited!H53</f>
        <v>0</v>
      </c>
      <c r="D58" s="418">
        <f>Dry_Matter_Content!H45</f>
        <v>0.73</v>
      </c>
      <c r="E58" s="284">
        <f>MCF!R57</f>
        <v>1</v>
      </c>
      <c r="F58" s="67">
        <f t="shared" si="12"/>
        <v>0</v>
      </c>
      <c r="G58" s="67">
        <f t="shared" si="1"/>
        <v>0</v>
      </c>
      <c r="H58" s="67">
        <f t="shared" si="2"/>
        <v>0</v>
      </c>
      <c r="I58" s="67">
        <f t="shared" si="3"/>
        <v>0.31843772952975702</v>
      </c>
      <c r="J58" s="67">
        <f t="shared" si="4"/>
        <v>2.3089340610924769E-2</v>
      </c>
      <c r="K58" s="100">
        <f t="shared" si="6"/>
        <v>1.5392893740616512E-2</v>
      </c>
      <c r="O58" s="96">
        <f>Amnt_Deposited!B53</f>
        <v>2039</v>
      </c>
      <c r="P58" s="99">
        <f>Amnt_Deposited!H53</f>
        <v>0</v>
      </c>
      <c r="Q58" s="284">
        <f>MCF!R57</f>
        <v>1</v>
      </c>
      <c r="R58" s="67">
        <f t="shared" si="13"/>
        <v>0</v>
      </c>
      <c r="S58" s="67">
        <f t="shared" si="7"/>
        <v>0</v>
      </c>
      <c r="T58" s="67">
        <f t="shared" si="8"/>
        <v>0</v>
      </c>
      <c r="U58" s="67">
        <f t="shared" si="9"/>
        <v>0.34897285427918567</v>
      </c>
      <c r="V58" s="67">
        <f t="shared" si="10"/>
        <v>2.5303386970876453E-2</v>
      </c>
      <c r="W58" s="100">
        <f t="shared" si="11"/>
        <v>1.6868924647250969E-2</v>
      </c>
    </row>
    <row r="59" spans="2:23">
      <c r="B59" s="96">
        <f>Amnt_Deposited!B54</f>
        <v>2040</v>
      </c>
      <c r="C59" s="99">
        <f>Amnt_Deposited!H54</f>
        <v>0</v>
      </c>
      <c r="D59" s="418">
        <f>Dry_Matter_Content!H46</f>
        <v>0.73</v>
      </c>
      <c r="E59" s="284">
        <f>MCF!R58</f>
        <v>1</v>
      </c>
      <c r="F59" s="67">
        <f t="shared" si="12"/>
        <v>0</v>
      </c>
      <c r="G59" s="67">
        <f t="shared" si="1"/>
        <v>0</v>
      </c>
      <c r="H59" s="67">
        <f t="shared" si="2"/>
        <v>0</v>
      </c>
      <c r="I59" s="67">
        <f t="shared" si="3"/>
        <v>0.29690937103842735</v>
      </c>
      <c r="J59" s="67">
        <f t="shared" si="4"/>
        <v>2.1528358491329686E-2</v>
      </c>
      <c r="K59" s="100">
        <f t="shared" si="6"/>
        <v>1.435223899421979E-2</v>
      </c>
      <c r="O59" s="96">
        <f>Amnt_Deposited!B54</f>
        <v>2040</v>
      </c>
      <c r="P59" s="99">
        <f>Amnt_Deposited!H54</f>
        <v>0</v>
      </c>
      <c r="Q59" s="284">
        <f>MCF!R58</f>
        <v>1</v>
      </c>
      <c r="R59" s="67">
        <f t="shared" si="13"/>
        <v>0</v>
      </c>
      <c r="S59" s="67">
        <f t="shared" si="7"/>
        <v>0</v>
      </c>
      <c r="T59" s="67">
        <f t="shared" si="8"/>
        <v>0</v>
      </c>
      <c r="U59" s="67">
        <f t="shared" si="9"/>
        <v>0.32538013264485177</v>
      </c>
      <c r="V59" s="67">
        <f t="shared" si="10"/>
        <v>2.3592721634333895E-2</v>
      </c>
      <c r="W59" s="100">
        <f t="shared" si="11"/>
        <v>1.5728481089555928E-2</v>
      </c>
    </row>
    <row r="60" spans="2:23">
      <c r="B60" s="96">
        <f>Amnt_Deposited!B55</f>
        <v>2041</v>
      </c>
      <c r="C60" s="99">
        <f>Amnt_Deposited!H55</f>
        <v>0</v>
      </c>
      <c r="D60" s="418">
        <f>Dry_Matter_Content!H47</f>
        <v>0.73</v>
      </c>
      <c r="E60" s="284">
        <f>MCF!R59</f>
        <v>1</v>
      </c>
      <c r="F60" s="67">
        <f t="shared" si="12"/>
        <v>0</v>
      </c>
      <c r="G60" s="67">
        <f t="shared" si="1"/>
        <v>0</v>
      </c>
      <c r="H60" s="67">
        <f t="shared" si="2"/>
        <v>0</v>
      </c>
      <c r="I60" s="67">
        <f t="shared" si="3"/>
        <v>0.27683646262839179</v>
      </c>
      <c r="J60" s="67">
        <f t="shared" si="4"/>
        <v>2.0072908410035544E-2</v>
      </c>
      <c r="K60" s="100">
        <f t="shared" si="6"/>
        <v>1.3381938940023696E-2</v>
      </c>
      <c r="O60" s="96">
        <f>Amnt_Deposited!B55</f>
        <v>2041</v>
      </c>
      <c r="P60" s="99">
        <f>Amnt_Deposited!H55</f>
        <v>0</v>
      </c>
      <c r="Q60" s="284">
        <f>MCF!R59</f>
        <v>1</v>
      </c>
      <c r="R60" s="67">
        <f t="shared" si="13"/>
        <v>0</v>
      </c>
      <c r="S60" s="67">
        <f t="shared" si="7"/>
        <v>0</v>
      </c>
      <c r="T60" s="67">
        <f t="shared" si="8"/>
        <v>0</v>
      </c>
      <c r="U60" s="67">
        <f t="shared" si="9"/>
        <v>0.30338242479823746</v>
      </c>
      <c r="V60" s="67">
        <f t="shared" si="10"/>
        <v>2.1997707846614287E-2</v>
      </c>
      <c r="W60" s="100">
        <f t="shared" si="11"/>
        <v>1.4665138564409524E-2</v>
      </c>
    </row>
    <row r="61" spans="2:23">
      <c r="B61" s="96">
        <f>Amnt_Deposited!B56</f>
        <v>2042</v>
      </c>
      <c r="C61" s="99">
        <f>Amnt_Deposited!H56</f>
        <v>0</v>
      </c>
      <c r="D61" s="418">
        <f>Dry_Matter_Content!H48</f>
        <v>0.73</v>
      </c>
      <c r="E61" s="284">
        <f>MCF!R60</f>
        <v>1</v>
      </c>
      <c r="F61" s="67">
        <f t="shared" si="12"/>
        <v>0</v>
      </c>
      <c r="G61" s="67">
        <f t="shared" si="1"/>
        <v>0</v>
      </c>
      <c r="H61" s="67">
        <f t="shared" si="2"/>
        <v>0</v>
      </c>
      <c r="I61" s="67">
        <f t="shared" si="3"/>
        <v>0.25812060687933652</v>
      </c>
      <c r="J61" s="67">
        <f t="shared" si="4"/>
        <v>1.8715855749055276E-2</v>
      </c>
      <c r="K61" s="100">
        <f t="shared" si="6"/>
        <v>1.247723716603685E-2</v>
      </c>
      <c r="O61" s="96">
        <f>Amnt_Deposited!B56</f>
        <v>2042</v>
      </c>
      <c r="P61" s="99">
        <f>Amnt_Deposited!H56</f>
        <v>0</v>
      </c>
      <c r="Q61" s="284">
        <f>MCF!R60</f>
        <v>1</v>
      </c>
      <c r="R61" s="67">
        <f t="shared" si="13"/>
        <v>0</v>
      </c>
      <c r="S61" s="67">
        <f t="shared" si="7"/>
        <v>0</v>
      </c>
      <c r="T61" s="67">
        <f t="shared" si="8"/>
        <v>0</v>
      </c>
      <c r="U61" s="67">
        <f t="shared" si="9"/>
        <v>0.28287189794995771</v>
      </c>
      <c r="V61" s="67">
        <f t="shared" si="10"/>
        <v>2.0510526848279746E-2</v>
      </c>
      <c r="W61" s="100">
        <f t="shared" si="11"/>
        <v>1.3673684565519831E-2</v>
      </c>
    </row>
    <row r="62" spans="2:23">
      <c r="B62" s="96">
        <f>Amnt_Deposited!B57</f>
        <v>2043</v>
      </c>
      <c r="C62" s="99">
        <f>Amnt_Deposited!H57</f>
        <v>0</v>
      </c>
      <c r="D62" s="418">
        <f>Dry_Matter_Content!H49</f>
        <v>0.73</v>
      </c>
      <c r="E62" s="284">
        <f>MCF!R61</f>
        <v>1</v>
      </c>
      <c r="F62" s="67">
        <f t="shared" si="12"/>
        <v>0</v>
      </c>
      <c r="G62" s="67">
        <f t="shared" si="1"/>
        <v>0</v>
      </c>
      <c r="H62" s="67">
        <f t="shared" si="2"/>
        <v>0</v>
      </c>
      <c r="I62" s="67">
        <f t="shared" si="3"/>
        <v>0.24067005864466617</v>
      </c>
      <c r="J62" s="67">
        <f t="shared" si="4"/>
        <v>1.7450548234670352E-2</v>
      </c>
      <c r="K62" s="100">
        <f t="shared" si="6"/>
        <v>1.1633698823113568E-2</v>
      </c>
      <c r="O62" s="96">
        <f>Amnt_Deposited!B57</f>
        <v>2043</v>
      </c>
      <c r="P62" s="99">
        <f>Amnt_Deposited!H57</f>
        <v>0</v>
      </c>
      <c r="Q62" s="284">
        <f>MCF!R61</f>
        <v>1</v>
      </c>
      <c r="R62" s="67">
        <f t="shared" si="13"/>
        <v>0</v>
      </c>
      <c r="S62" s="67">
        <f t="shared" si="7"/>
        <v>0</v>
      </c>
      <c r="T62" s="67">
        <f t="shared" si="8"/>
        <v>0</v>
      </c>
      <c r="U62" s="67">
        <f t="shared" si="9"/>
        <v>0.26374800947360666</v>
      </c>
      <c r="V62" s="67">
        <f t="shared" si="10"/>
        <v>1.9123888476351061E-2</v>
      </c>
      <c r="W62" s="100">
        <f t="shared" si="11"/>
        <v>1.2749258984234041E-2</v>
      </c>
    </row>
    <row r="63" spans="2:23">
      <c r="B63" s="96">
        <f>Amnt_Deposited!B58</f>
        <v>2044</v>
      </c>
      <c r="C63" s="99">
        <f>Amnt_Deposited!H58</f>
        <v>0</v>
      </c>
      <c r="D63" s="418">
        <f>Dry_Matter_Content!H50</f>
        <v>0.73</v>
      </c>
      <c r="E63" s="284">
        <f>MCF!R62</f>
        <v>1</v>
      </c>
      <c r="F63" s="67">
        <f t="shared" si="12"/>
        <v>0</v>
      </c>
      <c r="G63" s="67">
        <f t="shared" si="1"/>
        <v>0</v>
      </c>
      <c r="H63" s="67">
        <f t="shared" si="2"/>
        <v>0</v>
      </c>
      <c r="I63" s="67">
        <f t="shared" si="3"/>
        <v>0.22439927531668888</v>
      </c>
      <c r="J63" s="67">
        <f t="shared" si="4"/>
        <v>1.6270783327977292E-2</v>
      </c>
      <c r="K63" s="100">
        <f t="shared" si="6"/>
        <v>1.0847188885318194E-2</v>
      </c>
      <c r="O63" s="96">
        <f>Amnt_Deposited!B58</f>
        <v>2044</v>
      </c>
      <c r="P63" s="99">
        <f>Amnt_Deposited!H58</f>
        <v>0</v>
      </c>
      <c r="Q63" s="284">
        <f>MCF!R62</f>
        <v>1</v>
      </c>
      <c r="R63" s="67">
        <f t="shared" si="13"/>
        <v>0</v>
      </c>
      <c r="S63" s="67">
        <f t="shared" si="7"/>
        <v>0</v>
      </c>
      <c r="T63" s="67">
        <f t="shared" si="8"/>
        <v>0</v>
      </c>
      <c r="U63" s="67">
        <f t="shared" si="9"/>
        <v>0.24591701404568633</v>
      </c>
      <c r="V63" s="67">
        <f t="shared" si="10"/>
        <v>1.7830995427920313E-2</v>
      </c>
      <c r="W63" s="100">
        <f t="shared" si="11"/>
        <v>1.1887330285280207E-2</v>
      </c>
    </row>
    <row r="64" spans="2:23">
      <c r="B64" s="96">
        <f>Amnt_Deposited!B59</f>
        <v>2045</v>
      </c>
      <c r="C64" s="99">
        <f>Amnt_Deposited!H59</f>
        <v>0</v>
      </c>
      <c r="D64" s="418">
        <f>Dry_Matter_Content!H51</f>
        <v>0.73</v>
      </c>
      <c r="E64" s="284">
        <f>MCF!R63</f>
        <v>1</v>
      </c>
      <c r="F64" s="67">
        <f t="shared" si="12"/>
        <v>0</v>
      </c>
      <c r="G64" s="67">
        <f t="shared" si="1"/>
        <v>0</v>
      </c>
      <c r="H64" s="67">
        <f t="shared" si="2"/>
        <v>0</v>
      </c>
      <c r="I64" s="67">
        <f t="shared" si="3"/>
        <v>0.20922849749665412</v>
      </c>
      <c r="J64" s="67">
        <f t="shared" si="4"/>
        <v>1.5170777820034764E-2</v>
      </c>
      <c r="K64" s="100">
        <f t="shared" si="6"/>
        <v>1.0113851880023176E-2</v>
      </c>
      <c r="O64" s="96">
        <f>Amnt_Deposited!B59</f>
        <v>2045</v>
      </c>
      <c r="P64" s="99">
        <f>Amnt_Deposited!H59</f>
        <v>0</v>
      </c>
      <c r="Q64" s="284">
        <f>MCF!R63</f>
        <v>1</v>
      </c>
      <c r="R64" s="67">
        <f t="shared" si="13"/>
        <v>0</v>
      </c>
      <c r="S64" s="67">
        <f t="shared" si="7"/>
        <v>0</v>
      </c>
      <c r="T64" s="67">
        <f t="shared" si="8"/>
        <v>0</v>
      </c>
      <c r="U64" s="67">
        <f t="shared" si="9"/>
        <v>0.22929150410592222</v>
      </c>
      <c r="V64" s="67">
        <f t="shared" si="10"/>
        <v>1.6625509939764117E-2</v>
      </c>
      <c r="W64" s="100">
        <f t="shared" si="11"/>
        <v>1.1083673293176078E-2</v>
      </c>
    </row>
    <row r="65" spans="2:23">
      <c r="B65" s="96">
        <f>Amnt_Deposited!B60</f>
        <v>2046</v>
      </c>
      <c r="C65" s="99">
        <f>Amnt_Deposited!H60</f>
        <v>0</v>
      </c>
      <c r="D65" s="418">
        <f>Dry_Matter_Content!H52</f>
        <v>0.73</v>
      </c>
      <c r="E65" s="284">
        <f>MCF!R64</f>
        <v>1</v>
      </c>
      <c r="F65" s="67">
        <f t="shared" si="12"/>
        <v>0</v>
      </c>
      <c r="G65" s="67">
        <f t="shared" si="1"/>
        <v>0</v>
      </c>
      <c r="H65" s="67">
        <f t="shared" si="2"/>
        <v>0</v>
      </c>
      <c r="I65" s="67">
        <f t="shared" si="3"/>
        <v>0.19508335801408747</v>
      </c>
      <c r="J65" s="67">
        <f t="shared" si="4"/>
        <v>1.4145139482566649E-2</v>
      </c>
      <c r="K65" s="100">
        <f t="shared" si="6"/>
        <v>9.4300929883777661E-3</v>
      </c>
      <c r="O65" s="96">
        <f>Amnt_Deposited!B60</f>
        <v>2046</v>
      </c>
      <c r="P65" s="99">
        <f>Amnt_Deposited!H60</f>
        <v>0</v>
      </c>
      <c r="Q65" s="284">
        <f>MCF!R64</f>
        <v>1</v>
      </c>
      <c r="R65" s="67">
        <f t="shared" si="13"/>
        <v>0</v>
      </c>
      <c r="S65" s="67">
        <f t="shared" si="7"/>
        <v>0</v>
      </c>
      <c r="T65" s="67">
        <f t="shared" si="8"/>
        <v>0</v>
      </c>
      <c r="U65" s="67">
        <f t="shared" si="9"/>
        <v>0.21378998138530125</v>
      </c>
      <c r="V65" s="67">
        <f t="shared" si="10"/>
        <v>1.5501522720620978E-2</v>
      </c>
      <c r="W65" s="100">
        <f t="shared" si="11"/>
        <v>1.0334348480413985E-2</v>
      </c>
    </row>
    <row r="66" spans="2:23">
      <c r="B66" s="96">
        <f>Amnt_Deposited!B61</f>
        <v>2047</v>
      </c>
      <c r="C66" s="99">
        <f>Amnt_Deposited!H61</f>
        <v>0</v>
      </c>
      <c r="D66" s="418">
        <f>Dry_Matter_Content!H53</f>
        <v>0.73</v>
      </c>
      <c r="E66" s="284">
        <f>MCF!R65</f>
        <v>1</v>
      </c>
      <c r="F66" s="67">
        <f t="shared" si="12"/>
        <v>0</v>
      </c>
      <c r="G66" s="67">
        <f t="shared" si="1"/>
        <v>0</v>
      </c>
      <c r="H66" s="67">
        <f t="shared" si="2"/>
        <v>0</v>
      </c>
      <c r="I66" s="67">
        <f t="shared" si="3"/>
        <v>0.18189451737883469</v>
      </c>
      <c r="J66" s="67">
        <f t="shared" si="4"/>
        <v>1.3188840635252766E-2</v>
      </c>
      <c r="K66" s="100">
        <f t="shared" si="6"/>
        <v>8.7925604235018426E-3</v>
      </c>
      <c r="O66" s="96">
        <f>Amnt_Deposited!B61</f>
        <v>2047</v>
      </c>
      <c r="P66" s="99">
        <f>Amnt_Deposited!H61</f>
        <v>0</v>
      </c>
      <c r="Q66" s="284">
        <f>MCF!R65</f>
        <v>1</v>
      </c>
      <c r="R66" s="67">
        <f t="shared" si="13"/>
        <v>0</v>
      </c>
      <c r="S66" s="67">
        <f t="shared" si="7"/>
        <v>0</v>
      </c>
      <c r="T66" s="67">
        <f t="shared" si="8"/>
        <v>0</v>
      </c>
      <c r="U66" s="67">
        <f t="shared" si="9"/>
        <v>0.19933645740146261</v>
      </c>
      <c r="V66" s="67">
        <f t="shared" si="10"/>
        <v>1.4453523983838644E-2</v>
      </c>
      <c r="W66" s="100">
        <f t="shared" si="11"/>
        <v>9.6356826558924285E-3</v>
      </c>
    </row>
    <row r="67" spans="2:23">
      <c r="B67" s="96">
        <f>Amnt_Deposited!B62</f>
        <v>2048</v>
      </c>
      <c r="C67" s="99">
        <f>Amnt_Deposited!H62</f>
        <v>0</v>
      </c>
      <c r="D67" s="418">
        <f>Dry_Matter_Content!H54</f>
        <v>0.73</v>
      </c>
      <c r="E67" s="284">
        <f>MCF!R66</f>
        <v>1</v>
      </c>
      <c r="F67" s="67">
        <f t="shared" si="12"/>
        <v>0</v>
      </c>
      <c r="G67" s="67">
        <f t="shared" si="1"/>
        <v>0</v>
      </c>
      <c r="H67" s="67">
        <f t="shared" si="2"/>
        <v>0</v>
      </c>
      <c r="I67" s="67">
        <f t="shared" si="3"/>
        <v>0.16959732387880058</v>
      </c>
      <c r="J67" s="67">
        <f t="shared" si="4"/>
        <v>1.229719350003412E-2</v>
      </c>
      <c r="K67" s="100">
        <f t="shared" si="6"/>
        <v>8.1981290000227459E-3</v>
      </c>
      <c r="O67" s="96">
        <f>Amnt_Deposited!B62</f>
        <v>2048</v>
      </c>
      <c r="P67" s="99">
        <f>Amnt_Deposited!H62</f>
        <v>0</v>
      </c>
      <c r="Q67" s="284">
        <f>MCF!R66</f>
        <v>1</v>
      </c>
      <c r="R67" s="67">
        <f t="shared" si="13"/>
        <v>0</v>
      </c>
      <c r="S67" s="67">
        <f t="shared" si="7"/>
        <v>0</v>
      </c>
      <c r="T67" s="67">
        <f t="shared" si="8"/>
        <v>0</v>
      </c>
      <c r="U67" s="67">
        <f t="shared" si="9"/>
        <v>0.18586008096306905</v>
      </c>
      <c r="V67" s="67">
        <f t="shared" si="10"/>
        <v>1.3476376438393551E-2</v>
      </c>
      <c r="W67" s="100">
        <f t="shared" si="11"/>
        <v>8.9842509589290326E-3</v>
      </c>
    </row>
    <row r="68" spans="2:23">
      <c r="B68" s="96">
        <f>Amnt_Deposited!B63</f>
        <v>2049</v>
      </c>
      <c r="C68" s="99">
        <f>Amnt_Deposited!H63</f>
        <v>0</v>
      </c>
      <c r="D68" s="418">
        <f>Dry_Matter_Content!H55</f>
        <v>0.73</v>
      </c>
      <c r="E68" s="284">
        <f>MCF!R67</f>
        <v>1</v>
      </c>
      <c r="F68" s="67">
        <f t="shared" si="12"/>
        <v>0</v>
      </c>
      <c r="G68" s="67">
        <f t="shared" si="1"/>
        <v>0</v>
      </c>
      <c r="H68" s="67">
        <f t="shared" si="2"/>
        <v>0</v>
      </c>
      <c r="I68" s="67">
        <f t="shared" si="3"/>
        <v>0.15813149665718118</v>
      </c>
      <c r="J68" s="67">
        <f t="shared" si="4"/>
        <v>1.1465827221619412E-2</v>
      </c>
      <c r="K68" s="100">
        <f t="shared" si="6"/>
        <v>7.6438848144129408E-3</v>
      </c>
      <c r="O68" s="96">
        <f>Amnt_Deposited!B63</f>
        <v>2049</v>
      </c>
      <c r="P68" s="99">
        <f>Amnt_Deposited!H63</f>
        <v>0</v>
      </c>
      <c r="Q68" s="284">
        <f>MCF!R67</f>
        <v>1</v>
      </c>
      <c r="R68" s="67">
        <f t="shared" si="13"/>
        <v>0</v>
      </c>
      <c r="S68" s="67">
        <f t="shared" si="7"/>
        <v>0</v>
      </c>
      <c r="T68" s="67">
        <f t="shared" si="8"/>
        <v>0</v>
      </c>
      <c r="U68" s="67">
        <f t="shared" si="9"/>
        <v>0.17329479085718477</v>
      </c>
      <c r="V68" s="67">
        <f t="shared" si="10"/>
        <v>1.2565290105884282E-2</v>
      </c>
      <c r="W68" s="100">
        <f t="shared" si="11"/>
        <v>8.3768600705895202E-3</v>
      </c>
    </row>
    <row r="69" spans="2:23">
      <c r="B69" s="96">
        <f>Amnt_Deposited!B64</f>
        <v>2050</v>
      </c>
      <c r="C69" s="99">
        <f>Amnt_Deposited!H64</f>
        <v>0</v>
      </c>
      <c r="D69" s="418">
        <f>Dry_Matter_Content!H56</f>
        <v>0.73</v>
      </c>
      <c r="E69" s="284">
        <f>MCF!R68</f>
        <v>1</v>
      </c>
      <c r="F69" s="67">
        <f t="shared" si="12"/>
        <v>0</v>
      </c>
      <c r="G69" s="67">
        <f t="shared" si="1"/>
        <v>0</v>
      </c>
      <c r="H69" s="67">
        <f t="shared" si="2"/>
        <v>0</v>
      </c>
      <c r="I69" s="67">
        <f t="shared" si="3"/>
        <v>0.14744083021563384</v>
      </c>
      <c r="J69" s="67">
        <f t="shared" si="4"/>
        <v>1.069066644154733E-2</v>
      </c>
      <c r="K69" s="100">
        <f t="shared" si="6"/>
        <v>7.1271109610315528E-3</v>
      </c>
      <c r="O69" s="96">
        <f>Amnt_Deposited!B64</f>
        <v>2050</v>
      </c>
      <c r="P69" s="99">
        <f>Amnt_Deposited!H64</f>
        <v>0</v>
      </c>
      <c r="Q69" s="284">
        <f>MCF!R68</f>
        <v>1</v>
      </c>
      <c r="R69" s="67">
        <f t="shared" si="13"/>
        <v>0</v>
      </c>
      <c r="S69" s="67">
        <f t="shared" si="7"/>
        <v>0</v>
      </c>
      <c r="T69" s="67">
        <f t="shared" si="8"/>
        <v>0</v>
      </c>
      <c r="U69" s="67">
        <f t="shared" si="9"/>
        <v>0.16157899201713291</v>
      </c>
      <c r="V69" s="67">
        <f t="shared" si="10"/>
        <v>1.1715798840051863E-2</v>
      </c>
      <c r="W69" s="100">
        <f t="shared" si="11"/>
        <v>7.8105325600345745E-3</v>
      </c>
    </row>
    <row r="70" spans="2:23">
      <c r="B70" s="96">
        <f>Amnt_Deposited!B65</f>
        <v>2051</v>
      </c>
      <c r="C70" s="99">
        <f>Amnt_Deposited!H65</f>
        <v>0</v>
      </c>
      <c r="D70" s="418">
        <f>Dry_Matter_Content!H57</f>
        <v>0.73</v>
      </c>
      <c r="E70" s="284">
        <f>MCF!R69</f>
        <v>1</v>
      </c>
      <c r="F70" s="67">
        <f t="shared" si="12"/>
        <v>0</v>
      </c>
      <c r="G70" s="67">
        <f t="shared" si="1"/>
        <v>0</v>
      </c>
      <c r="H70" s="67">
        <f t="shared" si="2"/>
        <v>0</v>
      </c>
      <c r="I70" s="67">
        <f t="shared" si="3"/>
        <v>0.13747291889485919</v>
      </c>
      <c r="J70" s="67">
        <f t="shared" si="4"/>
        <v>9.9679113207746441E-3</v>
      </c>
      <c r="K70" s="100">
        <f t="shared" si="6"/>
        <v>6.6452742138497622E-3</v>
      </c>
      <c r="O70" s="96">
        <f>Amnt_Deposited!B65</f>
        <v>2051</v>
      </c>
      <c r="P70" s="99">
        <f>Amnt_Deposited!H65</f>
        <v>0</v>
      </c>
      <c r="Q70" s="284">
        <f>MCF!R69</f>
        <v>1</v>
      </c>
      <c r="R70" s="67">
        <f t="shared" si="13"/>
        <v>0</v>
      </c>
      <c r="S70" s="67">
        <f t="shared" si="7"/>
        <v>0</v>
      </c>
      <c r="T70" s="67">
        <f t="shared" si="8"/>
        <v>0</v>
      </c>
      <c r="U70" s="67">
        <f t="shared" si="9"/>
        <v>0.15065525358340728</v>
      </c>
      <c r="V70" s="67">
        <f t="shared" si="10"/>
        <v>1.0923738433725634E-2</v>
      </c>
      <c r="W70" s="100">
        <f t="shared" si="11"/>
        <v>7.2824922891504221E-3</v>
      </c>
    </row>
    <row r="71" spans="2:23">
      <c r="B71" s="96">
        <f>Amnt_Deposited!B66</f>
        <v>2052</v>
      </c>
      <c r="C71" s="99">
        <f>Amnt_Deposited!H66</f>
        <v>0</v>
      </c>
      <c r="D71" s="418">
        <f>Dry_Matter_Content!H58</f>
        <v>0.73</v>
      </c>
      <c r="E71" s="284">
        <f>MCF!R70</f>
        <v>1</v>
      </c>
      <c r="F71" s="67">
        <f t="shared" si="12"/>
        <v>0</v>
      </c>
      <c r="G71" s="67">
        <f t="shared" si="1"/>
        <v>0</v>
      </c>
      <c r="H71" s="67">
        <f t="shared" si="2"/>
        <v>0</v>
      </c>
      <c r="I71" s="67">
        <f t="shared" si="3"/>
        <v>0.12817889998199836</v>
      </c>
      <c r="J71" s="67">
        <f t="shared" si="4"/>
        <v>9.2940189128608158E-3</v>
      </c>
      <c r="K71" s="100">
        <f t="shared" si="6"/>
        <v>6.1960126085738769E-3</v>
      </c>
      <c r="O71" s="96">
        <f>Amnt_Deposited!B66</f>
        <v>2052</v>
      </c>
      <c r="P71" s="99">
        <f>Amnt_Deposited!H66</f>
        <v>0</v>
      </c>
      <c r="Q71" s="284">
        <f>MCF!R70</f>
        <v>1</v>
      </c>
      <c r="R71" s="67">
        <f t="shared" si="13"/>
        <v>0</v>
      </c>
      <c r="S71" s="67">
        <f t="shared" si="7"/>
        <v>0</v>
      </c>
      <c r="T71" s="67">
        <f t="shared" si="8"/>
        <v>0</v>
      </c>
      <c r="U71" s="67">
        <f t="shared" si="9"/>
        <v>0.14047002737753242</v>
      </c>
      <c r="V71" s="67">
        <f t="shared" si="10"/>
        <v>1.0185226205874864E-2</v>
      </c>
      <c r="W71" s="100">
        <f t="shared" si="11"/>
        <v>6.7901508039165757E-3</v>
      </c>
    </row>
    <row r="72" spans="2:23">
      <c r="B72" s="96">
        <f>Amnt_Deposited!B67</f>
        <v>2053</v>
      </c>
      <c r="C72" s="99">
        <f>Amnt_Deposited!H67</f>
        <v>0</v>
      </c>
      <c r="D72" s="418">
        <f>Dry_Matter_Content!H59</f>
        <v>0.73</v>
      </c>
      <c r="E72" s="284">
        <f>MCF!R71</f>
        <v>1</v>
      </c>
      <c r="F72" s="67">
        <f t="shared" si="12"/>
        <v>0</v>
      </c>
      <c r="G72" s="67">
        <f t="shared" si="1"/>
        <v>0</v>
      </c>
      <c r="H72" s="67">
        <f t="shared" si="2"/>
        <v>0</v>
      </c>
      <c r="I72" s="67">
        <f t="shared" si="3"/>
        <v>0.11951321418555794</v>
      </c>
      <c r="J72" s="67">
        <f t="shared" si="4"/>
        <v>8.6656857964404251E-3</v>
      </c>
      <c r="K72" s="100">
        <f t="shared" si="6"/>
        <v>5.7771238642936162E-3</v>
      </c>
      <c r="O72" s="96">
        <f>Amnt_Deposited!B67</f>
        <v>2053</v>
      </c>
      <c r="P72" s="99">
        <f>Amnt_Deposited!H67</f>
        <v>0</v>
      </c>
      <c r="Q72" s="284">
        <f>MCF!R71</f>
        <v>1</v>
      </c>
      <c r="R72" s="67">
        <f t="shared" si="13"/>
        <v>0</v>
      </c>
      <c r="S72" s="67">
        <f t="shared" si="7"/>
        <v>0</v>
      </c>
      <c r="T72" s="67">
        <f t="shared" si="8"/>
        <v>0</v>
      </c>
      <c r="U72" s="67">
        <f t="shared" si="9"/>
        <v>0.13097338540883058</v>
      </c>
      <c r="V72" s="67">
        <f t="shared" si="10"/>
        <v>9.4966419687018341E-3</v>
      </c>
      <c r="W72" s="100">
        <f t="shared" si="11"/>
        <v>6.3310946458012222E-3</v>
      </c>
    </row>
    <row r="73" spans="2:23">
      <c r="B73" s="96">
        <f>Amnt_Deposited!B68</f>
        <v>2054</v>
      </c>
      <c r="C73" s="99">
        <f>Amnt_Deposited!H68</f>
        <v>0</v>
      </c>
      <c r="D73" s="418">
        <f>Dry_Matter_Content!H60</f>
        <v>0.73</v>
      </c>
      <c r="E73" s="284">
        <f>MCF!R72</f>
        <v>1</v>
      </c>
      <c r="F73" s="67">
        <f t="shared" si="12"/>
        <v>0</v>
      </c>
      <c r="G73" s="67">
        <f t="shared" si="1"/>
        <v>0</v>
      </c>
      <c r="H73" s="67">
        <f t="shared" si="2"/>
        <v>0</v>
      </c>
      <c r="I73" s="67">
        <f t="shared" si="3"/>
        <v>0.11143338230371012</v>
      </c>
      <c r="J73" s="67">
        <f t="shared" si="4"/>
        <v>8.0798318818478074E-3</v>
      </c>
      <c r="K73" s="100">
        <f t="shared" si="6"/>
        <v>5.386554587898538E-3</v>
      </c>
      <c r="O73" s="96">
        <f>Amnt_Deposited!B68</f>
        <v>2054</v>
      </c>
      <c r="P73" s="99">
        <f>Amnt_Deposited!H68</f>
        <v>0</v>
      </c>
      <c r="Q73" s="284">
        <f>MCF!R72</f>
        <v>1</v>
      </c>
      <c r="R73" s="67">
        <f t="shared" si="13"/>
        <v>0</v>
      </c>
      <c r="S73" s="67">
        <f t="shared" si="7"/>
        <v>0</v>
      </c>
      <c r="T73" s="67">
        <f t="shared" si="8"/>
        <v>0</v>
      </c>
      <c r="U73" s="67">
        <f t="shared" si="9"/>
        <v>0.12211877512735353</v>
      </c>
      <c r="V73" s="67">
        <f t="shared" si="10"/>
        <v>8.8546102814770471E-3</v>
      </c>
      <c r="W73" s="100">
        <f t="shared" si="11"/>
        <v>5.9030735209846981E-3</v>
      </c>
    </row>
    <row r="74" spans="2:23">
      <c r="B74" s="96">
        <f>Amnt_Deposited!B69</f>
        <v>2055</v>
      </c>
      <c r="C74" s="99">
        <f>Amnt_Deposited!H69</f>
        <v>0</v>
      </c>
      <c r="D74" s="418">
        <f>Dry_Matter_Content!H61</f>
        <v>0.73</v>
      </c>
      <c r="E74" s="284">
        <f>MCF!R73</f>
        <v>1</v>
      </c>
      <c r="F74" s="67">
        <f t="shared" si="12"/>
        <v>0</v>
      </c>
      <c r="G74" s="67">
        <f t="shared" si="1"/>
        <v>0</v>
      </c>
      <c r="H74" s="67">
        <f t="shared" si="2"/>
        <v>0</v>
      </c>
      <c r="I74" s="67">
        <f t="shared" si="3"/>
        <v>0.10389979699119618</v>
      </c>
      <c r="J74" s="67">
        <f t="shared" si="4"/>
        <v>7.5335853125139433E-3</v>
      </c>
      <c r="K74" s="100">
        <f t="shared" si="6"/>
        <v>5.0223902083426286E-3</v>
      </c>
      <c r="O74" s="96">
        <f>Amnt_Deposited!B69</f>
        <v>2055</v>
      </c>
      <c r="P74" s="99">
        <f>Amnt_Deposited!H69</f>
        <v>0</v>
      </c>
      <c r="Q74" s="284">
        <f>MCF!R73</f>
        <v>1</v>
      </c>
      <c r="R74" s="67">
        <f t="shared" si="13"/>
        <v>0</v>
      </c>
      <c r="S74" s="67">
        <f t="shared" si="7"/>
        <v>0</v>
      </c>
      <c r="T74" s="67">
        <f t="shared" si="8"/>
        <v>0</v>
      </c>
      <c r="U74" s="67">
        <f t="shared" si="9"/>
        <v>0.11386279122322866</v>
      </c>
      <c r="V74" s="67">
        <f t="shared" si="10"/>
        <v>8.2559839041248667E-3</v>
      </c>
      <c r="W74" s="100">
        <f t="shared" si="11"/>
        <v>5.5039892694165775E-3</v>
      </c>
    </row>
    <row r="75" spans="2:23">
      <c r="B75" s="96">
        <f>Amnt_Deposited!B70</f>
        <v>2056</v>
      </c>
      <c r="C75" s="99">
        <f>Amnt_Deposited!H70</f>
        <v>0</v>
      </c>
      <c r="D75" s="418">
        <f>Dry_Matter_Content!H62</f>
        <v>0.73</v>
      </c>
      <c r="E75" s="284">
        <f>MCF!R74</f>
        <v>1</v>
      </c>
      <c r="F75" s="67">
        <f t="shared" si="12"/>
        <v>0</v>
      </c>
      <c r="G75" s="67">
        <f t="shared" si="1"/>
        <v>0</v>
      </c>
      <c r="H75" s="67">
        <f t="shared" si="2"/>
        <v>0</v>
      </c>
      <c r="I75" s="67">
        <f t="shared" si="3"/>
        <v>9.687552860407396E-2</v>
      </c>
      <c r="J75" s="67">
        <f t="shared" si="4"/>
        <v>7.0242683871222225E-3</v>
      </c>
      <c r="K75" s="100">
        <f t="shared" si="6"/>
        <v>4.6828455914148144E-3</v>
      </c>
      <c r="O75" s="96">
        <f>Amnt_Deposited!B70</f>
        <v>2056</v>
      </c>
      <c r="P75" s="99">
        <f>Amnt_Deposited!H70</f>
        <v>0</v>
      </c>
      <c r="Q75" s="284">
        <f>MCF!R74</f>
        <v>1</v>
      </c>
      <c r="R75" s="67">
        <f t="shared" si="13"/>
        <v>0</v>
      </c>
      <c r="S75" s="67">
        <f t="shared" si="7"/>
        <v>0</v>
      </c>
      <c r="T75" s="67">
        <f t="shared" si="8"/>
        <v>0</v>
      </c>
      <c r="U75" s="67">
        <f t="shared" si="9"/>
        <v>0.10616496285377966</v>
      </c>
      <c r="V75" s="67">
        <f t="shared" si="10"/>
        <v>7.697828369449009E-3</v>
      </c>
      <c r="W75" s="100">
        <f t="shared" si="11"/>
        <v>5.1318855796326727E-3</v>
      </c>
    </row>
    <row r="76" spans="2:23">
      <c r="B76" s="96">
        <f>Amnt_Deposited!B71</f>
        <v>2057</v>
      </c>
      <c r="C76" s="99">
        <f>Amnt_Deposited!H71</f>
        <v>0</v>
      </c>
      <c r="D76" s="418">
        <f>Dry_Matter_Content!H63</f>
        <v>0.73</v>
      </c>
      <c r="E76" s="284">
        <f>MCF!R75</f>
        <v>1</v>
      </c>
      <c r="F76" s="67">
        <f t="shared" si="12"/>
        <v>0</v>
      </c>
      <c r="G76" s="67">
        <f t="shared" si="1"/>
        <v>0</v>
      </c>
      <c r="H76" s="67">
        <f t="shared" si="2"/>
        <v>0</v>
      </c>
      <c r="I76" s="67">
        <f t="shared" si="3"/>
        <v>9.032614417056048E-2</v>
      </c>
      <c r="J76" s="67">
        <f t="shared" si="4"/>
        <v>6.5493844335134839E-3</v>
      </c>
      <c r="K76" s="100">
        <f t="shared" si="6"/>
        <v>4.3662562890089893E-3</v>
      </c>
      <c r="O76" s="96">
        <f>Amnt_Deposited!B71</f>
        <v>2057</v>
      </c>
      <c r="P76" s="99">
        <f>Amnt_Deposited!H71</f>
        <v>0</v>
      </c>
      <c r="Q76" s="284">
        <f>MCF!R75</f>
        <v>1</v>
      </c>
      <c r="R76" s="67">
        <f t="shared" si="13"/>
        <v>0</v>
      </c>
      <c r="S76" s="67">
        <f t="shared" si="7"/>
        <v>0</v>
      </c>
      <c r="T76" s="67">
        <f t="shared" si="8"/>
        <v>0</v>
      </c>
      <c r="U76" s="67">
        <f t="shared" si="9"/>
        <v>9.8987555255408727E-2</v>
      </c>
      <c r="V76" s="67">
        <f t="shared" si="10"/>
        <v>7.1774075983709398E-3</v>
      </c>
      <c r="W76" s="100">
        <f t="shared" si="11"/>
        <v>4.7849383989139599E-3</v>
      </c>
    </row>
    <row r="77" spans="2:23">
      <c r="B77" s="96">
        <f>Amnt_Deposited!B72</f>
        <v>2058</v>
      </c>
      <c r="C77" s="99">
        <f>Amnt_Deposited!H72</f>
        <v>0</v>
      </c>
      <c r="D77" s="418">
        <f>Dry_Matter_Content!H64</f>
        <v>0.73</v>
      </c>
      <c r="E77" s="284">
        <f>MCF!R76</f>
        <v>1</v>
      </c>
      <c r="F77" s="67">
        <f t="shared" si="12"/>
        <v>0</v>
      </c>
      <c r="G77" s="67">
        <f t="shared" si="1"/>
        <v>0</v>
      </c>
      <c r="H77" s="67">
        <f t="shared" si="2"/>
        <v>0</v>
      </c>
      <c r="I77" s="67">
        <f t="shared" si="3"/>
        <v>8.4219538600564289E-2</v>
      </c>
      <c r="J77" s="67">
        <f t="shared" si="4"/>
        <v>6.1066055699961919E-3</v>
      </c>
      <c r="K77" s="100">
        <f t="shared" si="6"/>
        <v>4.071070379997461E-3</v>
      </c>
      <c r="O77" s="96">
        <f>Amnt_Deposited!B72</f>
        <v>2058</v>
      </c>
      <c r="P77" s="99">
        <f>Amnt_Deposited!H72</f>
        <v>0</v>
      </c>
      <c r="Q77" s="284">
        <f>MCF!R76</f>
        <v>1</v>
      </c>
      <c r="R77" s="67">
        <f t="shared" si="13"/>
        <v>0</v>
      </c>
      <c r="S77" s="67">
        <f t="shared" si="7"/>
        <v>0</v>
      </c>
      <c r="T77" s="67">
        <f t="shared" si="8"/>
        <v>0</v>
      </c>
      <c r="U77" s="67">
        <f t="shared" si="9"/>
        <v>9.229538476774167E-2</v>
      </c>
      <c r="V77" s="67">
        <f t="shared" si="10"/>
        <v>6.6921704876670585E-3</v>
      </c>
      <c r="W77" s="100">
        <f t="shared" si="11"/>
        <v>4.461446991778039E-3</v>
      </c>
    </row>
    <row r="78" spans="2:23">
      <c r="B78" s="96">
        <f>Amnt_Deposited!B73</f>
        <v>2059</v>
      </c>
      <c r="C78" s="99">
        <f>Amnt_Deposited!H73</f>
        <v>0</v>
      </c>
      <c r="D78" s="418">
        <f>Dry_Matter_Content!H65</f>
        <v>0.73</v>
      </c>
      <c r="E78" s="284">
        <f>MCF!R77</f>
        <v>1</v>
      </c>
      <c r="F78" s="67">
        <f t="shared" si="12"/>
        <v>0</v>
      </c>
      <c r="G78" s="67">
        <f t="shared" si="1"/>
        <v>0</v>
      </c>
      <c r="H78" s="67">
        <f t="shared" si="2"/>
        <v>0</v>
      </c>
      <c r="I78" s="67">
        <f t="shared" si="3"/>
        <v>7.8525777306496597E-2</v>
      </c>
      <c r="J78" s="67">
        <f t="shared" si="4"/>
        <v>5.6937612940676906E-3</v>
      </c>
      <c r="K78" s="100">
        <f t="shared" si="6"/>
        <v>3.7958408627117935E-3</v>
      </c>
      <c r="O78" s="96">
        <f>Amnt_Deposited!B73</f>
        <v>2059</v>
      </c>
      <c r="P78" s="99">
        <f>Amnt_Deposited!H73</f>
        <v>0</v>
      </c>
      <c r="Q78" s="284">
        <f>MCF!R77</f>
        <v>1</v>
      </c>
      <c r="R78" s="67">
        <f t="shared" si="13"/>
        <v>0</v>
      </c>
      <c r="S78" s="67">
        <f t="shared" si="7"/>
        <v>0</v>
      </c>
      <c r="T78" s="67">
        <f t="shared" si="8"/>
        <v>0</v>
      </c>
      <c r="U78" s="67">
        <f t="shared" si="9"/>
        <v>8.605564636328393E-2</v>
      </c>
      <c r="V78" s="67">
        <f t="shared" si="10"/>
        <v>6.2397384044577415E-3</v>
      </c>
      <c r="W78" s="100">
        <f t="shared" si="11"/>
        <v>4.1598256029718277E-3</v>
      </c>
    </row>
    <row r="79" spans="2:23">
      <c r="B79" s="96">
        <f>Amnt_Deposited!B74</f>
        <v>2060</v>
      </c>
      <c r="C79" s="99">
        <f>Amnt_Deposited!H74</f>
        <v>0</v>
      </c>
      <c r="D79" s="418">
        <f>Dry_Matter_Content!H66</f>
        <v>0.73</v>
      </c>
      <c r="E79" s="284">
        <f>MCF!R78</f>
        <v>1</v>
      </c>
      <c r="F79" s="67">
        <f t="shared" si="12"/>
        <v>0</v>
      </c>
      <c r="G79" s="67">
        <f t="shared" si="1"/>
        <v>0</v>
      </c>
      <c r="H79" s="67">
        <f t="shared" si="2"/>
        <v>0</v>
      </c>
      <c r="I79" s="67">
        <f t="shared" si="3"/>
        <v>7.3216949463888181E-2</v>
      </c>
      <c r="J79" s="67">
        <f t="shared" si="4"/>
        <v>5.3088278426084087E-3</v>
      </c>
      <c r="K79" s="100">
        <f t="shared" si="6"/>
        <v>3.539218561738939E-3</v>
      </c>
      <c r="O79" s="96">
        <f>Amnt_Deposited!B74</f>
        <v>2060</v>
      </c>
      <c r="P79" s="99">
        <f>Amnt_Deposited!H74</f>
        <v>0</v>
      </c>
      <c r="Q79" s="284">
        <f>MCF!R78</f>
        <v>1</v>
      </c>
      <c r="R79" s="67">
        <f t="shared" si="13"/>
        <v>0</v>
      </c>
      <c r="S79" s="67">
        <f t="shared" si="7"/>
        <v>0</v>
      </c>
      <c r="T79" s="67">
        <f t="shared" si="8"/>
        <v>0</v>
      </c>
      <c r="U79" s="67">
        <f t="shared" si="9"/>
        <v>8.023775283713773E-2</v>
      </c>
      <c r="V79" s="67">
        <f t="shared" si="10"/>
        <v>5.8178935261462006E-3</v>
      </c>
      <c r="W79" s="100">
        <f t="shared" si="11"/>
        <v>3.8785956840974669E-3</v>
      </c>
    </row>
    <row r="80" spans="2:23">
      <c r="B80" s="96">
        <f>Amnt_Deposited!B75</f>
        <v>2061</v>
      </c>
      <c r="C80" s="99">
        <f>Amnt_Deposited!H75</f>
        <v>0</v>
      </c>
      <c r="D80" s="418">
        <f>Dry_Matter_Content!H67</f>
        <v>0.73</v>
      </c>
      <c r="E80" s="284">
        <f>MCF!R79</f>
        <v>1</v>
      </c>
      <c r="F80" s="67">
        <f t="shared" si="12"/>
        <v>0</v>
      </c>
      <c r="G80" s="67">
        <f t="shared" si="1"/>
        <v>0</v>
      </c>
      <c r="H80" s="67">
        <f t="shared" si="2"/>
        <v>0</v>
      </c>
      <c r="I80" s="67">
        <f t="shared" si="3"/>
        <v>6.826703119249547E-2</v>
      </c>
      <c r="J80" s="67">
        <f t="shared" si="4"/>
        <v>4.949918271392708E-3</v>
      </c>
      <c r="K80" s="100">
        <f t="shared" si="6"/>
        <v>3.2999455142618053E-3</v>
      </c>
      <c r="O80" s="96">
        <f>Amnt_Deposited!B75</f>
        <v>2061</v>
      </c>
      <c r="P80" s="99">
        <f>Amnt_Deposited!H75</f>
        <v>0</v>
      </c>
      <c r="Q80" s="284">
        <f>MCF!R79</f>
        <v>1</v>
      </c>
      <c r="R80" s="67">
        <f t="shared" si="13"/>
        <v>0</v>
      </c>
      <c r="S80" s="67">
        <f t="shared" si="7"/>
        <v>0</v>
      </c>
      <c r="T80" s="67">
        <f t="shared" si="8"/>
        <v>0</v>
      </c>
      <c r="U80" s="67">
        <f t="shared" si="9"/>
        <v>7.4813184868488189E-2</v>
      </c>
      <c r="V80" s="67">
        <f t="shared" si="10"/>
        <v>5.4245679686495433E-3</v>
      </c>
      <c r="W80" s="100">
        <f t="shared" si="11"/>
        <v>3.6163786457663622E-3</v>
      </c>
    </row>
    <row r="81" spans="2:23">
      <c r="B81" s="96">
        <f>Amnt_Deposited!B76</f>
        <v>2062</v>
      </c>
      <c r="C81" s="99">
        <f>Amnt_Deposited!H76</f>
        <v>0</v>
      </c>
      <c r="D81" s="418">
        <f>Dry_Matter_Content!H68</f>
        <v>0.73</v>
      </c>
      <c r="E81" s="284">
        <f>MCF!R80</f>
        <v>1</v>
      </c>
      <c r="F81" s="67">
        <f t="shared" si="12"/>
        <v>0</v>
      </c>
      <c r="G81" s="67">
        <f t="shared" si="1"/>
        <v>0</v>
      </c>
      <c r="H81" s="67">
        <f t="shared" si="2"/>
        <v>0</v>
      </c>
      <c r="I81" s="67">
        <f t="shared" si="3"/>
        <v>6.3651757987209373E-2</v>
      </c>
      <c r="J81" s="67">
        <f t="shared" si="4"/>
        <v>4.6152732052860959E-3</v>
      </c>
      <c r="K81" s="100">
        <f t="shared" si="6"/>
        <v>3.0768488035240638E-3</v>
      </c>
      <c r="O81" s="96">
        <f>Amnt_Deposited!B76</f>
        <v>2062</v>
      </c>
      <c r="P81" s="99">
        <f>Amnt_Deposited!H76</f>
        <v>0</v>
      </c>
      <c r="Q81" s="284">
        <f>MCF!R80</f>
        <v>1</v>
      </c>
      <c r="R81" s="67">
        <f t="shared" si="13"/>
        <v>0</v>
      </c>
      <c r="S81" s="67">
        <f t="shared" si="7"/>
        <v>0</v>
      </c>
      <c r="T81" s="67">
        <f t="shared" si="8"/>
        <v>0</v>
      </c>
      <c r="U81" s="67">
        <f t="shared" si="9"/>
        <v>6.975535121885959E-2</v>
      </c>
      <c r="V81" s="67">
        <f t="shared" si="10"/>
        <v>5.0578336496285977E-3</v>
      </c>
      <c r="W81" s="100">
        <f t="shared" si="11"/>
        <v>3.3718890997523985E-3</v>
      </c>
    </row>
    <row r="82" spans="2:23">
      <c r="B82" s="96">
        <f>Amnt_Deposited!B77</f>
        <v>2063</v>
      </c>
      <c r="C82" s="99">
        <f>Amnt_Deposited!H77</f>
        <v>0</v>
      </c>
      <c r="D82" s="418">
        <f>Dry_Matter_Content!H69</f>
        <v>0.73</v>
      </c>
      <c r="E82" s="284">
        <f>MCF!R81</f>
        <v>1</v>
      </c>
      <c r="F82" s="67">
        <f t="shared" si="12"/>
        <v>0</v>
      </c>
      <c r="G82" s="67">
        <f t="shared" si="1"/>
        <v>0</v>
      </c>
      <c r="H82" s="67">
        <f t="shared" si="2"/>
        <v>0</v>
      </c>
      <c r="I82" s="67">
        <f t="shared" si="3"/>
        <v>5.9348505773423099E-2</v>
      </c>
      <c r="J82" s="67">
        <f t="shared" si="4"/>
        <v>4.3032522137862721E-3</v>
      </c>
      <c r="K82" s="100">
        <f t="shared" si="6"/>
        <v>2.8688348091908478E-3</v>
      </c>
      <c r="O82" s="96">
        <f>Amnt_Deposited!B77</f>
        <v>2063</v>
      </c>
      <c r="P82" s="99">
        <f>Amnt_Deposited!H77</f>
        <v>0</v>
      </c>
      <c r="Q82" s="284">
        <f>MCF!R81</f>
        <v>1</v>
      </c>
      <c r="R82" s="67">
        <f t="shared" si="13"/>
        <v>0</v>
      </c>
      <c r="S82" s="67">
        <f t="shared" si="7"/>
        <v>0</v>
      </c>
      <c r="T82" s="67">
        <f t="shared" si="8"/>
        <v>0</v>
      </c>
      <c r="U82" s="67">
        <f t="shared" si="9"/>
        <v>6.5039458381833531E-2</v>
      </c>
      <c r="V82" s="67">
        <f t="shared" si="10"/>
        <v>4.7158928370260519E-3</v>
      </c>
      <c r="W82" s="100">
        <f t="shared" si="11"/>
        <v>3.1439285580173678E-3</v>
      </c>
    </row>
    <row r="83" spans="2:23">
      <c r="B83" s="96">
        <f>Amnt_Deposited!B78</f>
        <v>2064</v>
      </c>
      <c r="C83" s="99">
        <f>Amnt_Deposited!H78</f>
        <v>0</v>
      </c>
      <c r="D83" s="418">
        <f>Dry_Matter_Content!H70</f>
        <v>0.73</v>
      </c>
      <c r="E83" s="284">
        <f>MCF!R82</f>
        <v>1</v>
      </c>
      <c r="F83" s="67">
        <f t="shared" ref="F83:F99" si="14">C83*D83*$K$6*DOCF*E83</f>
        <v>0</v>
      </c>
      <c r="G83" s="67">
        <f t="shared" ref="G83:G99" si="15">F83*$K$12</f>
        <v>0</v>
      </c>
      <c r="H83" s="67">
        <f t="shared" ref="H83:H99" si="16">F83*(1-$K$12)</f>
        <v>0</v>
      </c>
      <c r="I83" s="67">
        <f t="shared" ref="I83:I99" si="17">G83+I82*$K$10</f>
        <v>5.5336180003792187E-2</v>
      </c>
      <c r="J83" s="67">
        <f t="shared" ref="J83:J99" si="18">I82*(1-$K$10)+H83</f>
        <v>4.0123257696309108E-3</v>
      </c>
      <c r="K83" s="100">
        <f t="shared" si="6"/>
        <v>2.6748838464206071E-3</v>
      </c>
      <c r="O83" s="96">
        <f>Amnt_Deposited!B78</f>
        <v>2064</v>
      </c>
      <c r="P83" s="99">
        <f>Amnt_Deposited!H78</f>
        <v>0</v>
      </c>
      <c r="Q83" s="284">
        <f>MCF!R82</f>
        <v>1</v>
      </c>
      <c r="R83" s="67">
        <f t="shared" ref="R83:R99" si="19">P83*$W$6*DOCF*Q83</f>
        <v>0</v>
      </c>
      <c r="S83" s="67">
        <f t="shared" si="7"/>
        <v>0</v>
      </c>
      <c r="T83" s="67">
        <f t="shared" si="8"/>
        <v>0</v>
      </c>
      <c r="U83" s="67">
        <f t="shared" si="9"/>
        <v>6.064238904525171E-2</v>
      </c>
      <c r="V83" s="67">
        <f t="shared" si="10"/>
        <v>4.3970693365818197E-3</v>
      </c>
      <c r="W83" s="100">
        <f t="shared" si="11"/>
        <v>2.931379557721213E-3</v>
      </c>
    </row>
    <row r="84" spans="2:23">
      <c r="B84" s="96">
        <f>Amnt_Deposited!B79</f>
        <v>2065</v>
      </c>
      <c r="C84" s="99">
        <f>Amnt_Deposited!H79</f>
        <v>0</v>
      </c>
      <c r="D84" s="418">
        <f>Dry_Matter_Content!H71</f>
        <v>0.73</v>
      </c>
      <c r="E84" s="284">
        <f>MCF!R83</f>
        <v>1</v>
      </c>
      <c r="F84" s="67">
        <f t="shared" si="14"/>
        <v>0</v>
      </c>
      <c r="G84" s="67">
        <f t="shared" si="15"/>
        <v>0</v>
      </c>
      <c r="H84" s="67">
        <f t="shared" si="16"/>
        <v>0</v>
      </c>
      <c r="I84" s="67">
        <f t="shared" si="17"/>
        <v>5.1595112252738946E-2</v>
      </c>
      <c r="J84" s="67">
        <f t="shared" si="18"/>
        <v>3.7410677510532385E-3</v>
      </c>
      <c r="K84" s="100">
        <f t="shared" si="6"/>
        <v>2.4940451673688257E-3</v>
      </c>
      <c r="O84" s="96">
        <f>Amnt_Deposited!B79</f>
        <v>2065</v>
      </c>
      <c r="P84" s="99">
        <f>Amnt_Deposited!H79</f>
        <v>0</v>
      </c>
      <c r="Q84" s="284">
        <f>MCF!R83</f>
        <v>1</v>
      </c>
      <c r="R84" s="67">
        <f t="shared" si="19"/>
        <v>0</v>
      </c>
      <c r="S84" s="67">
        <f t="shared" si="7"/>
        <v>0</v>
      </c>
      <c r="T84" s="67">
        <f t="shared" si="8"/>
        <v>0</v>
      </c>
      <c r="U84" s="67">
        <f t="shared" si="9"/>
        <v>5.6542588770124871E-2</v>
      </c>
      <c r="V84" s="67">
        <f t="shared" si="10"/>
        <v>4.0998002751268369E-3</v>
      </c>
      <c r="W84" s="100">
        <f t="shared" si="11"/>
        <v>2.733200183417891E-3</v>
      </c>
    </row>
    <row r="85" spans="2:23">
      <c r="B85" s="96">
        <f>Amnt_Deposited!B80</f>
        <v>2066</v>
      </c>
      <c r="C85" s="99">
        <f>Amnt_Deposited!H80</f>
        <v>0</v>
      </c>
      <c r="D85" s="418">
        <f>Dry_Matter_Content!H72</f>
        <v>0.73</v>
      </c>
      <c r="E85" s="284">
        <f>MCF!R84</f>
        <v>1</v>
      </c>
      <c r="F85" s="67">
        <f t="shared" si="14"/>
        <v>0</v>
      </c>
      <c r="G85" s="67">
        <f t="shared" si="15"/>
        <v>0</v>
      </c>
      <c r="H85" s="67">
        <f t="shared" si="16"/>
        <v>0</v>
      </c>
      <c r="I85" s="67">
        <f t="shared" si="17"/>
        <v>4.8106963801807463E-2</v>
      </c>
      <c r="J85" s="67">
        <f t="shared" si="18"/>
        <v>3.4881484509314839E-3</v>
      </c>
      <c r="K85" s="100">
        <f t="shared" ref="K85:K99" si="20">J85*CH4_fraction*conv</f>
        <v>2.3254323006209891E-3</v>
      </c>
      <c r="O85" s="96">
        <f>Amnt_Deposited!B80</f>
        <v>2066</v>
      </c>
      <c r="P85" s="99">
        <f>Amnt_Deposited!H80</f>
        <v>0</v>
      </c>
      <c r="Q85" s="284">
        <f>MCF!R84</f>
        <v>1</v>
      </c>
      <c r="R85" s="67">
        <f t="shared" si="19"/>
        <v>0</v>
      </c>
      <c r="S85" s="67">
        <f t="shared" ref="S85:S98" si="21">R85*$W$12</f>
        <v>0</v>
      </c>
      <c r="T85" s="67">
        <f t="shared" ref="T85:T98" si="22">R85*(1-$W$12)</f>
        <v>0</v>
      </c>
      <c r="U85" s="67">
        <f t="shared" ref="U85:U98" si="23">S85+U84*$W$10</f>
        <v>5.2719960330747904E-2</v>
      </c>
      <c r="V85" s="67">
        <f t="shared" ref="V85:V98" si="24">U84*(1-$W$10)+T85</f>
        <v>3.8226284393769686E-3</v>
      </c>
      <c r="W85" s="100">
        <f t="shared" ref="W85:W99" si="25">V85*CH4_fraction*conv</f>
        <v>2.5484189595846455E-3</v>
      </c>
    </row>
    <row r="86" spans="2:23">
      <c r="B86" s="96">
        <f>Amnt_Deposited!B81</f>
        <v>2067</v>
      </c>
      <c r="C86" s="99">
        <f>Amnt_Deposited!H81</f>
        <v>0</v>
      </c>
      <c r="D86" s="418">
        <f>Dry_Matter_Content!H73</f>
        <v>0.73</v>
      </c>
      <c r="E86" s="284">
        <f>MCF!R85</f>
        <v>1</v>
      </c>
      <c r="F86" s="67">
        <f t="shared" si="14"/>
        <v>0</v>
      </c>
      <c r="G86" s="67">
        <f t="shared" si="15"/>
        <v>0</v>
      </c>
      <c r="H86" s="67">
        <f t="shared" si="16"/>
        <v>0</v>
      </c>
      <c r="I86" s="67">
        <f t="shared" si="17"/>
        <v>4.4854635743244442E-2</v>
      </c>
      <c r="J86" s="67">
        <f t="shared" si="18"/>
        <v>3.2523280585630226E-3</v>
      </c>
      <c r="K86" s="100">
        <f t="shared" si="20"/>
        <v>2.1682187057086816E-3</v>
      </c>
      <c r="O86" s="96">
        <f>Amnt_Deposited!B81</f>
        <v>2067</v>
      </c>
      <c r="P86" s="99">
        <f>Amnt_Deposited!H81</f>
        <v>0</v>
      </c>
      <c r="Q86" s="284">
        <f>MCF!R85</f>
        <v>1</v>
      </c>
      <c r="R86" s="67">
        <f t="shared" si="19"/>
        <v>0</v>
      </c>
      <c r="S86" s="67">
        <f t="shared" si="21"/>
        <v>0</v>
      </c>
      <c r="T86" s="67">
        <f t="shared" si="22"/>
        <v>0</v>
      </c>
      <c r="U86" s="67">
        <f t="shared" si="23"/>
        <v>4.9155765198076101E-2</v>
      </c>
      <c r="V86" s="67">
        <f t="shared" si="24"/>
        <v>3.5641951326718059E-3</v>
      </c>
      <c r="W86" s="100">
        <f t="shared" si="25"/>
        <v>2.3761300884478703E-3</v>
      </c>
    </row>
    <row r="87" spans="2:23">
      <c r="B87" s="96">
        <f>Amnt_Deposited!B82</f>
        <v>2068</v>
      </c>
      <c r="C87" s="99">
        <f>Amnt_Deposited!H82</f>
        <v>0</v>
      </c>
      <c r="D87" s="418">
        <f>Dry_Matter_Content!H74</f>
        <v>0.73</v>
      </c>
      <c r="E87" s="284">
        <f>MCF!R86</f>
        <v>1</v>
      </c>
      <c r="F87" s="67">
        <f t="shared" si="14"/>
        <v>0</v>
      </c>
      <c r="G87" s="67">
        <f t="shared" si="15"/>
        <v>0</v>
      </c>
      <c r="H87" s="67">
        <f t="shared" si="16"/>
        <v>0</v>
      </c>
      <c r="I87" s="67">
        <f t="shared" si="17"/>
        <v>4.182218516113357E-2</v>
      </c>
      <c r="J87" s="67">
        <f t="shared" si="18"/>
        <v>3.0324505821108733E-3</v>
      </c>
      <c r="K87" s="100">
        <f t="shared" si="20"/>
        <v>2.0216337214072487E-3</v>
      </c>
      <c r="O87" s="96">
        <f>Amnt_Deposited!B82</f>
        <v>2068</v>
      </c>
      <c r="P87" s="99">
        <f>Amnt_Deposited!H82</f>
        <v>0</v>
      </c>
      <c r="Q87" s="284">
        <f>MCF!R86</f>
        <v>1</v>
      </c>
      <c r="R87" s="67">
        <f t="shared" si="19"/>
        <v>0</v>
      </c>
      <c r="S87" s="67">
        <f t="shared" si="21"/>
        <v>0</v>
      </c>
      <c r="T87" s="67">
        <f t="shared" si="22"/>
        <v>0</v>
      </c>
      <c r="U87" s="67">
        <f t="shared" si="23"/>
        <v>4.5832531683434048E-2</v>
      </c>
      <c r="V87" s="67">
        <f t="shared" si="24"/>
        <v>3.323233514642053E-3</v>
      </c>
      <c r="W87" s="100">
        <f t="shared" si="25"/>
        <v>2.2154890097613685E-3</v>
      </c>
    </row>
    <row r="88" spans="2:23">
      <c r="B88" s="96">
        <f>Amnt_Deposited!B83</f>
        <v>2069</v>
      </c>
      <c r="C88" s="99">
        <f>Amnt_Deposited!H83</f>
        <v>0</v>
      </c>
      <c r="D88" s="418">
        <f>Dry_Matter_Content!H75</f>
        <v>0.73</v>
      </c>
      <c r="E88" s="284">
        <f>MCF!R87</f>
        <v>1</v>
      </c>
      <c r="F88" s="67">
        <f t="shared" si="14"/>
        <v>0</v>
      </c>
      <c r="G88" s="67">
        <f t="shared" si="15"/>
        <v>0</v>
      </c>
      <c r="H88" s="67">
        <f t="shared" si="16"/>
        <v>0</v>
      </c>
      <c r="I88" s="67">
        <f t="shared" si="17"/>
        <v>3.8994746979203194E-2</v>
      </c>
      <c r="J88" s="67">
        <f t="shared" si="18"/>
        <v>2.8274381819303738E-3</v>
      </c>
      <c r="K88" s="100">
        <f t="shared" si="20"/>
        <v>1.8849587879535825E-3</v>
      </c>
      <c r="O88" s="96">
        <f>Amnt_Deposited!B83</f>
        <v>2069</v>
      </c>
      <c r="P88" s="99">
        <f>Amnt_Deposited!H83</f>
        <v>0</v>
      </c>
      <c r="Q88" s="284">
        <f>MCF!R87</f>
        <v>1</v>
      </c>
      <c r="R88" s="67">
        <f t="shared" si="19"/>
        <v>0</v>
      </c>
      <c r="S88" s="67">
        <f t="shared" si="21"/>
        <v>0</v>
      </c>
      <c r="T88" s="67">
        <f t="shared" si="22"/>
        <v>0</v>
      </c>
      <c r="U88" s="67">
        <f t="shared" si="23"/>
        <v>4.2733969292277477E-2</v>
      </c>
      <c r="V88" s="67">
        <f t="shared" si="24"/>
        <v>3.0985623911565742E-3</v>
      </c>
      <c r="W88" s="100">
        <f t="shared" si="25"/>
        <v>2.0657082607710492E-3</v>
      </c>
    </row>
    <row r="89" spans="2:23">
      <c r="B89" s="96">
        <f>Amnt_Deposited!B84</f>
        <v>2070</v>
      </c>
      <c r="C89" s="99">
        <f>Amnt_Deposited!H84</f>
        <v>0</v>
      </c>
      <c r="D89" s="418">
        <f>Dry_Matter_Content!H76</f>
        <v>0.73</v>
      </c>
      <c r="E89" s="284">
        <f>MCF!R88</f>
        <v>1</v>
      </c>
      <c r="F89" s="67">
        <f t="shared" si="14"/>
        <v>0</v>
      </c>
      <c r="G89" s="67">
        <f t="shared" si="15"/>
        <v>0</v>
      </c>
      <c r="H89" s="67">
        <f t="shared" si="16"/>
        <v>0</v>
      </c>
      <c r="I89" s="67">
        <f t="shared" si="17"/>
        <v>3.6358461092205203E-2</v>
      </c>
      <c r="J89" s="67">
        <f t="shared" si="18"/>
        <v>2.6362858869979906E-3</v>
      </c>
      <c r="K89" s="100">
        <f t="shared" si="20"/>
        <v>1.7575239246653269E-3</v>
      </c>
      <c r="O89" s="96">
        <f>Amnt_Deposited!B84</f>
        <v>2070</v>
      </c>
      <c r="P89" s="99">
        <f>Amnt_Deposited!H84</f>
        <v>0</v>
      </c>
      <c r="Q89" s="284">
        <f>MCF!R88</f>
        <v>1</v>
      </c>
      <c r="R89" s="67">
        <f t="shared" si="19"/>
        <v>0</v>
      </c>
      <c r="S89" s="67">
        <f t="shared" si="21"/>
        <v>0</v>
      </c>
      <c r="T89" s="67">
        <f t="shared" si="22"/>
        <v>0</v>
      </c>
      <c r="U89" s="67">
        <f t="shared" si="23"/>
        <v>3.9844888868170086E-2</v>
      </c>
      <c r="V89" s="67">
        <f t="shared" si="24"/>
        <v>2.8890804241073873E-3</v>
      </c>
      <c r="W89" s="100">
        <f t="shared" si="25"/>
        <v>1.9260536160715914E-3</v>
      </c>
    </row>
    <row r="90" spans="2:23">
      <c r="B90" s="96">
        <f>Amnt_Deposited!B85</f>
        <v>2071</v>
      </c>
      <c r="C90" s="99">
        <f>Amnt_Deposited!H85</f>
        <v>0</v>
      </c>
      <c r="D90" s="418">
        <f>Dry_Matter_Content!H77</f>
        <v>0.73</v>
      </c>
      <c r="E90" s="284">
        <f>MCF!R89</f>
        <v>1</v>
      </c>
      <c r="F90" s="67">
        <f t="shared" si="14"/>
        <v>0</v>
      </c>
      <c r="G90" s="67">
        <f t="shared" si="15"/>
        <v>0</v>
      </c>
      <c r="H90" s="67">
        <f t="shared" si="16"/>
        <v>0</v>
      </c>
      <c r="I90" s="67">
        <f t="shared" si="17"/>
        <v>3.3900404423663003E-2</v>
      </c>
      <c r="J90" s="67">
        <f t="shared" si="18"/>
        <v>2.4580566685421974E-3</v>
      </c>
      <c r="K90" s="100">
        <f t="shared" si="20"/>
        <v>1.6387044456947983E-3</v>
      </c>
      <c r="O90" s="96">
        <f>Amnt_Deposited!B85</f>
        <v>2071</v>
      </c>
      <c r="P90" s="99">
        <f>Amnt_Deposited!H85</f>
        <v>0</v>
      </c>
      <c r="Q90" s="284">
        <f>MCF!R89</f>
        <v>1</v>
      </c>
      <c r="R90" s="67">
        <f t="shared" si="19"/>
        <v>0</v>
      </c>
      <c r="S90" s="67">
        <f t="shared" si="21"/>
        <v>0</v>
      </c>
      <c r="T90" s="67">
        <f t="shared" si="22"/>
        <v>0</v>
      </c>
      <c r="U90" s="67">
        <f t="shared" si="23"/>
        <v>3.71511281355211E-2</v>
      </c>
      <c r="V90" s="67">
        <f t="shared" si="24"/>
        <v>2.6937607326489839E-3</v>
      </c>
      <c r="W90" s="100">
        <f t="shared" si="25"/>
        <v>1.7958404884326558E-3</v>
      </c>
    </row>
    <row r="91" spans="2:23">
      <c r="B91" s="96">
        <f>Amnt_Deposited!B86</f>
        <v>2072</v>
      </c>
      <c r="C91" s="99">
        <f>Amnt_Deposited!H86</f>
        <v>0</v>
      </c>
      <c r="D91" s="418">
        <f>Dry_Matter_Content!H78</f>
        <v>0.73</v>
      </c>
      <c r="E91" s="284">
        <f>MCF!R90</f>
        <v>1</v>
      </c>
      <c r="F91" s="67">
        <f t="shared" si="14"/>
        <v>0</v>
      </c>
      <c r="G91" s="67">
        <f t="shared" si="15"/>
        <v>0</v>
      </c>
      <c r="H91" s="67">
        <f t="shared" si="16"/>
        <v>0</v>
      </c>
      <c r="I91" s="67">
        <f t="shared" si="17"/>
        <v>3.1608527576935656E-2</v>
      </c>
      <c r="J91" s="67">
        <f t="shared" si="18"/>
        <v>2.2918768467273488E-3</v>
      </c>
      <c r="K91" s="100">
        <f t="shared" si="20"/>
        <v>1.5279178978182325E-3</v>
      </c>
      <c r="O91" s="96">
        <f>Amnt_Deposited!B86</f>
        <v>2072</v>
      </c>
      <c r="P91" s="99">
        <f>Amnt_Deposited!H86</f>
        <v>0</v>
      </c>
      <c r="Q91" s="284">
        <f>MCF!R90</f>
        <v>1</v>
      </c>
      <c r="R91" s="67">
        <f t="shared" si="19"/>
        <v>0</v>
      </c>
      <c r="S91" s="67">
        <f t="shared" si="21"/>
        <v>0</v>
      </c>
      <c r="T91" s="67">
        <f t="shared" si="22"/>
        <v>0</v>
      </c>
      <c r="U91" s="67">
        <f t="shared" si="23"/>
        <v>3.4639482276093869E-2</v>
      </c>
      <c r="V91" s="67">
        <f t="shared" si="24"/>
        <v>2.5116458594272315E-3</v>
      </c>
      <c r="W91" s="100">
        <f t="shared" si="25"/>
        <v>1.6744305729514877E-3</v>
      </c>
    </row>
    <row r="92" spans="2:23">
      <c r="B92" s="96">
        <f>Amnt_Deposited!B87</f>
        <v>2073</v>
      </c>
      <c r="C92" s="99">
        <f>Amnt_Deposited!H87</f>
        <v>0</v>
      </c>
      <c r="D92" s="418">
        <f>Dry_Matter_Content!H79</f>
        <v>0.73</v>
      </c>
      <c r="E92" s="284">
        <f>MCF!R91</f>
        <v>1</v>
      </c>
      <c r="F92" s="67">
        <f t="shared" si="14"/>
        <v>0</v>
      </c>
      <c r="G92" s="67">
        <f t="shared" si="15"/>
        <v>0</v>
      </c>
      <c r="H92" s="67">
        <f t="shared" si="16"/>
        <v>0</v>
      </c>
      <c r="I92" s="67">
        <f t="shared" si="17"/>
        <v>2.9471595769061543E-2</v>
      </c>
      <c r="J92" s="67">
        <f t="shared" si="18"/>
        <v>2.1369318078741126E-3</v>
      </c>
      <c r="K92" s="100">
        <f t="shared" si="20"/>
        <v>1.4246212052494082E-3</v>
      </c>
      <c r="O92" s="96">
        <f>Amnt_Deposited!B87</f>
        <v>2073</v>
      </c>
      <c r="P92" s="99">
        <f>Amnt_Deposited!H87</f>
        <v>0</v>
      </c>
      <c r="Q92" s="284">
        <f>MCF!R91</f>
        <v>1</v>
      </c>
      <c r="R92" s="67">
        <f t="shared" si="19"/>
        <v>0</v>
      </c>
      <c r="S92" s="67">
        <f t="shared" si="21"/>
        <v>0</v>
      </c>
      <c r="T92" s="67">
        <f t="shared" si="22"/>
        <v>0</v>
      </c>
      <c r="U92" s="67">
        <f t="shared" si="23"/>
        <v>3.2297639198971557E-2</v>
      </c>
      <c r="V92" s="67">
        <f t="shared" si="24"/>
        <v>2.3418430771223147E-3</v>
      </c>
      <c r="W92" s="100">
        <f t="shared" si="25"/>
        <v>1.561228718081543E-3</v>
      </c>
    </row>
    <row r="93" spans="2:23">
      <c r="B93" s="96">
        <f>Amnt_Deposited!B88</f>
        <v>2074</v>
      </c>
      <c r="C93" s="99">
        <f>Amnt_Deposited!H88</f>
        <v>0</v>
      </c>
      <c r="D93" s="418">
        <f>Dry_Matter_Content!H80</f>
        <v>0.73</v>
      </c>
      <c r="E93" s="284">
        <f>MCF!R92</f>
        <v>1</v>
      </c>
      <c r="F93" s="67">
        <f t="shared" si="14"/>
        <v>0</v>
      </c>
      <c r="G93" s="67">
        <f t="shared" si="15"/>
        <v>0</v>
      </c>
      <c r="H93" s="67">
        <f t="shared" si="16"/>
        <v>0</v>
      </c>
      <c r="I93" s="67">
        <f t="shared" si="17"/>
        <v>2.7479133757839277E-2</v>
      </c>
      <c r="J93" s="67">
        <f t="shared" si="18"/>
        <v>1.9924620112222674E-3</v>
      </c>
      <c r="K93" s="100">
        <f t="shared" si="20"/>
        <v>1.3283080074815116E-3</v>
      </c>
      <c r="O93" s="96">
        <f>Amnt_Deposited!B88</f>
        <v>2074</v>
      </c>
      <c r="P93" s="99">
        <f>Amnt_Deposited!H88</f>
        <v>0</v>
      </c>
      <c r="Q93" s="284">
        <f>MCF!R92</f>
        <v>1</v>
      </c>
      <c r="R93" s="67">
        <f t="shared" si="19"/>
        <v>0</v>
      </c>
      <c r="S93" s="67">
        <f t="shared" si="21"/>
        <v>0</v>
      </c>
      <c r="T93" s="67">
        <f t="shared" si="22"/>
        <v>0</v>
      </c>
      <c r="U93" s="67">
        <f t="shared" si="23"/>
        <v>3.0114119186673182E-2</v>
      </c>
      <c r="V93" s="67">
        <f t="shared" si="24"/>
        <v>2.1835200122983759E-3</v>
      </c>
      <c r="W93" s="100">
        <f t="shared" si="25"/>
        <v>1.4556800081989172E-3</v>
      </c>
    </row>
    <row r="94" spans="2:23">
      <c r="B94" s="96">
        <f>Amnt_Deposited!B89</f>
        <v>2075</v>
      </c>
      <c r="C94" s="99">
        <f>Amnt_Deposited!H89</f>
        <v>0</v>
      </c>
      <c r="D94" s="418">
        <f>Dry_Matter_Content!H81</f>
        <v>0.73</v>
      </c>
      <c r="E94" s="284">
        <f>MCF!R93</f>
        <v>1</v>
      </c>
      <c r="F94" s="67">
        <f t="shared" si="14"/>
        <v>0</v>
      </c>
      <c r="G94" s="67">
        <f t="shared" si="15"/>
        <v>0</v>
      </c>
      <c r="H94" s="67">
        <f t="shared" si="16"/>
        <v>0</v>
      </c>
      <c r="I94" s="67">
        <f t="shared" si="17"/>
        <v>2.5621374492178259E-2</v>
      </c>
      <c r="J94" s="67">
        <f t="shared" si="18"/>
        <v>1.8577592656610186E-3</v>
      </c>
      <c r="K94" s="100">
        <f t="shared" si="20"/>
        <v>1.2385061771073456E-3</v>
      </c>
      <c r="O94" s="96">
        <f>Amnt_Deposited!B89</f>
        <v>2075</v>
      </c>
      <c r="P94" s="99">
        <f>Amnt_Deposited!H89</f>
        <v>0</v>
      </c>
      <c r="Q94" s="284">
        <f>MCF!R93</f>
        <v>1</v>
      </c>
      <c r="R94" s="67">
        <f t="shared" si="19"/>
        <v>0</v>
      </c>
      <c r="S94" s="67">
        <f t="shared" si="21"/>
        <v>0</v>
      </c>
      <c r="T94" s="67">
        <f t="shared" si="22"/>
        <v>0</v>
      </c>
      <c r="U94" s="67">
        <f t="shared" si="23"/>
        <v>2.8078218621565218E-2</v>
      </c>
      <c r="V94" s="67">
        <f t="shared" si="24"/>
        <v>2.0359005651079658E-3</v>
      </c>
      <c r="W94" s="100">
        <f t="shared" si="25"/>
        <v>1.3572670434053105E-3</v>
      </c>
    </row>
    <row r="95" spans="2:23">
      <c r="B95" s="96">
        <f>Amnt_Deposited!B90</f>
        <v>2076</v>
      </c>
      <c r="C95" s="99">
        <f>Amnt_Deposited!H90</f>
        <v>0</v>
      </c>
      <c r="D95" s="418">
        <f>Dry_Matter_Content!H82</f>
        <v>0.73</v>
      </c>
      <c r="E95" s="284">
        <f>MCF!R94</f>
        <v>1</v>
      </c>
      <c r="F95" s="67">
        <f t="shared" si="14"/>
        <v>0</v>
      </c>
      <c r="G95" s="67">
        <f t="shared" si="15"/>
        <v>0</v>
      </c>
      <c r="H95" s="67">
        <f t="shared" si="16"/>
        <v>0</v>
      </c>
      <c r="I95" s="67">
        <f t="shared" si="17"/>
        <v>2.3889211234002911E-2</v>
      </c>
      <c r="J95" s="67">
        <f t="shared" si="18"/>
        <v>1.7321632581753464E-3</v>
      </c>
      <c r="K95" s="100">
        <f t="shared" si="20"/>
        <v>1.154775505450231E-3</v>
      </c>
      <c r="O95" s="96">
        <f>Amnt_Deposited!B90</f>
        <v>2076</v>
      </c>
      <c r="P95" s="99">
        <f>Amnt_Deposited!H90</f>
        <v>0</v>
      </c>
      <c r="Q95" s="284">
        <f>MCF!R94</f>
        <v>1</v>
      </c>
      <c r="R95" s="67">
        <f t="shared" si="19"/>
        <v>0</v>
      </c>
      <c r="S95" s="67">
        <f t="shared" si="21"/>
        <v>0</v>
      </c>
      <c r="T95" s="67">
        <f t="shared" si="22"/>
        <v>0</v>
      </c>
      <c r="U95" s="67">
        <f t="shared" si="23"/>
        <v>2.6179957516715521E-2</v>
      </c>
      <c r="V95" s="67">
        <f t="shared" si="24"/>
        <v>1.8982611048496949E-3</v>
      </c>
      <c r="W95" s="100">
        <f t="shared" si="25"/>
        <v>1.26550740323313E-3</v>
      </c>
    </row>
    <row r="96" spans="2:23">
      <c r="B96" s="96">
        <f>Amnt_Deposited!B91</f>
        <v>2077</v>
      </c>
      <c r="C96" s="99">
        <f>Amnt_Deposited!H91</f>
        <v>0</v>
      </c>
      <c r="D96" s="418">
        <f>Dry_Matter_Content!H83</f>
        <v>0.73</v>
      </c>
      <c r="E96" s="284">
        <f>MCF!R95</f>
        <v>1</v>
      </c>
      <c r="F96" s="67">
        <f t="shared" si="14"/>
        <v>0</v>
      </c>
      <c r="G96" s="67">
        <f t="shared" si="15"/>
        <v>0</v>
      </c>
      <c r="H96" s="67">
        <f t="shared" si="16"/>
        <v>0</v>
      </c>
      <c r="I96" s="67">
        <f t="shared" si="17"/>
        <v>2.2274152917012065E-2</v>
      </c>
      <c r="J96" s="67">
        <f t="shared" si="18"/>
        <v>1.6150583169908445E-3</v>
      </c>
      <c r="K96" s="100">
        <f t="shared" si="20"/>
        <v>1.076705544660563E-3</v>
      </c>
      <c r="O96" s="96">
        <f>Amnt_Deposited!B91</f>
        <v>2077</v>
      </c>
      <c r="P96" s="99">
        <f>Amnt_Deposited!H91</f>
        <v>0</v>
      </c>
      <c r="Q96" s="284">
        <f>MCF!R95</f>
        <v>1</v>
      </c>
      <c r="R96" s="67">
        <f t="shared" si="19"/>
        <v>0</v>
      </c>
      <c r="S96" s="67">
        <f t="shared" si="21"/>
        <v>0</v>
      </c>
      <c r="T96" s="67">
        <f t="shared" si="22"/>
        <v>0</v>
      </c>
      <c r="U96" s="67">
        <f t="shared" si="23"/>
        <v>2.4410030593985829E-2</v>
      </c>
      <c r="V96" s="67">
        <f t="shared" si="24"/>
        <v>1.7699269227296928E-3</v>
      </c>
      <c r="W96" s="100">
        <f t="shared" si="25"/>
        <v>1.1799512818197952E-3</v>
      </c>
    </row>
    <row r="97" spans="2:23">
      <c r="B97" s="96">
        <f>Amnt_Deposited!B92</f>
        <v>2078</v>
      </c>
      <c r="C97" s="99">
        <f>Amnt_Deposited!H92</f>
        <v>0</v>
      </c>
      <c r="D97" s="418">
        <f>Dry_Matter_Content!H84</f>
        <v>0.73</v>
      </c>
      <c r="E97" s="284">
        <f>MCF!R96</f>
        <v>1</v>
      </c>
      <c r="F97" s="67">
        <f t="shared" si="14"/>
        <v>0</v>
      </c>
      <c r="G97" s="67">
        <f t="shared" si="15"/>
        <v>0</v>
      </c>
      <c r="H97" s="67">
        <f t="shared" si="16"/>
        <v>0</v>
      </c>
      <c r="I97" s="67">
        <f t="shared" si="17"/>
        <v>2.0768282523462099E-2</v>
      </c>
      <c r="J97" s="67">
        <f t="shared" si="18"/>
        <v>1.5058703935499653E-3</v>
      </c>
      <c r="K97" s="100">
        <f t="shared" si="20"/>
        <v>1.0039135956999767E-3</v>
      </c>
      <c r="O97" s="96">
        <f>Amnt_Deposited!B92</f>
        <v>2078</v>
      </c>
      <c r="P97" s="99">
        <f>Amnt_Deposited!H92</f>
        <v>0</v>
      </c>
      <c r="Q97" s="284">
        <f>MCF!R96</f>
        <v>1</v>
      </c>
      <c r="R97" s="67">
        <f t="shared" si="19"/>
        <v>0</v>
      </c>
      <c r="S97" s="67">
        <f t="shared" si="21"/>
        <v>0</v>
      </c>
      <c r="T97" s="67">
        <f t="shared" si="22"/>
        <v>0</v>
      </c>
      <c r="U97" s="67">
        <f t="shared" si="23"/>
        <v>2.2759761669547511E-2</v>
      </c>
      <c r="V97" s="67">
        <f t="shared" si="24"/>
        <v>1.6502689244383183E-3</v>
      </c>
      <c r="W97" s="100">
        <f t="shared" si="25"/>
        <v>1.1001792829588787E-3</v>
      </c>
    </row>
    <row r="98" spans="2:23">
      <c r="B98" s="96">
        <f>Amnt_Deposited!B93</f>
        <v>2079</v>
      </c>
      <c r="C98" s="99">
        <f>Amnt_Deposited!H93</f>
        <v>0</v>
      </c>
      <c r="D98" s="418">
        <f>Dry_Matter_Content!H85</f>
        <v>0.73</v>
      </c>
      <c r="E98" s="284">
        <f>MCF!R97</f>
        <v>1</v>
      </c>
      <c r="F98" s="67">
        <f t="shared" si="14"/>
        <v>0</v>
      </c>
      <c r="G98" s="67">
        <f t="shared" si="15"/>
        <v>0</v>
      </c>
      <c r="H98" s="67">
        <f t="shared" si="16"/>
        <v>0</v>
      </c>
      <c r="I98" s="67">
        <f t="shared" si="17"/>
        <v>1.9364218274936774E-2</v>
      </c>
      <c r="J98" s="67">
        <f t="shared" si="18"/>
        <v>1.4040642485253258E-3</v>
      </c>
      <c r="K98" s="100">
        <f t="shared" si="20"/>
        <v>9.3604283235021717E-4</v>
      </c>
      <c r="O98" s="96">
        <f>Amnt_Deposited!B93</f>
        <v>2079</v>
      </c>
      <c r="P98" s="99">
        <f>Amnt_Deposited!H93</f>
        <v>0</v>
      </c>
      <c r="Q98" s="284">
        <f>MCF!R97</f>
        <v>1</v>
      </c>
      <c r="R98" s="67">
        <f t="shared" si="19"/>
        <v>0</v>
      </c>
      <c r="S98" s="67">
        <f t="shared" si="21"/>
        <v>0</v>
      </c>
      <c r="T98" s="67">
        <f t="shared" si="22"/>
        <v>0</v>
      </c>
      <c r="U98" s="67">
        <f t="shared" si="23"/>
        <v>2.1221061123218386E-2</v>
      </c>
      <c r="V98" s="67">
        <f t="shared" si="24"/>
        <v>1.5387005463291244E-3</v>
      </c>
      <c r="W98" s="100">
        <f t="shared" si="25"/>
        <v>1.0258003642194162E-3</v>
      </c>
    </row>
    <row r="99" spans="2:23" ht="13.5" thickBot="1">
      <c r="B99" s="97">
        <f>Amnt_Deposited!B94</f>
        <v>2080</v>
      </c>
      <c r="C99" s="101">
        <f>Amnt_Deposited!H94</f>
        <v>0</v>
      </c>
      <c r="D99" s="419">
        <f>Dry_Matter_Content!H86</f>
        <v>0.73</v>
      </c>
      <c r="E99" s="285">
        <f>MCF!R98</f>
        <v>1</v>
      </c>
      <c r="F99" s="68">
        <f t="shared" si="14"/>
        <v>0</v>
      </c>
      <c r="G99" s="68">
        <f t="shared" si="15"/>
        <v>0</v>
      </c>
      <c r="H99" s="68">
        <f t="shared" si="16"/>
        <v>0</v>
      </c>
      <c r="I99" s="68">
        <f t="shared" si="17"/>
        <v>1.805507744686087E-2</v>
      </c>
      <c r="J99" s="68">
        <f t="shared" si="18"/>
        <v>1.3091408280759031E-3</v>
      </c>
      <c r="K99" s="102">
        <f t="shared" si="20"/>
        <v>8.7276055205060205E-4</v>
      </c>
      <c r="O99" s="97">
        <f>Amnt_Deposited!B94</f>
        <v>2080</v>
      </c>
      <c r="P99" s="101">
        <f>Amnt_Deposited!H94</f>
        <v>0</v>
      </c>
      <c r="Q99" s="285">
        <f>MCF!R98</f>
        <v>1</v>
      </c>
      <c r="R99" s="68">
        <f t="shared" si="19"/>
        <v>0</v>
      </c>
      <c r="S99" s="68">
        <f>R99*$W$12</f>
        <v>0</v>
      </c>
      <c r="T99" s="68">
        <f>R99*(1-$W$12)</f>
        <v>0</v>
      </c>
      <c r="U99" s="68">
        <f>S99+U98*$W$10</f>
        <v>1.9786386243135206E-2</v>
      </c>
      <c r="V99" s="68">
        <f>U98*(1-$W$10)+T99</f>
        <v>1.4346748800831818E-3</v>
      </c>
      <c r="W99" s="102">
        <f t="shared" si="25"/>
        <v>9.5644992005545452E-4</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0"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Parameters!O27</f>
        <v>0</v>
      </c>
      <c r="O6" s="230"/>
      <c r="P6" s="231"/>
      <c r="Q6" s="222"/>
      <c r="R6" s="108" t="s">
        <v>9</v>
      </c>
      <c r="S6" s="109"/>
      <c r="T6" s="109"/>
      <c r="U6" s="113"/>
      <c r="V6" s="120" t="s">
        <v>9</v>
      </c>
      <c r="W6" s="261">
        <f>Parameters!R27</f>
        <v>0.05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Parameters!O46</f>
        <v>0.4</v>
      </c>
      <c r="O8" s="47"/>
      <c r="P8" s="47"/>
      <c r="Q8" s="222"/>
      <c r="R8" s="108" t="s">
        <v>192</v>
      </c>
      <c r="S8" s="109"/>
      <c r="T8" s="109"/>
      <c r="U8" s="113"/>
      <c r="V8" s="120" t="s">
        <v>188</v>
      </c>
      <c r="W8" s="114">
        <f>Parameters!O46</f>
        <v>0.4</v>
      </c>
    </row>
    <row r="9" spans="1:23" ht="15.75">
      <c r="F9" s="247" t="s">
        <v>190</v>
      </c>
      <c r="G9" s="248"/>
      <c r="H9" s="248"/>
      <c r="I9" s="249"/>
      <c r="J9" s="250" t="s">
        <v>189</v>
      </c>
      <c r="K9" s="256">
        <f>LN(2)/$K$8</f>
        <v>1.732867951399863</v>
      </c>
      <c r="O9" s="47"/>
      <c r="P9" s="47"/>
      <c r="Q9" s="222"/>
      <c r="R9" s="247" t="s">
        <v>190</v>
      </c>
      <c r="S9" s="248"/>
      <c r="T9" s="248"/>
      <c r="U9" s="249"/>
      <c r="V9" s="250" t="s">
        <v>189</v>
      </c>
      <c r="W9" s="256">
        <f>LN(2)/$W$8</f>
        <v>1.732867951399863</v>
      </c>
    </row>
    <row r="10" spans="1:23">
      <c r="F10" s="110" t="s">
        <v>84</v>
      </c>
      <c r="G10" s="111"/>
      <c r="H10" s="111"/>
      <c r="I10" s="112"/>
      <c r="J10" s="121" t="s">
        <v>148</v>
      </c>
      <c r="K10" s="49">
        <f>EXP(-$K$8)</f>
        <v>0.67032004603563933</v>
      </c>
      <c r="O10" s="47"/>
      <c r="P10" s="47"/>
      <c r="Q10" s="222"/>
      <c r="R10" s="110" t="s">
        <v>84</v>
      </c>
      <c r="S10" s="111"/>
      <c r="T10" s="111"/>
      <c r="U10" s="112"/>
      <c r="V10" s="121" t="s">
        <v>148</v>
      </c>
      <c r="W10" s="49">
        <f>EXP(-$W$8)</f>
        <v>0.67032004603563933</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Amnt_Deposited!N14</f>
        <v>0</v>
      </c>
      <c r="D19" s="416">
        <f>Dry_Matter_Content!N6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Amnt_Deposited!N14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Amnt_Deposited!N15</f>
        <v>0</v>
      </c>
      <c r="D20" s="418">
        <f>Dry_Matter_Content!N7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Amnt_Deposited!N15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Amnt_Deposited!N16</f>
        <v>0</v>
      </c>
      <c r="D21" s="418">
        <f>Dry_Matter_Content!N8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Amnt_Deposited!N16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Amnt_Deposited!N17</f>
        <v>0</v>
      </c>
      <c r="D22" s="418">
        <f>Dry_Matter_Content!N9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Amnt_Deposited!N17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Amnt_Deposited!N18</f>
        <v>0</v>
      </c>
      <c r="D23" s="418">
        <f>Dry_Matter_Content!N10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Amnt_Deposited!N18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Amnt_Deposited!N19</f>
        <v>0</v>
      </c>
      <c r="D24" s="418">
        <f>Dry_Matter_Content!N11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Amnt_Deposited!N19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Amnt_Deposited!N20</f>
        <v>0</v>
      </c>
      <c r="D25" s="418">
        <f>Dry_Matter_Content!N12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Amnt_Deposited!N20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Amnt_Deposited!N21</f>
        <v>0</v>
      </c>
      <c r="D26" s="418">
        <f>Dry_Matter_Content!N13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Amnt_Deposited!N21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Amnt_Deposited!N22</f>
        <v>0</v>
      </c>
      <c r="D27" s="418">
        <f>Dry_Matter_Content!N14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Amnt_Deposited!N22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Amnt_Deposited!N23</f>
        <v>0</v>
      </c>
      <c r="D28" s="418">
        <f>Dry_Matter_Content!N15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Amnt_Deposited!N23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Amnt_Deposited!N24</f>
        <v>0</v>
      </c>
      <c r="D29" s="418">
        <f>Dry_Matter_Content!N16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Amnt_Deposited!N24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Amnt_Deposited!N25</f>
        <v>0</v>
      </c>
      <c r="D30" s="418">
        <f>Dry_Matter_Content!N17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Amnt_Deposited!N25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Amnt_Deposited!N26</f>
        <v>0</v>
      </c>
      <c r="D31" s="418">
        <f>Dry_Matter_Content!N18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Amnt_Deposited!N26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Amnt_Deposited!N27</f>
        <v>0</v>
      </c>
      <c r="D32" s="418">
        <f>Dry_Matter_Content!N19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Amnt_Deposited!N27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Amnt_Deposited!N28</f>
        <v>0</v>
      </c>
      <c r="D33" s="418">
        <f>Dry_Matter_Content!N20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Amnt_Deposited!N28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Amnt_Deposited!N29</f>
        <v>0</v>
      </c>
      <c r="D34" s="418">
        <f>Dry_Matter_Content!N21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Amnt_Deposited!N29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Amnt_Deposited!N30</f>
        <v>0</v>
      </c>
      <c r="D35" s="418">
        <f>Dry_Matter_Content!N22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Amnt_Deposited!N30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Amnt_Deposited!N31</f>
        <v>0</v>
      </c>
      <c r="D36" s="418">
        <f>Dry_Matter_Content!N23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Amnt_Deposited!N31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Amnt_Deposited!N32</f>
        <v>0</v>
      </c>
      <c r="D37" s="418">
        <f>Dry_Matter_Content!N24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Amnt_Deposited!N32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Amnt_Deposited!N33</f>
        <v>0</v>
      </c>
      <c r="D38" s="418">
        <f>Dry_Matter_Content!N25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Amnt_Deposited!N33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Amnt_Deposited!N34</f>
        <v>0</v>
      </c>
      <c r="D39" s="418">
        <f>Dry_Matter_Content!N26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Amnt_Deposited!N34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Amnt_Deposited!N35</f>
        <v>0</v>
      </c>
      <c r="D40" s="418">
        <f>Dry_Matter_Content!N27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Amnt_Deposited!N35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Amnt_Deposited!N36</f>
        <v>0</v>
      </c>
      <c r="D41" s="418">
        <f>Dry_Matter_Content!N28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Amnt_Deposited!N36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Amnt_Deposited!N37</f>
        <v>0</v>
      </c>
      <c r="D42" s="418">
        <f>Dry_Matter_Content!N29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Amnt_Deposited!N37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Amnt_Deposited!N38</f>
        <v>0</v>
      </c>
      <c r="D43" s="418">
        <f>Dry_Matter_Content!N30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Amnt_Deposited!N38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Amnt_Deposited!N39</f>
        <v>0</v>
      </c>
      <c r="D44" s="418">
        <f>Dry_Matter_Content!N31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Amnt_Deposited!N39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Amnt_Deposited!N40</f>
        <v>0</v>
      </c>
      <c r="D45" s="418">
        <f>Dry_Matter_Content!N32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Amnt_Deposited!N40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Amnt_Deposited!N41</f>
        <v>0</v>
      </c>
      <c r="D46" s="418">
        <f>Dry_Matter_Content!N33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Amnt_Deposited!N41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Amnt_Deposited!N42</f>
        <v>0</v>
      </c>
      <c r="D47" s="418">
        <f>Dry_Matter_Content!N34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Amnt_Deposited!N42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Amnt_Deposited!N43</f>
        <v>0</v>
      </c>
      <c r="D48" s="418">
        <f>Dry_Matter_Content!N35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Amnt_Deposited!N43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Amnt_Deposited!N44</f>
        <v>0</v>
      </c>
      <c r="D49" s="418">
        <f>Dry_Matter_Content!N36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Amnt_Deposited!N44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Amnt_Deposited!N45</f>
        <v>0</v>
      </c>
      <c r="D50" s="418">
        <f>Dry_Matter_Content!N37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Amnt_Deposited!N45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Amnt_Deposited!N46</f>
        <v>0</v>
      </c>
      <c r="D51" s="418">
        <f>Dry_Matter_Content!N38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Amnt_Deposited!N46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Amnt_Deposited!N47</f>
        <v>0</v>
      </c>
      <c r="D52" s="418">
        <f>Dry_Matter_Content!N39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Amnt_Deposited!N47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Amnt_Deposited!N48</f>
        <v>0</v>
      </c>
      <c r="D53" s="418">
        <f>Dry_Matter_Content!N40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Amnt_Deposited!N48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Amnt_Deposited!N49</f>
        <v>0</v>
      </c>
      <c r="D54" s="418">
        <f>Dry_Matter_Content!N41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Amnt_Deposited!N49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Amnt_Deposited!N50</f>
        <v>0</v>
      </c>
      <c r="D55" s="418">
        <f>Dry_Matter_Content!N42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Amnt_Deposited!N50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Amnt_Deposited!N51</f>
        <v>0</v>
      </c>
      <c r="D56" s="418">
        <f>Dry_Matter_Content!N43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Amnt_Deposited!N51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Amnt_Deposited!N52</f>
        <v>0</v>
      </c>
      <c r="D57" s="418">
        <f>Dry_Matter_Content!N44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Amnt_Deposited!N52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Amnt_Deposited!N53</f>
        <v>0</v>
      </c>
      <c r="D58" s="418">
        <f>Dry_Matter_Content!N45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Amnt_Deposited!N53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Amnt_Deposited!N54</f>
        <v>0</v>
      </c>
      <c r="D59" s="418">
        <f>Dry_Matter_Content!N46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Amnt_Deposited!N54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Amnt_Deposited!N55</f>
        <v>0</v>
      </c>
      <c r="D60" s="418">
        <f>Dry_Matter_Content!N47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Amnt_Deposited!N55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Amnt_Deposited!N56</f>
        <v>0</v>
      </c>
      <c r="D61" s="418">
        <f>Dry_Matter_Content!N48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Amnt_Deposited!N56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Amnt_Deposited!N57</f>
        <v>0</v>
      </c>
      <c r="D62" s="418">
        <f>Dry_Matter_Content!N49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Amnt_Deposited!N57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Amnt_Deposited!N58</f>
        <v>0</v>
      </c>
      <c r="D63" s="418">
        <f>Dry_Matter_Content!N50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Amnt_Deposited!N58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Amnt_Deposited!N59</f>
        <v>0</v>
      </c>
      <c r="D64" s="418">
        <f>Dry_Matter_Content!N51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Amnt_Deposited!N59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Amnt_Deposited!N60</f>
        <v>0</v>
      </c>
      <c r="D65" s="418">
        <f>Dry_Matter_Content!N52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Amnt_Deposited!N60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Amnt_Deposited!N61</f>
        <v>0</v>
      </c>
      <c r="D66" s="418">
        <f>Dry_Matter_Content!N53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Amnt_Deposited!N61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Amnt_Deposited!N62</f>
        <v>0</v>
      </c>
      <c r="D67" s="418">
        <f>Dry_Matter_Content!N54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Amnt_Deposited!N62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Amnt_Deposited!N63</f>
        <v>0</v>
      </c>
      <c r="D68" s="418">
        <f>Dry_Matter_Content!N55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Amnt_Deposited!N63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Amnt_Deposited!N64</f>
        <v>0</v>
      </c>
      <c r="D69" s="418">
        <f>Dry_Matter_Content!N56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Amnt_Deposited!N64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Amnt_Deposited!N65</f>
        <v>0</v>
      </c>
      <c r="D70" s="418">
        <f>Dry_Matter_Content!N57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Amnt_Deposited!N65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Amnt_Deposited!N66</f>
        <v>0</v>
      </c>
      <c r="D71" s="418">
        <f>Dry_Matter_Content!N58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Amnt_Deposited!N66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Amnt_Deposited!N67</f>
        <v>0</v>
      </c>
      <c r="D72" s="418">
        <f>Dry_Matter_Content!N59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Amnt_Deposited!N67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Amnt_Deposited!N68</f>
        <v>0</v>
      </c>
      <c r="D73" s="418">
        <f>Dry_Matter_Content!N60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Amnt_Deposited!N68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Amnt_Deposited!N69</f>
        <v>0</v>
      </c>
      <c r="D74" s="418">
        <f>Dry_Matter_Content!N61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Amnt_Deposited!N69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Amnt_Deposited!N70</f>
        <v>0</v>
      </c>
      <c r="D75" s="418">
        <f>Dry_Matter_Content!N62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Amnt_Deposited!N70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Amnt_Deposited!N71</f>
        <v>0</v>
      </c>
      <c r="D76" s="418">
        <f>Dry_Matter_Content!N63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Amnt_Deposited!N71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Amnt_Deposited!N72</f>
        <v>0</v>
      </c>
      <c r="D77" s="418">
        <f>Dry_Matter_Content!N64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Amnt_Deposited!N72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Amnt_Deposited!N73</f>
        <v>0</v>
      </c>
      <c r="D78" s="418">
        <f>Dry_Matter_Content!N65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Amnt_Deposited!N73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Amnt_Deposited!N74</f>
        <v>0</v>
      </c>
      <c r="D79" s="418">
        <f>Dry_Matter_Content!N66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Amnt_Deposited!N74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Amnt_Deposited!N75</f>
        <v>0</v>
      </c>
      <c r="D80" s="418">
        <f>Dry_Matter_Content!N67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Amnt_Deposited!N75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Amnt_Deposited!N76</f>
        <v>0</v>
      </c>
      <c r="D81" s="418">
        <f>Dry_Matter_Content!N68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Amnt_Deposited!N76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Amnt_Deposited!N77</f>
        <v>0</v>
      </c>
      <c r="D82" s="418">
        <f>Dry_Matter_Content!N69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Amnt_Deposited!N77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Amnt_Deposited!N78</f>
        <v>0</v>
      </c>
      <c r="D83" s="418">
        <f>Dry_Matter_Content!N70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Amnt_Deposited!N78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Amnt_Deposited!N79</f>
        <v>0</v>
      </c>
      <c r="D84" s="418">
        <f>Dry_Matter_Content!N71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Amnt_Deposited!N79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Amnt_Deposited!N80</f>
        <v>0</v>
      </c>
      <c r="D85" s="418">
        <f>Dry_Matter_Content!N72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Amnt_Deposited!N80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Amnt_Deposited!N81</f>
        <v>0</v>
      </c>
      <c r="D86" s="418">
        <f>Dry_Matter_Content!N73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Amnt_Deposited!N81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Amnt_Deposited!N82</f>
        <v>0</v>
      </c>
      <c r="D87" s="418">
        <f>Dry_Matter_Content!N74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Amnt_Deposited!N82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Amnt_Deposited!N83</f>
        <v>0</v>
      </c>
      <c r="D88" s="418">
        <f>Dry_Matter_Content!N75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Amnt_Deposited!N83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Amnt_Deposited!N84</f>
        <v>0</v>
      </c>
      <c r="D89" s="418">
        <f>Dry_Matter_Content!N76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Amnt_Deposited!N84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Amnt_Deposited!N85</f>
        <v>0</v>
      </c>
      <c r="D90" s="418">
        <f>Dry_Matter_Content!N77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Amnt_Deposited!N85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Amnt_Deposited!N86</f>
        <v>0</v>
      </c>
      <c r="D91" s="418">
        <f>Dry_Matter_Content!N78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Amnt_Deposited!N86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Amnt_Deposited!N87</f>
        <v>0</v>
      </c>
      <c r="D92" s="418">
        <f>Dry_Matter_Content!N79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Amnt_Deposited!N87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Amnt_Deposited!N88</f>
        <v>0</v>
      </c>
      <c r="D93" s="418">
        <f>Dry_Matter_Content!N80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Amnt_Deposited!N88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Amnt_Deposited!N89</f>
        <v>0</v>
      </c>
      <c r="D94" s="418">
        <f>Dry_Matter_Content!N81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Amnt_Deposited!N89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Amnt_Deposited!N90</f>
        <v>0</v>
      </c>
      <c r="D95" s="418">
        <f>Dry_Matter_Content!N82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Amnt_Deposited!N90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Amnt_Deposited!N91</f>
        <v>0</v>
      </c>
      <c r="D96" s="418">
        <f>Dry_Matter_Content!N83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Amnt_Deposited!N91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Amnt_Deposited!N92</f>
        <v>0</v>
      </c>
      <c r="D97" s="418">
        <f>Dry_Matter_Content!N84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Amnt_Deposited!N92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Amnt_Deposited!N93</f>
        <v>0</v>
      </c>
      <c r="D98" s="418">
        <f>Dry_Matter_Content!N85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Amnt_Deposited!N93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Amnt_Deposited!N94</f>
        <v>0</v>
      </c>
      <c r="D99" s="419">
        <f>Dry_Matter_Content!N86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Amnt_Deposited!N94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indexed="34"/>
    <pageSetUpPr fitToPage="1"/>
  </sheetPr>
  <dimension ref="A1:R117"/>
  <sheetViews>
    <sheetView showGridLines="0" zoomScalePageLayoutView="150" workbookViewId="0">
      <pane xSplit="2" ySplit="10" topLeftCell="C16" activePane="bottomRight" state="frozen"/>
      <selection pane="topRight"/>
      <selection pane="bottomLeft"/>
      <selection pane="bottomRight" activeCell="F20" sqref="F20"/>
    </sheetView>
  </sheetViews>
  <sheetFormatPr defaultColWidth="11.42578125" defaultRowHeight="12.75"/>
  <cols>
    <col min="1" max="1" width="2.7109375" customWidth="1"/>
    <col min="2" max="2" width="37.85546875" customWidth="1"/>
    <col min="3" max="5" width="10.42578125" customWidth="1"/>
    <col min="6" max="6" width="23.7109375" customWidth="1"/>
    <col min="7" max="7" width="3.42578125" customWidth="1"/>
    <col min="8" max="9" width="11.42578125" customWidth="1"/>
    <col min="10" max="10" width="10.42578125" customWidth="1"/>
    <col min="11" max="11" width="23.7109375" bestFit="1" customWidth="1"/>
    <col min="12" max="12" width="102.7109375" bestFit="1" customWidth="1"/>
    <col min="13" max="13" width="4" customWidth="1"/>
    <col min="14" max="14" width="21" customWidth="1"/>
    <col min="16" max="16" width="4.140625" customWidth="1"/>
    <col min="17" max="17" width="19.7109375" customWidth="1"/>
    <col min="18" max="18" width="10.85546875" customWidth="1"/>
  </cols>
  <sheetData>
    <row r="1" spans="1:18" ht="13.5" thickBot="1"/>
    <row r="2" spans="1:18" ht="16.5" thickBot="1">
      <c r="B2" s="12" t="s">
        <v>14</v>
      </c>
      <c r="C2" s="5" t="s">
        <v>265</v>
      </c>
      <c r="D2" s="792" t="s">
        <v>338</v>
      </c>
      <c r="E2" s="793"/>
      <c r="F2" s="794"/>
    </row>
    <row r="3" spans="1:18" ht="16.5" thickBot="1">
      <c r="B3" s="12"/>
      <c r="C3" s="5" t="s">
        <v>276</v>
      </c>
      <c r="D3" s="792" t="s">
        <v>337</v>
      </c>
      <c r="E3" s="793"/>
      <c r="F3" s="794"/>
    </row>
    <row r="4" spans="1:18" ht="16.5" thickBot="1">
      <c r="B4" s="12"/>
      <c r="C4" s="5" t="s">
        <v>30</v>
      </c>
      <c r="D4" s="792" t="s">
        <v>266</v>
      </c>
      <c r="E4" s="793"/>
      <c r="F4" s="794"/>
    </row>
    <row r="5" spans="1:18" ht="16.5" thickBot="1">
      <c r="B5" s="12"/>
      <c r="C5" s="5" t="s">
        <v>117</v>
      </c>
      <c r="D5" s="795"/>
      <c r="E5" s="796"/>
      <c r="F5" s="797"/>
    </row>
    <row r="6" spans="1:18">
      <c r="B6" s="13" t="s">
        <v>201</v>
      </c>
    </row>
    <row r="7" spans="1:18">
      <c r="B7" s="20" t="s">
        <v>31</v>
      </c>
    </row>
    <row r="8" spans="1:18" ht="13.5" thickBot="1">
      <c r="B8" s="20"/>
    </row>
    <row r="9" spans="1:18" ht="12.75" customHeight="1">
      <c r="A9" s="1"/>
      <c r="C9" s="798" t="s">
        <v>18</v>
      </c>
      <c r="D9" s="799"/>
      <c r="E9" s="805" t="s">
        <v>100</v>
      </c>
      <c r="F9" s="806"/>
      <c r="H9" s="798" t="s">
        <v>18</v>
      </c>
      <c r="I9" s="799"/>
      <c r="J9" s="805" t="s">
        <v>100</v>
      </c>
      <c r="K9" s="806"/>
    </row>
    <row r="10" spans="1:18" ht="13.5" thickBot="1">
      <c r="C10" s="123"/>
      <c r="D10" s="124"/>
      <c r="E10" s="242" t="s">
        <v>13</v>
      </c>
      <c r="F10" s="148" t="s">
        <v>19</v>
      </c>
      <c r="H10" s="123"/>
      <c r="I10" s="124"/>
      <c r="J10" s="242" t="s">
        <v>13</v>
      </c>
      <c r="K10" s="148" t="s">
        <v>19</v>
      </c>
      <c r="L10" s="359" t="s">
        <v>211</v>
      </c>
    </row>
    <row r="11" spans="1:18" ht="13.5" thickBot="1">
      <c r="B11" s="35" t="s">
        <v>90</v>
      </c>
      <c r="C11" s="125"/>
      <c r="D11" s="126">
        <v>1950</v>
      </c>
      <c r="E11" s="128">
        <v>2000</v>
      </c>
      <c r="F11" s="127"/>
      <c r="H11" s="125"/>
      <c r="I11" s="126">
        <f>D11</f>
        <v>1950</v>
      </c>
      <c r="J11" s="128">
        <f>year</f>
        <v>2000</v>
      </c>
      <c r="K11" s="127"/>
    </row>
    <row r="12" spans="1:18" ht="13.5" thickBot="1">
      <c r="B12" s="22"/>
      <c r="C12" s="803" t="s">
        <v>250</v>
      </c>
      <c r="D12" s="804"/>
      <c r="E12" s="803" t="s">
        <v>250</v>
      </c>
      <c r="F12" s="804"/>
      <c r="H12" s="803" t="s">
        <v>251</v>
      </c>
      <c r="I12" s="804"/>
      <c r="J12" s="803" t="s">
        <v>251</v>
      </c>
      <c r="K12" s="804"/>
      <c r="N12" t="s">
        <v>132</v>
      </c>
    </row>
    <row r="13" spans="1:18" ht="13.5" thickBot="1">
      <c r="B13" s="35" t="s">
        <v>131</v>
      </c>
      <c r="C13" s="295"/>
      <c r="D13" s="296"/>
      <c r="E13" s="297"/>
      <c r="F13" s="36"/>
      <c r="H13" s="295"/>
      <c r="I13" s="296"/>
      <c r="J13" s="297"/>
      <c r="K13" s="36"/>
    </row>
    <row r="14" spans="1:18" ht="13.5" thickBot="1">
      <c r="B14" s="35" t="s">
        <v>249</v>
      </c>
      <c r="C14" s="298" t="s">
        <v>113</v>
      </c>
      <c r="D14" s="299" t="s">
        <v>115</v>
      </c>
      <c r="E14" s="351"/>
      <c r="F14" s="151"/>
      <c r="H14" s="298" t="s">
        <v>113</v>
      </c>
      <c r="I14" s="299" t="s">
        <v>115</v>
      </c>
      <c r="J14" s="351"/>
      <c r="K14" s="151"/>
      <c r="N14" s="391" t="s">
        <v>252</v>
      </c>
      <c r="Q14" s="391" t="s">
        <v>253</v>
      </c>
    </row>
    <row r="15" spans="1:18">
      <c r="B15" s="8" t="str">
        <f>IF(Select2=1,"Food waste","Bulk MSW")</f>
        <v>Food waste</v>
      </c>
      <c r="C15" s="158" t="str">
        <f>INDEX(DOC_table,IF(Select2=1,1,14),2)</f>
        <v>0.20-0.50</v>
      </c>
      <c r="D15" s="776">
        <f>INDEX(DOC_table,IF(Select2=1,1,14),1)</f>
        <v>0.38</v>
      </c>
      <c r="E15" s="780">
        <f>D15</f>
        <v>0.38</v>
      </c>
      <c r="F15" s="778"/>
      <c r="H15" s="158" t="str">
        <f>INDEX(DOC_table,IF(Select2=1,1,14),4)</f>
        <v>0.08-0.20</v>
      </c>
      <c r="I15" s="32">
        <f>INDEX(DOC_table,IF(Select2=1,1,14),3)</f>
        <v>0.15</v>
      </c>
      <c r="J15" s="350">
        <f>I15</f>
        <v>0.15</v>
      </c>
      <c r="K15" s="132"/>
      <c r="L15" s="349" t="str">
        <f>IF(Select2=1,"May include garden waste provided that a suitable value of DOC is used","")</f>
        <v>May include garden waste provided that a suitable value of DOC is used</v>
      </c>
      <c r="N15" s="40" t="s">
        <v>6</v>
      </c>
      <c r="O15" s="40">
        <f>IF(Select2=1,E15,0)</f>
        <v>0.38</v>
      </c>
      <c r="Q15" s="40" t="s">
        <v>6</v>
      </c>
      <c r="R15" s="388">
        <f>IF(Select2=1,J15,0)</f>
        <v>0.15</v>
      </c>
    </row>
    <row r="16" spans="1:18">
      <c r="B16" s="8" t="str">
        <f>IF(Select2=1,"Paper/cardboard","Sewage sludge")</f>
        <v>Paper/cardboard</v>
      </c>
      <c r="C16" s="158" t="str">
        <f>INDEX(DOC_table,IF(Select2=1,2,13),2)</f>
        <v>0.40-0.50</v>
      </c>
      <c r="D16" s="776">
        <f>INDEX(DOC_table,IF(Select2=1,2,13),1)</f>
        <v>0.44</v>
      </c>
      <c r="E16" s="780">
        <f t="shared" ref="E16:E25" si="0">D16</f>
        <v>0.44</v>
      </c>
      <c r="F16" s="779"/>
      <c r="H16" s="158" t="str">
        <f>INDEX(DOC_table,IF(Select2=1,2,13),4)</f>
        <v>0.36-0.45</v>
      </c>
      <c r="I16" s="32">
        <f>INDEX(DOC_table,IF(Select2=1,2,13),3)</f>
        <v>0.4</v>
      </c>
      <c r="J16" s="259">
        <f>I16</f>
        <v>0.4</v>
      </c>
      <c r="K16" s="239"/>
      <c r="L16"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16" s="411" t="s">
        <v>262</v>
      </c>
      <c r="O16" s="2">
        <f>IF(Select2=1,E16,E63)</f>
        <v>0.44</v>
      </c>
      <c r="Q16" s="411" t="s">
        <v>262</v>
      </c>
      <c r="R16" s="389">
        <f>IF(Select2=1,J16,J63)</f>
        <v>0.4</v>
      </c>
    </row>
    <row r="17" spans="2:18">
      <c r="B17" s="2" t="str">
        <f>IF(Select2=1,"Garden and Park waste","Industrial waste")</f>
        <v>Garden and Park waste</v>
      </c>
      <c r="C17" s="158" t="str">
        <f>INDEX(DOC_table,IF(Select2=1,3,15),2)</f>
        <v>0.45-0.55</v>
      </c>
      <c r="D17" s="776">
        <f>INDEX(DOC_table,IF(Select2=1,3,15),1)</f>
        <v>0.49</v>
      </c>
      <c r="E17" s="780">
        <f t="shared" si="0"/>
        <v>0.49</v>
      </c>
      <c r="F17" s="779"/>
      <c r="H17" s="158" t="str">
        <f>INDEX(DOC_table,IF(Select2=1,3,15),4)</f>
        <v>0.18-0.22</v>
      </c>
      <c r="I17" s="32">
        <f>INDEX(DOC_table,IF(Select2=1,3,15),3)</f>
        <v>0.2</v>
      </c>
      <c r="J17" s="259">
        <f>I17</f>
        <v>0.2</v>
      </c>
      <c r="K17" s="239"/>
      <c r="L17" s="6"/>
      <c r="N17" s="410" t="s">
        <v>261</v>
      </c>
      <c r="O17" s="2">
        <f>IF(Select2=1,E17,E62)</f>
        <v>0.49</v>
      </c>
      <c r="Q17" s="410" t="s">
        <v>261</v>
      </c>
      <c r="R17" s="389">
        <f>IF(Select2=1,J17,J62)</f>
        <v>0.2</v>
      </c>
    </row>
    <row r="18" spans="2:18">
      <c r="B18" s="2" t="str">
        <f>IF(Select2=1,"Textiles","")</f>
        <v>Textiles</v>
      </c>
      <c r="C18" s="159" t="str">
        <f>IF(Select2=1,INDEX(DOC_table,4,2),"")</f>
        <v>0.25-0.50</v>
      </c>
      <c r="D18" s="276">
        <f>IF(Select2=1,INDEX(DOC_table,4,1),"")</f>
        <v>0.3</v>
      </c>
      <c r="E18" s="780">
        <f t="shared" si="0"/>
        <v>0.3</v>
      </c>
      <c r="F18" s="779"/>
      <c r="H18" s="159" t="str">
        <f>IF(Select2=1,INDEX(DOC_table,4,4),"")</f>
        <v>0.20-0.40</v>
      </c>
      <c r="I18" s="16">
        <f>IF(Select2=1,INDEX(DOC_table,4,3),"")</f>
        <v>0.24</v>
      </c>
      <c r="J18" s="259">
        <f>I18</f>
        <v>0.24</v>
      </c>
      <c r="K18" s="239"/>
      <c r="L18" s="6"/>
      <c r="N18" s="2" t="s">
        <v>16</v>
      </c>
      <c r="O18" s="2">
        <f>IF(Select2=1,E18,0)</f>
        <v>0.3</v>
      </c>
      <c r="Q18" s="2" t="s">
        <v>16</v>
      </c>
      <c r="R18" s="389">
        <f>IF(Select2=1,J18,0)</f>
        <v>0.24</v>
      </c>
    </row>
    <row r="19" spans="2:18">
      <c r="B19" s="2" t="str">
        <f>IF(Select2=1,"Rubber and Leather","")</f>
        <v>Rubber and Leather</v>
      </c>
      <c r="C19" s="159" t="str">
        <f>IF(Select2=1,INDEX(DOC_table,5,2),"")</f>
        <v>0.47</v>
      </c>
      <c r="D19" s="276">
        <f>IF(Select2=1,INDEX(DOC_table,5,1),"")</f>
        <v>0.47</v>
      </c>
      <c r="E19" s="780">
        <f t="shared" si="0"/>
        <v>0.47</v>
      </c>
      <c r="F19" s="779"/>
      <c r="H19" s="159" t="str">
        <f>IF(Select2=1,INDEX(DOC_table,5,4),"")</f>
        <v>0.39</v>
      </c>
      <c r="I19" s="16">
        <f>IF(Select2=1,INDEX(DOC_table,5,3),"")</f>
        <v>0.39</v>
      </c>
      <c r="J19" s="259">
        <f t="shared" ref="J19:J25" si="1">I19</f>
        <v>0.39</v>
      </c>
      <c r="K19" s="239"/>
      <c r="L19" s="349" t="str">
        <f>IF(Select2=1,"Natural textiles such as wool and cotton. The default DOC value assumes 40% of textiles are synthetic materials that do not contain DOC","")</f>
        <v>Natural textiles such as wool and cotton. The default DOC value assumes 40% of textiles are synthetic materials that do not contain DOC</v>
      </c>
      <c r="N19" s="2" t="s">
        <v>229</v>
      </c>
      <c r="O19" s="2">
        <f>IF(Select2=1,E19,0)</f>
        <v>0.47</v>
      </c>
      <c r="Q19" s="2" t="s">
        <v>229</v>
      </c>
      <c r="R19" s="389">
        <f>IF(Select2=1,J19,0)</f>
        <v>0.39</v>
      </c>
    </row>
    <row r="20" spans="2:18">
      <c r="B20" s="2" t="str">
        <f>IF(Select2=1,"Wood","")</f>
        <v>Wood</v>
      </c>
      <c r="C20" s="159" t="str">
        <f>IF(Select2=1,INDEX(DOC_table,6,2),"")</f>
        <v>0.46-0.54</v>
      </c>
      <c r="D20" s="276">
        <f>IF(Select2=1,INDEX(DOC_table,6,1),"")</f>
        <v>0.5</v>
      </c>
      <c r="E20" s="780">
        <f t="shared" si="0"/>
        <v>0.5</v>
      </c>
      <c r="F20" s="779"/>
      <c r="H20" s="159" t="str">
        <f>IF(Select2=1,INDEX(DOC_table,6,4),"")</f>
        <v>0.39-0.46</v>
      </c>
      <c r="I20" s="16">
        <f>IF(Select2=1,INDEX(DOC_table,6,3),"")</f>
        <v>0.43</v>
      </c>
      <c r="J20" s="259">
        <f t="shared" si="1"/>
        <v>0.43</v>
      </c>
      <c r="K20" s="239"/>
      <c r="L20" s="544"/>
      <c r="N20" s="409" t="s">
        <v>2</v>
      </c>
      <c r="O20" s="2">
        <f>IF(Select2=1,E20,E64)</f>
        <v>0.5</v>
      </c>
      <c r="Q20" s="409" t="s">
        <v>2</v>
      </c>
      <c r="R20" s="389">
        <f>IF(Select2=1,J20,J64)</f>
        <v>0.43</v>
      </c>
    </row>
    <row r="21" spans="2:18">
      <c r="B21" s="2" t="str">
        <f>IF(Select2=1,"Nappies","")</f>
        <v>Nappies</v>
      </c>
      <c r="C21" s="159" t="str">
        <f>IF(Select2=1,INDEX(DOC_table,7,2),"")</f>
        <v>0.44-0.80</v>
      </c>
      <c r="D21" s="276">
        <f>IF(Select2=1,INDEX(DOC_table,7,1),"")</f>
        <v>0.6</v>
      </c>
      <c r="E21" s="780">
        <f t="shared" si="0"/>
        <v>0.6</v>
      </c>
      <c r="F21" s="779"/>
      <c r="H21" s="159" t="str">
        <f>IF(Select2=1,INDEX(DOC_table,7,4),"")</f>
        <v>0.18-0.32</v>
      </c>
      <c r="I21" s="16">
        <f>IF(Select2=1,INDEX(DOC_table,7,3),"")</f>
        <v>0.24</v>
      </c>
      <c r="J21" s="259">
        <f t="shared" si="1"/>
        <v>0.24</v>
      </c>
      <c r="K21" s="239"/>
      <c r="L21" s="544"/>
      <c r="N21" s="409" t="s">
        <v>267</v>
      </c>
      <c r="O21" s="2">
        <f>IF(Select2=1,E21,0)</f>
        <v>0.6</v>
      </c>
      <c r="Q21" s="409" t="s">
        <v>267</v>
      </c>
      <c r="R21" s="389">
        <f>IF(Select2=1,J21,0)</f>
        <v>0.24</v>
      </c>
    </row>
    <row r="22" spans="2:18">
      <c r="B22" s="146" t="str">
        <f>IF(Select2=1,"Plastics","")</f>
        <v>Plastics</v>
      </c>
      <c r="C22" s="160">
        <f>IF(Select2=1,INDEX(DOC_table,9,2),"")</f>
        <v>0</v>
      </c>
      <c r="D22" s="777">
        <f>IF(Select2=1,INDEX(DOC_table,9,1),"")</f>
        <v>0</v>
      </c>
      <c r="E22" s="780">
        <f t="shared" si="0"/>
        <v>0</v>
      </c>
      <c r="F22" s="779"/>
      <c r="H22" s="160">
        <f>IF(Select2=1,INDEX(DOC_table,9,4),"")</f>
        <v>0</v>
      </c>
      <c r="I22" s="193">
        <f>IF(Select2=1,INDEX(DOC_table,9,3),"")</f>
        <v>0</v>
      </c>
      <c r="J22" s="259">
        <f t="shared" si="1"/>
        <v>0</v>
      </c>
      <c r="K22" s="239"/>
      <c r="L22" s="258"/>
      <c r="N22" s="146" t="s">
        <v>230</v>
      </c>
      <c r="O22" s="2">
        <f>IF(Select2=1,E22,0)</f>
        <v>0</v>
      </c>
      <c r="Q22" s="146" t="s">
        <v>230</v>
      </c>
      <c r="R22" s="389">
        <f>IF(Select2=1,J22,0)</f>
        <v>0</v>
      </c>
    </row>
    <row r="23" spans="2:18">
      <c r="B23" s="146" t="str">
        <f>IF(Select2=1,"Metal","")</f>
        <v>Metal</v>
      </c>
      <c r="C23" s="160">
        <f>IF(Select2=1,INDEX(DOC_table,10,2),"")</f>
        <v>0</v>
      </c>
      <c r="D23" s="777">
        <f>IF(Select2=1,INDEX(DOC_table,10,1),"")</f>
        <v>0</v>
      </c>
      <c r="E23" s="780">
        <f t="shared" si="0"/>
        <v>0</v>
      </c>
      <c r="F23" s="779"/>
      <c r="H23" s="160">
        <f>IF(Select2=1,INDEX(DOC_table,10,4),"")</f>
        <v>0</v>
      </c>
      <c r="I23" s="193">
        <f>IF(Select2=1,INDEX(DOC_table,10,3),"")</f>
        <v>0</v>
      </c>
      <c r="J23" s="259">
        <f t="shared" si="1"/>
        <v>0</v>
      </c>
      <c r="K23" s="239"/>
      <c r="L23" s="258"/>
      <c r="N23" s="146" t="s">
        <v>231</v>
      </c>
      <c r="O23" s="2">
        <f>IF(Select2=1,E23,0)</f>
        <v>0</v>
      </c>
      <c r="Q23" s="146" t="s">
        <v>231</v>
      </c>
      <c r="R23" s="389">
        <f>IF(Select2=1,J23,0)</f>
        <v>0</v>
      </c>
    </row>
    <row r="24" spans="2:18">
      <c r="B24" s="146" t="str">
        <f>IF(Select2=1,"Glass","")</f>
        <v>Glass</v>
      </c>
      <c r="C24" s="160">
        <f>IF(Select2=1,INDEX(DOC_table,11,2),"")</f>
        <v>0</v>
      </c>
      <c r="D24" s="777">
        <f>IF(Select2=1,INDEX(DOC_table,11,1),"")</f>
        <v>0</v>
      </c>
      <c r="E24" s="780">
        <f t="shared" si="0"/>
        <v>0</v>
      </c>
      <c r="F24" s="779"/>
      <c r="H24" s="160">
        <f>IF(Select2=1,INDEX(DOC_table,11,4),"")</f>
        <v>0</v>
      </c>
      <c r="I24" s="193">
        <f>IF(Select2=1,INDEX(DOC_table,11,3),"")</f>
        <v>0</v>
      </c>
      <c r="J24" s="259">
        <f t="shared" si="1"/>
        <v>0</v>
      </c>
      <c r="K24" s="239"/>
      <c r="L24" s="258"/>
      <c r="N24" s="146" t="s">
        <v>232</v>
      </c>
      <c r="O24" s="2">
        <f>IF(Select2=1,E24,0)</f>
        <v>0</v>
      </c>
      <c r="Q24" s="146" t="s">
        <v>232</v>
      </c>
      <c r="R24" s="389">
        <f>IF(Select2=1,J24,0)</f>
        <v>0</v>
      </c>
    </row>
    <row r="25" spans="2:18">
      <c r="B25" s="146" t="str">
        <f>IF(Select2=1,"Other","")</f>
        <v>Other</v>
      </c>
      <c r="C25" s="160">
        <f>IF(Select2=1,INDEX(DOC_table,12,2),"")</f>
        <v>0</v>
      </c>
      <c r="D25" s="777">
        <f>IF(Select2=1,INDEX(DOC_table,12,1),"")</f>
        <v>0</v>
      </c>
      <c r="E25" s="780">
        <f t="shared" si="0"/>
        <v>0</v>
      </c>
      <c r="F25" s="779"/>
      <c r="H25" s="160">
        <f>IF(Select2=1,INDEX(DOC_table,12,4),"")</f>
        <v>0</v>
      </c>
      <c r="I25" s="193">
        <f>IF(Select2=1,INDEX(DOC_table,12,3),"")</f>
        <v>0</v>
      </c>
      <c r="J25" s="259">
        <f t="shared" si="1"/>
        <v>0</v>
      </c>
      <c r="K25" s="239"/>
      <c r="L25" s="258"/>
      <c r="N25" s="146" t="s">
        <v>233</v>
      </c>
      <c r="O25" s="2">
        <f>IF(Select2=1,E25,0)</f>
        <v>0</v>
      </c>
      <c r="Q25" s="146" t="s">
        <v>233</v>
      </c>
      <c r="R25" s="389">
        <f>IF(Select2=1,J25,0)</f>
        <v>0</v>
      </c>
    </row>
    <row r="26" spans="2:18">
      <c r="B26" s="146"/>
      <c r="C26" s="160"/>
      <c r="D26" s="193"/>
      <c r="E26" s="259"/>
      <c r="F26" s="239"/>
      <c r="H26" s="160"/>
      <c r="I26" s="193"/>
      <c r="J26" s="259"/>
      <c r="K26" s="239"/>
      <c r="L26" s="258"/>
      <c r="N26" s="409" t="s">
        <v>204</v>
      </c>
      <c r="O26" s="2">
        <f>IF(Select2=1,0,E15)</f>
        <v>0</v>
      </c>
      <c r="Q26" s="409" t="s">
        <v>204</v>
      </c>
      <c r="R26" s="389">
        <f>IF(Select2=1,0,J15)</f>
        <v>0</v>
      </c>
    </row>
    <row r="27" spans="2:18" ht="13.5" thickBot="1">
      <c r="B27" s="2" t="str">
        <f>IF(Select2=1,"Sewage sludge","")</f>
        <v>Sewage sludge</v>
      </c>
      <c r="C27" s="159" t="str">
        <f>IF(Select2=1,INDEX(DOC_table,13,2),"")</f>
        <v>N.A</v>
      </c>
      <c r="D27" s="430">
        <f>IF(Select2=1,INDEX(DOC_table,13,1),"")</f>
        <v>0</v>
      </c>
      <c r="E27" s="259">
        <f t="shared" ref="E27:E28" si="2">D27</f>
        <v>0</v>
      </c>
      <c r="F27" s="239"/>
      <c r="H27" s="159" t="str">
        <f>IF(Select2=1,INDEX(DOC_table,13,4),"")</f>
        <v>0.04-0.05</v>
      </c>
      <c r="I27" s="16">
        <f>IF(Select2=1,INDEX(DOC_table,13,3),"")</f>
        <v>0.05</v>
      </c>
      <c r="J27" s="259">
        <f>I27</f>
        <v>0.05</v>
      </c>
      <c r="K27" s="239"/>
      <c r="L27" s="6"/>
      <c r="N27" s="19" t="s">
        <v>135</v>
      </c>
      <c r="O27" s="19">
        <f>IF(Select2=1,E27,E16)</f>
        <v>0</v>
      </c>
      <c r="Q27" s="19" t="s">
        <v>135</v>
      </c>
      <c r="R27" s="390">
        <f>IF(Select2=1,J27,J16)</f>
        <v>0.05</v>
      </c>
    </row>
    <row r="28" spans="2:18" ht="13.5" thickBot="1">
      <c r="B28" s="19" t="str">
        <f>IF(Select2=1,"Industrial waste","")</f>
        <v>Industrial waste</v>
      </c>
      <c r="C28" s="540" t="str">
        <f>IF(Select2=1,INDEX(DOC_table,15,2),"")</f>
        <v>N.A</v>
      </c>
      <c r="D28" s="541">
        <f>IF(Select2=1,INDEX(DOC_table,15,1),"")</f>
        <v>0</v>
      </c>
      <c r="E28" s="260">
        <f t="shared" si="2"/>
        <v>0</v>
      </c>
      <c r="F28" s="542"/>
      <c r="H28" s="540" t="str">
        <f>IF(Select2=1,INDEX(DOC_table,15,4),"")</f>
        <v>0-0.54</v>
      </c>
      <c r="I28" s="541">
        <f>IF(Select2=1,INDEX(DOC_table,15,3),"")</f>
        <v>0.15</v>
      </c>
      <c r="J28" s="260">
        <f t="shared" ref="J28" si="3">I28</f>
        <v>0.15</v>
      </c>
      <c r="K28" s="542"/>
      <c r="L28" s="543"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28" s="19" t="s">
        <v>23</v>
      </c>
      <c r="O28" s="19">
        <f>IF(Select2=1,E28,E$17)</f>
        <v>0</v>
      </c>
      <c r="Q28" s="19" t="s">
        <v>23</v>
      </c>
      <c r="R28" s="19">
        <f>IF(Select2=1,J28,J$17)</f>
        <v>0.15</v>
      </c>
    </row>
    <row r="29" spans="2:18" ht="13.5" thickBot="1">
      <c r="B29" s="22"/>
      <c r="C29" s="14"/>
      <c r="D29" s="23"/>
      <c r="E29" s="6"/>
      <c r="F29" s="22"/>
      <c r="L29" s="6"/>
    </row>
    <row r="30" spans="2:18" ht="13.5" thickBot="1">
      <c r="B30" s="35" t="s">
        <v>43</v>
      </c>
      <c r="C30" s="408"/>
      <c r="D30" s="31">
        <v>0.5</v>
      </c>
      <c r="E30" s="352">
        <f>D30</f>
        <v>0.5</v>
      </c>
      <c r="F30" s="356"/>
      <c r="L30" s="6"/>
    </row>
    <row r="31" spans="2:18" ht="13.5" thickBot="1">
      <c r="B31" s="22"/>
      <c r="C31" s="293"/>
      <c r="D31" s="294"/>
      <c r="E31" s="353"/>
      <c r="F31" s="22"/>
      <c r="L31" s="6"/>
    </row>
    <row r="32" spans="2:18" ht="13.5" thickBot="1">
      <c r="B32" s="35" t="s">
        <v>208</v>
      </c>
      <c r="C32" s="295"/>
      <c r="D32" s="296"/>
      <c r="E32" s="354"/>
      <c r="F32" s="357"/>
      <c r="L32" s="6"/>
    </row>
    <row r="33" spans="2:15" ht="15" thickBot="1">
      <c r="B33" s="147" t="s">
        <v>193</v>
      </c>
      <c r="C33" s="300" t="s">
        <v>113</v>
      </c>
      <c r="D33" s="301" t="s">
        <v>115</v>
      </c>
      <c r="E33" s="355"/>
      <c r="F33" s="358"/>
      <c r="L33" s="6"/>
      <c r="N33" t="s">
        <v>130</v>
      </c>
    </row>
    <row r="34" spans="2:15">
      <c r="B34" s="8" t="str">
        <f>IF(Select2=1,"Food waste","Bulk MSW")</f>
        <v>Food waste</v>
      </c>
      <c r="C34" s="157" t="str">
        <f>INDEX(half_life,IF(Select2=1,4,5),selected*2)</f>
        <v xml:space="preserve">0.17–0.7 </v>
      </c>
      <c r="D34" s="93">
        <f>INDEX(half_life,IF(Select2=1,4,5),selected*2-1)</f>
        <v>0.4</v>
      </c>
      <c r="E34" s="578">
        <f t="shared" ref="E34:E39" si="4">D34</f>
        <v>0.4</v>
      </c>
      <c r="F34" s="132"/>
      <c r="L34" s="349" t="str">
        <f>IF(Select2=1,"May include garden waste provided that a suitable value of DOC is used","")</f>
        <v>May include garden waste provided that a suitable value of DOC is used</v>
      </c>
      <c r="N34" s="40" t="s">
        <v>6</v>
      </c>
      <c r="O34" s="40">
        <f t="shared" ref="O34:O44" si="5">IF(Select2=1,E34,0)</f>
        <v>0.4</v>
      </c>
    </row>
    <row r="35" spans="2:15">
      <c r="B35" s="8" t="str">
        <f>IF(Select2=1,"Paper/cardboard","Sewage sludge")</f>
        <v>Paper/cardboard</v>
      </c>
      <c r="C35" s="158" t="str">
        <f>INDEX(half_life,IF(Select2=1,1,4),selected*2)</f>
        <v>0.06–0.085</v>
      </c>
      <c r="D35" s="70">
        <f>INDEX(half_life,IF(Select2=1,1,4),selected*2-1)</f>
        <v>7.0000000000000007E-2</v>
      </c>
      <c r="E35" s="579">
        <f t="shared" si="4"/>
        <v>7.0000000000000007E-2</v>
      </c>
      <c r="F35" s="43"/>
      <c r="L35" s="349" t="str">
        <f>IF(Select2=1,"Garden (yard) and park waste and other moderately fast degrading waste","The composition of industrial waste will vary significantly by country. This DOC value should match the amounts entered (see guidelines).")</f>
        <v>Garden (yard) and park waste and other moderately fast degrading waste</v>
      </c>
      <c r="N35" s="411" t="s">
        <v>262</v>
      </c>
      <c r="O35" s="2">
        <f t="shared" si="5"/>
        <v>7.0000000000000007E-2</v>
      </c>
    </row>
    <row r="36" spans="2:15">
      <c r="B36" s="2" t="str">
        <f>IF(Select2=1,"Garden and Park waste","Industrial waste")</f>
        <v>Garden and Park waste</v>
      </c>
      <c r="C36" s="158" t="str">
        <f>INDEX(half_life,IF(Select2=1,3,5),selected*2)</f>
        <v>0.15–0.2</v>
      </c>
      <c r="D36" s="70">
        <f>INDEX(half_life,IF(Select2=1,3,5),selected*2-1)</f>
        <v>0.17</v>
      </c>
      <c r="E36" s="579">
        <f t="shared" si="4"/>
        <v>0.17</v>
      </c>
      <c r="F36" s="43"/>
      <c r="L36" s="6"/>
      <c r="N36" s="410" t="s">
        <v>261</v>
      </c>
      <c r="O36" s="2">
        <f t="shared" si="5"/>
        <v>0.17</v>
      </c>
    </row>
    <row r="37" spans="2:15">
      <c r="B37" s="2" t="str">
        <f>IF(Select2=1,"Textiles","")</f>
        <v>Textiles</v>
      </c>
      <c r="C37" s="159" t="str">
        <f>IF(Select2=1,INDEX(half_life,1,selected*2),"")</f>
        <v>0.06–0.085</v>
      </c>
      <c r="D37" s="70">
        <f>IF(Select2=1,INDEX(half_life,1,selected*2-1),"")</f>
        <v>7.0000000000000007E-2</v>
      </c>
      <c r="E37" s="579">
        <f t="shared" si="4"/>
        <v>7.0000000000000007E-2</v>
      </c>
      <c r="F37" s="43"/>
      <c r="L37" s="6"/>
      <c r="N37" s="2" t="s">
        <v>16</v>
      </c>
      <c r="O37" s="2">
        <f t="shared" si="5"/>
        <v>7.0000000000000007E-2</v>
      </c>
    </row>
    <row r="38" spans="2:15">
      <c r="B38" s="2" t="str">
        <f>IF(Select2=1,"Rubber and Leather","")</f>
        <v>Rubber and Leather</v>
      </c>
      <c r="C38" s="159" t="str">
        <f>IF(Select2=1,INDEX(half_life,2,selected*2),"")</f>
        <v>0.03–0.05</v>
      </c>
      <c r="D38" s="70">
        <f>IF(Select2=1,INDEX(half_life,2,selected*2-1),"")</f>
        <v>3.5000000000000003E-2</v>
      </c>
      <c r="E38" s="580">
        <f t="shared" si="4"/>
        <v>3.5000000000000003E-2</v>
      </c>
      <c r="F38" s="239"/>
      <c r="L38" s="349" t="str">
        <f>IF(Select2=1,"Natural textiles such as wool and cotton. Synthetic textiles are assumed not to contain DOC","")</f>
        <v>Natural textiles such as wool and cotton. Synthetic textiles are assumed not to contain DOC</v>
      </c>
      <c r="N38" s="2" t="s">
        <v>229</v>
      </c>
      <c r="O38" s="2">
        <f t="shared" si="5"/>
        <v>3.5000000000000003E-2</v>
      </c>
    </row>
    <row r="39" spans="2:15">
      <c r="B39" s="2" t="str">
        <f>IF(Select2=1,"Wood","")</f>
        <v>Wood</v>
      </c>
      <c r="C39" s="159" t="str">
        <f>IF(Select2=1,INDEX(half_life,2,selected*2),"")</f>
        <v>0.03–0.05</v>
      </c>
      <c r="D39" s="70">
        <f>IF(Select2=1,INDEX(half_life,2,selected*2-1),"")</f>
        <v>3.5000000000000003E-2</v>
      </c>
      <c r="E39" s="580">
        <f t="shared" si="4"/>
        <v>3.5000000000000003E-2</v>
      </c>
      <c r="F39" s="239"/>
      <c r="N39" s="409" t="s">
        <v>2</v>
      </c>
      <c r="O39" s="2">
        <f t="shared" si="5"/>
        <v>3.5000000000000003E-2</v>
      </c>
    </row>
    <row r="40" spans="2:15">
      <c r="B40" s="2" t="str">
        <f>IF(Select2=1,"Nappies","")</f>
        <v>Nappies</v>
      </c>
      <c r="C40" s="159" t="str">
        <f>IF(Select2=1,INDEX(half_life,3,selected*2),"")</f>
        <v>0.15–0.2</v>
      </c>
      <c r="D40" s="70">
        <f>IF(Select2=1,INDEX(half_life,3,selected*2-1),"")</f>
        <v>0.17</v>
      </c>
      <c r="E40" s="580">
        <f>D40</f>
        <v>0.17</v>
      </c>
      <c r="F40" s="239"/>
      <c r="N40" s="409" t="s">
        <v>267</v>
      </c>
      <c r="O40" s="2">
        <f t="shared" si="5"/>
        <v>0.17</v>
      </c>
    </row>
    <row r="41" spans="2:15">
      <c r="B41" s="146" t="str">
        <f>IF(Select2=1,"Plastics","")</f>
        <v>Plastics</v>
      </c>
      <c r="C41" s="159">
        <f t="shared" ref="C41:D44" si="6">IF(Select2=1,0,"")</f>
        <v>0</v>
      </c>
      <c r="D41" s="429">
        <f t="shared" si="6"/>
        <v>0</v>
      </c>
      <c r="E41" s="580">
        <f>D41</f>
        <v>0</v>
      </c>
      <c r="F41" s="239"/>
      <c r="N41" s="146" t="s">
        <v>230</v>
      </c>
      <c r="O41" s="2">
        <f t="shared" si="5"/>
        <v>0</v>
      </c>
    </row>
    <row r="42" spans="2:15">
      <c r="B42" s="146" t="str">
        <f>IF(Select2=1,"Metal","")</f>
        <v>Metal</v>
      </c>
      <c r="C42" s="159">
        <f t="shared" si="6"/>
        <v>0</v>
      </c>
      <c r="D42" s="429">
        <f t="shared" si="6"/>
        <v>0</v>
      </c>
      <c r="E42" s="580">
        <f>D42</f>
        <v>0</v>
      </c>
      <c r="F42" s="239"/>
      <c r="N42" s="146" t="s">
        <v>231</v>
      </c>
      <c r="O42" s="2">
        <f t="shared" si="5"/>
        <v>0</v>
      </c>
    </row>
    <row r="43" spans="2:15">
      <c r="B43" s="146" t="str">
        <f>IF(Select2=1,"Glass","")</f>
        <v>Glass</v>
      </c>
      <c r="C43" s="159">
        <f t="shared" si="6"/>
        <v>0</v>
      </c>
      <c r="D43" s="429">
        <f t="shared" si="6"/>
        <v>0</v>
      </c>
      <c r="E43" s="580">
        <f>D43</f>
        <v>0</v>
      </c>
      <c r="F43" s="239"/>
      <c r="N43" s="146" t="s">
        <v>232</v>
      </c>
      <c r="O43" s="2">
        <f t="shared" si="5"/>
        <v>0</v>
      </c>
    </row>
    <row r="44" spans="2:15">
      <c r="B44" s="146" t="str">
        <f>IF(Select2=1,"Other","")</f>
        <v>Other</v>
      </c>
      <c r="C44" s="159">
        <f t="shared" si="6"/>
        <v>0</v>
      </c>
      <c r="D44" s="429">
        <f t="shared" si="6"/>
        <v>0</v>
      </c>
      <c r="E44" s="580">
        <f>D44</f>
        <v>0</v>
      </c>
      <c r="F44" s="239"/>
      <c r="N44" s="146" t="s">
        <v>233</v>
      </c>
      <c r="O44" s="2">
        <f t="shared" si="5"/>
        <v>0</v>
      </c>
    </row>
    <row r="45" spans="2:15">
      <c r="B45" s="146"/>
      <c r="C45" s="159"/>
      <c r="D45" s="70"/>
      <c r="E45" s="580"/>
      <c r="F45" s="239"/>
      <c r="N45" s="409" t="s">
        <v>204</v>
      </c>
      <c r="O45" s="2">
        <f>IF(Select2=1,0,E$34)</f>
        <v>0</v>
      </c>
    </row>
    <row r="46" spans="2:15" ht="13.5" thickBot="1">
      <c r="B46" s="2" t="str">
        <f>IF(Select2=1,"Sewage sludge","")</f>
        <v>Sewage sludge</v>
      </c>
      <c r="C46" s="159" t="str">
        <f>IF(Select2=1,INDEX(half_life,4,selected*2),"")</f>
        <v xml:space="preserve">0.17–0.7 </v>
      </c>
      <c r="D46" s="70">
        <f>IF(Select2=1,INDEX(half_life,4,selected*2-1),"")</f>
        <v>0.4</v>
      </c>
      <c r="E46" s="580">
        <f>D46</f>
        <v>0.4</v>
      </c>
      <c r="F46" s="239"/>
      <c r="N46" s="19" t="s">
        <v>135</v>
      </c>
      <c r="O46" s="19">
        <f>IF(Select2=1,E46,E$35)</f>
        <v>0.4</v>
      </c>
    </row>
    <row r="47" spans="2:15" ht="13.5" thickBot="1">
      <c r="B47" s="19" t="str">
        <f>IF(Select2=1,"Industrial waste","")</f>
        <v>Industrial waste</v>
      </c>
      <c r="C47" s="540" t="str">
        <f>IF(Select2=1,INDEX(half_life,5,selected*2),"")</f>
        <v>0.15–0.2</v>
      </c>
      <c r="D47" s="545">
        <f>IF(Select2=1,INDEX(half_life,5,selected*2-1),"")</f>
        <v>0.17</v>
      </c>
      <c r="E47" s="581">
        <f t="shared" ref="E47" si="7">D47</f>
        <v>0.17</v>
      </c>
      <c r="F47" s="542"/>
      <c r="L47" s="546" t="str">
        <f>IF(Select2=1,"The composition of industrial waste will vary significantly by country. This DOC value should match the amounts entered (see Guidelines).","")</f>
        <v>The composition of industrial waste will vary significantly by country. This DOC value should match the amounts entered (see Guidelines).</v>
      </c>
      <c r="N47" s="19" t="s">
        <v>23</v>
      </c>
      <c r="O47" s="19">
        <f>IF(Select2=1,E47,E$36)</f>
        <v>0.17</v>
      </c>
    </row>
    <row r="48" spans="2:15" ht="13.5" thickBot="1">
      <c r="B48" s="22"/>
      <c r="C48" s="14"/>
      <c r="D48" s="23"/>
      <c r="E48" s="17"/>
      <c r="F48" s="23"/>
    </row>
    <row r="49" spans="1:18" ht="13.5" thickBot="1">
      <c r="B49" s="35" t="s">
        <v>42</v>
      </c>
      <c r="C49" s="38"/>
      <c r="D49" s="31">
        <v>6</v>
      </c>
      <c r="E49" s="582">
        <v>6</v>
      </c>
      <c r="F49" s="42"/>
    </row>
    <row r="50" spans="1:18" ht="13.5" thickBot="1">
      <c r="B50" s="22"/>
      <c r="C50" s="14"/>
      <c r="D50" s="23"/>
      <c r="E50" s="24"/>
      <c r="F50" s="23"/>
    </row>
    <row r="51" spans="1:18" ht="13.5" thickBot="1">
      <c r="B51" s="35" t="s">
        <v>207</v>
      </c>
      <c r="C51" s="38"/>
      <c r="D51" s="21">
        <v>0.5</v>
      </c>
      <c r="E51" s="582">
        <f>D51</f>
        <v>0.5</v>
      </c>
      <c r="F51" s="42"/>
    </row>
    <row r="52" spans="1:18" ht="13.5" thickBot="1">
      <c r="B52" s="22"/>
      <c r="C52" s="14"/>
      <c r="D52" s="23"/>
      <c r="E52" s="17"/>
      <c r="F52" s="23"/>
    </row>
    <row r="53" spans="1:18" ht="16.5" thickBot="1">
      <c r="B53" s="35" t="s">
        <v>21</v>
      </c>
      <c r="C53" s="38"/>
      <c r="D53" s="26">
        <f>16/12</f>
        <v>1.3333333333333333</v>
      </c>
      <c r="E53" s="27">
        <f>16/12</f>
        <v>1.3333333333333333</v>
      </c>
      <c r="F53" s="28"/>
    </row>
    <row r="54" spans="1:18" ht="13.5" thickBot="1">
      <c r="B54" s="22"/>
      <c r="C54" s="14"/>
      <c r="D54" s="23"/>
      <c r="E54" s="17"/>
      <c r="F54" s="23"/>
    </row>
    <row r="55" spans="1:18" ht="13.5" thickBot="1">
      <c r="B55" s="35" t="s">
        <v>22</v>
      </c>
      <c r="C55" s="38"/>
      <c r="D55" s="21">
        <v>0</v>
      </c>
      <c r="E55" s="582">
        <f>D55</f>
        <v>0</v>
      </c>
      <c r="F55" s="42"/>
    </row>
    <row r="56" spans="1:18" ht="13.5" thickBot="1">
      <c r="B56" s="29"/>
      <c r="C56" s="14"/>
      <c r="D56" s="30"/>
      <c r="E56" s="25"/>
      <c r="F56" s="23"/>
    </row>
    <row r="57" spans="1:18" ht="13.5" thickBot="1">
      <c r="A57" s="18"/>
      <c r="B57" s="35" t="s">
        <v>80</v>
      </c>
      <c r="C57" s="38"/>
      <c r="D57" s="36"/>
      <c r="E57" s="37"/>
      <c r="F57" s="36"/>
      <c r="L57" s="18"/>
    </row>
    <row r="58" spans="1:18">
      <c r="A58" s="18"/>
      <c r="B58" s="280" t="s">
        <v>195</v>
      </c>
      <c r="C58" s="272"/>
      <c r="D58" s="277">
        <v>0</v>
      </c>
      <c r="E58" s="583">
        <f>D58</f>
        <v>0</v>
      </c>
      <c r="F58" s="94"/>
      <c r="L58" s="18"/>
    </row>
    <row r="59" spans="1:18" ht="13.5" thickBot="1">
      <c r="B59" s="281" t="s">
        <v>196</v>
      </c>
      <c r="C59" s="278"/>
      <c r="D59" s="279">
        <v>0</v>
      </c>
      <c r="E59" s="584">
        <f>D59</f>
        <v>0</v>
      </c>
      <c r="F59" s="41"/>
    </row>
    <row r="60" spans="1:18" ht="13.5" thickBot="1">
      <c r="B60" s="138"/>
      <c r="C60" s="262"/>
      <c r="D60" s="263"/>
      <c r="E60" s="265"/>
      <c r="F60" s="264"/>
    </row>
    <row r="61" spans="1:18" s="18" customFormat="1" ht="26.25" thickBot="1">
      <c r="A61"/>
      <c r="B61" s="268" t="s">
        <v>209</v>
      </c>
      <c r="C61" s="150"/>
      <c r="D61" s="800" t="s">
        <v>250</v>
      </c>
      <c r="E61" s="801"/>
      <c r="F61" s="802"/>
      <c r="H61" s="38"/>
      <c r="I61" s="800" t="s">
        <v>251</v>
      </c>
      <c r="J61" s="801"/>
      <c r="K61" s="802"/>
      <c r="L61"/>
      <c r="N61"/>
      <c r="O61"/>
      <c r="P61"/>
    </row>
    <row r="62" spans="1:18" s="18" customFormat="1" ht="13.5" thickBot="1">
      <c r="A62"/>
      <c r="B62" s="269" t="str">
        <f>IF(Select2=1,"","DOC for garden waste")</f>
        <v/>
      </c>
      <c r="C62" s="272"/>
      <c r="D62" s="275" t="str">
        <f>IF(Select2=1,"",INDEX(DOC_table,3,1))</f>
        <v/>
      </c>
      <c r="E62" s="287" t="str">
        <f>D62</f>
        <v/>
      </c>
      <c r="F62" s="288"/>
      <c r="H62" s="272"/>
      <c r="I62" s="275" t="str">
        <f>IF(Select2=1,"",INDEX(DOC_table,3,3))</f>
        <v/>
      </c>
      <c r="J62" s="287" t="str">
        <f>I62</f>
        <v/>
      </c>
      <c r="K62" s="288"/>
      <c r="L62"/>
      <c r="N62" s="427" t="s">
        <v>278</v>
      </c>
      <c r="O62" s="40" t="str">
        <f>IF(Select2=2,E62,"")</f>
        <v/>
      </c>
      <c r="Q62" s="427" t="s">
        <v>278</v>
      </c>
      <c r="R62" s="40" t="str">
        <f>IF(Select2=2,J62,"")</f>
        <v/>
      </c>
    </row>
    <row r="63" spans="1:18" ht="13.5" thickBot="1">
      <c r="B63" s="270" t="str">
        <f>IF(Select2=1,"","DOC for paper and cardboard")</f>
        <v/>
      </c>
      <c r="C63" s="273"/>
      <c r="D63" s="276" t="str">
        <f>IF(Select2=1,"",INDEX(DOC_table,2,1))</f>
        <v/>
      </c>
      <c r="E63" s="289" t="str">
        <f>D63</f>
        <v/>
      </c>
      <c r="F63" s="290"/>
      <c r="H63" s="273"/>
      <c r="I63" s="276" t="str">
        <f>IF(Select2=1,"",INDEX(DOC_table,2,3))</f>
        <v/>
      </c>
      <c r="J63" s="289" t="str">
        <f>I63</f>
        <v/>
      </c>
      <c r="K63" s="290"/>
      <c r="N63" s="427" t="s">
        <v>279</v>
      </c>
      <c r="O63" s="2" t="str">
        <f>IF(Select2=2,E63,"")</f>
        <v/>
      </c>
      <c r="P63" s="18"/>
      <c r="Q63" s="427" t="s">
        <v>279</v>
      </c>
      <c r="R63" s="2" t="str">
        <f>IF(Select2=2,J63,"")</f>
        <v/>
      </c>
    </row>
    <row r="64" spans="1:18" ht="13.5" thickBot="1">
      <c r="B64" s="271" t="str">
        <f>IF(Select2=1,"","DOC for wood and straw")</f>
        <v/>
      </c>
      <c r="C64" s="274"/>
      <c r="D64" s="282" t="str">
        <f>IF(Select2=1,"",INDEX(DOC_table,6,1))</f>
        <v/>
      </c>
      <c r="E64" s="291" t="str">
        <f>D64</f>
        <v/>
      </c>
      <c r="F64" s="292"/>
      <c r="H64" s="274"/>
      <c r="I64" s="282" t="str">
        <f>IF(Select2=1,"",INDEX(DOC_table,6,3))</f>
        <v/>
      </c>
      <c r="J64" s="291" t="str">
        <f>I64</f>
        <v/>
      </c>
      <c r="K64" s="292"/>
      <c r="N64" s="427" t="s">
        <v>280</v>
      </c>
      <c r="O64" s="19" t="str">
        <f>IF(Select2=2,E64,"")</f>
        <v/>
      </c>
      <c r="Q64" s="427" t="s">
        <v>280</v>
      </c>
      <c r="R64" s="19" t="str">
        <f>IF(Select2=2,J64,"")</f>
        <v/>
      </c>
    </row>
    <row r="69" spans="2:8">
      <c r="B69" s="562" t="s">
        <v>336</v>
      </c>
    </row>
    <row r="71" spans="2:8">
      <c r="B71" s="787" t="s">
        <v>317</v>
      </c>
      <c r="C71" s="787"/>
      <c r="D71" s="788" t="s">
        <v>318</v>
      </c>
      <c r="E71" s="788"/>
      <c r="F71" s="788"/>
      <c r="G71" s="788"/>
      <c r="H71" s="788"/>
    </row>
    <row r="72" spans="2:8">
      <c r="B72" s="787" t="s">
        <v>319</v>
      </c>
      <c r="C72" s="787"/>
      <c r="D72" s="788" t="s">
        <v>320</v>
      </c>
      <c r="E72" s="788"/>
      <c r="F72" s="788"/>
      <c r="G72" s="788"/>
      <c r="H72" s="788"/>
    </row>
    <row r="73" spans="2:8">
      <c r="B73" s="787" t="s">
        <v>321</v>
      </c>
      <c r="C73" s="787"/>
      <c r="D73" s="788" t="s">
        <v>322</v>
      </c>
      <c r="E73" s="788"/>
      <c r="F73" s="788"/>
      <c r="G73" s="788"/>
      <c r="H73" s="788"/>
    </row>
    <row r="74" spans="2:8">
      <c r="B74" s="787" t="s">
        <v>323</v>
      </c>
      <c r="C74" s="787"/>
      <c r="D74" s="788" t="s">
        <v>324</v>
      </c>
      <c r="E74" s="788"/>
      <c r="F74" s="788"/>
      <c r="G74" s="788"/>
      <c r="H74" s="788"/>
    </row>
    <row r="75" spans="2:8">
      <c r="B75" s="560"/>
      <c r="C75" s="561"/>
      <c r="D75" s="561"/>
      <c r="E75" s="561"/>
      <c r="F75" s="561"/>
      <c r="G75" s="561"/>
      <c r="H75" s="561"/>
    </row>
    <row r="76" spans="2:8">
      <c r="B76" s="563"/>
      <c r="C76" s="564" t="s">
        <v>325</v>
      </c>
      <c r="D76" s="565" t="s">
        <v>87</v>
      </c>
      <c r="E76" s="565" t="s">
        <v>88</v>
      </c>
    </row>
    <row r="77" spans="2:8">
      <c r="B77" s="789" t="s">
        <v>133</v>
      </c>
      <c r="C77" s="566" t="s">
        <v>326</v>
      </c>
      <c r="D77" s="567" t="s">
        <v>327</v>
      </c>
      <c r="E77" s="567" t="s">
        <v>9</v>
      </c>
      <c r="F77" s="488"/>
      <c r="G77" s="547"/>
      <c r="H77" s="6"/>
    </row>
    <row r="78" spans="2:8">
      <c r="B78" s="790"/>
      <c r="C78" s="568"/>
      <c r="D78" s="569"/>
      <c r="E78" s="570"/>
      <c r="F78" s="6"/>
      <c r="G78" s="488"/>
      <c r="H78" s="6"/>
    </row>
    <row r="79" spans="2:8">
      <c r="B79" s="790"/>
      <c r="C79" s="568"/>
      <c r="D79" s="569"/>
      <c r="E79" s="570"/>
      <c r="F79" s="6"/>
      <c r="G79" s="488"/>
      <c r="H79" s="6"/>
    </row>
    <row r="80" spans="2:8">
      <c r="B80" s="790"/>
      <c r="C80" s="568"/>
      <c r="D80" s="569"/>
      <c r="E80" s="570"/>
      <c r="F80" s="6"/>
      <c r="G80" s="488"/>
      <c r="H80" s="6"/>
    </row>
    <row r="81" spans="2:8">
      <c r="B81" s="790"/>
      <c r="C81" s="568"/>
      <c r="D81" s="569"/>
      <c r="E81" s="570"/>
      <c r="F81" s="6"/>
      <c r="G81" s="488"/>
      <c r="H81" s="6"/>
    </row>
    <row r="82" spans="2:8">
      <c r="B82" s="790"/>
      <c r="C82" s="568"/>
      <c r="D82" s="569" t="s">
        <v>328</v>
      </c>
      <c r="E82" s="570"/>
      <c r="F82" s="6"/>
      <c r="G82" s="488"/>
      <c r="H82" s="6"/>
    </row>
    <row r="83" spans="2:8" ht="13.5" thickBot="1">
      <c r="B83" s="791"/>
      <c r="C83" s="571"/>
      <c r="D83" s="571"/>
      <c r="E83" s="572" t="s">
        <v>329</v>
      </c>
      <c r="F83" s="6"/>
      <c r="G83" s="6"/>
      <c r="H83" s="6"/>
    </row>
    <row r="84" spans="2:8" ht="13.5" thickTop="1">
      <c r="B84" s="563"/>
      <c r="C84" s="570"/>
      <c r="D84" s="563"/>
      <c r="E84" s="573"/>
      <c r="F84" s="6"/>
      <c r="G84" s="6"/>
      <c r="H84" s="6"/>
    </row>
    <row r="85" spans="2:8">
      <c r="B85" s="783" t="s">
        <v>330</v>
      </c>
      <c r="C85" s="784"/>
      <c r="D85" s="784"/>
      <c r="E85" s="785"/>
      <c r="F85" s="6"/>
      <c r="G85" s="6"/>
      <c r="H85" s="6"/>
    </row>
    <row r="86" spans="2:8">
      <c r="B86" s="574" t="s">
        <v>6</v>
      </c>
      <c r="C86" s="575">
        <v>0.63560000000000005</v>
      </c>
      <c r="D86" s="576">
        <v>0.15</v>
      </c>
      <c r="E86" s="576">
        <f>C86*D86</f>
        <v>9.5340000000000008E-2</v>
      </c>
      <c r="F86" s="6"/>
      <c r="G86" s="6"/>
      <c r="H86" s="6"/>
    </row>
    <row r="87" spans="2:8">
      <c r="B87" s="574" t="s">
        <v>256</v>
      </c>
      <c r="C87" s="575">
        <v>0.1042</v>
      </c>
      <c r="D87" s="576">
        <v>0.4</v>
      </c>
      <c r="E87" s="576">
        <f t="shared" ref="E87:E94" si="8">C87*D87</f>
        <v>4.1680000000000002E-2</v>
      </c>
      <c r="F87" s="6"/>
      <c r="G87" s="6"/>
      <c r="H87" s="6"/>
    </row>
    <row r="88" spans="2:8">
      <c r="B88" s="574" t="s">
        <v>2</v>
      </c>
      <c r="C88" s="575">
        <v>0</v>
      </c>
      <c r="D88" s="576">
        <v>0.43</v>
      </c>
      <c r="E88" s="576">
        <f t="shared" si="8"/>
        <v>0</v>
      </c>
      <c r="F88" s="6"/>
      <c r="G88" s="6"/>
      <c r="H88" s="6"/>
    </row>
    <row r="89" spans="2:8">
      <c r="B89" s="574" t="s">
        <v>16</v>
      </c>
      <c r="C89" s="575">
        <v>0</v>
      </c>
      <c r="D89" s="576">
        <v>0.24</v>
      </c>
      <c r="E89" s="576">
        <f t="shared" si="8"/>
        <v>0</v>
      </c>
      <c r="F89" s="6"/>
      <c r="G89" s="6"/>
      <c r="H89" s="6"/>
    </row>
    <row r="90" spans="2:8">
      <c r="B90" s="574" t="s">
        <v>331</v>
      </c>
      <c r="C90" s="575">
        <v>0</v>
      </c>
      <c r="D90" s="576">
        <v>0.39</v>
      </c>
      <c r="E90" s="576">
        <f t="shared" si="8"/>
        <v>0</v>
      </c>
    </row>
    <row r="91" spans="2:8">
      <c r="B91" s="574" t="s">
        <v>332</v>
      </c>
      <c r="C91" s="575">
        <v>1.4500000000000001E-2</v>
      </c>
      <c r="D91" s="576">
        <v>0</v>
      </c>
      <c r="E91" s="576">
        <f t="shared" si="8"/>
        <v>0</v>
      </c>
    </row>
    <row r="92" spans="2:8">
      <c r="B92" s="574" t="s">
        <v>231</v>
      </c>
      <c r="C92" s="575">
        <v>9.7600000000000006E-2</v>
      </c>
      <c r="D92" s="576">
        <v>0</v>
      </c>
      <c r="E92" s="576">
        <f t="shared" si="8"/>
        <v>0</v>
      </c>
    </row>
    <row r="93" spans="2:8">
      <c r="B93" s="574" t="s">
        <v>232</v>
      </c>
      <c r="C93" s="575">
        <v>1.7000000000000001E-2</v>
      </c>
      <c r="D93" s="576">
        <v>0</v>
      </c>
      <c r="E93" s="576">
        <f t="shared" si="8"/>
        <v>0</v>
      </c>
    </row>
    <row r="94" spans="2:8">
      <c r="B94" s="574" t="s">
        <v>233</v>
      </c>
      <c r="C94" s="575">
        <f>(0.95+12.16)/100</f>
        <v>0.13109999999999999</v>
      </c>
      <c r="D94" s="576">
        <v>0</v>
      </c>
      <c r="E94" s="576">
        <f t="shared" si="8"/>
        <v>0</v>
      </c>
    </row>
    <row r="95" spans="2:8">
      <c r="B95" s="786" t="s">
        <v>333</v>
      </c>
      <c r="C95" s="786"/>
      <c r="D95" s="786"/>
      <c r="E95" s="577">
        <f>SUM(E86:E94)</f>
        <v>0.13702</v>
      </c>
    </row>
    <row r="96" spans="2:8">
      <c r="B96" s="783" t="s">
        <v>334</v>
      </c>
      <c r="C96" s="784"/>
      <c r="D96" s="784"/>
      <c r="E96" s="785"/>
    </row>
    <row r="97" spans="2:5">
      <c r="B97" s="574" t="s">
        <v>6</v>
      </c>
      <c r="C97" s="575">
        <f>79.37/100</f>
        <v>0.79370000000000007</v>
      </c>
      <c r="D97" s="576">
        <v>0.15</v>
      </c>
      <c r="E97" s="576">
        <f>C97*D97</f>
        <v>0.11905500000000001</v>
      </c>
    </row>
    <row r="98" spans="2:5">
      <c r="B98" s="574" t="s">
        <v>256</v>
      </c>
      <c r="C98" s="575">
        <f>8.57/100</f>
        <v>8.5699999999999998E-2</v>
      </c>
      <c r="D98" s="576">
        <v>0.4</v>
      </c>
      <c r="E98" s="576">
        <f t="shared" ref="E98:E105" si="9">C98*D98</f>
        <v>3.4279999999999998E-2</v>
      </c>
    </row>
    <row r="99" spans="2:5">
      <c r="B99" s="574" t="s">
        <v>2</v>
      </c>
      <c r="C99" s="575">
        <f>0.75/100</f>
        <v>7.4999999999999997E-3</v>
      </c>
      <c r="D99" s="576">
        <v>0.43</v>
      </c>
      <c r="E99" s="576">
        <f t="shared" si="9"/>
        <v>3.225E-3</v>
      </c>
    </row>
    <row r="100" spans="2:5">
      <c r="B100" s="574" t="s">
        <v>16</v>
      </c>
      <c r="C100" s="575">
        <f>0.79/100</f>
        <v>7.9000000000000008E-3</v>
      </c>
      <c r="D100" s="576">
        <v>0.24</v>
      </c>
      <c r="E100" s="576">
        <f t="shared" si="9"/>
        <v>1.8960000000000001E-3</v>
      </c>
    </row>
    <row r="101" spans="2:5">
      <c r="B101" s="574" t="s">
        <v>331</v>
      </c>
      <c r="C101" s="575">
        <f>0.35/100</f>
        <v>3.4999999999999996E-3</v>
      </c>
      <c r="D101" s="576">
        <v>0.39</v>
      </c>
      <c r="E101" s="576">
        <f t="shared" si="9"/>
        <v>1.3649999999999999E-3</v>
      </c>
    </row>
    <row r="102" spans="2:5">
      <c r="B102" s="574" t="s">
        <v>332</v>
      </c>
      <c r="C102" s="575">
        <f>6.51/100</f>
        <v>6.5099999999999991E-2</v>
      </c>
      <c r="D102" s="576">
        <v>0</v>
      </c>
      <c r="E102" s="576">
        <f t="shared" si="9"/>
        <v>0</v>
      </c>
    </row>
    <row r="103" spans="2:5">
      <c r="B103" s="574" t="s">
        <v>231</v>
      </c>
      <c r="C103" s="575">
        <f>1.45/100</f>
        <v>1.4499999999999999E-2</v>
      </c>
      <c r="D103" s="576">
        <v>0</v>
      </c>
      <c r="E103" s="576">
        <f t="shared" si="9"/>
        <v>0</v>
      </c>
    </row>
    <row r="104" spans="2:5">
      <c r="B104" s="574" t="s">
        <v>232</v>
      </c>
      <c r="C104" s="575">
        <f>1.54/100</f>
        <v>1.54E-2</v>
      </c>
      <c r="D104" s="576">
        <v>0</v>
      </c>
      <c r="E104" s="576">
        <f t="shared" si="9"/>
        <v>0</v>
      </c>
    </row>
    <row r="105" spans="2:5">
      <c r="B105" s="574" t="s">
        <v>233</v>
      </c>
      <c r="C105" s="575">
        <f>0.67/100</f>
        <v>6.7000000000000002E-3</v>
      </c>
      <c r="D105" s="576">
        <v>0</v>
      </c>
      <c r="E105" s="576">
        <f t="shared" si="9"/>
        <v>0</v>
      </c>
    </row>
    <row r="106" spans="2:5">
      <c r="B106" s="786" t="s">
        <v>333</v>
      </c>
      <c r="C106" s="786"/>
      <c r="D106" s="786"/>
      <c r="E106" s="577">
        <f>SUM(E97:E105)</f>
        <v>0.15982100000000002</v>
      </c>
    </row>
    <row r="107" spans="2:5">
      <c r="B107" s="783" t="s">
        <v>335</v>
      </c>
      <c r="C107" s="784"/>
      <c r="D107" s="784"/>
      <c r="E107" s="785"/>
    </row>
    <row r="108" spans="2:5">
      <c r="B108" s="574" t="s">
        <v>6</v>
      </c>
      <c r="C108" s="575">
        <f>(59.47+6.92)/100</f>
        <v>0.66390000000000005</v>
      </c>
      <c r="D108" s="576">
        <v>0.15</v>
      </c>
      <c r="E108" s="576">
        <f>C108*D108</f>
        <v>9.9585000000000007E-2</v>
      </c>
    </row>
    <row r="109" spans="2:5">
      <c r="B109" s="574" t="s">
        <v>256</v>
      </c>
      <c r="C109" s="575">
        <f>12.85/100</f>
        <v>0.1285</v>
      </c>
      <c r="D109" s="576">
        <v>0.4</v>
      </c>
      <c r="E109" s="576">
        <f t="shared" ref="E109:E116" si="10">C109*D109</f>
        <v>5.1400000000000001E-2</v>
      </c>
    </row>
    <row r="110" spans="2:5">
      <c r="B110" s="574" t="s">
        <v>2</v>
      </c>
      <c r="C110" s="575">
        <v>0</v>
      </c>
      <c r="D110" s="576">
        <v>0.43</v>
      </c>
      <c r="E110" s="576">
        <f t="shared" si="10"/>
        <v>0</v>
      </c>
    </row>
    <row r="111" spans="2:5">
      <c r="B111" s="574" t="s">
        <v>16</v>
      </c>
      <c r="C111" s="575">
        <f>0.81/100</f>
        <v>8.1000000000000013E-3</v>
      </c>
      <c r="D111" s="576">
        <v>0.24</v>
      </c>
      <c r="E111" s="576">
        <f t="shared" si="10"/>
        <v>1.9440000000000002E-3</v>
      </c>
    </row>
    <row r="112" spans="2:5">
      <c r="B112" s="574" t="s">
        <v>331</v>
      </c>
      <c r="C112" s="575">
        <v>0</v>
      </c>
      <c r="D112" s="576">
        <v>0.39</v>
      </c>
      <c r="E112" s="576">
        <f t="shared" si="10"/>
        <v>0</v>
      </c>
    </row>
    <row r="113" spans="2:5">
      <c r="B113" s="574" t="s">
        <v>332</v>
      </c>
      <c r="C113" s="575">
        <f>10.71/100</f>
        <v>0.10710000000000001</v>
      </c>
      <c r="D113" s="576">
        <v>0</v>
      </c>
      <c r="E113" s="576">
        <f t="shared" si="10"/>
        <v>0</v>
      </c>
    </row>
    <row r="114" spans="2:5">
      <c r="B114" s="574" t="s">
        <v>231</v>
      </c>
      <c r="C114" s="575">
        <f>1.77/100</f>
        <v>1.77E-2</v>
      </c>
      <c r="D114" s="576">
        <v>0</v>
      </c>
      <c r="E114" s="576">
        <f t="shared" si="10"/>
        <v>0</v>
      </c>
    </row>
    <row r="115" spans="2:5">
      <c r="B115" s="574" t="s">
        <v>232</v>
      </c>
      <c r="C115" s="575">
        <f>1.33/100</f>
        <v>1.3300000000000001E-2</v>
      </c>
      <c r="D115" s="576">
        <v>0</v>
      </c>
      <c r="E115" s="576">
        <f t="shared" si="10"/>
        <v>0</v>
      </c>
    </row>
    <row r="116" spans="2:5">
      <c r="B116" s="574" t="s">
        <v>233</v>
      </c>
      <c r="C116" s="575">
        <f>6.21/100</f>
        <v>6.2100000000000002E-2</v>
      </c>
      <c r="D116" s="576">
        <v>0</v>
      </c>
      <c r="E116" s="576">
        <f t="shared" si="10"/>
        <v>0</v>
      </c>
    </row>
    <row r="117" spans="2:5">
      <c r="B117" s="786" t="s">
        <v>333</v>
      </c>
      <c r="C117" s="786"/>
      <c r="D117" s="786"/>
      <c r="E117" s="577">
        <f>SUM(E108:E116)</f>
        <v>0.15292900000000001</v>
      </c>
    </row>
  </sheetData>
  <customSheetViews>
    <customSheetView guid="{B400968E-E9A7-41C3-9739-36597C9C6BC6}" showGridLines="0" showRuler="0">
      <pane xSplit="2" ySplit="8" topLeftCell="C28" activePane="bottomRight" state="frozenSplit"/>
      <selection pane="bottomRight" activeCell="B30" sqref="B30"/>
      <pageMargins left="0.7" right="0.7" top="0.75" bottom="0.75" header="0.3" footer="0.3"/>
      <pageSetup paperSize="9" orientation="portrait"/>
      <headerFooter alignWithMargins="0"/>
    </customSheetView>
  </customSheetViews>
  <mergeCells count="29">
    <mergeCell ref="D61:F61"/>
    <mergeCell ref="I61:K61"/>
    <mergeCell ref="C12:D12"/>
    <mergeCell ref="E12:F12"/>
    <mergeCell ref="J9:K9"/>
    <mergeCell ref="H12:I12"/>
    <mergeCell ref="J12:K12"/>
    <mergeCell ref="C9:D9"/>
    <mergeCell ref="E9:F9"/>
    <mergeCell ref="D3:F3"/>
    <mergeCell ref="D4:F4"/>
    <mergeCell ref="D2:F2"/>
    <mergeCell ref="D5:F5"/>
    <mergeCell ref="H9:I9"/>
    <mergeCell ref="B71:C71"/>
    <mergeCell ref="D71:H71"/>
    <mergeCell ref="B72:C72"/>
    <mergeCell ref="D72:H72"/>
    <mergeCell ref="B73:C73"/>
    <mergeCell ref="D73:H73"/>
    <mergeCell ref="B96:E96"/>
    <mergeCell ref="B106:D106"/>
    <mergeCell ref="B107:E107"/>
    <mergeCell ref="B117:D117"/>
    <mergeCell ref="B74:C74"/>
    <mergeCell ref="D74:H74"/>
    <mergeCell ref="B77:B83"/>
    <mergeCell ref="B85:E85"/>
    <mergeCell ref="B95:D95"/>
  </mergeCells>
  <phoneticPr fontId="16" type="noConversion"/>
  <conditionalFormatting sqref="L38 L34 L19:L21 L15">
    <cfRule type="expression" dxfId="3" priority="3" stopIfTrue="1">
      <formula>IF(Select2=1,TRUE,FALSE)</formula>
    </cfRule>
  </conditionalFormatting>
  <conditionalFormatting sqref="L35 L16">
    <cfRule type="expression" dxfId="2" priority="4" stopIfTrue="1">
      <formula>IF(Select2=1,TRUE,FALSE)</formula>
    </cfRule>
    <cfRule type="expression" dxfId="1" priority="5" stopIfTrue="1">
      <formula>IF(Select2=2,TRUE,FALSE)</formula>
    </cfRule>
  </conditionalFormatting>
  <conditionalFormatting sqref="L28 L47">
    <cfRule type="expression" dxfId="0" priority="2" stopIfTrue="1">
      <formula>IF(Select2=1,TRUE,FALSE)</formula>
    </cfRule>
  </conditionalFormatting>
  <dataValidations xWindow="517" yWindow="449" count="5">
    <dataValidation type="whole" allowBlank="1" showInputMessage="1" showErrorMessage="1" errorTitle="Error in delay time" error="Please enter a whole number of months between 0 and 24" sqref="E49">
      <formula1>0</formula1>
      <formula2>24</formula2>
    </dataValidation>
    <dataValidation type="decimal" allowBlank="1" showInputMessage="1" showErrorMessage="1" error="Please enter a number between 0 and 1" sqref="E51 E55">
      <formula1>0</formula1>
      <formula2>1</formula2>
    </dataValidation>
    <dataValidation type="decimal" allowBlank="1" showInputMessage="1" showErrorMessage="1" error="Please enter a number between 0 and 10000" sqref="E34:E47">
      <formula1>0</formula1>
      <formula2>10000</formula2>
    </dataValidation>
    <dataValidation type="decimal" allowBlank="1" showInputMessage="1" showErrorMessage="1" errorTitle="Error in DOCf" error="Please enter a number between 0 and 1" promptTitle="DOCf" prompt="Please enter the fraction of the DOC which will dissimilate in the SWDS" sqref="E30">
      <formula1>0</formula1>
      <formula2>1</formula2>
    </dataValidation>
    <dataValidation type="decimal" allowBlank="1" showInputMessage="1" showErrorMessage="1" errorTitle="Error in DOC" error="Please enter a number between 0 and 1" promptTitle="DOC" prompt="Please enter the fraction of the waste by weight which is degradable organic carbon" sqref="J15:J28 E15:E28">
      <formula1>0</formula1>
      <formula2>1</formula2>
    </dataValidation>
  </dataValidations>
  <pageMargins left="0.75" right="0.75" top="1" bottom="1" header="0.5" footer="0.5"/>
  <headerFooter alignWithMargins="0"/>
  <drawing r:id="rId1"/>
  <legacyDrawing r:id="rId2"/>
  <mc:AlternateContent xmlns:mc="http://schemas.openxmlformats.org/markup-compatibility/2006">
    <mc:Choice Requires="x14">
      <controls>
        <mc:AlternateContent xmlns:mc="http://schemas.openxmlformats.org/markup-compatibility/2006">
          <mc:Choice Requires="x14">
            <control shapeId="14344" r:id="rId3" name="Drop Down 8">
              <controlPr defaultSize="0" autoLine="0" autoPict="0">
                <anchor moveWithCells="1">
                  <from>
                    <xdr:col>2</xdr:col>
                    <xdr:colOff>95250</xdr:colOff>
                    <xdr:row>31</xdr:row>
                    <xdr:rowOff>0</xdr:rowOff>
                  </from>
                  <to>
                    <xdr:col>4</xdr:col>
                    <xdr:colOff>0</xdr:colOff>
                    <xdr:row>32</xdr:row>
                    <xdr:rowOff>57150</xdr:rowOff>
                  </to>
                </anchor>
              </controlPr>
            </control>
          </mc:Choice>
        </mc:AlternateContent>
        <mc:AlternateContent xmlns:mc="http://schemas.openxmlformats.org/markup-compatibility/2006">
          <mc:Choice Requires="x14">
            <control shapeId="14345" r:id="rId4" name="Drop Down 9">
              <controlPr defaultSize="0" autoLine="0" autoPict="0">
                <anchor moveWithCells="1">
                  <from>
                    <xdr:col>2</xdr:col>
                    <xdr:colOff>95250</xdr:colOff>
                    <xdr:row>12</xdr:row>
                    <xdr:rowOff>0</xdr:rowOff>
                  </from>
                  <to>
                    <xdr:col>4</xdr:col>
                    <xdr:colOff>0</xdr:colOff>
                    <xdr:row>13</xdr:row>
                    <xdr:rowOff>57150</xdr:rowOff>
                  </to>
                </anchor>
              </controlPr>
            </control>
          </mc:Choice>
        </mc:AlternateContent>
        <mc:AlternateContent xmlns:mc="http://schemas.openxmlformats.org/markup-compatibility/2006">
          <mc:Choice Requires="x14">
            <control shapeId="14348" r:id="rId5" name="Drop Down 12">
              <controlPr defaultSize="0" autoLine="0" autoPict="0">
                <anchor moveWithCells="1">
                  <from>
                    <xdr:col>3</xdr:col>
                    <xdr:colOff>28575</xdr:colOff>
                    <xdr:row>4</xdr:row>
                    <xdr:rowOff>0</xdr:rowOff>
                  </from>
                  <to>
                    <xdr:col>6</xdr:col>
                    <xdr:colOff>0</xdr:colOff>
                    <xdr:row>5</xdr:row>
                    <xdr:rowOff>28575</xdr:rowOff>
                  </to>
                </anchor>
              </controlPr>
            </control>
          </mc:Choice>
        </mc:AlternateContent>
        <mc:AlternateContent xmlns:mc="http://schemas.openxmlformats.org/markup-compatibility/2006">
          <mc:Choice Requires="x14">
            <control shapeId="14381" r:id="rId6" name="Drop Down 45">
              <controlPr defaultSize="0" autoLine="0" autoPict="0">
                <anchor moveWithCells="1">
                  <from>
                    <xdr:col>7</xdr:col>
                    <xdr:colOff>95250</xdr:colOff>
                    <xdr:row>12</xdr:row>
                    <xdr:rowOff>0</xdr:rowOff>
                  </from>
                  <to>
                    <xdr:col>8</xdr:col>
                    <xdr:colOff>647700</xdr:colOff>
                    <xdr:row>13</xdr:row>
                    <xdr:rowOff>57150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topLeftCell="A16" workbookViewId="0">
      <selection activeCell="C19" sqref="C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309</v>
      </c>
      <c r="C2" s="224"/>
      <c r="D2" s="224"/>
      <c r="E2" s="225"/>
      <c r="F2" s="226"/>
      <c r="G2" s="226"/>
      <c r="H2" s="226"/>
      <c r="I2" s="226"/>
      <c r="J2" s="226"/>
      <c r="K2" s="226"/>
    </row>
    <row r="3" spans="1:23" ht="15">
      <c r="B3" s="243" t="str">
        <f>IF(Select2=1,"This sheet applies only to the bulk waste option and can be deleted when the waste composition option has been chosen","")</f>
        <v>This sheet applies only to the bulk waste option and can be deleted when the waste composition option has been chosen</v>
      </c>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Parameters!O26</f>
        <v>0</v>
      </c>
      <c r="O6" s="230"/>
      <c r="P6" s="231"/>
      <c r="Q6" s="222"/>
      <c r="R6" s="108" t="s">
        <v>9</v>
      </c>
      <c r="S6" s="109"/>
      <c r="T6" s="109"/>
      <c r="U6" s="113"/>
      <c r="V6" s="120" t="s">
        <v>9</v>
      </c>
      <c r="W6" s="261">
        <f>Parameters!R26</f>
        <v>0</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Parameters!O45</f>
        <v>0</v>
      </c>
      <c r="O8" s="47"/>
      <c r="P8" s="47"/>
      <c r="Q8" s="222"/>
      <c r="R8" s="108" t="s">
        <v>192</v>
      </c>
      <c r="S8" s="109"/>
      <c r="T8" s="109"/>
      <c r="U8" s="113"/>
      <c r="V8" s="120" t="s">
        <v>188</v>
      </c>
      <c r="W8" s="114">
        <f>Parameters!O45</f>
        <v>0</v>
      </c>
    </row>
    <row r="9" spans="1:23" ht="15.75">
      <c r="F9" s="247" t="s">
        <v>190</v>
      </c>
      <c r="G9" s="248"/>
      <c r="H9" s="248"/>
      <c r="I9" s="249"/>
      <c r="J9" s="250" t="s">
        <v>189</v>
      </c>
      <c r="K9" s="256" t="e">
        <f>LN(2)/$K$8</f>
        <v>#DIV/0!</v>
      </c>
      <c r="O9" s="47"/>
      <c r="P9" s="47"/>
      <c r="Q9" s="222"/>
      <c r="R9" s="247" t="s">
        <v>190</v>
      </c>
      <c r="S9" s="248"/>
      <c r="T9" s="248"/>
      <c r="U9" s="249"/>
      <c r="V9" s="250" t="s">
        <v>189</v>
      </c>
      <c r="W9" s="256" t="e">
        <f>LN(2)/$W$8</f>
        <v>#DIV/0!</v>
      </c>
    </row>
    <row r="10" spans="1:23">
      <c r="F10" s="110" t="s">
        <v>84</v>
      </c>
      <c r="G10" s="111"/>
      <c r="H10" s="111"/>
      <c r="I10" s="112"/>
      <c r="J10" s="121" t="s">
        <v>148</v>
      </c>
      <c r="K10" s="49">
        <f>EXP(-$K$8)</f>
        <v>1</v>
      </c>
      <c r="O10" s="47"/>
      <c r="P10" s="47"/>
      <c r="Q10" s="222"/>
      <c r="R10" s="110" t="s">
        <v>84</v>
      </c>
      <c r="S10" s="111"/>
      <c r="T10" s="111"/>
      <c r="U10" s="112"/>
      <c r="V10" s="121" t="s">
        <v>148</v>
      </c>
      <c r="W10" s="49">
        <f>EXP(-$W$8)</f>
        <v>1</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Amnt_Deposited!O14</f>
        <v>8.1682642359999988</v>
      </c>
      <c r="D19" s="416">
        <f>Dry_Matter_Content!O6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Amnt_Deposited!O14</f>
        <v>8.1682642359999988</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Amnt_Deposited!O15</f>
        <v>8.621399907999999</v>
      </c>
      <c r="D20" s="418">
        <f>Dry_Matter_Content!O7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Amnt_Deposited!O15</f>
        <v>8.621399907999999</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Amnt_Deposited!O16</f>
        <v>9.1091674959999995</v>
      </c>
      <c r="D21" s="418">
        <f>Dry_Matter_Content!O8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Amnt_Deposited!O16</f>
        <v>9.1091674959999995</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Amnt_Deposited!O17</f>
        <v>9.2759292120000012</v>
      </c>
      <c r="D22" s="418">
        <f>Dry_Matter_Content!O9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Amnt_Deposited!O17</f>
        <v>9.2759292120000012</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Amnt_Deposited!O18</f>
        <v>9.7867152019999999</v>
      </c>
      <c r="D23" s="418">
        <f>Dry_Matter_Content!O10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Amnt_Deposited!O18</f>
        <v>9.7867152019999999</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Amnt_Deposited!O19</f>
        <v>10.490549784000001</v>
      </c>
      <c r="D24" s="418">
        <f>Dry_Matter_Content!O11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Amnt_Deposited!O19</f>
        <v>10.490549784000001</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Amnt_Deposited!O20</f>
        <v>10.917468121999999</v>
      </c>
      <c r="D25" s="418">
        <f>Dry_Matter_Content!O12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Amnt_Deposited!O20</f>
        <v>10.917468121999999</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Amnt_Deposited!O21</f>
        <v>11.356834478000001</v>
      </c>
      <c r="D26" s="418">
        <f>Dry_Matter_Content!O13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Amnt_Deposited!O21</f>
        <v>11.356834478000001</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Amnt_Deposited!O22</f>
        <v>11.807744805999999</v>
      </c>
      <c r="D27" s="418">
        <f>Dry_Matter_Content!O14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Amnt_Deposited!O22</f>
        <v>11.807744805999999</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Amnt_Deposited!O23</f>
        <v>12.268738724</v>
      </c>
      <c r="D28" s="418">
        <f>Dry_Matter_Content!O15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Amnt_Deposited!O23</f>
        <v>12.268738724</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Amnt_Deposited!O24</f>
        <v>12.453511817999999</v>
      </c>
      <c r="D29" s="418">
        <f>Dry_Matter_Content!O16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Amnt_Deposited!O24</f>
        <v>12.453511817999999</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Amnt_Deposited!O25</f>
        <v>11.75803492</v>
      </c>
      <c r="D30" s="418">
        <f>Dry_Matter_Content!O17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Amnt_Deposited!O25</f>
        <v>11.75803492</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Amnt_Deposited!O26</f>
        <v>12.111434720000002</v>
      </c>
      <c r="D31" s="418">
        <f>Dry_Matter_Content!O18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Amnt_Deposited!O26</f>
        <v>12.111434720000002</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Amnt_Deposited!O27</f>
        <v>12.478869360000001</v>
      </c>
      <c r="D32" s="418">
        <f>Dry_Matter_Content!O19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Amnt_Deposited!O27</f>
        <v>12.478869360000001</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Amnt_Deposited!O28</f>
        <v>12.84775806</v>
      </c>
      <c r="D33" s="418">
        <f>Dry_Matter_Content!O20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Amnt_Deposited!O28</f>
        <v>12.84775806</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Amnt_Deposited!O29</f>
        <v>13.206215460000001</v>
      </c>
      <c r="D34" s="418">
        <f>Dry_Matter_Content!O21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Amnt_Deposited!O29</f>
        <v>13.206215460000001</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Amnt_Deposited!O30</f>
        <v>13.581426160000003</v>
      </c>
      <c r="D35" s="418">
        <f>Dry_Matter_Content!O22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Amnt_Deposited!O30</f>
        <v>13.581426160000003</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Amnt_Deposited!O31</f>
        <v>14.053755424000002</v>
      </c>
      <c r="D36" s="418">
        <f>Dry_Matter_Content!O23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Amnt_Deposited!O31</f>
        <v>14.053755424000002</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Amnt_Deposited!O32</f>
        <v>14.439643981999998</v>
      </c>
      <c r="D37" s="418">
        <f>Dry_Matter_Content!O24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Amnt_Deposited!O32</f>
        <v>14.439643981999998</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Amnt_Deposited!O33</f>
        <v>14.825532540000001</v>
      </c>
      <c r="D38" s="418">
        <f>Dry_Matter_Content!O25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Amnt_Deposited!O33</f>
        <v>14.825532540000001</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Amnt_Deposited!O34</f>
        <v>15.211421097999999</v>
      </c>
      <c r="D39" s="418">
        <f>Dry_Matter_Content!O26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Amnt_Deposited!O34</f>
        <v>15.211421097999999</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Amnt_Deposited!O35</f>
        <v>15.597309655999998</v>
      </c>
      <c r="D40" s="418">
        <f>Dry_Matter_Content!O27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Amnt_Deposited!O35</f>
        <v>15.597309655999998</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Amnt_Deposited!O36</f>
        <v>15.983198213999998</v>
      </c>
      <c r="D41" s="418">
        <f>Dry_Matter_Content!O28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Amnt_Deposited!O36</f>
        <v>15.983198213999998</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Amnt_Deposited!O37</f>
        <v>16.369086771999999</v>
      </c>
      <c r="D42" s="418">
        <f>Dry_Matter_Content!O29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Amnt_Deposited!O37</f>
        <v>16.369086771999999</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Amnt_Deposited!O38</f>
        <v>16.754975330000001</v>
      </c>
      <c r="D43" s="418">
        <f>Dry_Matter_Content!O30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Amnt_Deposited!O38</f>
        <v>16.754975330000001</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Amnt_Deposited!O39</f>
        <v>17.140863888000002</v>
      </c>
      <c r="D44" s="418">
        <f>Dry_Matter_Content!O31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Amnt_Deposited!O39</f>
        <v>17.140863888000002</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Amnt_Deposited!O40</f>
        <v>17.526752446</v>
      </c>
      <c r="D45" s="418">
        <f>Dry_Matter_Content!O32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Amnt_Deposited!O40</f>
        <v>17.526752446</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Amnt_Deposited!O41</f>
        <v>17.912641003999997</v>
      </c>
      <c r="D46" s="418">
        <f>Dry_Matter_Content!O33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Amnt_Deposited!O41</f>
        <v>17.912641003999997</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Amnt_Deposited!O42</f>
        <v>18.298529561999999</v>
      </c>
      <c r="D47" s="418">
        <f>Dry_Matter_Content!O34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Amnt_Deposited!O42</f>
        <v>18.298529561999999</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Amnt_Deposited!O43</f>
        <v>18.68441812</v>
      </c>
      <c r="D48" s="418">
        <f>Dry_Matter_Content!O35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Amnt_Deposited!O43</f>
        <v>18.68441812</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Amnt_Deposited!O44</f>
        <v>19.070306678000005</v>
      </c>
      <c r="D49" s="418">
        <f>Dry_Matter_Content!O36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Amnt_Deposited!O44</f>
        <v>19.070306678000005</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Amnt_Deposited!O45</f>
        <v>0</v>
      </c>
      <c r="D50" s="418">
        <f>Dry_Matter_Content!O37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Amnt_Deposited!O45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Amnt_Deposited!O46</f>
        <v>0</v>
      </c>
      <c r="D51" s="418">
        <f>Dry_Matter_Content!O38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Amnt_Deposited!O46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Amnt_Deposited!O47</f>
        <v>0</v>
      </c>
      <c r="D52" s="418">
        <f>Dry_Matter_Content!O39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Amnt_Deposited!O47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Amnt_Deposited!O48</f>
        <v>0</v>
      </c>
      <c r="D53" s="418">
        <f>Dry_Matter_Content!O40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Amnt_Deposited!O48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Amnt_Deposited!O49</f>
        <v>0</v>
      </c>
      <c r="D54" s="418">
        <f>Dry_Matter_Content!O41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Amnt_Deposited!O49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Amnt_Deposited!O50</f>
        <v>0</v>
      </c>
      <c r="D55" s="418">
        <f>Dry_Matter_Content!O42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Amnt_Deposited!O50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Amnt_Deposited!O51</f>
        <v>0</v>
      </c>
      <c r="D56" s="418">
        <f>Dry_Matter_Content!O43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Amnt_Deposited!O51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Amnt_Deposited!O52</f>
        <v>0</v>
      </c>
      <c r="D57" s="418">
        <f>Dry_Matter_Content!O44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Amnt_Deposited!O52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Amnt_Deposited!O53</f>
        <v>0</v>
      </c>
      <c r="D58" s="418">
        <f>Dry_Matter_Content!O45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Amnt_Deposited!O53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Amnt_Deposited!O54</f>
        <v>0</v>
      </c>
      <c r="D59" s="418">
        <f>Dry_Matter_Content!O46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Amnt_Deposited!O54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Amnt_Deposited!O55</f>
        <v>0</v>
      </c>
      <c r="D60" s="418">
        <f>Dry_Matter_Content!O47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Amnt_Deposited!O55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Amnt_Deposited!O56</f>
        <v>0</v>
      </c>
      <c r="D61" s="418">
        <f>Dry_Matter_Content!O48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Amnt_Deposited!O56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Amnt_Deposited!O57</f>
        <v>0</v>
      </c>
      <c r="D62" s="418">
        <f>Dry_Matter_Content!O49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Amnt_Deposited!O57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Amnt_Deposited!O58</f>
        <v>0</v>
      </c>
      <c r="D63" s="418">
        <f>Dry_Matter_Content!O50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Amnt_Deposited!O58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Amnt_Deposited!O59</f>
        <v>0</v>
      </c>
      <c r="D64" s="418">
        <f>Dry_Matter_Content!O51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Amnt_Deposited!O59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Amnt_Deposited!O60</f>
        <v>0</v>
      </c>
      <c r="D65" s="418">
        <f>Dry_Matter_Content!O52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Amnt_Deposited!O60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Amnt_Deposited!O61</f>
        <v>0</v>
      </c>
      <c r="D66" s="418">
        <f>Dry_Matter_Content!O53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Amnt_Deposited!O61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Amnt_Deposited!O62</f>
        <v>0</v>
      </c>
      <c r="D67" s="418">
        <f>Dry_Matter_Content!O54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Amnt_Deposited!O62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Amnt_Deposited!O63</f>
        <v>0</v>
      </c>
      <c r="D68" s="418">
        <f>Dry_Matter_Content!O55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Amnt_Deposited!O63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Amnt_Deposited!O64</f>
        <v>0</v>
      </c>
      <c r="D69" s="418">
        <f>Dry_Matter_Content!O56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Amnt_Deposited!O64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Amnt_Deposited!O65</f>
        <v>0</v>
      </c>
      <c r="D70" s="418">
        <f>Dry_Matter_Content!O57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Amnt_Deposited!O65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Amnt_Deposited!O66</f>
        <v>0</v>
      </c>
      <c r="D71" s="418">
        <f>Dry_Matter_Content!O58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Amnt_Deposited!O66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Amnt_Deposited!O67</f>
        <v>0</v>
      </c>
      <c r="D72" s="418">
        <f>Dry_Matter_Content!O59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Amnt_Deposited!O67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Amnt_Deposited!O68</f>
        <v>0</v>
      </c>
      <c r="D73" s="418">
        <f>Dry_Matter_Content!O60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Amnt_Deposited!O68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Amnt_Deposited!O69</f>
        <v>0</v>
      </c>
      <c r="D74" s="418">
        <f>Dry_Matter_Content!O61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Amnt_Deposited!O69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Amnt_Deposited!O70</f>
        <v>0</v>
      </c>
      <c r="D75" s="418">
        <f>Dry_Matter_Content!O62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Amnt_Deposited!O70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Amnt_Deposited!O71</f>
        <v>0</v>
      </c>
      <c r="D76" s="418">
        <f>Dry_Matter_Content!O63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Amnt_Deposited!O71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Amnt_Deposited!O72</f>
        <v>0</v>
      </c>
      <c r="D77" s="418">
        <f>Dry_Matter_Content!O64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Amnt_Deposited!O72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Amnt_Deposited!O73</f>
        <v>0</v>
      </c>
      <c r="D78" s="418">
        <f>Dry_Matter_Content!O65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Amnt_Deposited!O73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Amnt_Deposited!O74</f>
        <v>0</v>
      </c>
      <c r="D79" s="418">
        <f>Dry_Matter_Content!O66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Amnt_Deposited!O74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Amnt_Deposited!O75</f>
        <v>0</v>
      </c>
      <c r="D80" s="418">
        <f>Dry_Matter_Content!O67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Amnt_Deposited!O75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Amnt_Deposited!O76</f>
        <v>0</v>
      </c>
      <c r="D81" s="418">
        <f>Dry_Matter_Content!O68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Amnt_Deposited!O76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Amnt_Deposited!O77</f>
        <v>0</v>
      </c>
      <c r="D82" s="418">
        <f>Dry_Matter_Content!O69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Amnt_Deposited!O77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Amnt_Deposited!O78</f>
        <v>0</v>
      </c>
      <c r="D83" s="418">
        <f>Dry_Matter_Content!O70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Amnt_Deposited!O78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Amnt_Deposited!O79</f>
        <v>0</v>
      </c>
      <c r="D84" s="418">
        <f>Dry_Matter_Content!O71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Amnt_Deposited!O79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Amnt_Deposited!O80</f>
        <v>0</v>
      </c>
      <c r="D85" s="418">
        <f>Dry_Matter_Content!O72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Amnt_Deposited!O80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Amnt_Deposited!O81</f>
        <v>0</v>
      </c>
      <c r="D86" s="418">
        <f>Dry_Matter_Content!O73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Amnt_Deposited!O81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Amnt_Deposited!O82</f>
        <v>0</v>
      </c>
      <c r="D87" s="418">
        <f>Dry_Matter_Content!O74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Amnt_Deposited!O82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Amnt_Deposited!O83</f>
        <v>0</v>
      </c>
      <c r="D88" s="418">
        <f>Dry_Matter_Content!O75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Amnt_Deposited!O83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Amnt_Deposited!O84</f>
        <v>0</v>
      </c>
      <c r="D89" s="418">
        <f>Dry_Matter_Content!O76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Amnt_Deposited!O84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Amnt_Deposited!O85</f>
        <v>0</v>
      </c>
      <c r="D90" s="418">
        <f>Dry_Matter_Content!O77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Amnt_Deposited!O85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Amnt_Deposited!O86</f>
        <v>0</v>
      </c>
      <c r="D91" s="418">
        <f>Dry_Matter_Content!O78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Amnt_Deposited!O86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Amnt_Deposited!O87</f>
        <v>0</v>
      </c>
      <c r="D92" s="418">
        <f>Dry_Matter_Content!O79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Amnt_Deposited!O87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Amnt_Deposited!O88</f>
        <v>0</v>
      </c>
      <c r="D93" s="418">
        <f>Dry_Matter_Content!O80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Amnt_Deposited!O88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Amnt_Deposited!O89</f>
        <v>0</v>
      </c>
      <c r="D94" s="418">
        <f>Dry_Matter_Content!O81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Amnt_Deposited!O89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Amnt_Deposited!O90</f>
        <v>0</v>
      </c>
      <c r="D95" s="418">
        <f>Dry_Matter_Content!O82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Amnt_Deposited!O90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Amnt_Deposited!O91</f>
        <v>0</v>
      </c>
      <c r="D96" s="418">
        <f>Dry_Matter_Content!O83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Amnt_Deposited!O91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Amnt_Deposited!O92</f>
        <v>0</v>
      </c>
      <c r="D97" s="418">
        <f>Dry_Matter_Content!O84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Amnt_Deposited!O92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Amnt_Deposited!O93</f>
        <v>0</v>
      </c>
      <c r="D98" s="418">
        <f>Dry_Matter_Content!O85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Amnt_Deposited!O93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Amnt_Deposited!O94</f>
        <v>0</v>
      </c>
      <c r="D99" s="419">
        <f>Dry_Matter_Content!O86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Amnt_Deposited!O94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W99"/>
  <sheetViews>
    <sheetView showGridLines="0" workbookViewId="0">
      <selection activeCell="P19" sqref="P19"/>
    </sheetView>
  </sheetViews>
  <sheetFormatPr defaultColWidth="8.85546875" defaultRowHeight="12.75"/>
  <cols>
    <col min="1" max="1" width="3.42578125" style="47" customWidth="1"/>
    <col min="2" max="2" width="5.28515625" style="47" customWidth="1"/>
    <col min="3" max="4" width="9" style="47" customWidth="1"/>
    <col min="5" max="5" width="7.42578125" style="222" customWidth="1"/>
    <col min="6" max="6" width="10.85546875" style="47" customWidth="1"/>
    <col min="7" max="7" width="10.7109375" style="47" customWidth="1"/>
    <col min="8" max="8" width="10.140625" style="47" customWidth="1"/>
    <col min="9" max="9" width="14.42578125" style="47" customWidth="1"/>
    <col min="10" max="10" width="12" style="47" customWidth="1"/>
    <col min="11" max="11" width="10.28515625" style="47" customWidth="1"/>
    <col min="12" max="12" width="8.85546875" style="6"/>
    <col min="13" max="13" width="2.7109375" style="392" customWidth="1"/>
    <col min="14" max="16384" width="8.85546875" style="6"/>
  </cols>
  <sheetData>
    <row r="2" spans="1:23" ht="15.75">
      <c r="B2" s="45" t="s">
        <v>310</v>
      </c>
      <c r="C2" s="224"/>
      <c r="D2" s="224"/>
      <c r="E2" s="225"/>
      <c r="F2" s="226"/>
      <c r="G2" s="226"/>
      <c r="H2" s="226"/>
      <c r="I2" s="226"/>
      <c r="J2" s="226"/>
      <c r="K2" s="226"/>
    </row>
    <row r="3" spans="1:23" ht="15">
      <c r="B3" s="243"/>
      <c r="C3" s="224"/>
      <c r="D3" s="224"/>
      <c r="E3" s="225"/>
      <c r="F3" s="226"/>
      <c r="G3" s="226"/>
      <c r="H3" s="226"/>
      <c r="I3" s="226"/>
      <c r="J3" s="226"/>
      <c r="K3" s="226"/>
    </row>
    <row r="4" spans="1:23" ht="16.5" thickBot="1">
      <c r="B4" s="227"/>
      <c r="C4" s="228"/>
      <c r="D4" s="228"/>
      <c r="E4" s="257"/>
      <c r="F4" s="229"/>
      <c r="G4" s="229"/>
      <c r="H4" s="229"/>
      <c r="I4" s="229"/>
      <c r="J4" s="229"/>
      <c r="K4" s="229"/>
    </row>
    <row r="5" spans="1:23" ht="26.25" thickBot="1">
      <c r="B5" s="230"/>
      <c r="C5" s="231"/>
      <c r="D5" s="231"/>
      <c r="F5" s="232"/>
      <c r="G5" s="216"/>
      <c r="H5" s="216"/>
      <c r="I5" s="216"/>
      <c r="J5" s="216"/>
      <c r="K5" s="115" t="s">
        <v>7</v>
      </c>
      <c r="O5" s="230"/>
      <c r="P5" s="231"/>
      <c r="Q5" s="222"/>
      <c r="R5" s="232"/>
      <c r="S5" s="216"/>
      <c r="T5" s="216"/>
      <c r="U5" s="216"/>
      <c r="V5" s="216"/>
      <c r="W5" s="115" t="s">
        <v>7</v>
      </c>
    </row>
    <row r="6" spans="1:23">
      <c r="B6" s="230"/>
      <c r="C6" s="231"/>
      <c r="D6" s="231"/>
      <c r="F6" s="108" t="s">
        <v>9</v>
      </c>
      <c r="G6" s="109"/>
      <c r="H6" s="109"/>
      <c r="I6" s="113"/>
      <c r="J6" s="120" t="s">
        <v>9</v>
      </c>
      <c r="K6" s="261">
        <f>Parameters!O28</f>
        <v>0</v>
      </c>
      <c r="O6" s="230"/>
      <c r="P6" s="231"/>
      <c r="Q6" s="222"/>
      <c r="R6" s="108" t="s">
        <v>9</v>
      </c>
      <c r="S6" s="109"/>
      <c r="T6" s="109"/>
      <c r="U6" s="113"/>
      <c r="V6" s="120" t="s">
        <v>9</v>
      </c>
      <c r="W6" s="261">
        <f>Parameters!R28</f>
        <v>0.15</v>
      </c>
    </row>
    <row r="7" spans="1:23" ht="13.5" thickBot="1">
      <c r="B7" s="230"/>
      <c r="C7" s="231"/>
      <c r="D7" s="231"/>
      <c r="F7" s="251" t="s">
        <v>12</v>
      </c>
      <c r="G7" s="252"/>
      <c r="H7" s="252"/>
      <c r="I7" s="253"/>
      <c r="J7" s="254" t="s">
        <v>12</v>
      </c>
      <c r="K7" s="255">
        <f>DOCF</f>
        <v>0.5</v>
      </c>
      <c r="O7" s="230"/>
      <c r="P7" s="231"/>
      <c r="Q7" s="222"/>
      <c r="R7" s="251" t="s">
        <v>12</v>
      </c>
      <c r="S7" s="252"/>
      <c r="T7" s="252"/>
      <c r="U7" s="253"/>
      <c r="V7" s="254" t="s">
        <v>12</v>
      </c>
      <c r="W7" s="255">
        <f>DOCF</f>
        <v>0.5</v>
      </c>
    </row>
    <row r="8" spans="1:23">
      <c r="F8" s="108" t="s">
        <v>192</v>
      </c>
      <c r="G8" s="109"/>
      <c r="H8" s="109"/>
      <c r="I8" s="113"/>
      <c r="J8" s="120" t="s">
        <v>188</v>
      </c>
      <c r="K8" s="114">
        <f>Parameters!O47</f>
        <v>0.17</v>
      </c>
      <c r="O8" s="47"/>
      <c r="P8" s="47"/>
      <c r="Q8" s="222"/>
      <c r="R8" s="108" t="s">
        <v>192</v>
      </c>
      <c r="S8" s="109"/>
      <c r="T8" s="109"/>
      <c r="U8" s="113"/>
      <c r="V8" s="120" t="s">
        <v>188</v>
      </c>
      <c r="W8" s="114">
        <f>Parameters!O47</f>
        <v>0.17</v>
      </c>
    </row>
    <row r="9" spans="1:23" ht="15.75">
      <c r="F9" s="247" t="s">
        <v>190</v>
      </c>
      <c r="G9" s="248"/>
      <c r="H9" s="248"/>
      <c r="I9" s="249"/>
      <c r="J9" s="250" t="s">
        <v>189</v>
      </c>
      <c r="K9" s="256">
        <f>LN(2)/$K$8</f>
        <v>4.077336356234972</v>
      </c>
      <c r="O9" s="47"/>
      <c r="P9" s="47"/>
      <c r="Q9" s="222"/>
      <c r="R9" s="247" t="s">
        <v>190</v>
      </c>
      <c r="S9" s="248"/>
      <c r="T9" s="248"/>
      <c r="U9" s="249"/>
      <c r="V9" s="250" t="s">
        <v>189</v>
      </c>
      <c r="W9" s="256">
        <f>LN(2)/$W$8</f>
        <v>4.077336356234972</v>
      </c>
    </row>
    <row r="10" spans="1:23">
      <c r="F10" s="110" t="s">
        <v>84</v>
      </c>
      <c r="G10" s="111"/>
      <c r="H10" s="111"/>
      <c r="I10" s="112"/>
      <c r="J10" s="121" t="s">
        <v>148</v>
      </c>
      <c r="K10" s="49">
        <f>EXP(-$K$8)</f>
        <v>0.8436648165963837</v>
      </c>
      <c r="O10" s="47"/>
      <c r="P10" s="47"/>
      <c r="Q10" s="222"/>
      <c r="R10" s="110" t="s">
        <v>84</v>
      </c>
      <c r="S10" s="111"/>
      <c r="T10" s="111"/>
      <c r="U10" s="112"/>
      <c r="V10" s="121" t="s">
        <v>148</v>
      </c>
      <c r="W10" s="49">
        <f>EXP(-$W$8)</f>
        <v>0.8436648165963837</v>
      </c>
    </row>
    <row r="11" spans="1:23">
      <c r="F11" s="110" t="s">
        <v>8</v>
      </c>
      <c r="G11" s="111"/>
      <c r="H11" s="111"/>
      <c r="I11" s="112"/>
      <c r="J11" s="121" t="s">
        <v>83</v>
      </c>
      <c r="K11" s="49">
        <v>13</v>
      </c>
      <c r="O11" s="47"/>
      <c r="P11" s="47"/>
      <c r="Q11" s="222"/>
      <c r="R11" s="110" t="s">
        <v>8</v>
      </c>
      <c r="S11" s="111"/>
      <c r="T11" s="111"/>
      <c r="U11" s="112"/>
      <c r="V11" s="121" t="s">
        <v>83</v>
      </c>
      <c r="W11" s="49">
        <v>13</v>
      </c>
    </row>
    <row r="12" spans="1:23" ht="13.5" thickBot="1">
      <c r="F12" s="217" t="s">
        <v>85</v>
      </c>
      <c r="G12" s="218"/>
      <c r="H12" s="218"/>
      <c r="I12" s="219"/>
      <c r="J12" s="220" t="s">
        <v>179</v>
      </c>
      <c r="K12" s="221">
        <f>EXP(-$K$8*((13-K11)/12))</f>
        <v>1</v>
      </c>
      <c r="O12" s="47"/>
      <c r="P12" s="47"/>
      <c r="Q12" s="222"/>
      <c r="R12" s="217" t="s">
        <v>85</v>
      </c>
      <c r="S12" s="218"/>
      <c r="T12" s="218"/>
      <c r="U12" s="219"/>
      <c r="V12" s="220" t="s">
        <v>179</v>
      </c>
      <c r="W12" s="221">
        <f>EXP(-$W$8*((13-W11)/12))</f>
        <v>1</v>
      </c>
    </row>
    <row r="13" spans="1:23" ht="13.5" thickBot="1">
      <c r="C13" s="50"/>
      <c r="D13" s="50"/>
      <c r="F13" s="116" t="s">
        <v>86</v>
      </c>
      <c r="G13" s="117"/>
      <c r="H13" s="117"/>
      <c r="I13" s="118"/>
      <c r="J13" s="122" t="s">
        <v>82</v>
      </c>
      <c r="K13" s="119">
        <f>CH4_fraction</f>
        <v>0.5</v>
      </c>
      <c r="O13" s="47"/>
      <c r="P13" s="50"/>
      <c r="Q13" s="222"/>
      <c r="R13" s="116" t="s">
        <v>86</v>
      </c>
      <c r="S13" s="117"/>
      <c r="T13" s="117"/>
      <c r="U13" s="118"/>
      <c r="V13" s="122" t="s">
        <v>82</v>
      </c>
      <c r="W13" s="119">
        <f>CH4_fraction</f>
        <v>0.5</v>
      </c>
    </row>
    <row r="14" spans="1:23" ht="13.5" thickBot="1">
      <c r="F14" s="48"/>
      <c r="G14" s="48"/>
      <c r="H14" s="48"/>
      <c r="I14" s="48"/>
      <c r="J14" s="48"/>
      <c r="K14" s="48"/>
      <c r="O14" s="47"/>
      <c r="P14" s="47"/>
      <c r="Q14" s="222"/>
      <c r="R14" s="48"/>
      <c r="S14" s="48"/>
      <c r="T14" s="48"/>
      <c r="U14" s="48"/>
      <c r="V14" s="48"/>
      <c r="W14" s="48"/>
    </row>
    <row r="15" spans="1:23" ht="89.25">
      <c r="B15" s="51" t="s">
        <v>1</v>
      </c>
      <c r="C15" s="52" t="s">
        <v>10</v>
      </c>
      <c r="D15" s="379" t="s">
        <v>239</v>
      </c>
      <c r="E15" s="53" t="s">
        <v>11</v>
      </c>
      <c r="F15" s="54" t="s">
        <v>180</v>
      </c>
      <c r="G15" s="54" t="s">
        <v>181</v>
      </c>
      <c r="H15" s="54" t="s">
        <v>182</v>
      </c>
      <c r="I15" s="54" t="s">
        <v>183</v>
      </c>
      <c r="J15" s="54" t="s">
        <v>184</v>
      </c>
      <c r="K15" s="246" t="s">
        <v>185</v>
      </c>
      <c r="O15" s="51" t="s">
        <v>1</v>
      </c>
      <c r="P15" s="52" t="s">
        <v>10</v>
      </c>
      <c r="Q15" s="53" t="s">
        <v>11</v>
      </c>
      <c r="R15" s="54" t="s">
        <v>180</v>
      </c>
      <c r="S15" s="54" t="s">
        <v>181</v>
      </c>
      <c r="T15" s="54" t="s">
        <v>182</v>
      </c>
      <c r="U15" s="54" t="s">
        <v>183</v>
      </c>
      <c r="V15" s="54" t="s">
        <v>184</v>
      </c>
      <c r="W15" s="246" t="s">
        <v>185</v>
      </c>
    </row>
    <row r="16" spans="1:23" ht="45">
      <c r="A16" s="233"/>
      <c r="B16" s="103"/>
      <c r="C16" s="104" t="s">
        <v>186</v>
      </c>
      <c r="D16" s="104" t="s">
        <v>240</v>
      </c>
      <c r="E16" s="105" t="s">
        <v>11</v>
      </c>
      <c r="F16" s="106" t="s">
        <v>254</v>
      </c>
      <c r="G16" s="106" t="s">
        <v>149</v>
      </c>
      <c r="H16" s="106" t="s">
        <v>150</v>
      </c>
      <c r="I16" s="106" t="s">
        <v>151</v>
      </c>
      <c r="J16" s="106" t="s">
        <v>191</v>
      </c>
      <c r="K16" s="107" t="s">
        <v>152</v>
      </c>
      <c r="O16" s="103"/>
      <c r="P16" s="104" t="s">
        <v>186</v>
      </c>
      <c r="Q16" s="105" t="s">
        <v>11</v>
      </c>
      <c r="R16" s="106" t="s">
        <v>187</v>
      </c>
      <c r="S16" s="106" t="s">
        <v>149</v>
      </c>
      <c r="T16" s="106" t="s">
        <v>150</v>
      </c>
      <c r="U16" s="106" t="s">
        <v>151</v>
      </c>
      <c r="V16" s="106" t="s">
        <v>191</v>
      </c>
      <c r="W16" s="107" t="s">
        <v>152</v>
      </c>
    </row>
    <row r="17" spans="2:23" ht="13.5" thickBot="1">
      <c r="B17" s="55"/>
      <c r="C17" s="56" t="s">
        <v>15</v>
      </c>
      <c r="D17" s="57" t="s">
        <v>20</v>
      </c>
      <c r="E17" s="57" t="s">
        <v>20</v>
      </c>
      <c r="F17" s="58" t="s">
        <v>15</v>
      </c>
      <c r="G17" s="58" t="s">
        <v>15</v>
      </c>
      <c r="H17" s="58" t="s">
        <v>15</v>
      </c>
      <c r="I17" s="58" t="s">
        <v>15</v>
      </c>
      <c r="J17" s="58" t="s">
        <v>15</v>
      </c>
      <c r="K17" s="59" t="s">
        <v>15</v>
      </c>
      <c r="O17" s="55"/>
      <c r="P17" s="56" t="s">
        <v>15</v>
      </c>
      <c r="Q17" s="57" t="s">
        <v>20</v>
      </c>
      <c r="R17" s="58" t="s">
        <v>15</v>
      </c>
      <c r="S17" s="58" t="s">
        <v>15</v>
      </c>
      <c r="T17" s="58" t="s">
        <v>15</v>
      </c>
      <c r="U17" s="58" t="s">
        <v>15</v>
      </c>
      <c r="V17" s="58" t="s">
        <v>15</v>
      </c>
      <c r="W17" s="59" t="s">
        <v>15</v>
      </c>
    </row>
    <row r="18" spans="2:23" ht="13.5" thickBot="1">
      <c r="B18" s="60"/>
      <c r="C18" s="61"/>
      <c r="D18" s="61"/>
      <c r="E18" s="62"/>
      <c r="F18" s="131"/>
      <c r="G18" s="63"/>
      <c r="H18" s="63"/>
      <c r="I18" s="63"/>
      <c r="J18" s="63"/>
      <c r="K18" s="64"/>
      <c r="O18" s="60"/>
      <c r="P18" s="61"/>
      <c r="Q18" s="62"/>
      <c r="R18" s="131"/>
      <c r="S18" s="63"/>
      <c r="T18" s="63"/>
      <c r="U18" s="63"/>
      <c r="V18" s="63"/>
      <c r="W18" s="64"/>
    </row>
    <row r="19" spans="2:23">
      <c r="B19" s="95">
        <f>Amnt_Deposited!B14</f>
        <v>2000</v>
      </c>
      <c r="C19" s="98">
        <f>Amnt_Deposited!P14</f>
        <v>0</v>
      </c>
      <c r="D19" s="416">
        <f>Dry_Matter_Content!P6</f>
        <v>0</v>
      </c>
      <c r="E19" s="283">
        <f>MCF!R18</f>
        <v>1</v>
      </c>
      <c r="F19" s="130">
        <f t="shared" ref="F19:F82" si="0">C19*D19*$K$6*DOCF*E19</f>
        <v>0</v>
      </c>
      <c r="G19" s="65">
        <f t="shared" ref="G19:G82" si="1">F19*$K$12</f>
        <v>0</v>
      </c>
      <c r="H19" s="65">
        <f t="shared" ref="H19:H82" si="2">F19*(1-$K$12)</f>
        <v>0</v>
      </c>
      <c r="I19" s="65">
        <f t="shared" ref="I19:I82" si="3">G19+I18*$K$10</f>
        <v>0</v>
      </c>
      <c r="J19" s="65">
        <f t="shared" ref="J19:J82" si="4">I18*(1-$K$10)+H19</f>
        <v>0</v>
      </c>
      <c r="K19" s="66">
        <f>J19*CH4_fraction*conv</f>
        <v>0</v>
      </c>
      <c r="O19" s="95">
        <f>Amnt_Deposited!B14</f>
        <v>2000</v>
      </c>
      <c r="P19" s="98">
        <f>Amnt_Deposited!P14</f>
        <v>0</v>
      </c>
      <c r="Q19" s="283">
        <f>MCF!R18</f>
        <v>1</v>
      </c>
      <c r="R19" s="130">
        <f t="shared" ref="R19:R82" si="5">P19*$W$6*DOCF*Q19</f>
        <v>0</v>
      </c>
      <c r="S19" s="65">
        <f>R19*$W$12</f>
        <v>0</v>
      </c>
      <c r="T19" s="65">
        <f>R19*(1-$W$12)</f>
        <v>0</v>
      </c>
      <c r="U19" s="65">
        <f>S19+U18*$W$10</f>
        <v>0</v>
      </c>
      <c r="V19" s="65">
        <f>U18*(1-$W$10)+T19</f>
        <v>0</v>
      </c>
      <c r="W19" s="66">
        <f>V19*CH4_fraction*conv</f>
        <v>0</v>
      </c>
    </row>
    <row r="20" spans="2:23">
      <c r="B20" s="96">
        <f>Amnt_Deposited!B15</f>
        <v>2001</v>
      </c>
      <c r="C20" s="99">
        <f>Amnt_Deposited!P15</f>
        <v>0</v>
      </c>
      <c r="D20" s="418">
        <f>Dry_Matter_Content!P7</f>
        <v>0</v>
      </c>
      <c r="E20" s="284">
        <f>MCF!R19</f>
        <v>1</v>
      </c>
      <c r="F20" s="67">
        <f t="shared" si="0"/>
        <v>0</v>
      </c>
      <c r="G20" s="67">
        <f t="shared" si="1"/>
        <v>0</v>
      </c>
      <c r="H20" s="67">
        <f t="shared" si="2"/>
        <v>0</v>
      </c>
      <c r="I20" s="67">
        <f t="shared" si="3"/>
        <v>0</v>
      </c>
      <c r="J20" s="67">
        <f t="shared" si="4"/>
        <v>0</v>
      </c>
      <c r="K20" s="100">
        <f>J20*CH4_fraction*conv</f>
        <v>0</v>
      </c>
      <c r="M20" s="393"/>
      <c r="O20" s="96">
        <f>Amnt_Deposited!B15</f>
        <v>2001</v>
      </c>
      <c r="P20" s="99">
        <f>Amnt_Deposited!P15</f>
        <v>0</v>
      </c>
      <c r="Q20" s="284">
        <f>MCF!R19</f>
        <v>1</v>
      </c>
      <c r="R20" s="67">
        <f t="shared" si="5"/>
        <v>0</v>
      </c>
      <c r="S20" s="67">
        <f>R20*$W$12</f>
        <v>0</v>
      </c>
      <c r="T20" s="67">
        <f>R20*(1-$W$12)</f>
        <v>0</v>
      </c>
      <c r="U20" s="67">
        <f>S20+U19*$W$10</f>
        <v>0</v>
      </c>
      <c r="V20" s="67">
        <f>U19*(1-$W$10)+T20</f>
        <v>0</v>
      </c>
      <c r="W20" s="100">
        <f>V20*CH4_fraction*conv</f>
        <v>0</v>
      </c>
    </row>
    <row r="21" spans="2:23">
      <c r="B21" s="96">
        <f>Amnt_Deposited!B16</f>
        <v>2002</v>
      </c>
      <c r="C21" s="99">
        <f>Amnt_Deposited!P16</f>
        <v>0</v>
      </c>
      <c r="D21" s="418">
        <f>Dry_Matter_Content!P8</f>
        <v>0</v>
      </c>
      <c r="E21" s="284">
        <f>MCF!R20</f>
        <v>1</v>
      </c>
      <c r="F21" s="67">
        <f t="shared" si="0"/>
        <v>0</v>
      </c>
      <c r="G21" s="67">
        <f t="shared" si="1"/>
        <v>0</v>
      </c>
      <c r="H21" s="67">
        <f t="shared" si="2"/>
        <v>0</v>
      </c>
      <c r="I21" s="67">
        <f t="shared" si="3"/>
        <v>0</v>
      </c>
      <c r="J21" s="67">
        <f t="shared" si="4"/>
        <v>0</v>
      </c>
      <c r="K21" s="100">
        <f t="shared" ref="K21:K84" si="6">J21*CH4_fraction*conv</f>
        <v>0</v>
      </c>
      <c r="O21" s="96">
        <f>Amnt_Deposited!B16</f>
        <v>2002</v>
      </c>
      <c r="P21" s="99">
        <f>Amnt_Deposited!P16</f>
        <v>0</v>
      </c>
      <c r="Q21" s="284">
        <f>MCF!R20</f>
        <v>1</v>
      </c>
      <c r="R21" s="67">
        <f t="shared" si="5"/>
        <v>0</v>
      </c>
      <c r="S21" s="67">
        <f t="shared" ref="S21:S84" si="7">R21*$W$12</f>
        <v>0</v>
      </c>
      <c r="T21" s="67">
        <f t="shared" ref="T21:T84" si="8">R21*(1-$W$12)</f>
        <v>0</v>
      </c>
      <c r="U21" s="67">
        <f t="shared" ref="U21:U84" si="9">S21+U20*$W$10</f>
        <v>0</v>
      </c>
      <c r="V21" s="67">
        <f t="shared" ref="V21:V84" si="10">U20*(1-$W$10)+T21</f>
        <v>0</v>
      </c>
      <c r="W21" s="100">
        <f t="shared" ref="W21:W84" si="11">V21*CH4_fraction*conv</f>
        <v>0</v>
      </c>
    </row>
    <row r="22" spans="2:23">
      <c r="B22" s="96">
        <f>Amnt_Deposited!B17</f>
        <v>2003</v>
      </c>
      <c r="C22" s="99">
        <f>Amnt_Deposited!P17</f>
        <v>0</v>
      </c>
      <c r="D22" s="418">
        <f>Dry_Matter_Content!P9</f>
        <v>0</v>
      </c>
      <c r="E22" s="284">
        <f>MCF!R21</f>
        <v>1</v>
      </c>
      <c r="F22" s="67">
        <f t="shared" si="0"/>
        <v>0</v>
      </c>
      <c r="G22" s="67">
        <f t="shared" si="1"/>
        <v>0</v>
      </c>
      <c r="H22" s="67">
        <f t="shared" si="2"/>
        <v>0</v>
      </c>
      <c r="I22" s="67">
        <f t="shared" si="3"/>
        <v>0</v>
      </c>
      <c r="J22" s="67">
        <f t="shared" si="4"/>
        <v>0</v>
      </c>
      <c r="K22" s="100">
        <f t="shared" si="6"/>
        <v>0</v>
      </c>
      <c r="N22" s="258"/>
      <c r="O22" s="96">
        <f>Amnt_Deposited!B17</f>
        <v>2003</v>
      </c>
      <c r="P22" s="99">
        <f>Amnt_Deposited!P17</f>
        <v>0</v>
      </c>
      <c r="Q22" s="284">
        <f>MCF!R21</f>
        <v>1</v>
      </c>
      <c r="R22" s="67">
        <f t="shared" si="5"/>
        <v>0</v>
      </c>
      <c r="S22" s="67">
        <f t="shared" si="7"/>
        <v>0</v>
      </c>
      <c r="T22" s="67">
        <f t="shared" si="8"/>
        <v>0</v>
      </c>
      <c r="U22" s="67">
        <f t="shared" si="9"/>
        <v>0</v>
      </c>
      <c r="V22" s="67">
        <f t="shared" si="10"/>
        <v>0</v>
      </c>
      <c r="W22" s="100">
        <f t="shared" si="11"/>
        <v>0</v>
      </c>
    </row>
    <row r="23" spans="2:23">
      <c r="B23" s="96">
        <f>Amnt_Deposited!B18</f>
        <v>2004</v>
      </c>
      <c r="C23" s="99">
        <f>Amnt_Deposited!P18</f>
        <v>0</v>
      </c>
      <c r="D23" s="418">
        <f>Dry_Matter_Content!P10</f>
        <v>0</v>
      </c>
      <c r="E23" s="284">
        <f>MCF!R22</f>
        <v>1</v>
      </c>
      <c r="F23" s="67">
        <f t="shared" si="0"/>
        <v>0</v>
      </c>
      <c r="G23" s="67">
        <f t="shared" si="1"/>
        <v>0</v>
      </c>
      <c r="H23" s="67">
        <f t="shared" si="2"/>
        <v>0</v>
      </c>
      <c r="I23" s="67">
        <f t="shared" si="3"/>
        <v>0</v>
      </c>
      <c r="J23" s="67">
        <f t="shared" si="4"/>
        <v>0</v>
      </c>
      <c r="K23" s="100">
        <f t="shared" si="6"/>
        <v>0</v>
      </c>
      <c r="N23" s="258"/>
      <c r="O23" s="96">
        <f>Amnt_Deposited!B18</f>
        <v>2004</v>
      </c>
      <c r="P23" s="99">
        <f>Amnt_Deposited!P18</f>
        <v>0</v>
      </c>
      <c r="Q23" s="284">
        <f>MCF!R22</f>
        <v>1</v>
      </c>
      <c r="R23" s="67">
        <f t="shared" si="5"/>
        <v>0</v>
      </c>
      <c r="S23" s="67">
        <f t="shared" si="7"/>
        <v>0</v>
      </c>
      <c r="T23" s="67">
        <f t="shared" si="8"/>
        <v>0</v>
      </c>
      <c r="U23" s="67">
        <f t="shared" si="9"/>
        <v>0</v>
      </c>
      <c r="V23" s="67">
        <f t="shared" si="10"/>
        <v>0</v>
      </c>
      <c r="W23" s="100">
        <f t="shared" si="11"/>
        <v>0</v>
      </c>
    </row>
    <row r="24" spans="2:23">
      <c r="B24" s="96">
        <f>Amnt_Deposited!B19</f>
        <v>2005</v>
      </c>
      <c r="C24" s="99">
        <f>Amnt_Deposited!P19</f>
        <v>0</v>
      </c>
      <c r="D24" s="418">
        <f>Dry_Matter_Content!P11</f>
        <v>0</v>
      </c>
      <c r="E24" s="284">
        <f>MCF!R23</f>
        <v>1</v>
      </c>
      <c r="F24" s="67">
        <f t="shared" si="0"/>
        <v>0</v>
      </c>
      <c r="G24" s="67">
        <f t="shared" si="1"/>
        <v>0</v>
      </c>
      <c r="H24" s="67">
        <f t="shared" si="2"/>
        <v>0</v>
      </c>
      <c r="I24" s="67">
        <f t="shared" si="3"/>
        <v>0</v>
      </c>
      <c r="J24" s="67">
        <f t="shared" si="4"/>
        <v>0</v>
      </c>
      <c r="K24" s="100">
        <f t="shared" si="6"/>
        <v>0</v>
      </c>
      <c r="N24" s="258"/>
      <c r="O24" s="96">
        <f>Amnt_Deposited!B19</f>
        <v>2005</v>
      </c>
      <c r="P24" s="99">
        <f>Amnt_Deposited!P19</f>
        <v>0</v>
      </c>
      <c r="Q24" s="284">
        <f>MCF!R23</f>
        <v>1</v>
      </c>
      <c r="R24" s="67">
        <f t="shared" si="5"/>
        <v>0</v>
      </c>
      <c r="S24" s="67">
        <f t="shared" si="7"/>
        <v>0</v>
      </c>
      <c r="T24" s="67">
        <f t="shared" si="8"/>
        <v>0</v>
      </c>
      <c r="U24" s="67">
        <f t="shared" si="9"/>
        <v>0</v>
      </c>
      <c r="V24" s="67">
        <f t="shared" si="10"/>
        <v>0</v>
      </c>
      <c r="W24" s="100">
        <f t="shared" si="11"/>
        <v>0</v>
      </c>
    </row>
    <row r="25" spans="2:23">
      <c r="B25" s="96">
        <f>Amnt_Deposited!B20</f>
        <v>2006</v>
      </c>
      <c r="C25" s="99">
        <f>Amnt_Deposited!P20</f>
        <v>0</v>
      </c>
      <c r="D25" s="418">
        <f>Dry_Matter_Content!P12</f>
        <v>0</v>
      </c>
      <c r="E25" s="284">
        <f>MCF!R24</f>
        <v>1</v>
      </c>
      <c r="F25" s="67">
        <f t="shared" si="0"/>
        <v>0</v>
      </c>
      <c r="G25" s="67">
        <f t="shared" si="1"/>
        <v>0</v>
      </c>
      <c r="H25" s="67">
        <f t="shared" si="2"/>
        <v>0</v>
      </c>
      <c r="I25" s="67">
        <f t="shared" si="3"/>
        <v>0</v>
      </c>
      <c r="J25" s="67">
        <f t="shared" si="4"/>
        <v>0</v>
      </c>
      <c r="K25" s="100">
        <f t="shared" si="6"/>
        <v>0</v>
      </c>
      <c r="N25" s="258"/>
      <c r="O25" s="96">
        <f>Amnt_Deposited!B20</f>
        <v>2006</v>
      </c>
      <c r="P25" s="99">
        <f>Amnt_Deposited!P20</f>
        <v>0</v>
      </c>
      <c r="Q25" s="284">
        <f>MCF!R24</f>
        <v>1</v>
      </c>
      <c r="R25" s="67">
        <f t="shared" si="5"/>
        <v>0</v>
      </c>
      <c r="S25" s="67">
        <f t="shared" si="7"/>
        <v>0</v>
      </c>
      <c r="T25" s="67">
        <f t="shared" si="8"/>
        <v>0</v>
      </c>
      <c r="U25" s="67">
        <f t="shared" si="9"/>
        <v>0</v>
      </c>
      <c r="V25" s="67">
        <f t="shared" si="10"/>
        <v>0</v>
      </c>
      <c r="W25" s="100">
        <f t="shared" si="11"/>
        <v>0</v>
      </c>
    </row>
    <row r="26" spans="2:23">
      <c r="B26" s="96">
        <f>Amnt_Deposited!B21</f>
        <v>2007</v>
      </c>
      <c r="C26" s="99">
        <f>Amnt_Deposited!P21</f>
        <v>0</v>
      </c>
      <c r="D26" s="418">
        <f>Dry_Matter_Content!P13</f>
        <v>0</v>
      </c>
      <c r="E26" s="284">
        <f>MCF!R25</f>
        <v>1</v>
      </c>
      <c r="F26" s="67">
        <f t="shared" si="0"/>
        <v>0</v>
      </c>
      <c r="G26" s="67">
        <f t="shared" si="1"/>
        <v>0</v>
      </c>
      <c r="H26" s="67">
        <f t="shared" si="2"/>
        <v>0</v>
      </c>
      <c r="I26" s="67">
        <f t="shared" si="3"/>
        <v>0</v>
      </c>
      <c r="J26" s="67">
        <f t="shared" si="4"/>
        <v>0</v>
      </c>
      <c r="K26" s="100">
        <f t="shared" si="6"/>
        <v>0</v>
      </c>
      <c r="N26" s="258"/>
      <c r="O26" s="96">
        <f>Amnt_Deposited!B21</f>
        <v>2007</v>
      </c>
      <c r="P26" s="99">
        <f>Amnt_Deposited!P21</f>
        <v>0</v>
      </c>
      <c r="Q26" s="284">
        <f>MCF!R25</f>
        <v>1</v>
      </c>
      <c r="R26" s="67">
        <f t="shared" si="5"/>
        <v>0</v>
      </c>
      <c r="S26" s="67">
        <f t="shared" si="7"/>
        <v>0</v>
      </c>
      <c r="T26" s="67">
        <f t="shared" si="8"/>
        <v>0</v>
      </c>
      <c r="U26" s="67">
        <f t="shared" si="9"/>
        <v>0</v>
      </c>
      <c r="V26" s="67">
        <f t="shared" si="10"/>
        <v>0</v>
      </c>
      <c r="W26" s="100">
        <f t="shared" si="11"/>
        <v>0</v>
      </c>
    </row>
    <row r="27" spans="2:23">
      <c r="B27" s="96">
        <f>Amnt_Deposited!B22</f>
        <v>2008</v>
      </c>
      <c r="C27" s="99">
        <f>Amnt_Deposited!P22</f>
        <v>0</v>
      </c>
      <c r="D27" s="418">
        <f>Dry_Matter_Content!P14</f>
        <v>0</v>
      </c>
      <c r="E27" s="284">
        <f>MCF!R26</f>
        <v>1</v>
      </c>
      <c r="F27" s="67">
        <f t="shared" si="0"/>
        <v>0</v>
      </c>
      <c r="G27" s="67">
        <f t="shared" si="1"/>
        <v>0</v>
      </c>
      <c r="H27" s="67">
        <f t="shared" si="2"/>
        <v>0</v>
      </c>
      <c r="I27" s="67">
        <f t="shared" si="3"/>
        <v>0</v>
      </c>
      <c r="J27" s="67">
        <f t="shared" si="4"/>
        <v>0</v>
      </c>
      <c r="K27" s="100">
        <f t="shared" si="6"/>
        <v>0</v>
      </c>
      <c r="N27" s="258"/>
      <c r="O27" s="96">
        <f>Amnt_Deposited!B22</f>
        <v>2008</v>
      </c>
      <c r="P27" s="99">
        <f>Amnt_Deposited!P22</f>
        <v>0</v>
      </c>
      <c r="Q27" s="284">
        <f>MCF!R26</f>
        <v>1</v>
      </c>
      <c r="R27" s="67">
        <f t="shared" si="5"/>
        <v>0</v>
      </c>
      <c r="S27" s="67">
        <f t="shared" si="7"/>
        <v>0</v>
      </c>
      <c r="T27" s="67">
        <f t="shared" si="8"/>
        <v>0</v>
      </c>
      <c r="U27" s="67">
        <f t="shared" si="9"/>
        <v>0</v>
      </c>
      <c r="V27" s="67">
        <f t="shared" si="10"/>
        <v>0</v>
      </c>
      <c r="W27" s="100">
        <f t="shared" si="11"/>
        <v>0</v>
      </c>
    </row>
    <row r="28" spans="2:23">
      <c r="B28" s="96">
        <f>Amnt_Deposited!B23</f>
        <v>2009</v>
      </c>
      <c r="C28" s="99">
        <f>Amnt_Deposited!P23</f>
        <v>0</v>
      </c>
      <c r="D28" s="418">
        <f>Dry_Matter_Content!P15</f>
        <v>0</v>
      </c>
      <c r="E28" s="284">
        <f>MCF!R27</f>
        <v>1</v>
      </c>
      <c r="F28" s="67">
        <f t="shared" si="0"/>
        <v>0</v>
      </c>
      <c r="G28" s="67">
        <f t="shared" si="1"/>
        <v>0</v>
      </c>
      <c r="H28" s="67">
        <f t="shared" si="2"/>
        <v>0</v>
      </c>
      <c r="I28" s="67">
        <f t="shared" si="3"/>
        <v>0</v>
      </c>
      <c r="J28" s="67">
        <f t="shared" si="4"/>
        <v>0</v>
      </c>
      <c r="K28" s="100">
        <f t="shared" si="6"/>
        <v>0</v>
      </c>
      <c r="N28" s="258"/>
      <c r="O28" s="96">
        <f>Amnt_Deposited!B23</f>
        <v>2009</v>
      </c>
      <c r="P28" s="99">
        <f>Amnt_Deposited!P23</f>
        <v>0</v>
      </c>
      <c r="Q28" s="284">
        <f>MCF!R27</f>
        <v>1</v>
      </c>
      <c r="R28" s="67">
        <f t="shared" si="5"/>
        <v>0</v>
      </c>
      <c r="S28" s="67">
        <f t="shared" si="7"/>
        <v>0</v>
      </c>
      <c r="T28" s="67">
        <f t="shared" si="8"/>
        <v>0</v>
      </c>
      <c r="U28" s="67">
        <f t="shared" si="9"/>
        <v>0</v>
      </c>
      <c r="V28" s="67">
        <f t="shared" si="10"/>
        <v>0</v>
      </c>
      <c r="W28" s="100">
        <f t="shared" si="11"/>
        <v>0</v>
      </c>
    </row>
    <row r="29" spans="2:23">
      <c r="B29" s="96">
        <f>Amnt_Deposited!B24</f>
        <v>2010</v>
      </c>
      <c r="C29" s="99">
        <f>Amnt_Deposited!P24</f>
        <v>0</v>
      </c>
      <c r="D29" s="418">
        <f>Dry_Matter_Content!P16</f>
        <v>0</v>
      </c>
      <c r="E29" s="284">
        <f>MCF!R28</f>
        <v>1</v>
      </c>
      <c r="F29" s="67">
        <f t="shared" si="0"/>
        <v>0</v>
      </c>
      <c r="G29" s="67">
        <f t="shared" si="1"/>
        <v>0</v>
      </c>
      <c r="H29" s="67">
        <f t="shared" si="2"/>
        <v>0</v>
      </c>
      <c r="I29" s="67">
        <f t="shared" si="3"/>
        <v>0</v>
      </c>
      <c r="J29" s="67">
        <f t="shared" si="4"/>
        <v>0</v>
      </c>
      <c r="K29" s="100">
        <f t="shared" si="6"/>
        <v>0</v>
      </c>
      <c r="O29" s="96">
        <f>Amnt_Deposited!B24</f>
        <v>2010</v>
      </c>
      <c r="P29" s="99">
        <f>Amnt_Deposited!P24</f>
        <v>0</v>
      </c>
      <c r="Q29" s="284">
        <f>MCF!R28</f>
        <v>1</v>
      </c>
      <c r="R29" s="67">
        <f t="shared" si="5"/>
        <v>0</v>
      </c>
      <c r="S29" s="67">
        <f t="shared" si="7"/>
        <v>0</v>
      </c>
      <c r="T29" s="67">
        <f t="shared" si="8"/>
        <v>0</v>
      </c>
      <c r="U29" s="67">
        <f t="shared" si="9"/>
        <v>0</v>
      </c>
      <c r="V29" s="67">
        <f t="shared" si="10"/>
        <v>0</v>
      </c>
      <c r="W29" s="100">
        <f t="shared" si="11"/>
        <v>0</v>
      </c>
    </row>
    <row r="30" spans="2:23">
      <c r="B30" s="96">
        <f>Amnt_Deposited!B25</f>
        <v>2011</v>
      </c>
      <c r="C30" s="99">
        <f>Amnt_Deposited!P25</f>
        <v>0</v>
      </c>
      <c r="D30" s="418">
        <f>Dry_Matter_Content!P17</f>
        <v>0</v>
      </c>
      <c r="E30" s="284">
        <f>MCF!R29</f>
        <v>1</v>
      </c>
      <c r="F30" s="67">
        <f t="shared" si="0"/>
        <v>0</v>
      </c>
      <c r="G30" s="67">
        <f t="shared" si="1"/>
        <v>0</v>
      </c>
      <c r="H30" s="67">
        <f t="shared" si="2"/>
        <v>0</v>
      </c>
      <c r="I30" s="67">
        <f t="shared" si="3"/>
        <v>0</v>
      </c>
      <c r="J30" s="67">
        <f t="shared" si="4"/>
        <v>0</v>
      </c>
      <c r="K30" s="100">
        <f t="shared" si="6"/>
        <v>0</v>
      </c>
      <c r="O30" s="96">
        <f>Amnt_Deposited!B25</f>
        <v>2011</v>
      </c>
      <c r="P30" s="99">
        <f>Amnt_Deposited!P25</f>
        <v>0</v>
      </c>
      <c r="Q30" s="284">
        <f>MCF!R29</f>
        <v>1</v>
      </c>
      <c r="R30" s="67">
        <f t="shared" si="5"/>
        <v>0</v>
      </c>
      <c r="S30" s="67">
        <f t="shared" si="7"/>
        <v>0</v>
      </c>
      <c r="T30" s="67">
        <f t="shared" si="8"/>
        <v>0</v>
      </c>
      <c r="U30" s="67">
        <f t="shared" si="9"/>
        <v>0</v>
      </c>
      <c r="V30" s="67">
        <f t="shared" si="10"/>
        <v>0</v>
      </c>
      <c r="W30" s="100">
        <f t="shared" si="11"/>
        <v>0</v>
      </c>
    </row>
    <row r="31" spans="2:23">
      <c r="B31" s="96">
        <f>Amnt_Deposited!B26</f>
        <v>2012</v>
      </c>
      <c r="C31" s="99">
        <f>Amnt_Deposited!P26</f>
        <v>0</v>
      </c>
      <c r="D31" s="418">
        <f>Dry_Matter_Content!P18</f>
        <v>0</v>
      </c>
      <c r="E31" s="284">
        <f>MCF!R30</f>
        <v>1</v>
      </c>
      <c r="F31" s="67">
        <f t="shared" si="0"/>
        <v>0</v>
      </c>
      <c r="G31" s="67">
        <f t="shared" si="1"/>
        <v>0</v>
      </c>
      <c r="H31" s="67">
        <f t="shared" si="2"/>
        <v>0</v>
      </c>
      <c r="I31" s="67">
        <f t="shared" si="3"/>
        <v>0</v>
      </c>
      <c r="J31" s="67">
        <f t="shared" si="4"/>
        <v>0</v>
      </c>
      <c r="K31" s="100">
        <f t="shared" si="6"/>
        <v>0</v>
      </c>
      <c r="O31" s="96">
        <f>Amnt_Deposited!B26</f>
        <v>2012</v>
      </c>
      <c r="P31" s="99">
        <f>Amnt_Deposited!P26</f>
        <v>0</v>
      </c>
      <c r="Q31" s="284">
        <f>MCF!R30</f>
        <v>1</v>
      </c>
      <c r="R31" s="67">
        <f t="shared" si="5"/>
        <v>0</v>
      </c>
      <c r="S31" s="67">
        <f t="shared" si="7"/>
        <v>0</v>
      </c>
      <c r="T31" s="67">
        <f t="shared" si="8"/>
        <v>0</v>
      </c>
      <c r="U31" s="67">
        <f t="shared" si="9"/>
        <v>0</v>
      </c>
      <c r="V31" s="67">
        <f t="shared" si="10"/>
        <v>0</v>
      </c>
      <c r="W31" s="100">
        <f t="shared" si="11"/>
        <v>0</v>
      </c>
    </row>
    <row r="32" spans="2:23">
      <c r="B32" s="96">
        <f>Amnt_Deposited!B27</f>
        <v>2013</v>
      </c>
      <c r="C32" s="99">
        <f>Amnt_Deposited!P27</f>
        <v>0</v>
      </c>
      <c r="D32" s="418">
        <f>Dry_Matter_Content!P19</f>
        <v>0</v>
      </c>
      <c r="E32" s="284">
        <f>MCF!R31</f>
        <v>1</v>
      </c>
      <c r="F32" s="67">
        <f t="shared" si="0"/>
        <v>0</v>
      </c>
      <c r="G32" s="67">
        <f t="shared" si="1"/>
        <v>0</v>
      </c>
      <c r="H32" s="67">
        <f t="shared" si="2"/>
        <v>0</v>
      </c>
      <c r="I32" s="67">
        <f t="shared" si="3"/>
        <v>0</v>
      </c>
      <c r="J32" s="67">
        <f t="shared" si="4"/>
        <v>0</v>
      </c>
      <c r="K32" s="100">
        <f t="shared" si="6"/>
        <v>0</v>
      </c>
      <c r="O32" s="96">
        <f>Amnt_Deposited!B27</f>
        <v>2013</v>
      </c>
      <c r="P32" s="99">
        <f>Amnt_Deposited!P27</f>
        <v>0</v>
      </c>
      <c r="Q32" s="284">
        <f>MCF!R31</f>
        <v>1</v>
      </c>
      <c r="R32" s="67">
        <f t="shared" si="5"/>
        <v>0</v>
      </c>
      <c r="S32" s="67">
        <f t="shared" si="7"/>
        <v>0</v>
      </c>
      <c r="T32" s="67">
        <f t="shared" si="8"/>
        <v>0</v>
      </c>
      <c r="U32" s="67">
        <f t="shared" si="9"/>
        <v>0</v>
      </c>
      <c r="V32" s="67">
        <f t="shared" si="10"/>
        <v>0</v>
      </c>
      <c r="W32" s="100">
        <f t="shared" si="11"/>
        <v>0</v>
      </c>
    </row>
    <row r="33" spans="2:23">
      <c r="B33" s="96">
        <f>Amnt_Deposited!B28</f>
        <v>2014</v>
      </c>
      <c r="C33" s="99">
        <f>Amnt_Deposited!P28</f>
        <v>0</v>
      </c>
      <c r="D33" s="418">
        <f>Dry_Matter_Content!P20</f>
        <v>0</v>
      </c>
      <c r="E33" s="284">
        <f>MCF!R32</f>
        <v>1</v>
      </c>
      <c r="F33" s="67">
        <f t="shared" si="0"/>
        <v>0</v>
      </c>
      <c r="G33" s="67">
        <f t="shared" si="1"/>
        <v>0</v>
      </c>
      <c r="H33" s="67">
        <f t="shared" si="2"/>
        <v>0</v>
      </c>
      <c r="I33" s="67">
        <f t="shared" si="3"/>
        <v>0</v>
      </c>
      <c r="J33" s="67">
        <f t="shared" si="4"/>
        <v>0</v>
      </c>
      <c r="K33" s="100">
        <f t="shared" si="6"/>
        <v>0</v>
      </c>
      <c r="O33" s="96">
        <f>Amnt_Deposited!B28</f>
        <v>2014</v>
      </c>
      <c r="P33" s="99">
        <f>Amnt_Deposited!P28</f>
        <v>0</v>
      </c>
      <c r="Q33" s="284">
        <f>MCF!R32</f>
        <v>1</v>
      </c>
      <c r="R33" s="67">
        <f t="shared" si="5"/>
        <v>0</v>
      </c>
      <c r="S33" s="67">
        <f t="shared" si="7"/>
        <v>0</v>
      </c>
      <c r="T33" s="67">
        <f t="shared" si="8"/>
        <v>0</v>
      </c>
      <c r="U33" s="67">
        <f t="shared" si="9"/>
        <v>0</v>
      </c>
      <c r="V33" s="67">
        <f t="shared" si="10"/>
        <v>0</v>
      </c>
      <c r="W33" s="100">
        <f t="shared" si="11"/>
        <v>0</v>
      </c>
    </row>
    <row r="34" spans="2:23">
      <c r="B34" s="96">
        <f>Amnt_Deposited!B29</f>
        <v>2015</v>
      </c>
      <c r="C34" s="99">
        <f>Amnt_Deposited!P29</f>
        <v>0</v>
      </c>
      <c r="D34" s="418">
        <f>Dry_Matter_Content!P21</f>
        <v>0</v>
      </c>
      <c r="E34" s="284">
        <f>MCF!R33</f>
        <v>1</v>
      </c>
      <c r="F34" s="67">
        <f t="shared" si="0"/>
        <v>0</v>
      </c>
      <c r="G34" s="67">
        <f t="shared" si="1"/>
        <v>0</v>
      </c>
      <c r="H34" s="67">
        <f t="shared" si="2"/>
        <v>0</v>
      </c>
      <c r="I34" s="67">
        <f t="shared" si="3"/>
        <v>0</v>
      </c>
      <c r="J34" s="67">
        <f t="shared" si="4"/>
        <v>0</v>
      </c>
      <c r="K34" s="100">
        <f t="shared" si="6"/>
        <v>0</v>
      </c>
      <c r="O34" s="96">
        <f>Amnt_Deposited!B29</f>
        <v>2015</v>
      </c>
      <c r="P34" s="99">
        <f>Amnt_Deposited!P29</f>
        <v>0</v>
      </c>
      <c r="Q34" s="284">
        <f>MCF!R33</f>
        <v>1</v>
      </c>
      <c r="R34" s="67">
        <f t="shared" si="5"/>
        <v>0</v>
      </c>
      <c r="S34" s="67">
        <f t="shared" si="7"/>
        <v>0</v>
      </c>
      <c r="T34" s="67">
        <f t="shared" si="8"/>
        <v>0</v>
      </c>
      <c r="U34" s="67">
        <f t="shared" si="9"/>
        <v>0</v>
      </c>
      <c r="V34" s="67">
        <f t="shared" si="10"/>
        <v>0</v>
      </c>
      <c r="W34" s="100">
        <f t="shared" si="11"/>
        <v>0</v>
      </c>
    </row>
    <row r="35" spans="2:23">
      <c r="B35" s="96">
        <f>Amnt_Deposited!B30</f>
        <v>2016</v>
      </c>
      <c r="C35" s="99">
        <f>Amnt_Deposited!P30</f>
        <v>0</v>
      </c>
      <c r="D35" s="418">
        <f>Dry_Matter_Content!P22</f>
        <v>0</v>
      </c>
      <c r="E35" s="284">
        <f>MCF!R34</f>
        <v>1</v>
      </c>
      <c r="F35" s="67">
        <f t="shared" si="0"/>
        <v>0</v>
      </c>
      <c r="G35" s="67">
        <f t="shared" si="1"/>
        <v>0</v>
      </c>
      <c r="H35" s="67">
        <f t="shared" si="2"/>
        <v>0</v>
      </c>
      <c r="I35" s="67">
        <f t="shared" si="3"/>
        <v>0</v>
      </c>
      <c r="J35" s="67">
        <f t="shared" si="4"/>
        <v>0</v>
      </c>
      <c r="K35" s="100">
        <f t="shared" si="6"/>
        <v>0</v>
      </c>
      <c r="O35" s="96">
        <f>Amnt_Deposited!B30</f>
        <v>2016</v>
      </c>
      <c r="P35" s="99">
        <f>Amnt_Deposited!P30</f>
        <v>0</v>
      </c>
      <c r="Q35" s="284">
        <f>MCF!R34</f>
        <v>1</v>
      </c>
      <c r="R35" s="67">
        <f t="shared" si="5"/>
        <v>0</v>
      </c>
      <c r="S35" s="67">
        <f t="shared" si="7"/>
        <v>0</v>
      </c>
      <c r="T35" s="67">
        <f t="shared" si="8"/>
        <v>0</v>
      </c>
      <c r="U35" s="67">
        <f t="shared" si="9"/>
        <v>0</v>
      </c>
      <c r="V35" s="67">
        <f t="shared" si="10"/>
        <v>0</v>
      </c>
      <c r="W35" s="100">
        <f t="shared" si="11"/>
        <v>0</v>
      </c>
    </row>
    <row r="36" spans="2:23">
      <c r="B36" s="96">
        <f>Amnt_Deposited!B31</f>
        <v>2017</v>
      </c>
      <c r="C36" s="99">
        <f>Amnt_Deposited!P31</f>
        <v>0</v>
      </c>
      <c r="D36" s="418">
        <f>Dry_Matter_Content!P23</f>
        <v>0</v>
      </c>
      <c r="E36" s="284">
        <f>MCF!R35</f>
        <v>1</v>
      </c>
      <c r="F36" s="67">
        <f t="shared" si="0"/>
        <v>0</v>
      </c>
      <c r="G36" s="67">
        <f t="shared" si="1"/>
        <v>0</v>
      </c>
      <c r="H36" s="67">
        <f t="shared" si="2"/>
        <v>0</v>
      </c>
      <c r="I36" s="67">
        <f t="shared" si="3"/>
        <v>0</v>
      </c>
      <c r="J36" s="67">
        <f t="shared" si="4"/>
        <v>0</v>
      </c>
      <c r="K36" s="100">
        <f t="shared" si="6"/>
        <v>0</v>
      </c>
      <c r="O36" s="96">
        <f>Amnt_Deposited!B31</f>
        <v>2017</v>
      </c>
      <c r="P36" s="99">
        <f>Amnt_Deposited!P31</f>
        <v>0</v>
      </c>
      <c r="Q36" s="284">
        <f>MCF!R35</f>
        <v>1</v>
      </c>
      <c r="R36" s="67">
        <f t="shared" si="5"/>
        <v>0</v>
      </c>
      <c r="S36" s="67">
        <f t="shared" si="7"/>
        <v>0</v>
      </c>
      <c r="T36" s="67">
        <f t="shared" si="8"/>
        <v>0</v>
      </c>
      <c r="U36" s="67">
        <f t="shared" si="9"/>
        <v>0</v>
      </c>
      <c r="V36" s="67">
        <f t="shared" si="10"/>
        <v>0</v>
      </c>
      <c r="W36" s="100">
        <f t="shared" si="11"/>
        <v>0</v>
      </c>
    </row>
    <row r="37" spans="2:23">
      <c r="B37" s="96">
        <f>Amnt_Deposited!B32</f>
        <v>2018</v>
      </c>
      <c r="C37" s="99">
        <f>Amnt_Deposited!P32</f>
        <v>0</v>
      </c>
      <c r="D37" s="418">
        <f>Dry_Matter_Content!P24</f>
        <v>0</v>
      </c>
      <c r="E37" s="284">
        <f>MCF!R36</f>
        <v>1</v>
      </c>
      <c r="F37" s="67">
        <f t="shared" si="0"/>
        <v>0</v>
      </c>
      <c r="G37" s="67">
        <f t="shared" si="1"/>
        <v>0</v>
      </c>
      <c r="H37" s="67">
        <f t="shared" si="2"/>
        <v>0</v>
      </c>
      <c r="I37" s="67">
        <f t="shared" si="3"/>
        <v>0</v>
      </c>
      <c r="J37" s="67">
        <f t="shared" si="4"/>
        <v>0</v>
      </c>
      <c r="K37" s="100">
        <f t="shared" si="6"/>
        <v>0</v>
      </c>
      <c r="O37" s="96">
        <f>Amnt_Deposited!B32</f>
        <v>2018</v>
      </c>
      <c r="P37" s="99">
        <f>Amnt_Deposited!P32</f>
        <v>0</v>
      </c>
      <c r="Q37" s="284">
        <f>MCF!R36</f>
        <v>1</v>
      </c>
      <c r="R37" s="67">
        <f t="shared" si="5"/>
        <v>0</v>
      </c>
      <c r="S37" s="67">
        <f t="shared" si="7"/>
        <v>0</v>
      </c>
      <c r="T37" s="67">
        <f t="shared" si="8"/>
        <v>0</v>
      </c>
      <c r="U37" s="67">
        <f t="shared" si="9"/>
        <v>0</v>
      </c>
      <c r="V37" s="67">
        <f t="shared" si="10"/>
        <v>0</v>
      </c>
      <c r="W37" s="100">
        <f t="shared" si="11"/>
        <v>0</v>
      </c>
    </row>
    <row r="38" spans="2:23">
      <c r="B38" s="96">
        <f>Amnt_Deposited!B33</f>
        <v>2019</v>
      </c>
      <c r="C38" s="99">
        <f>Amnt_Deposited!P33</f>
        <v>0</v>
      </c>
      <c r="D38" s="418">
        <f>Dry_Matter_Content!P25</f>
        <v>0</v>
      </c>
      <c r="E38" s="284">
        <f>MCF!R37</f>
        <v>1</v>
      </c>
      <c r="F38" s="67">
        <f t="shared" si="0"/>
        <v>0</v>
      </c>
      <c r="G38" s="67">
        <f t="shared" si="1"/>
        <v>0</v>
      </c>
      <c r="H38" s="67">
        <f t="shared" si="2"/>
        <v>0</v>
      </c>
      <c r="I38" s="67">
        <f t="shared" si="3"/>
        <v>0</v>
      </c>
      <c r="J38" s="67">
        <f t="shared" si="4"/>
        <v>0</v>
      </c>
      <c r="K38" s="100">
        <f t="shared" si="6"/>
        <v>0</v>
      </c>
      <c r="O38" s="96">
        <f>Amnt_Deposited!B33</f>
        <v>2019</v>
      </c>
      <c r="P38" s="99">
        <f>Amnt_Deposited!P33</f>
        <v>0</v>
      </c>
      <c r="Q38" s="284">
        <f>MCF!R37</f>
        <v>1</v>
      </c>
      <c r="R38" s="67">
        <f t="shared" si="5"/>
        <v>0</v>
      </c>
      <c r="S38" s="67">
        <f t="shared" si="7"/>
        <v>0</v>
      </c>
      <c r="T38" s="67">
        <f t="shared" si="8"/>
        <v>0</v>
      </c>
      <c r="U38" s="67">
        <f t="shared" si="9"/>
        <v>0</v>
      </c>
      <c r="V38" s="67">
        <f t="shared" si="10"/>
        <v>0</v>
      </c>
      <c r="W38" s="100">
        <f t="shared" si="11"/>
        <v>0</v>
      </c>
    </row>
    <row r="39" spans="2:23">
      <c r="B39" s="96">
        <f>Amnt_Deposited!B34</f>
        <v>2020</v>
      </c>
      <c r="C39" s="99">
        <f>Amnt_Deposited!P34</f>
        <v>0</v>
      </c>
      <c r="D39" s="418">
        <f>Dry_Matter_Content!P26</f>
        <v>0</v>
      </c>
      <c r="E39" s="284">
        <f>MCF!R38</f>
        <v>1</v>
      </c>
      <c r="F39" s="67">
        <f t="shared" si="0"/>
        <v>0</v>
      </c>
      <c r="G39" s="67">
        <f t="shared" si="1"/>
        <v>0</v>
      </c>
      <c r="H39" s="67">
        <f t="shared" si="2"/>
        <v>0</v>
      </c>
      <c r="I39" s="67">
        <f t="shared" si="3"/>
        <v>0</v>
      </c>
      <c r="J39" s="67">
        <f t="shared" si="4"/>
        <v>0</v>
      </c>
      <c r="K39" s="100">
        <f t="shared" si="6"/>
        <v>0</v>
      </c>
      <c r="O39" s="96">
        <f>Amnt_Deposited!B34</f>
        <v>2020</v>
      </c>
      <c r="P39" s="99">
        <f>Amnt_Deposited!P34</f>
        <v>0</v>
      </c>
      <c r="Q39" s="284">
        <f>MCF!R38</f>
        <v>1</v>
      </c>
      <c r="R39" s="67">
        <f t="shared" si="5"/>
        <v>0</v>
      </c>
      <c r="S39" s="67">
        <f t="shared" si="7"/>
        <v>0</v>
      </c>
      <c r="T39" s="67">
        <f t="shared" si="8"/>
        <v>0</v>
      </c>
      <c r="U39" s="67">
        <f t="shared" si="9"/>
        <v>0</v>
      </c>
      <c r="V39" s="67">
        <f t="shared" si="10"/>
        <v>0</v>
      </c>
      <c r="W39" s="100">
        <f t="shared" si="11"/>
        <v>0</v>
      </c>
    </row>
    <row r="40" spans="2:23">
      <c r="B40" s="96">
        <f>Amnt_Deposited!B35</f>
        <v>2021</v>
      </c>
      <c r="C40" s="99">
        <f>Amnt_Deposited!P35</f>
        <v>0</v>
      </c>
      <c r="D40" s="418">
        <f>Dry_Matter_Content!P27</f>
        <v>0</v>
      </c>
      <c r="E40" s="284">
        <f>MCF!R39</f>
        <v>1</v>
      </c>
      <c r="F40" s="67">
        <f t="shared" si="0"/>
        <v>0</v>
      </c>
      <c r="G40" s="67">
        <f t="shared" si="1"/>
        <v>0</v>
      </c>
      <c r="H40" s="67">
        <f t="shared" si="2"/>
        <v>0</v>
      </c>
      <c r="I40" s="67">
        <f t="shared" si="3"/>
        <v>0</v>
      </c>
      <c r="J40" s="67">
        <f t="shared" si="4"/>
        <v>0</v>
      </c>
      <c r="K40" s="100">
        <f t="shared" si="6"/>
        <v>0</v>
      </c>
      <c r="O40" s="96">
        <f>Amnt_Deposited!B35</f>
        <v>2021</v>
      </c>
      <c r="P40" s="99">
        <f>Amnt_Deposited!P35</f>
        <v>0</v>
      </c>
      <c r="Q40" s="284">
        <f>MCF!R39</f>
        <v>1</v>
      </c>
      <c r="R40" s="67">
        <f t="shared" si="5"/>
        <v>0</v>
      </c>
      <c r="S40" s="67">
        <f t="shared" si="7"/>
        <v>0</v>
      </c>
      <c r="T40" s="67">
        <f t="shared" si="8"/>
        <v>0</v>
      </c>
      <c r="U40" s="67">
        <f t="shared" si="9"/>
        <v>0</v>
      </c>
      <c r="V40" s="67">
        <f t="shared" si="10"/>
        <v>0</v>
      </c>
      <c r="W40" s="100">
        <f t="shared" si="11"/>
        <v>0</v>
      </c>
    </row>
    <row r="41" spans="2:23">
      <c r="B41" s="96">
        <f>Amnt_Deposited!B36</f>
        <v>2022</v>
      </c>
      <c r="C41" s="99">
        <f>Amnt_Deposited!P36</f>
        <v>0</v>
      </c>
      <c r="D41" s="418">
        <f>Dry_Matter_Content!P28</f>
        <v>0</v>
      </c>
      <c r="E41" s="284">
        <f>MCF!R40</f>
        <v>1</v>
      </c>
      <c r="F41" s="67">
        <f t="shared" si="0"/>
        <v>0</v>
      </c>
      <c r="G41" s="67">
        <f t="shared" si="1"/>
        <v>0</v>
      </c>
      <c r="H41" s="67">
        <f t="shared" si="2"/>
        <v>0</v>
      </c>
      <c r="I41" s="67">
        <f t="shared" si="3"/>
        <v>0</v>
      </c>
      <c r="J41" s="67">
        <f t="shared" si="4"/>
        <v>0</v>
      </c>
      <c r="K41" s="100">
        <f t="shared" si="6"/>
        <v>0</v>
      </c>
      <c r="O41" s="96">
        <f>Amnt_Deposited!B36</f>
        <v>2022</v>
      </c>
      <c r="P41" s="99">
        <f>Amnt_Deposited!P36</f>
        <v>0</v>
      </c>
      <c r="Q41" s="284">
        <f>MCF!R40</f>
        <v>1</v>
      </c>
      <c r="R41" s="67">
        <f t="shared" si="5"/>
        <v>0</v>
      </c>
      <c r="S41" s="67">
        <f t="shared" si="7"/>
        <v>0</v>
      </c>
      <c r="T41" s="67">
        <f t="shared" si="8"/>
        <v>0</v>
      </c>
      <c r="U41" s="67">
        <f t="shared" si="9"/>
        <v>0</v>
      </c>
      <c r="V41" s="67">
        <f t="shared" si="10"/>
        <v>0</v>
      </c>
      <c r="W41" s="100">
        <f t="shared" si="11"/>
        <v>0</v>
      </c>
    </row>
    <row r="42" spans="2:23">
      <c r="B42" s="96">
        <f>Amnt_Deposited!B37</f>
        <v>2023</v>
      </c>
      <c r="C42" s="99">
        <f>Amnt_Deposited!P37</f>
        <v>0</v>
      </c>
      <c r="D42" s="418">
        <f>Dry_Matter_Content!P29</f>
        <v>0</v>
      </c>
      <c r="E42" s="284">
        <f>MCF!R41</f>
        <v>1</v>
      </c>
      <c r="F42" s="67">
        <f t="shared" si="0"/>
        <v>0</v>
      </c>
      <c r="G42" s="67">
        <f t="shared" si="1"/>
        <v>0</v>
      </c>
      <c r="H42" s="67">
        <f t="shared" si="2"/>
        <v>0</v>
      </c>
      <c r="I42" s="67">
        <f t="shared" si="3"/>
        <v>0</v>
      </c>
      <c r="J42" s="67">
        <f t="shared" si="4"/>
        <v>0</v>
      </c>
      <c r="K42" s="100">
        <f t="shared" si="6"/>
        <v>0</v>
      </c>
      <c r="O42" s="96">
        <f>Amnt_Deposited!B37</f>
        <v>2023</v>
      </c>
      <c r="P42" s="99">
        <f>Amnt_Deposited!P37</f>
        <v>0</v>
      </c>
      <c r="Q42" s="284">
        <f>MCF!R41</f>
        <v>1</v>
      </c>
      <c r="R42" s="67">
        <f t="shared" si="5"/>
        <v>0</v>
      </c>
      <c r="S42" s="67">
        <f t="shared" si="7"/>
        <v>0</v>
      </c>
      <c r="T42" s="67">
        <f t="shared" si="8"/>
        <v>0</v>
      </c>
      <c r="U42" s="67">
        <f t="shared" si="9"/>
        <v>0</v>
      </c>
      <c r="V42" s="67">
        <f t="shared" si="10"/>
        <v>0</v>
      </c>
      <c r="W42" s="100">
        <f t="shared" si="11"/>
        <v>0</v>
      </c>
    </row>
    <row r="43" spans="2:23">
      <c r="B43" s="96">
        <f>Amnt_Deposited!B38</f>
        <v>2024</v>
      </c>
      <c r="C43" s="99">
        <f>Amnt_Deposited!P38</f>
        <v>0</v>
      </c>
      <c r="D43" s="418">
        <f>Dry_Matter_Content!P30</f>
        <v>0</v>
      </c>
      <c r="E43" s="284">
        <f>MCF!R42</f>
        <v>1</v>
      </c>
      <c r="F43" s="67">
        <f t="shared" si="0"/>
        <v>0</v>
      </c>
      <c r="G43" s="67">
        <f t="shared" si="1"/>
        <v>0</v>
      </c>
      <c r="H43" s="67">
        <f t="shared" si="2"/>
        <v>0</v>
      </c>
      <c r="I43" s="67">
        <f t="shared" si="3"/>
        <v>0</v>
      </c>
      <c r="J43" s="67">
        <f t="shared" si="4"/>
        <v>0</v>
      </c>
      <c r="K43" s="100">
        <f t="shared" si="6"/>
        <v>0</v>
      </c>
      <c r="O43" s="96">
        <f>Amnt_Deposited!B38</f>
        <v>2024</v>
      </c>
      <c r="P43" s="99">
        <f>Amnt_Deposited!P38</f>
        <v>0</v>
      </c>
      <c r="Q43" s="284">
        <f>MCF!R42</f>
        <v>1</v>
      </c>
      <c r="R43" s="67">
        <f t="shared" si="5"/>
        <v>0</v>
      </c>
      <c r="S43" s="67">
        <f t="shared" si="7"/>
        <v>0</v>
      </c>
      <c r="T43" s="67">
        <f t="shared" si="8"/>
        <v>0</v>
      </c>
      <c r="U43" s="67">
        <f t="shared" si="9"/>
        <v>0</v>
      </c>
      <c r="V43" s="67">
        <f t="shared" si="10"/>
        <v>0</v>
      </c>
      <c r="W43" s="100">
        <f t="shared" si="11"/>
        <v>0</v>
      </c>
    </row>
    <row r="44" spans="2:23">
      <c r="B44" s="96">
        <f>Amnt_Deposited!B39</f>
        <v>2025</v>
      </c>
      <c r="C44" s="99">
        <f>Amnt_Deposited!P39</f>
        <v>0</v>
      </c>
      <c r="D44" s="418">
        <f>Dry_Matter_Content!P31</f>
        <v>0</v>
      </c>
      <c r="E44" s="284">
        <f>MCF!R43</f>
        <v>1</v>
      </c>
      <c r="F44" s="67">
        <f t="shared" si="0"/>
        <v>0</v>
      </c>
      <c r="G44" s="67">
        <f t="shared" si="1"/>
        <v>0</v>
      </c>
      <c r="H44" s="67">
        <f t="shared" si="2"/>
        <v>0</v>
      </c>
      <c r="I44" s="67">
        <f t="shared" si="3"/>
        <v>0</v>
      </c>
      <c r="J44" s="67">
        <f t="shared" si="4"/>
        <v>0</v>
      </c>
      <c r="K44" s="100">
        <f t="shared" si="6"/>
        <v>0</v>
      </c>
      <c r="O44" s="96">
        <f>Amnt_Deposited!B39</f>
        <v>2025</v>
      </c>
      <c r="P44" s="99">
        <f>Amnt_Deposited!P39</f>
        <v>0</v>
      </c>
      <c r="Q44" s="284">
        <f>MCF!R43</f>
        <v>1</v>
      </c>
      <c r="R44" s="67">
        <f t="shared" si="5"/>
        <v>0</v>
      </c>
      <c r="S44" s="67">
        <f t="shared" si="7"/>
        <v>0</v>
      </c>
      <c r="T44" s="67">
        <f t="shared" si="8"/>
        <v>0</v>
      </c>
      <c r="U44" s="67">
        <f t="shared" si="9"/>
        <v>0</v>
      </c>
      <c r="V44" s="67">
        <f t="shared" si="10"/>
        <v>0</v>
      </c>
      <c r="W44" s="100">
        <f t="shared" si="11"/>
        <v>0</v>
      </c>
    </row>
    <row r="45" spans="2:23">
      <c r="B45" s="96">
        <f>Amnt_Deposited!B40</f>
        <v>2026</v>
      </c>
      <c r="C45" s="99">
        <f>Amnt_Deposited!P40</f>
        <v>0</v>
      </c>
      <c r="D45" s="418">
        <f>Dry_Matter_Content!P32</f>
        <v>0</v>
      </c>
      <c r="E45" s="284">
        <f>MCF!R44</f>
        <v>1</v>
      </c>
      <c r="F45" s="67">
        <f t="shared" si="0"/>
        <v>0</v>
      </c>
      <c r="G45" s="67">
        <f t="shared" si="1"/>
        <v>0</v>
      </c>
      <c r="H45" s="67">
        <f t="shared" si="2"/>
        <v>0</v>
      </c>
      <c r="I45" s="67">
        <f t="shared" si="3"/>
        <v>0</v>
      </c>
      <c r="J45" s="67">
        <f t="shared" si="4"/>
        <v>0</v>
      </c>
      <c r="K45" s="100">
        <f t="shared" si="6"/>
        <v>0</v>
      </c>
      <c r="O45" s="96">
        <f>Amnt_Deposited!B40</f>
        <v>2026</v>
      </c>
      <c r="P45" s="99">
        <f>Amnt_Deposited!P40</f>
        <v>0</v>
      </c>
      <c r="Q45" s="284">
        <f>MCF!R44</f>
        <v>1</v>
      </c>
      <c r="R45" s="67">
        <f t="shared" si="5"/>
        <v>0</v>
      </c>
      <c r="S45" s="67">
        <f t="shared" si="7"/>
        <v>0</v>
      </c>
      <c r="T45" s="67">
        <f t="shared" si="8"/>
        <v>0</v>
      </c>
      <c r="U45" s="67">
        <f t="shared" si="9"/>
        <v>0</v>
      </c>
      <c r="V45" s="67">
        <f t="shared" si="10"/>
        <v>0</v>
      </c>
      <c r="W45" s="100">
        <f t="shared" si="11"/>
        <v>0</v>
      </c>
    </row>
    <row r="46" spans="2:23">
      <c r="B46" s="96">
        <f>Amnt_Deposited!B41</f>
        <v>2027</v>
      </c>
      <c r="C46" s="99">
        <f>Amnt_Deposited!P41</f>
        <v>0</v>
      </c>
      <c r="D46" s="418">
        <f>Dry_Matter_Content!P33</f>
        <v>0</v>
      </c>
      <c r="E46" s="284">
        <f>MCF!R45</f>
        <v>1</v>
      </c>
      <c r="F46" s="67">
        <f t="shared" si="0"/>
        <v>0</v>
      </c>
      <c r="G46" s="67">
        <f t="shared" si="1"/>
        <v>0</v>
      </c>
      <c r="H46" s="67">
        <f t="shared" si="2"/>
        <v>0</v>
      </c>
      <c r="I46" s="67">
        <f t="shared" si="3"/>
        <v>0</v>
      </c>
      <c r="J46" s="67">
        <f t="shared" si="4"/>
        <v>0</v>
      </c>
      <c r="K46" s="100">
        <f t="shared" si="6"/>
        <v>0</v>
      </c>
      <c r="O46" s="96">
        <f>Amnt_Deposited!B41</f>
        <v>2027</v>
      </c>
      <c r="P46" s="99">
        <f>Amnt_Deposited!P41</f>
        <v>0</v>
      </c>
      <c r="Q46" s="284">
        <f>MCF!R45</f>
        <v>1</v>
      </c>
      <c r="R46" s="67">
        <f t="shared" si="5"/>
        <v>0</v>
      </c>
      <c r="S46" s="67">
        <f t="shared" si="7"/>
        <v>0</v>
      </c>
      <c r="T46" s="67">
        <f t="shared" si="8"/>
        <v>0</v>
      </c>
      <c r="U46" s="67">
        <f t="shared" si="9"/>
        <v>0</v>
      </c>
      <c r="V46" s="67">
        <f t="shared" si="10"/>
        <v>0</v>
      </c>
      <c r="W46" s="100">
        <f t="shared" si="11"/>
        <v>0</v>
      </c>
    </row>
    <row r="47" spans="2:23">
      <c r="B47" s="96">
        <f>Amnt_Deposited!B42</f>
        <v>2028</v>
      </c>
      <c r="C47" s="99">
        <f>Amnt_Deposited!P42</f>
        <v>0</v>
      </c>
      <c r="D47" s="418">
        <f>Dry_Matter_Content!P34</f>
        <v>0</v>
      </c>
      <c r="E47" s="284">
        <f>MCF!R46</f>
        <v>1</v>
      </c>
      <c r="F47" s="67">
        <f t="shared" si="0"/>
        <v>0</v>
      </c>
      <c r="G47" s="67">
        <f t="shared" si="1"/>
        <v>0</v>
      </c>
      <c r="H47" s="67">
        <f t="shared" si="2"/>
        <v>0</v>
      </c>
      <c r="I47" s="67">
        <f t="shared" si="3"/>
        <v>0</v>
      </c>
      <c r="J47" s="67">
        <f t="shared" si="4"/>
        <v>0</v>
      </c>
      <c r="K47" s="100">
        <f t="shared" si="6"/>
        <v>0</v>
      </c>
      <c r="O47" s="96">
        <f>Amnt_Deposited!B42</f>
        <v>2028</v>
      </c>
      <c r="P47" s="99">
        <f>Amnt_Deposited!P42</f>
        <v>0</v>
      </c>
      <c r="Q47" s="284">
        <f>MCF!R46</f>
        <v>1</v>
      </c>
      <c r="R47" s="67">
        <f t="shared" si="5"/>
        <v>0</v>
      </c>
      <c r="S47" s="67">
        <f t="shared" si="7"/>
        <v>0</v>
      </c>
      <c r="T47" s="67">
        <f t="shared" si="8"/>
        <v>0</v>
      </c>
      <c r="U47" s="67">
        <f t="shared" si="9"/>
        <v>0</v>
      </c>
      <c r="V47" s="67">
        <f t="shared" si="10"/>
        <v>0</v>
      </c>
      <c r="W47" s="100">
        <f t="shared" si="11"/>
        <v>0</v>
      </c>
    </row>
    <row r="48" spans="2:23">
      <c r="B48" s="96">
        <f>Amnt_Deposited!B43</f>
        <v>2029</v>
      </c>
      <c r="C48" s="99">
        <f>Amnt_Deposited!P43</f>
        <v>0</v>
      </c>
      <c r="D48" s="418">
        <f>Dry_Matter_Content!P35</f>
        <v>0</v>
      </c>
      <c r="E48" s="284">
        <f>MCF!R47</f>
        <v>1</v>
      </c>
      <c r="F48" s="67">
        <f t="shared" si="0"/>
        <v>0</v>
      </c>
      <c r="G48" s="67">
        <f t="shared" si="1"/>
        <v>0</v>
      </c>
      <c r="H48" s="67">
        <f t="shared" si="2"/>
        <v>0</v>
      </c>
      <c r="I48" s="67">
        <f t="shared" si="3"/>
        <v>0</v>
      </c>
      <c r="J48" s="67">
        <f t="shared" si="4"/>
        <v>0</v>
      </c>
      <c r="K48" s="100">
        <f t="shared" si="6"/>
        <v>0</v>
      </c>
      <c r="O48" s="96">
        <f>Amnt_Deposited!B43</f>
        <v>2029</v>
      </c>
      <c r="P48" s="99">
        <f>Amnt_Deposited!P43</f>
        <v>0</v>
      </c>
      <c r="Q48" s="284">
        <f>MCF!R47</f>
        <v>1</v>
      </c>
      <c r="R48" s="67">
        <f t="shared" si="5"/>
        <v>0</v>
      </c>
      <c r="S48" s="67">
        <f t="shared" si="7"/>
        <v>0</v>
      </c>
      <c r="T48" s="67">
        <f t="shared" si="8"/>
        <v>0</v>
      </c>
      <c r="U48" s="67">
        <f t="shared" si="9"/>
        <v>0</v>
      </c>
      <c r="V48" s="67">
        <f t="shared" si="10"/>
        <v>0</v>
      </c>
      <c r="W48" s="100">
        <f t="shared" si="11"/>
        <v>0</v>
      </c>
    </row>
    <row r="49" spans="2:23">
      <c r="B49" s="96">
        <f>Amnt_Deposited!B44</f>
        <v>2030</v>
      </c>
      <c r="C49" s="99">
        <f>Amnt_Deposited!P44</f>
        <v>0</v>
      </c>
      <c r="D49" s="418">
        <f>Dry_Matter_Content!P36</f>
        <v>0</v>
      </c>
      <c r="E49" s="284">
        <f>MCF!R48</f>
        <v>1</v>
      </c>
      <c r="F49" s="67">
        <f t="shared" si="0"/>
        <v>0</v>
      </c>
      <c r="G49" s="67">
        <f t="shared" si="1"/>
        <v>0</v>
      </c>
      <c r="H49" s="67">
        <f t="shared" si="2"/>
        <v>0</v>
      </c>
      <c r="I49" s="67">
        <f t="shared" si="3"/>
        <v>0</v>
      </c>
      <c r="J49" s="67">
        <f t="shared" si="4"/>
        <v>0</v>
      </c>
      <c r="K49" s="100">
        <f t="shared" si="6"/>
        <v>0</v>
      </c>
      <c r="O49" s="96">
        <f>Amnt_Deposited!B44</f>
        <v>2030</v>
      </c>
      <c r="P49" s="99">
        <f>Amnt_Deposited!P44</f>
        <v>0</v>
      </c>
      <c r="Q49" s="284">
        <f>MCF!R48</f>
        <v>1</v>
      </c>
      <c r="R49" s="67">
        <f t="shared" si="5"/>
        <v>0</v>
      </c>
      <c r="S49" s="67">
        <f t="shared" si="7"/>
        <v>0</v>
      </c>
      <c r="T49" s="67">
        <f t="shared" si="8"/>
        <v>0</v>
      </c>
      <c r="U49" s="67">
        <f t="shared" si="9"/>
        <v>0</v>
      </c>
      <c r="V49" s="67">
        <f t="shared" si="10"/>
        <v>0</v>
      </c>
      <c r="W49" s="100">
        <f t="shared" si="11"/>
        <v>0</v>
      </c>
    </row>
    <row r="50" spans="2:23">
      <c r="B50" s="96">
        <f>Amnt_Deposited!B45</f>
        <v>2031</v>
      </c>
      <c r="C50" s="99">
        <f>Amnt_Deposited!P45</f>
        <v>0</v>
      </c>
      <c r="D50" s="418">
        <f>Dry_Matter_Content!P37</f>
        <v>0</v>
      </c>
      <c r="E50" s="284">
        <f>MCF!R49</f>
        <v>1</v>
      </c>
      <c r="F50" s="67">
        <f t="shared" si="0"/>
        <v>0</v>
      </c>
      <c r="G50" s="67">
        <f t="shared" si="1"/>
        <v>0</v>
      </c>
      <c r="H50" s="67">
        <f t="shared" si="2"/>
        <v>0</v>
      </c>
      <c r="I50" s="67">
        <f t="shared" si="3"/>
        <v>0</v>
      </c>
      <c r="J50" s="67">
        <f t="shared" si="4"/>
        <v>0</v>
      </c>
      <c r="K50" s="100">
        <f t="shared" si="6"/>
        <v>0</v>
      </c>
      <c r="O50" s="96">
        <f>Amnt_Deposited!B45</f>
        <v>2031</v>
      </c>
      <c r="P50" s="99">
        <f>Amnt_Deposited!P45</f>
        <v>0</v>
      </c>
      <c r="Q50" s="284">
        <f>MCF!R49</f>
        <v>1</v>
      </c>
      <c r="R50" s="67">
        <f t="shared" si="5"/>
        <v>0</v>
      </c>
      <c r="S50" s="67">
        <f t="shared" si="7"/>
        <v>0</v>
      </c>
      <c r="T50" s="67">
        <f t="shared" si="8"/>
        <v>0</v>
      </c>
      <c r="U50" s="67">
        <f t="shared" si="9"/>
        <v>0</v>
      </c>
      <c r="V50" s="67">
        <f t="shared" si="10"/>
        <v>0</v>
      </c>
      <c r="W50" s="100">
        <f t="shared" si="11"/>
        <v>0</v>
      </c>
    </row>
    <row r="51" spans="2:23">
      <c r="B51" s="96">
        <f>Amnt_Deposited!B46</f>
        <v>2032</v>
      </c>
      <c r="C51" s="99">
        <f>Amnt_Deposited!P46</f>
        <v>0</v>
      </c>
      <c r="D51" s="418">
        <f>Dry_Matter_Content!P38</f>
        <v>0</v>
      </c>
      <c r="E51" s="284">
        <f>MCF!R50</f>
        <v>1</v>
      </c>
      <c r="F51" s="67">
        <f t="shared" si="0"/>
        <v>0</v>
      </c>
      <c r="G51" s="67">
        <f t="shared" si="1"/>
        <v>0</v>
      </c>
      <c r="H51" s="67">
        <f t="shared" si="2"/>
        <v>0</v>
      </c>
      <c r="I51" s="67">
        <f t="shared" si="3"/>
        <v>0</v>
      </c>
      <c r="J51" s="67">
        <f t="shared" si="4"/>
        <v>0</v>
      </c>
      <c r="K51" s="100">
        <f t="shared" si="6"/>
        <v>0</v>
      </c>
      <c r="O51" s="96">
        <f>Amnt_Deposited!B46</f>
        <v>2032</v>
      </c>
      <c r="P51" s="99">
        <f>Amnt_Deposited!P46</f>
        <v>0</v>
      </c>
      <c r="Q51" s="284">
        <f>MCF!R50</f>
        <v>1</v>
      </c>
      <c r="R51" s="67">
        <f t="shared" si="5"/>
        <v>0</v>
      </c>
      <c r="S51" s="67">
        <f t="shared" si="7"/>
        <v>0</v>
      </c>
      <c r="T51" s="67">
        <f t="shared" si="8"/>
        <v>0</v>
      </c>
      <c r="U51" s="67">
        <f t="shared" si="9"/>
        <v>0</v>
      </c>
      <c r="V51" s="67">
        <f t="shared" si="10"/>
        <v>0</v>
      </c>
      <c r="W51" s="100">
        <f t="shared" si="11"/>
        <v>0</v>
      </c>
    </row>
    <row r="52" spans="2:23">
      <c r="B52" s="96">
        <f>Amnt_Deposited!B47</f>
        <v>2033</v>
      </c>
      <c r="C52" s="99">
        <f>Amnt_Deposited!P47</f>
        <v>0</v>
      </c>
      <c r="D52" s="418">
        <f>Dry_Matter_Content!P39</f>
        <v>0</v>
      </c>
      <c r="E52" s="284">
        <f>MCF!R51</f>
        <v>1</v>
      </c>
      <c r="F52" s="67">
        <f t="shared" si="0"/>
        <v>0</v>
      </c>
      <c r="G52" s="67">
        <f t="shared" si="1"/>
        <v>0</v>
      </c>
      <c r="H52" s="67">
        <f t="shared" si="2"/>
        <v>0</v>
      </c>
      <c r="I52" s="67">
        <f t="shared" si="3"/>
        <v>0</v>
      </c>
      <c r="J52" s="67">
        <f t="shared" si="4"/>
        <v>0</v>
      </c>
      <c r="K52" s="100">
        <f t="shared" si="6"/>
        <v>0</v>
      </c>
      <c r="O52" s="96">
        <f>Amnt_Deposited!B47</f>
        <v>2033</v>
      </c>
      <c r="P52" s="99">
        <f>Amnt_Deposited!P47</f>
        <v>0</v>
      </c>
      <c r="Q52" s="284">
        <f>MCF!R51</f>
        <v>1</v>
      </c>
      <c r="R52" s="67">
        <f t="shared" si="5"/>
        <v>0</v>
      </c>
      <c r="S52" s="67">
        <f t="shared" si="7"/>
        <v>0</v>
      </c>
      <c r="T52" s="67">
        <f t="shared" si="8"/>
        <v>0</v>
      </c>
      <c r="U52" s="67">
        <f t="shared" si="9"/>
        <v>0</v>
      </c>
      <c r="V52" s="67">
        <f t="shared" si="10"/>
        <v>0</v>
      </c>
      <c r="W52" s="100">
        <f t="shared" si="11"/>
        <v>0</v>
      </c>
    </row>
    <row r="53" spans="2:23">
      <c r="B53" s="96">
        <f>Amnt_Deposited!B48</f>
        <v>2034</v>
      </c>
      <c r="C53" s="99">
        <f>Amnt_Deposited!P48</f>
        <v>0</v>
      </c>
      <c r="D53" s="418">
        <f>Dry_Matter_Content!P40</f>
        <v>0</v>
      </c>
      <c r="E53" s="284">
        <f>MCF!R52</f>
        <v>1</v>
      </c>
      <c r="F53" s="67">
        <f t="shared" si="0"/>
        <v>0</v>
      </c>
      <c r="G53" s="67">
        <f t="shared" si="1"/>
        <v>0</v>
      </c>
      <c r="H53" s="67">
        <f t="shared" si="2"/>
        <v>0</v>
      </c>
      <c r="I53" s="67">
        <f t="shared" si="3"/>
        <v>0</v>
      </c>
      <c r="J53" s="67">
        <f t="shared" si="4"/>
        <v>0</v>
      </c>
      <c r="K53" s="100">
        <f t="shared" si="6"/>
        <v>0</v>
      </c>
      <c r="O53" s="96">
        <f>Amnt_Deposited!B48</f>
        <v>2034</v>
      </c>
      <c r="P53" s="99">
        <f>Amnt_Deposited!P48</f>
        <v>0</v>
      </c>
      <c r="Q53" s="284">
        <f>MCF!R52</f>
        <v>1</v>
      </c>
      <c r="R53" s="67">
        <f t="shared" si="5"/>
        <v>0</v>
      </c>
      <c r="S53" s="67">
        <f t="shared" si="7"/>
        <v>0</v>
      </c>
      <c r="T53" s="67">
        <f t="shared" si="8"/>
        <v>0</v>
      </c>
      <c r="U53" s="67">
        <f t="shared" si="9"/>
        <v>0</v>
      </c>
      <c r="V53" s="67">
        <f t="shared" si="10"/>
        <v>0</v>
      </c>
      <c r="W53" s="100">
        <f t="shared" si="11"/>
        <v>0</v>
      </c>
    </row>
    <row r="54" spans="2:23">
      <c r="B54" s="96">
        <f>Amnt_Deposited!B49</f>
        <v>2035</v>
      </c>
      <c r="C54" s="99">
        <f>Amnt_Deposited!P49</f>
        <v>0</v>
      </c>
      <c r="D54" s="418">
        <f>Dry_Matter_Content!P41</f>
        <v>0</v>
      </c>
      <c r="E54" s="284">
        <f>MCF!R53</f>
        <v>1</v>
      </c>
      <c r="F54" s="67">
        <f t="shared" si="0"/>
        <v>0</v>
      </c>
      <c r="G54" s="67">
        <f t="shared" si="1"/>
        <v>0</v>
      </c>
      <c r="H54" s="67">
        <f t="shared" si="2"/>
        <v>0</v>
      </c>
      <c r="I54" s="67">
        <f t="shared" si="3"/>
        <v>0</v>
      </c>
      <c r="J54" s="67">
        <f t="shared" si="4"/>
        <v>0</v>
      </c>
      <c r="K54" s="100">
        <f t="shared" si="6"/>
        <v>0</v>
      </c>
      <c r="O54" s="96">
        <f>Amnt_Deposited!B49</f>
        <v>2035</v>
      </c>
      <c r="P54" s="99">
        <f>Amnt_Deposited!P49</f>
        <v>0</v>
      </c>
      <c r="Q54" s="284">
        <f>MCF!R53</f>
        <v>1</v>
      </c>
      <c r="R54" s="67">
        <f t="shared" si="5"/>
        <v>0</v>
      </c>
      <c r="S54" s="67">
        <f t="shared" si="7"/>
        <v>0</v>
      </c>
      <c r="T54" s="67">
        <f t="shared" si="8"/>
        <v>0</v>
      </c>
      <c r="U54" s="67">
        <f t="shared" si="9"/>
        <v>0</v>
      </c>
      <c r="V54" s="67">
        <f t="shared" si="10"/>
        <v>0</v>
      </c>
      <c r="W54" s="100">
        <f t="shared" si="11"/>
        <v>0</v>
      </c>
    </row>
    <row r="55" spans="2:23">
      <c r="B55" s="96">
        <f>Amnt_Deposited!B50</f>
        <v>2036</v>
      </c>
      <c r="C55" s="99">
        <f>Amnt_Deposited!P50</f>
        <v>0</v>
      </c>
      <c r="D55" s="418">
        <f>Dry_Matter_Content!P42</f>
        <v>0</v>
      </c>
      <c r="E55" s="284">
        <f>MCF!R54</f>
        <v>1</v>
      </c>
      <c r="F55" s="67">
        <f t="shared" si="0"/>
        <v>0</v>
      </c>
      <c r="G55" s="67">
        <f t="shared" si="1"/>
        <v>0</v>
      </c>
      <c r="H55" s="67">
        <f t="shared" si="2"/>
        <v>0</v>
      </c>
      <c r="I55" s="67">
        <f t="shared" si="3"/>
        <v>0</v>
      </c>
      <c r="J55" s="67">
        <f t="shared" si="4"/>
        <v>0</v>
      </c>
      <c r="K55" s="100">
        <f t="shared" si="6"/>
        <v>0</v>
      </c>
      <c r="O55" s="96">
        <f>Amnt_Deposited!B50</f>
        <v>2036</v>
      </c>
      <c r="P55" s="99">
        <f>Amnt_Deposited!P50</f>
        <v>0</v>
      </c>
      <c r="Q55" s="284">
        <f>MCF!R54</f>
        <v>1</v>
      </c>
      <c r="R55" s="67">
        <f t="shared" si="5"/>
        <v>0</v>
      </c>
      <c r="S55" s="67">
        <f t="shared" si="7"/>
        <v>0</v>
      </c>
      <c r="T55" s="67">
        <f t="shared" si="8"/>
        <v>0</v>
      </c>
      <c r="U55" s="67">
        <f t="shared" si="9"/>
        <v>0</v>
      </c>
      <c r="V55" s="67">
        <f t="shared" si="10"/>
        <v>0</v>
      </c>
      <c r="W55" s="100">
        <f t="shared" si="11"/>
        <v>0</v>
      </c>
    </row>
    <row r="56" spans="2:23">
      <c r="B56" s="96">
        <f>Amnt_Deposited!B51</f>
        <v>2037</v>
      </c>
      <c r="C56" s="99">
        <f>Amnt_Deposited!P51</f>
        <v>0</v>
      </c>
      <c r="D56" s="418">
        <f>Dry_Matter_Content!P43</f>
        <v>0</v>
      </c>
      <c r="E56" s="284">
        <f>MCF!R55</f>
        <v>1</v>
      </c>
      <c r="F56" s="67">
        <f t="shared" si="0"/>
        <v>0</v>
      </c>
      <c r="G56" s="67">
        <f t="shared" si="1"/>
        <v>0</v>
      </c>
      <c r="H56" s="67">
        <f t="shared" si="2"/>
        <v>0</v>
      </c>
      <c r="I56" s="67">
        <f t="shared" si="3"/>
        <v>0</v>
      </c>
      <c r="J56" s="67">
        <f t="shared" si="4"/>
        <v>0</v>
      </c>
      <c r="K56" s="100">
        <f t="shared" si="6"/>
        <v>0</v>
      </c>
      <c r="O56" s="96">
        <f>Amnt_Deposited!B51</f>
        <v>2037</v>
      </c>
      <c r="P56" s="99">
        <f>Amnt_Deposited!P51</f>
        <v>0</v>
      </c>
      <c r="Q56" s="284">
        <f>MCF!R55</f>
        <v>1</v>
      </c>
      <c r="R56" s="67">
        <f t="shared" si="5"/>
        <v>0</v>
      </c>
      <c r="S56" s="67">
        <f t="shared" si="7"/>
        <v>0</v>
      </c>
      <c r="T56" s="67">
        <f t="shared" si="8"/>
        <v>0</v>
      </c>
      <c r="U56" s="67">
        <f t="shared" si="9"/>
        <v>0</v>
      </c>
      <c r="V56" s="67">
        <f t="shared" si="10"/>
        <v>0</v>
      </c>
      <c r="W56" s="100">
        <f t="shared" si="11"/>
        <v>0</v>
      </c>
    </row>
    <row r="57" spans="2:23">
      <c r="B57" s="96">
        <f>Amnt_Deposited!B52</f>
        <v>2038</v>
      </c>
      <c r="C57" s="99">
        <f>Amnt_Deposited!P52</f>
        <v>0</v>
      </c>
      <c r="D57" s="418">
        <f>Dry_Matter_Content!P44</f>
        <v>0</v>
      </c>
      <c r="E57" s="284">
        <f>MCF!R56</f>
        <v>1</v>
      </c>
      <c r="F57" s="67">
        <f t="shared" si="0"/>
        <v>0</v>
      </c>
      <c r="G57" s="67">
        <f t="shared" si="1"/>
        <v>0</v>
      </c>
      <c r="H57" s="67">
        <f t="shared" si="2"/>
        <v>0</v>
      </c>
      <c r="I57" s="67">
        <f t="shared" si="3"/>
        <v>0</v>
      </c>
      <c r="J57" s="67">
        <f t="shared" si="4"/>
        <v>0</v>
      </c>
      <c r="K57" s="100">
        <f t="shared" si="6"/>
        <v>0</v>
      </c>
      <c r="O57" s="96">
        <f>Amnt_Deposited!B52</f>
        <v>2038</v>
      </c>
      <c r="P57" s="99">
        <f>Amnt_Deposited!P52</f>
        <v>0</v>
      </c>
      <c r="Q57" s="284">
        <f>MCF!R56</f>
        <v>1</v>
      </c>
      <c r="R57" s="67">
        <f t="shared" si="5"/>
        <v>0</v>
      </c>
      <c r="S57" s="67">
        <f t="shared" si="7"/>
        <v>0</v>
      </c>
      <c r="T57" s="67">
        <f t="shared" si="8"/>
        <v>0</v>
      </c>
      <c r="U57" s="67">
        <f t="shared" si="9"/>
        <v>0</v>
      </c>
      <c r="V57" s="67">
        <f t="shared" si="10"/>
        <v>0</v>
      </c>
      <c r="W57" s="100">
        <f t="shared" si="11"/>
        <v>0</v>
      </c>
    </row>
    <row r="58" spans="2:23">
      <c r="B58" s="96">
        <f>Amnt_Deposited!B53</f>
        <v>2039</v>
      </c>
      <c r="C58" s="99">
        <f>Amnt_Deposited!P53</f>
        <v>0</v>
      </c>
      <c r="D58" s="418">
        <f>Dry_Matter_Content!P45</f>
        <v>0</v>
      </c>
      <c r="E58" s="284">
        <f>MCF!R57</f>
        <v>1</v>
      </c>
      <c r="F58" s="67">
        <f t="shared" si="0"/>
        <v>0</v>
      </c>
      <c r="G58" s="67">
        <f t="shared" si="1"/>
        <v>0</v>
      </c>
      <c r="H58" s="67">
        <f t="shared" si="2"/>
        <v>0</v>
      </c>
      <c r="I58" s="67">
        <f t="shared" si="3"/>
        <v>0</v>
      </c>
      <c r="J58" s="67">
        <f t="shared" si="4"/>
        <v>0</v>
      </c>
      <c r="K58" s="100">
        <f t="shared" si="6"/>
        <v>0</v>
      </c>
      <c r="O58" s="96">
        <f>Amnt_Deposited!B53</f>
        <v>2039</v>
      </c>
      <c r="P58" s="99">
        <f>Amnt_Deposited!P53</f>
        <v>0</v>
      </c>
      <c r="Q58" s="284">
        <f>MCF!R57</f>
        <v>1</v>
      </c>
      <c r="R58" s="67">
        <f t="shared" si="5"/>
        <v>0</v>
      </c>
      <c r="S58" s="67">
        <f t="shared" si="7"/>
        <v>0</v>
      </c>
      <c r="T58" s="67">
        <f t="shared" si="8"/>
        <v>0</v>
      </c>
      <c r="U58" s="67">
        <f t="shared" si="9"/>
        <v>0</v>
      </c>
      <c r="V58" s="67">
        <f t="shared" si="10"/>
        <v>0</v>
      </c>
      <c r="W58" s="100">
        <f t="shared" si="11"/>
        <v>0</v>
      </c>
    </row>
    <row r="59" spans="2:23">
      <c r="B59" s="96">
        <f>Amnt_Deposited!B54</f>
        <v>2040</v>
      </c>
      <c r="C59" s="99">
        <f>Amnt_Deposited!P54</f>
        <v>0</v>
      </c>
      <c r="D59" s="418">
        <f>Dry_Matter_Content!P46</f>
        <v>0</v>
      </c>
      <c r="E59" s="284">
        <f>MCF!R58</f>
        <v>1</v>
      </c>
      <c r="F59" s="67">
        <f t="shared" si="0"/>
        <v>0</v>
      </c>
      <c r="G59" s="67">
        <f t="shared" si="1"/>
        <v>0</v>
      </c>
      <c r="H59" s="67">
        <f t="shared" si="2"/>
        <v>0</v>
      </c>
      <c r="I59" s="67">
        <f t="shared" si="3"/>
        <v>0</v>
      </c>
      <c r="J59" s="67">
        <f t="shared" si="4"/>
        <v>0</v>
      </c>
      <c r="K59" s="100">
        <f t="shared" si="6"/>
        <v>0</v>
      </c>
      <c r="O59" s="96">
        <f>Amnt_Deposited!B54</f>
        <v>2040</v>
      </c>
      <c r="P59" s="99">
        <f>Amnt_Deposited!P54</f>
        <v>0</v>
      </c>
      <c r="Q59" s="284">
        <f>MCF!R58</f>
        <v>1</v>
      </c>
      <c r="R59" s="67">
        <f t="shared" si="5"/>
        <v>0</v>
      </c>
      <c r="S59" s="67">
        <f t="shared" si="7"/>
        <v>0</v>
      </c>
      <c r="T59" s="67">
        <f t="shared" si="8"/>
        <v>0</v>
      </c>
      <c r="U59" s="67">
        <f t="shared" si="9"/>
        <v>0</v>
      </c>
      <c r="V59" s="67">
        <f t="shared" si="10"/>
        <v>0</v>
      </c>
      <c r="W59" s="100">
        <f t="shared" si="11"/>
        <v>0</v>
      </c>
    </row>
    <row r="60" spans="2:23">
      <c r="B60" s="96">
        <f>Amnt_Deposited!B55</f>
        <v>2041</v>
      </c>
      <c r="C60" s="99">
        <f>Amnt_Deposited!P55</f>
        <v>0</v>
      </c>
      <c r="D60" s="418">
        <f>Dry_Matter_Content!P47</f>
        <v>0</v>
      </c>
      <c r="E60" s="284">
        <f>MCF!R59</f>
        <v>1</v>
      </c>
      <c r="F60" s="67">
        <f t="shared" si="0"/>
        <v>0</v>
      </c>
      <c r="G60" s="67">
        <f t="shared" si="1"/>
        <v>0</v>
      </c>
      <c r="H60" s="67">
        <f t="shared" si="2"/>
        <v>0</v>
      </c>
      <c r="I60" s="67">
        <f t="shared" si="3"/>
        <v>0</v>
      </c>
      <c r="J60" s="67">
        <f t="shared" si="4"/>
        <v>0</v>
      </c>
      <c r="K60" s="100">
        <f t="shared" si="6"/>
        <v>0</v>
      </c>
      <c r="O60" s="96">
        <f>Amnt_Deposited!B55</f>
        <v>2041</v>
      </c>
      <c r="P60" s="99">
        <f>Amnt_Deposited!P55</f>
        <v>0</v>
      </c>
      <c r="Q60" s="284">
        <f>MCF!R59</f>
        <v>1</v>
      </c>
      <c r="R60" s="67">
        <f t="shared" si="5"/>
        <v>0</v>
      </c>
      <c r="S60" s="67">
        <f t="shared" si="7"/>
        <v>0</v>
      </c>
      <c r="T60" s="67">
        <f t="shared" si="8"/>
        <v>0</v>
      </c>
      <c r="U60" s="67">
        <f t="shared" si="9"/>
        <v>0</v>
      </c>
      <c r="V60" s="67">
        <f t="shared" si="10"/>
        <v>0</v>
      </c>
      <c r="W60" s="100">
        <f t="shared" si="11"/>
        <v>0</v>
      </c>
    </row>
    <row r="61" spans="2:23">
      <c r="B61" s="96">
        <f>Amnt_Deposited!B56</f>
        <v>2042</v>
      </c>
      <c r="C61" s="99">
        <f>Amnt_Deposited!P56</f>
        <v>0</v>
      </c>
      <c r="D61" s="418">
        <f>Dry_Matter_Content!P48</f>
        <v>0</v>
      </c>
      <c r="E61" s="284">
        <f>MCF!R60</f>
        <v>1</v>
      </c>
      <c r="F61" s="67">
        <f t="shared" si="0"/>
        <v>0</v>
      </c>
      <c r="G61" s="67">
        <f t="shared" si="1"/>
        <v>0</v>
      </c>
      <c r="H61" s="67">
        <f t="shared" si="2"/>
        <v>0</v>
      </c>
      <c r="I61" s="67">
        <f t="shared" si="3"/>
        <v>0</v>
      </c>
      <c r="J61" s="67">
        <f t="shared" si="4"/>
        <v>0</v>
      </c>
      <c r="K61" s="100">
        <f t="shared" si="6"/>
        <v>0</v>
      </c>
      <c r="O61" s="96">
        <f>Amnt_Deposited!B56</f>
        <v>2042</v>
      </c>
      <c r="P61" s="99">
        <f>Amnt_Deposited!P56</f>
        <v>0</v>
      </c>
      <c r="Q61" s="284">
        <f>MCF!R60</f>
        <v>1</v>
      </c>
      <c r="R61" s="67">
        <f t="shared" si="5"/>
        <v>0</v>
      </c>
      <c r="S61" s="67">
        <f t="shared" si="7"/>
        <v>0</v>
      </c>
      <c r="T61" s="67">
        <f t="shared" si="8"/>
        <v>0</v>
      </c>
      <c r="U61" s="67">
        <f t="shared" si="9"/>
        <v>0</v>
      </c>
      <c r="V61" s="67">
        <f t="shared" si="10"/>
        <v>0</v>
      </c>
      <c r="W61" s="100">
        <f t="shared" si="11"/>
        <v>0</v>
      </c>
    </row>
    <row r="62" spans="2:23">
      <c r="B62" s="96">
        <f>Amnt_Deposited!B57</f>
        <v>2043</v>
      </c>
      <c r="C62" s="99">
        <f>Amnt_Deposited!P57</f>
        <v>0</v>
      </c>
      <c r="D62" s="418">
        <f>Dry_Matter_Content!P49</f>
        <v>0</v>
      </c>
      <c r="E62" s="284">
        <f>MCF!R61</f>
        <v>1</v>
      </c>
      <c r="F62" s="67">
        <f t="shared" si="0"/>
        <v>0</v>
      </c>
      <c r="G62" s="67">
        <f t="shared" si="1"/>
        <v>0</v>
      </c>
      <c r="H62" s="67">
        <f t="shared" si="2"/>
        <v>0</v>
      </c>
      <c r="I62" s="67">
        <f t="shared" si="3"/>
        <v>0</v>
      </c>
      <c r="J62" s="67">
        <f t="shared" si="4"/>
        <v>0</v>
      </c>
      <c r="K62" s="100">
        <f t="shared" si="6"/>
        <v>0</v>
      </c>
      <c r="O62" s="96">
        <f>Amnt_Deposited!B57</f>
        <v>2043</v>
      </c>
      <c r="P62" s="99">
        <f>Amnt_Deposited!P57</f>
        <v>0</v>
      </c>
      <c r="Q62" s="284">
        <f>MCF!R61</f>
        <v>1</v>
      </c>
      <c r="R62" s="67">
        <f t="shared" si="5"/>
        <v>0</v>
      </c>
      <c r="S62" s="67">
        <f t="shared" si="7"/>
        <v>0</v>
      </c>
      <c r="T62" s="67">
        <f t="shared" si="8"/>
        <v>0</v>
      </c>
      <c r="U62" s="67">
        <f t="shared" si="9"/>
        <v>0</v>
      </c>
      <c r="V62" s="67">
        <f t="shared" si="10"/>
        <v>0</v>
      </c>
      <c r="W62" s="100">
        <f t="shared" si="11"/>
        <v>0</v>
      </c>
    </row>
    <row r="63" spans="2:23">
      <c r="B63" s="96">
        <f>Amnt_Deposited!B58</f>
        <v>2044</v>
      </c>
      <c r="C63" s="99">
        <f>Amnt_Deposited!P58</f>
        <v>0</v>
      </c>
      <c r="D63" s="418">
        <f>Dry_Matter_Content!P50</f>
        <v>0</v>
      </c>
      <c r="E63" s="284">
        <f>MCF!R62</f>
        <v>1</v>
      </c>
      <c r="F63" s="67">
        <f t="shared" si="0"/>
        <v>0</v>
      </c>
      <c r="G63" s="67">
        <f t="shared" si="1"/>
        <v>0</v>
      </c>
      <c r="H63" s="67">
        <f t="shared" si="2"/>
        <v>0</v>
      </c>
      <c r="I63" s="67">
        <f t="shared" si="3"/>
        <v>0</v>
      </c>
      <c r="J63" s="67">
        <f t="shared" si="4"/>
        <v>0</v>
      </c>
      <c r="K63" s="100">
        <f t="shared" si="6"/>
        <v>0</v>
      </c>
      <c r="O63" s="96">
        <f>Amnt_Deposited!B58</f>
        <v>2044</v>
      </c>
      <c r="P63" s="99">
        <f>Amnt_Deposited!P58</f>
        <v>0</v>
      </c>
      <c r="Q63" s="284">
        <f>MCF!R62</f>
        <v>1</v>
      </c>
      <c r="R63" s="67">
        <f t="shared" si="5"/>
        <v>0</v>
      </c>
      <c r="S63" s="67">
        <f t="shared" si="7"/>
        <v>0</v>
      </c>
      <c r="T63" s="67">
        <f t="shared" si="8"/>
        <v>0</v>
      </c>
      <c r="U63" s="67">
        <f t="shared" si="9"/>
        <v>0</v>
      </c>
      <c r="V63" s="67">
        <f t="shared" si="10"/>
        <v>0</v>
      </c>
      <c r="W63" s="100">
        <f t="shared" si="11"/>
        <v>0</v>
      </c>
    </row>
    <row r="64" spans="2:23">
      <c r="B64" s="96">
        <f>Amnt_Deposited!B59</f>
        <v>2045</v>
      </c>
      <c r="C64" s="99">
        <f>Amnt_Deposited!P59</f>
        <v>0</v>
      </c>
      <c r="D64" s="418">
        <f>Dry_Matter_Content!P51</f>
        <v>0</v>
      </c>
      <c r="E64" s="284">
        <f>MCF!R63</f>
        <v>1</v>
      </c>
      <c r="F64" s="67">
        <f t="shared" si="0"/>
        <v>0</v>
      </c>
      <c r="G64" s="67">
        <f t="shared" si="1"/>
        <v>0</v>
      </c>
      <c r="H64" s="67">
        <f t="shared" si="2"/>
        <v>0</v>
      </c>
      <c r="I64" s="67">
        <f t="shared" si="3"/>
        <v>0</v>
      </c>
      <c r="J64" s="67">
        <f t="shared" si="4"/>
        <v>0</v>
      </c>
      <c r="K64" s="100">
        <f t="shared" si="6"/>
        <v>0</v>
      </c>
      <c r="O64" s="96">
        <f>Amnt_Deposited!B59</f>
        <v>2045</v>
      </c>
      <c r="P64" s="99">
        <f>Amnt_Deposited!P59</f>
        <v>0</v>
      </c>
      <c r="Q64" s="284">
        <f>MCF!R63</f>
        <v>1</v>
      </c>
      <c r="R64" s="67">
        <f t="shared" si="5"/>
        <v>0</v>
      </c>
      <c r="S64" s="67">
        <f t="shared" si="7"/>
        <v>0</v>
      </c>
      <c r="T64" s="67">
        <f t="shared" si="8"/>
        <v>0</v>
      </c>
      <c r="U64" s="67">
        <f t="shared" si="9"/>
        <v>0</v>
      </c>
      <c r="V64" s="67">
        <f t="shared" si="10"/>
        <v>0</v>
      </c>
      <c r="W64" s="100">
        <f t="shared" si="11"/>
        <v>0</v>
      </c>
    </row>
    <row r="65" spans="2:23">
      <c r="B65" s="96">
        <f>Amnt_Deposited!B60</f>
        <v>2046</v>
      </c>
      <c r="C65" s="99">
        <f>Amnt_Deposited!P60</f>
        <v>0</v>
      </c>
      <c r="D65" s="418">
        <f>Dry_Matter_Content!P52</f>
        <v>0</v>
      </c>
      <c r="E65" s="284">
        <f>MCF!R64</f>
        <v>1</v>
      </c>
      <c r="F65" s="67">
        <f t="shared" si="0"/>
        <v>0</v>
      </c>
      <c r="G65" s="67">
        <f t="shared" si="1"/>
        <v>0</v>
      </c>
      <c r="H65" s="67">
        <f t="shared" si="2"/>
        <v>0</v>
      </c>
      <c r="I65" s="67">
        <f t="shared" si="3"/>
        <v>0</v>
      </c>
      <c r="J65" s="67">
        <f t="shared" si="4"/>
        <v>0</v>
      </c>
      <c r="K65" s="100">
        <f t="shared" si="6"/>
        <v>0</v>
      </c>
      <c r="O65" s="96">
        <f>Amnt_Deposited!B60</f>
        <v>2046</v>
      </c>
      <c r="P65" s="99">
        <f>Amnt_Deposited!P60</f>
        <v>0</v>
      </c>
      <c r="Q65" s="284">
        <f>MCF!R64</f>
        <v>1</v>
      </c>
      <c r="R65" s="67">
        <f t="shared" si="5"/>
        <v>0</v>
      </c>
      <c r="S65" s="67">
        <f t="shared" si="7"/>
        <v>0</v>
      </c>
      <c r="T65" s="67">
        <f t="shared" si="8"/>
        <v>0</v>
      </c>
      <c r="U65" s="67">
        <f t="shared" si="9"/>
        <v>0</v>
      </c>
      <c r="V65" s="67">
        <f t="shared" si="10"/>
        <v>0</v>
      </c>
      <c r="W65" s="100">
        <f t="shared" si="11"/>
        <v>0</v>
      </c>
    </row>
    <row r="66" spans="2:23">
      <c r="B66" s="96">
        <f>Amnt_Deposited!B61</f>
        <v>2047</v>
      </c>
      <c r="C66" s="99">
        <f>Amnt_Deposited!P61</f>
        <v>0</v>
      </c>
      <c r="D66" s="418">
        <f>Dry_Matter_Content!P53</f>
        <v>0</v>
      </c>
      <c r="E66" s="284">
        <f>MCF!R65</f>
        <v>1</v>
      </c>
      <c r="F66" s="67">
        <f t="shared" si="0"/>
        <v>0</v>
      </c>
      <c r="G66" s="67">
        <f t="shared" si="1"/>
        <v>0</v>
      </c>
      <c r="H66" s="67">
        <f t="shared" si="2"/>
        <v>0</v>
      </c>
      <c r="I66" s="67">
        <f t="shared" si="3"/>
        <v>0</v>
      </c>
      <c r="J66" s="67">
        <f t="shared" si="4"/>
        <v>0</v>
      </c>
      <c r="K66" s="100">
        <f t="shared" si="6"/>
        <v>0</v>
      </c>
      <c r="O66" s="96">
        <f>Amnt_Deposited!B61</f>
        <v>2047</v>
      </c>
      <c r="P66" s="99">
        <f>Amnt_Deposited!P61</f>
        <v>0</v>
      </c>
      <c r="Q66" s="284">
        <f>MCF!R65</f>
        <v>1</v>
      </c>
      <c r="R66" s="67">
        <f t="shared" si="5"/>
        <v>0</v>
      </c>
      <c r="S66" s="67">
        <f t="shared" si="7"/>
        <v>0</v>
      </c>
      <c r="T66" s="67">
        <f t="shared" si="8"/>
        <v>0</v>
      </c>
      <c r="U66" s="67">
        <f t="shared" si="9"/>
        <v>0</v>
      </c>
      <c r="V66" s="67">
        <f t="shared" si="10"/>
        <v>0</v>
      </c>
      <c r="W66" s="100">
        <f t="shared" si="11"/>
        <v>0</v>
      </c>
    </row>
    <row r="67" spans="2:23">
      <c r="B67" s="96">
        <f>Amnt_Deposited!B62</f>
        <v>2048</v>
      </c>
      <c r="C67" s="99">
        <f>Amnt_Deposited!P62</f>
        <v>0</v>
      </c>
      <c r="D67" s="418">
        <f>Dry_Matter_Content!P54</f>
        <v>0</v>
      </c>
      <c r="E67" s="284">
        <f>MCF!R66</f>
        <v>1</v>
      </c>
      <c r="F67" s="67">
        <f t="shared" si="0"/>
        <v>0</v>
      </c>
      <c r="G67" s="67">
        <f t="shared" si="1"/>
        <v>0</v>
      </c>
      <c r="H67" s="67">
        <f t="shared" si="2"/>
        <v>0</v>
      </c>
      <c r="I67" s="67">
        <f t="shared" si="3"/>
        <v>0</v>
      </c>
      <c r="J67" s="67">
        <f t="shared" si="4"/>
        <v>0</v>
      </c>
      <c r="K67" s="100">
        <f t="shared" si="6"/>
        <v>0</v>
      </c>
      <c r="O67" s="96">
        <f>Amnt_Deposited!B62</f>
        <v>2048</v>
      </c>
      <c r="P67" s="99">
        <f>Amnt_Deposited!P62</f>
        <v>0</v>
      </c>
      <c r="Q67" s="284">
        <f>MCF!R66</f>
        <v>1</v>
      </c>
      <c r="R67" s="67">
        <f t="shared" si="5"/>
        <v>0</v>
      </c>
      <c r="S67" s="67">
        <f t="shared" si="7"/>
        <v>0</v>
      </c>
      <c r="T67" s="67">
        <f t="shared" si="8"/>
        <v>0</v>
      </c>
      <c r="U67" s="67">
        <f t="shared" si="9"/>
        <v>0</v>
      </c>
      <c r="V67" s="67">
        <f t="shared" si="10"/>
        <v>0</v>
      </c>
      <c r="W67" s="100">
        <f t="shared" si="11"/>
        <v>0</v>
      </c>
    </row>
    <row r="68" spans="2:23">
      <c r="B68" s="96">
        <f>Amnt_Deposited!B63</f>
        <v>2049</v>
      </c>
      <c r="C68" s="99">
        <f>Amnt_Deposited!P63</f>
        <v>0</v>
      </c>
      <c r="D68" s="418">
        <f>Dry_Matter_Content!P55</f>
        <v>0</v>
      </c>
      <c r="E68" s="284">
        <f>MCF!R67</f>
        <v>1</v>
      </c>
      <c r="F68" s="67">
        <f t="shared" si="0"/>
        <v>0</v>
      </c>
      <c r="G68" s="67">
        <f t="shared" si="1"/>
        <v>0</v>
      </c>
      <c r="H68" s="67">
        <f t="shared" si="2"/>
        <v>0</v>
      </c>
      <c r="I68" s="67">
        <f t="shared" si="3"/>
        <v>0</v>
      </c>
      <c r="J68" s="67">
        <f t="shared" si="4"/>
        <v>0</v>
      </c>
      <c r="K68" s="100">
        <f t="shared" si="6"/>
        <v>0</v>
      </c>
      <c r="O68" s="96">
        <f>Amnt_Deposited!B63</f>
        <v>2049</v>
      </c>
      <c r="P68" s="99">
        <f>Amnt_Deposited!P63</f>
        <v>0</v>
      </c>
      <c r="Q68" s="284">
        <f>MCF!R67</f>
        <v>1</v>
      </c>
      <c r="R68" s="67">
        <f t="shared" si="5"/>
        <v>0</v>
      </c>
      <c r="S68" s="67">
        <f t="shared" si="7"/>
        <v>0</v>
      </c>
      <c r="T68" s="67">
        <f t="shared" si="8"/>
        <v>0</v>
      </c>
      <c r="U68" s="67">
        <f t="shared" si="9"/>
        <v>0</v>
      </c>
      <c r="V68" s="67">
        <f t="shared" si="10"/>
        <v>0</v>
      </c>
      <c r="W68" s="100">
        <f t="shared" si="11"/>
        <v>0</v>
      </c>
    </row>
    <row r="69" spans="2:23">
      <c r="B69" s="96">
        <f>Amnt_Deposited!B64</f>
        <v>2050</v>
      </c>
      <c r="C69" s="99">
        <f>Amnt_Deposited!P64</f>
        <v>0</v>
      </c>
      <c r="D69" s="418">
        <f>Dry_Matter_Content!P56</f>
        <v>0</v>
      </c>
      <c r="E69" s="284">
        <f>MCF!R68</f>
        <v>1</v>
      </c>
      <c r="F69" s="67">
        <f t="shared" si="0"/>
        <v>0</v>
      </c>
      <c r="G69" s="67">
        <f t="shared" si="1"/>
        <v>0</v>
      </c>
      <c r="H69" s="67">
        <f t="shared" si="2"/>
        <v>0</v>
      </c>
      <c r="I69" s="67">
        <f t="shared" si="3"/>
        <v>0</v>
      </c>
      <c r="J69" s="67">
        <f t="shared" si="4"/>
        <v>0</v>
      </c>
      <c r="K69" s="100">
        <f t="shared" si="6"/>
        <v>0</v>
      </c>
      <c r="O69" s="96">
        <f>Amnt_Deposited!B64</f>
        <v>2050</v>
      </c>
      <c r="P69" s="99">
        <f>Amnt_Deposited!P64</f>
        <v>0</v>
      </c>
      <c r="Q69" s="284">
        <f>MCF!R68</f>
        <v>1</v>
      </c>
      <c r="R69" s="67">
        <f t="shared" si="5"/>
        <v>0</v>
      </c>
      <c r="S69" s="67">
        <f t="shared" si="7"/>
        <v>0</v>
      </c>
      <c r="T69" s="67">
        <f t="shared" si="8"/>
        <v>0</v>
      </c>
      <c r="U69" s="67">
        <f t="shared" si="9"/>
        <v>0</v>
      </c>
      <c r="V69" s="67">
        <f t="shared" si="10"/>
        <v>0</v>
      </c>
      <c r="W69" s="100">
        <f t="shared" si="11"/>
        <v>0</v>
      </c>
    </row>
    <row r="70" spans="2:23">
      <c r="B70" s="96">
        <f>Amnt_Deposited!B65</f>
        <v>2051</v>
      </c>
      <c r="C70" s="99">
        <f>Amnt_Deposited!P65</f>
        <v>0</v>
      </c>
      <c r="D70" s="418">
        <f>Dry_Matter_Content!P57</f>
        <v>0</v>
      </c>
      <c r="E70" s="284">
        <f>MCF!R69</f>
        <v>1</v>
      </c>
      <c r="F70" s="67">
        <f t="shared" si="0"/>
        <v>0</v>
      </c>
      <c r="G70" s="67">
        <f t="shared" si="1"/>
        <v>0</v>
      </c>
      <c r="H70" s="67">
        <f t="shared" si="2"/>
        <v>0</v>
      </c>
      <c r="I70" s="67">
        <f t="shared" si="3"/>
        <v>0</v>
      </c>
      <c r="J70" s="67">
        <f t="shared" si="4"/>
        <v>0</v>
      </c>
      <c r="K70" s="100">
        <f t="shared" si="6"/>
        <v>0</v>
      </c>
      <c r="O70" s="96">
        <f>Amnt_Deposited!B65</f>
        <v>2051</v>
      </c>
      <c r="P70" s="99">
        <f>Amnt_Deposited!P65</f>
        <v>0</v>
      </c>
      <c r="Q70" s="284">
        <f>MCF!R69</f>
        <v>1</v>
      </c>
      <c r="R70" s="67">
        <f t="shared" si="5"/>
        <v>0</v>
      </c>
      <c r="S70" s="67">
        <f t="shared" si="7"/>
        <v>0</v>
      </c>
      <c r="T70" s="67">
        <f t="shared" si="8"/>
        <v>0</v>
      </c>
      <c r="U70" s="67">
        <f t="shared" si="9"/>
        <v>0</v>
      </c>
      <c r="V70" s="67">
        <f t="shared" si="10"/>
        <v>0</v>
      </c>
      <c r="W70" s="100">
        <f t="shared" si="11"/>
        <v>0</v>
      </c>
    </row>
    <row r="71" spans="2:23">
      <c r="B71" s="96">
        <f>Amnt_Deposited!B66</f>
        <v>2052</v>
      </c>
      <c r="C71" s="99">
        <f>Amnt_Deposited!P66</f>
        <v>0</v>
      </c>
      <c r="D71" s="418">
        <f>Dry_Matter_Content!P58</f>
        <v>0</v>
      </c>
      <c r="E71" s="284">
        <f>MCF!R70</f>
        <v>1</v>
      </c>
      <c r="F71" s="67">
        <f t="shared" si="0"/>
        <v>0</v>
      </c>
      <c r="G71" s="67">
        <f t="shared" si="1"/>
        <v>0</v>
      </c>
      <c r="H71" s="67">
        <f t="shared" si="2"/>
        <v>0</v>
      </c>
      <c r="I71" s="67">
        <f t="shared" si="3"/>
        <v>0</v>
      </c>
      <c r="J71" s="67">
        <f t="shared" si="4"/>
        <v>0</v>
      </c>
      <c r="K71" s="100">
        <f t="shared" si="6"/>
        <v>0</v>
      </c>
      <c r="O71" s="96">
        <f>Amnt_Deposited!B66</f>
        <v>2052</v>
      </c>
      <c r="P71" s="99">
        <f>Amnt_Deposited!P66</f>
        <v>0</v>
      </c>
      <c r="Q71" s="284">
        <f>MCF!R70</f>
        <v>1</v>
      </c>
      <c r="R71" s="67">
        <f t="shared" si="5"/>
        <v>0</v>
      </c>
      <c r="S71" s="67">
        <f t="shared" si="7"/>
        <v>0</v>
      </c>
      <c r="T71" s="67">
        <f t="shared" si="8"/>
        <v>0</v>
      </c>
      <c r="U71" s="67">
        <f t="shared" si="9"/>
        <v>0</v>
      </c>
      <c r="V71" s="67">
        <f t="shared" si="10"/>
        <v>0</v>
      </c>
      <c r="W71" s="100">
        <f t="shared" si="11"/>
        <v>0</v>
      </c>
    </row>
    <row r="72" spans="2:23">
      <c r="B72" s="96">
        <f>Amnt_Deposited!B67</f>
        <v>2053</v>
      </c>
      <c r="C72" s="99">
        <f>Amnt_Deposited!P67</f>
        <v>0</v>
      </c>
      <c r="D72" s="418">
        <f>Dry_Matter_Content!P59</f>
        <v>0</v>
      </c>
      <c r="E72" s="284">
        <f>MCF!R71</f>
        <v>1</v>
      </c>
      <c r="F72" s="67">
        <f t="shared" si="0"/>
        <v>0</v>
      </c>
      <c r="G72" s="67">
        <f t="shared" si="1"/>
        <v>0</v>
      </c>
      <c r="H72" s="67">
        <f t="shared" si="2"/>
        <v>0</v>
      </c>
      <c r="I72" s="67">
        <f t="shared" si="3"/>
        <v>0</v>
      </c>
      <c r="J72" s="67">
        <f t="shared" si="4"/>
        <v>0</v>
      </c>
      <c r="K72" s="100">
        <f t="shared" si="6"/>
        <v>0</v>
      </c>
      <c r="O72" s="96">
        <f>Amnt_Deposited!B67</f>
        <v>2053</v>
      </c>
      <c r="P72" s="99">
        <f>Amnt_Deposited!P67</f>
        <v>0</v>
      </c>
      <c r="Q72" s="284">
        <f>MCF!R71</f>
        <v>1</v>
      </c>
      <c r="R72" s="67">
        <f t="shared" si="5"/>
        <v>0</v>
      </c>
      <c r="S72" s="67">
        <f t="shared" si="7"/>
        <v>0</v>
      </c>
      <c r="T72" s="67">
        <f t="shared" si="8"/>
        <v>0</v>
      </c>
      <c r="U72" s="67">
        <f t="shared" si="9"/>
        <v>0</v>
      </c>
      <c r="V72" s="67">
        <f t="shared" si="10"/>
        <v>0</v>
      </c>
      <c r="W72" s="100">
        <f t="shared" si="11"/>
        <v>0</v>
      </c>
    </row>
    <row r="73" spans="2:23">
      <c r="B73" s="96">
        <f>Amnt_Deposited!B68</f>
        <v>2054</v>
      </c>
      <c r="C73" s="99">
        <f>Amnt_Deposited!P68</f>
        <v>0</v>
      </c>
      <c r="D73" s="418">
        <f>Dry_Matter_Content!P60</f>
        <v>0</v>
      </c>
      <c r="E73" s="284">
        <f>MCF!R72</f>
        <v>1</v>
      </c>
      <c r="F73" s="67">
        <f t="shared" si="0"/>
        <v>0</v>
      </c>
      <c r="G73" s="67">
        <f t="shared" si="1"/>
        <v>0</v>
      </c>
      <c r="H73" s="67">
        <f t="shared" si="2"/>
        <v>0</v>
      </c>
      <c r="I73" s="67">
        <f t="shared" si="3"/>
        <v>0</v>
      </c>
      <c r="J73" s="67">
        <f t="shared" si="4"/>
        <v>0</v>
      </c>
      <c r="K73" s="100">
        <f t="shared" si="6"/>
        <v>0</v>
      </c>
      <c r="O73" s="96">
        <f>Amnt_Deposited!B68</f>
        <v>2054</v>
      </c>
      <c r="P73" s="99">
        <f>Amnt_Deposited!P68</f>
        <v>0</v>
      </c>
      <c r="Q73" s="284">
        <f>MCF!R72</f>
        <v>1</v>
      </c>
      <c r="R73" s="67">
        <f t="shared" si="5"/>
        <v>0</v>
      </c>
      <c r="S73" s="67">
        <f t="shared" si="7"/>
        <v>0</v>
      </c>
      <c r="T73" s="67">
        <f t="shared" si="8"/>
        <v>0</v>
      </c>
      <c r="U73" s="67">
        <f t="shared" si="9"/>
        <v>0</v>
      </c>
      <c r="V73" s="67">
        <f t="shared" si="10"/>
        <v>0</v>
      </c>
      <c r="W73" s="100">
        <f t="shared" si="11"/>
        <v>0</v>
      </c>
    </row>
    <row r="74" spans="2:23">
      <c r="B74" s="96">
        <f>Amnt_Deposited!B69</f>
        <v>2055</v>
      </c>
      <c r="C74" s="99">
        <f>Amnt_Deposited!P69</f>
        <v>0</v>
      </c>
      <c r="D74" s="418">
        <f>Dry_Matter_Content!P61</f>
        <v>0</v>
      </c>
      <c r="E74" s="284">
        <f>MCF!R73</f>
        <v>1</v>
      </c>
      <c r="F74" s="67">
        <f t="shared" si="0"/>
        <v>0</v>
      </c>
      <c r="G74" s="67">
        <f t="shared" si="1"/>
        <v>0</v>
      </c>
      <c r="H74" s="67">
        <f t="shared" si="2"/>
        <v>0</v>
      </c>
      <c r="I74" s="67">
        <f t="shared" si="3"/>
        <v>0</v>
      </c>
      <c r="J74" s="67">
        <f t="shared" si="4"/>
        <v>0</v>
      </c>
      <c r="K74" s="100">
        <f t="shared" si="6"/>
        <v>0</v>
      </c>
      <c r="O74" s="96">
        <f>Amnt_Deposited!B69</f>
        <v>2055</v>
      </c>
      <c r="P74" s="99">
        <f>Amnt_Deposited!P69</f>
        <v>0</v>
      </c>
      <c r="Q74" s="284">
        <f>MCF!R73</f>
        <v>1</v>
      </c>
      <c r="R74" s="67">
        <f t="shared" si="5"/>
        <v>0</v>
      </c>
      <c r="S74" s="67">
        <f t="shared" si="7"/>
        <v>0</v>
      </c>
      <c r="T74" s="67">
        <f t="shared" si="8"/>
        <v>0</v>
      </c>
      <c r="U74" s="67">
        <f t="shared" si="9"/>
        <v>0</v>
      </c>
      <c r="V74" s="67">
        <f t="shared" si="10"/>
        <v>0</v>
      </c>
      <c r="W74" s="100">
        <f t="shared" si="11"/>
        <v>0</v>
      </c>
    </row>
    <row r="75" spans="2:23">
      <c r="B75" s="96">
        <f>Amnt_Deposited!B70</f>
        <v>2056</v>
      </c>
      <c r="C75" s="99">
        <f>Amnt_Deposited!P70</f>
        <v>0</v>
      </c>
      <c r="D75" s="418">
        <f>Dry_Matter_Content!P62</f>
        <v>0</v>
      </c>
      <c r="E75" s="284">
        <f>MCF!R74</f>
        <v>1</v>
      </c>
      <c r="F75" s="67">
        <f t="shared" si="0"/>
        <v>0</v>
      </c>
      <c r="G75" s="67">
        <f t="shared" si="1"/>
        <v>0</v>
      </c>
      <c r="H75" s="67">
        <f t="shared" si="2"/>
        <v>0</v>
      </c>
      <c r="I75" s="67">
        <f t="shared" si="3"/>
        <v>0</v>
      </c>
      <c r="J75" s="67">
        <f t="shared" si="4"/>
        <v>0</v>
      </c>
      <c r="K75" s="100">
        <f t="shared" si="6"/>
        <v>0</v>
      </c>
      <c r="O75" s="96">
        <f>Amnt_Deposited!B70</f>
        <v>2056</v>
      </c>
      <c r="P75" s="99">
        <f>Amnt_Deposited!P70</f>
        <v>0</v>
      </c>
      <c r="Q75" s="284">
        <f>MCF!R74</f>
        <v>1</v>
      </c>
      <c r="R75" s="67">
        <f t="shared" si="5"/>
        <v>0</v>
      </c>
      <c r="S75" s="67">
        <f t="shared" si="7"/>
        <v>0</v>
      </c>
      <c r="T75" s="67">
        <f t="shared" si="8"/>
        <v>0</v>
      </c>
      <c r="U75" s="67">
        <f t="shared" si="9"/>
        <v>0</v>
      </c>
      <c r="V75" s="67">
        <f t="shared" si="10"/>
        <v>0</v>
      </c>
      <c r="W75" s="100">
        <f t="shared" si="11"/>
        <v>0</v>
      </c>
    </row>
    <row r="76" spans="2:23">
      <c r="B76" s="96">
        <f>Amnt_Deposited!B71</f>
        <v>2057</v>
      </c>
      <c r="C76" s="99">
        <f>Amnt_Deposited!P71</f>
        <v>0</v>
      </c>
      <c r="D76" s="418">
        <f>Dry_Matter_Content!P63</f>
        <v>0</v>
      </c>
      <c r="E76" s="284">
        <f>MCF!R75</f>
        <v>1</v>
      </c>
      <c r="F76" s="67">
        <f t="shared" si="0"/>
        <v>0</v>
      </c>
      <c r="G76" s="67">
        <f t="shared" si="1"/>
        <v>0</v>
      </c>
      <c r="H76" s="67">
        <f t="shared" si="2"/>
        <v>0</v>
      </c>
      <c r="I76" s="67">
        <f t="shared" si="3"/>
        <v>0</v>
      </c>
      <c r="J76" s="67">
        <f t="shared" si="4"/>
        <v>0</v>
      </c>
      <c r="K76" s="100">
        <f t="shared" si="6"/>
        <v>0</v>
      </c>
      <c r="O76" s="96">
        <f>Amnt_Deposited!B71</f>
        <v>2057</v>
      </c>
      <c r="P76" s="99">
        <f>Amnt_Deposited!P71</f>
        <v>0</v>
      </c>
      <c r="Q76" s="284">
        <f>MCF!R75</f>
        <v>1</v>
      </c>
      <c r="R76" s="67">
        <f t="shared" si="5"/>
        <v>0</v>
      </c>
      <c r="S76" s="67">
        <f t="shared" si="7"/>
        <v>0</v>
      </c>
      <c r="T76" s="67">
        <f t="shared" si="8"/>
        <v>0</v>
      </c>
      <c r="U76" s="67">
        <f t="shared" si="9"/>
        <v>0</v>
      </c>
      <c r="V76" s="67">
        <f t="shared" si="10"/>
        <v>0</v>
      </c>
      <c r="W76" s="100">
        <f t="shared" si="11"/>
        <v>0</v>
      </c>
    </row>
    <row r="77" spans="2:23">
      <c r="B77" s="96">
        <f>Amnt_Deposited!B72</f>
        <v>2058</v>
      </c>
      <c r="C77" s="99">
        <f>Amnt_Deposited!P72</f>
        <v>0</v>
      </c>
      <c r="D77" s="418">
        <f>Dry_Matter_Content!P64</f>
        <v>0</v>
      </c>
      <c r="E77" s="284">
        <f>MCF!R76</f>
        <v>1</v>
      </c>
      <c r="F77" s="67">
        <f t="shared" si="0"/>
        <v>0</v>
      </c>
      <c r="G77" s="67">
        <f t="shared" si="1"/>
        <v>0</v>
      </c>
      <c r="H77" s="67">
        <f t="shared" si="2"/>
        <v>0</v>
      </c>
      <c r="I77" s="67">
        <f t="shared" si="3"/>
        <v>0</v>
      </c>
      <c r="J77" s="67">
        <f t="shared" si="4"/>
        <v>0</v>
      </c>
      <c r="K77" s="100">
        <f t="shared" si="6"/>
        <v>0</v>
      </c>
      <c r="O77" s="96">
        <f>Amnt_Deposited!B72</f>
        <v>2058</v>
      </c>
      <c r="P77" s="99">
        <f>Amnt_Deposited!P72</f>
        <v>0</v>
      </c>
      <c r="Q77" s="284">
        <f>MCF!R76</f>
        <v>1</v>
      </c>
      <c r="R77" s="67">
        <f t="shared" si="5"/>
        <v>0</v>
      </c>
      <c r="S77" s="67">
        <f t="shared" si="7"/>
        <v>0</v>
      </c>
      <c r="T77" s="67">
        <f t="shared" si="8"/>
        <v>0</v>
      </c>
      <c r="U77" s="67">
        <f t="shared" si="9"/>
        <v>0</v>
      </c>
      <c r="V77" s="67">
        <f t="shared" si="10"/>
        <v>0</v>
      </c>
      <c r="W77" s="100">
        <f t="shared" si="11"/>
        <v>0</v>
      </c>
    </row>
    <row r="78" spans="2:23">
      <c r="B78" s="96">
        <f>Amnt_Deposited!B73</f>
        <v>2059</v>
      </c>
      <c r="C78" s="99">
        <f>Amnt_Deposited!P73</f>
        <v>0</v>
      </c>
      <c r="D78" s="418">
        <f>Dry_Matter_Content!P65</f>
        <v>0</v>
      </c>
      <c r="E78" s="284">
        <f>MCF!R77</f>
        <v>1</v>
      </c>
      <c r="F78" s="67">
        <f t="shared" si="0"/>
        <v>0</v>
      </c>
      <c r="G78" s="67">
        <f t="shared" si="1"/>
        <v>0</v>
      </c>
      <c r="H78" s="67">
        <f t="shared" si="2"/>
        <v>0</v>
      </c>
      <c r="I78" s="67">
        <f t="shared" si="3"/>
        <v>0</v>
      </c>
      <c r="J78" s="67">
        <f t="shared" si="4"/>
        <v>0</v>
      </c>
      <c r="K78" s="100">
        <f t="shared" si="6"/>
        <v>0</v>
      </c>
      <c r="O78" s="96">
        <f>Amnt_Deposited!B73</f>
        <v>2059</v>
      </c>
      <c r="P78" s="99">
        <f>Amnt_Deposited!P73</f>
        <v>0</v>
      </c>
      <c r="Q78" s="284">
        <f>MCF!R77</f>
        <v>1</v>
      </c>
      <c r="R78" s="67">
        <f t="shared" si="5"/>
        <v>0</v>
      </c>
      <c r="S78" s="67">
        <f t="shared" si="7"/>
        <v>0</v>
      </c>
      <c r="T78" s="67">
        <f t="shared" si="8"/>
        <v>0</v>
      </c>
      <c r="U78" s="67">
        <f t="shared" si="9"/>
        <v>0</v>
      </c>
      <c r="V78" s="67">
        <f t="shared" si="10"/>
        <v>0</v>
      </c>
      <c r="W78" s="100">
        <f t="shared" si="11"/>
        <v>0</v>
      </c>
    </row>
    <row r="79" spans="2:23">
      <c r="B79" s="96">
        <f>Amnt_Deposited!B74</f>
        <v>2060</v>
      </c>
      <c r="C79" s="99">
        <f>Amnt_Deposited!P74</f>
        <v>0</v>
      </c>
      <c r="D79" s="418">
        <f>Dry_Matter_Content!P66</f>
        <v>0</v>
      </c>
      <c r="E79" s="284">
        <f>MCF!R78</f>
        <v>1</v>
      </c>
      <c r="F79" s="67">
        <f t="shared" si="0"/>
        <v>0</v>
      </c>
      <c r="G79" s="67">
        <f t="shared" si="1"/>
        <v>0</v>
      </c>
      <c r="H79" s="67">
        <f t="shared" si="2"/>
        <v>0</v>
      </c>
      <c r="I79" s="67">
        <f t="shared" si="3"/>
        <v>0</v>
      </c>
      <c r="J79" s="67">
        <f t="shared" si="4"/>
        <v>0</v>
      </c>
      <c r="K79" s="100">
        <f t="shared" si="6"/>
        <v>0</v>
      </c>
      <c r="O79" s="96">
        <f>Amnt_Deposited!B74</f>
        <v>2060</v>
      </c>
      <c r="P79" s="99">
        <f>Amnt_Deposited!P74</f>
        <v>0</v>
      </c>
      <c r="Q79" s="284">
        <f>MCF!R78</f>
        <v>1</v>
      </c>
      <c r="R79" s="67">
        <f t="shared" si="5"/>
        <v>0</v>
      </c>
      <c r="S79" s="67">
        <f t="shared" si="7"/>
        <v>0</v>
      </c>
      <c r="T79" s="67">
        <f t="shared" si="8"/>
        <v>0</v>
      </c>
      <c r="U79" s="67">
        <f t="shared" si="9"/>
        <v>0</v>
      </c>
      <c r="V79" s="67">
        <f t="shared" si="10"/>
        <v>0</v>
      </c>
      <c r="W79" s="100">
        <f t="shared" si="11"/>
        <v>0</v>
      </c>
    </row>
    <row r="80" spans="2:23">
      <c r="B80" s="96">
        <f>Amnt_Deposited!B75</f>
        <v>2061</v>
      </c>
      <c r="C80" s="99">
        <f>Amnt_Deposited!P75</f>
        <v>0</v>
      </c>
      <c r="D80" s="418">
        <f>Dry_Matter_Content!P67</f>
        <v>0</v>
      </c>
      <c r="E80" s="284">
        <f>MCF!R79</f>
        <v>1</v>
      </c>
      <c r="F80" s="67">
        <f t="shared" si="0"/>
        <v>0</v>
      </c>
      <c r="G80" s="67">
        <f t="shared" si="1"/>
        <v>0</v>
      </c>
      <c r="H80" s="67">
        <f t="shared" si="2"/>
        <v>0</v>
      </c>
      <c r="I80" s="67">
        <f t="shared" si="3"/>
        <v>0</v>
      </c>
      <c r="J80" s="67">
        <f t="shared" si="4"/>
        <v>0</v>
      </c>
      <c r="K80" s="100">
        <f t="shared" si="6"/>
        <v>0</v>
      </c>
      <c r="O80" s="96">
        <f>Amnt_Deposited!B75</f>
        <v>2061</v>
      </c>
      <c r="P80" s="99">
        <f>Amnt_Deposited!P75</f>
        <v>0</v>
      </c>
      <c r="Q80" s="284">
        <f>MCF!R79</f>
        <v>1</v>
      </c>
      <c r="R80" s="67">
        <f t="shared" si="5"/>
        <v>0</v>
      </c>
      <c r="S80" s="67">
        <f t="shared" si="7"/>
        <v>0</v>
      </c>
      <c r="T80" s="67">
        <f t="shared" si="8"/>
        <v>0</v>
      </c>
      <c r="U80" s="67">
        <f t="shared" si="9"/>
        <v>0</v>
      </c>
      <c r="V80" s="67">
        <f t="shared" si="10"/>
        <v>0</v>
      </c>
      <c r="W80" s="100">
        <f t="shared" si="11"/>
        <v>0</v>
      </c>
    </row>
    <row r="81" spans="2:23">
      <c r="B81" s="96">
        <f>Amnt_Deposited!B76</f>
        <v>2062</v>
      </c>
      <c r="C81" s="99">
        <f>Amnt_Deposited!P76</f>
        <v>0</v>
      </c>
      <c r="D81" s="418">
        <f>Dry_Matter_Content!P68</f>
        <v>0</v>
      </c>
      <c r="E81" s="284">
        <f>MCF!R80</f>
        <v>1</v>
      </c>
      <c r="F81" s="67">
        <f t="shared" si="0"/>
        <v>0</v>
      </c>
      <c r="G81" s="67">
        <f t="shared" si="1"/>
        <v>0</v>
      </c>
      <c r="H81" s="67">
        <f t="shared" si="2"/>
        <v>0</v>
      </c>
      <c r="I81" s="67">
        <f t="shared" si="3"/>
        <v>0</v>
      </c>
      <c r="J81" s="67">
        <f t="shared" si="4"/>
        <v>0</v>
      </c>
      <c r="K81" s="100">
        <f t="shared" si="6"/>
        <v>0</v>
      </c>
      <c r="O81" s="96">
        <f>Amnt_Deposited!B76</f>
        <v>2062</v>
      </c>
      <c r="P81" s="99">
        <f>Amnt_Deposited!P76</f>
        <v>0</v>
      </c>
      <c r="Q81" s="284">
        <f>MCF!R80</f>
        <v>1</v>
      </c>
      <c r="R81" s="67">
        <f t="shared" si="5"/>
        <v>0</v>
      </c>
      <c r="S81" s="67">
        <f t="shared" si="7"/>
        <v>0</v>
      </c>
      <c r="T81" s="67">
        <f t="shared" si="8"/>
        <v>0</v>
      </c>
      <c r="U81" s="67">
        <f t="shared" si="9"/>
        <v>0</v>
      </c>
      <c r="V81" s="67">
        <f t="shared" si="10"/>
        <v>0</v>
      </c>
      <c r="W81" s="100">
        <f t="shared" si="11"/>
        <v>0</v>
      </c>
    </row>
    <row r="82" spans="2:23">
      <c r="B82" s="96">
        <f>Amnt_Deposited!B77</f>
        <v>2063</v>
      </c>
      <c r="C82" s="99">
        <f>Amnt_Deposited!P77</f>
        <v>0</v>
      </c>
      <c r="D82" s="418">
        <f>Dry_Matter_Content!P69</f>
        <v>0</v>
      </c>
      <c r="E82" s="284">
        <f>MCF!R81</f>
        <v>1</v>
      </c>
      <c r="F82" s="67">
        <f t="shared" si="0"/>
        <v>0</v>
      </c>
      <c r="G82" s="67">
        <f t="shared" si="1"/>
        <v>0</v>
      </c>
      <c r="H82" s="67">
        <f t="shared" si="2"/>
        <v>0</v>
      </c>
      <c r="I82" s="67">
        <f t="shared" si="3"/>
        <v>0</v>
      </c>
      <c r="J82" s="67">
        <f t="shared" si="4"/>
        <v>0</v>
      </c>
      <c r="K82" s="100">
        <f t="shared" si="6"/>
        <v>0</v>
      </c>
      <c r="O82" s="96">
        <f>Amnt_Deposited!B77</f>
        <v>2063</v>
      </c>
      <c r="P82" s="99">
        <f>Amnt_Deposited!P77</f>
        <v>0</v>
      </c>
      <c r="Q82" s="284">
        <f>MCF!R81</f>
        <v>1</v>
      </c>
      <c r="R82" s="67">
        <f t="shared" si="5"/>
        <v>0</v>
      </c>
      <c r="S82" s="67">
        <f t="shared" si="7"/>
        <v>0</v>
      </c>
      <c r="T82" s="67">
        <f t="shared" si="8"/>
        <v>0</v>
      </c>
      <c r="U82" s="67">
        <f t="shared" si="9"/>
        <v>0</v>
      </c>
      <c r="V82" s="67">
        <f t="shared" si="10"/>
        <v>0</v>
      </c>
      <c r="W82" s="100">
        <f t="shared" si="11"/>
        <v>0</v>
      </c>
    </row>
    <row r="83" spans="2:23">
      <c r="B83" s="96">
        <f>Amnt_Deposited!B78</f>
        <v>2064</v>
      </c>
      <c r="C83" s="99">
        <f>Amnt_Deposited!P78</f>
        <v>0</v>
      </c>
      <c r="D83" s="418">
        <f>Dry_Matter_Content!P70</f>
        <v>0</v>
      </c>
      <c r="E83" s="284">
        <f>MCF!R82</f>
        <v>1</v>
      </c>
      <c r="F83" s="67">
        <f t="shared" ref="F83:F99" si="12">C83*D83*$K$6*DOCF*E83</f>
        <v>0</v>
      </c>
      <c r="G83" s="67">
        <f t="shared" ref="G83:G99" si="13">F83*$K$12</f>
        <v>0</v>
      </c>
      <c r="H83" s="67">
        <f t="shared" ref="H83:H99" si="14">F83*(1-$K$12)</f>
        <v>0</v>
      </c>
      <c r="I83" s="67">
        <f t="shared" ref="I83:I99" si="15">G83+I82*$K$10</f>
        <v>0</v>
      </c>
      <c r="J83" s="67">
        <f t="shared" ref="J83:J99" si="16">I82*(1-$K$10)+H83</f>
        <v>0</v>
      </c>
      <c r="K83" s="100">
        <f t="shared" si="6"/>
        <v>0</v>
      </c>
      <c r="O83" s="96">
        <f>Amnt_Deposited!B78</f>
        <v>2064</v>
      </c>
      <c r="P83" s="99">
        <f>Amnt_Deposited!P78</f>
        <v>0</v>
      </c>
      <c r="Q83" s="284">
        <f>MCF!R82</f>
        <v>1</v>
      </c>
      <c r="R83" s="67">
        <f t="shared" ref="R83:R99" si="17">P83*$W$6*DOCF*Q83</f>
        <v>0</v>
      </c>
      <c r="S83" s="67">
        <f t="shared" si="7"/>
        <v>0</v>
      </c>
      <c r="T83" s="67">
        <f t="shared" si="8"/>
        <v>0</v>
      </c>
      <c r="U83" s="67">
        <f t="shared" si="9"/>
        <v>0</v>
      </c>
      <c r="V83" s="67">
        <f t="shared" si="10"/>
        <v>0</v>
      </c>
      <c r="W83" s="100">
        <f t="shared" si="11"/>
        <v>0</v>
      </c>
    </row>
    <row r="84" spans="2:23">
      <c r="B84" s="96">
        <f>Amnt_Deposited!B79</f>
        <v>2065</v>
      </c>
      <c r="C84" s="99">
        <f>Amnt_Deposited!P79</f>
        <v>0</v>
      </c>
      <c r="D84" s="418">
        <f>Dry_Matter_Content!P71</f>
        <v>0</v>
      </c>
      <c r="E84" s="284">
        <f>MCF!R83</f>
        <v>1</v>
      </c>
      <c r="F84" s="67">
        <f t="shared" si="12"/>
        <v>0</v>
      </c>
      <c r="G84" s="67">
        <f t="shared" si="13"/>
        <v>0</v>
      </c>
      <c r="H84" s="67">
        <f t="shared" si="14"/>
        <v>0</v>
      </c>
      <c r="I84" s="67">
        <f t="shared" si="15"/>
        <v>0</v>
      </c>
      <c r="J84" s="67">
        <f t="shared" si="16"/>
        <v>0</v>
      </c>
      <c r="K84" s="100">
        <f t="shared" si="6"/>
        <v>0</v>
      </c>
      <c r="O84" s="96">
        <f>Amnt_Deposited!B79</f>
        <v>2065</v>
      </c>
      <c r="P84" s="99">
        <f>Amnt_Deposited!P79</f>
        <v>0</v>
      </c>
      <c r="Q84" s="284">
        <f>MCF!R83</f>
        <v>1</v>
      </c>
      <c r="R84" s="67">
        <f t="shared" si="17"/>
        <v>0</v>
      </c>
      <c r="S84" s="67">
        <f t="shared" si="7"/>
        <v>0</v>
      </c>
      <c r="T84" s="67">
        <f t="shared" si="8"/>
        <v>0</v>
      </c>
      <c r="U84" s="67">
        <f t="shared" si="9"/>
        <v>0</v>
      </c>
      <c r="V84" s="67">
        <f t="shared" si="10"/>
        <v>0</v>
      </c>
      <c r="W84" s="100">
        <f t="shared" si="11"/>
        <v>0</v>
      </c>
    </row>
    <row r="85" spans="2:23">
      <c r="B85" s="96">
        <f>Amnt_Deposited!B80</f>
        <v>2066</v>
      </c>
      <c r="C85" s="99">
        <f>Amnt_Deposited!P80</f>
        <v>0</v>
      </c>
      <c r="D85" s="418">
        <f>Dry_Matter_Content!P72</f>
        <v>0</v>
      </c>
      <c r="E85" s="284">
        <f>MCF!R84</f>
        <v>1</v>
      </c>
      <c r="F85" s="67">
        <f t="shared" si="12"/>
        <v>0</v>
      </c>
      <c r="G85" s="67">
        <f t="shared" si="13"/>
        <v>0</v>
      </c>
      <c r="H85" s="67">
        <f t="shared" si="14"/>
        <v>0</v>
      </c>
      <c r="I85" s="67">
        <f t="shared" si="15"/>
        <v>0</v>
      </c>
      <c r="J85" s="67">
        <f t="shared" si="16"/>
        <v>0</v>
      </c>
      <c r="K85" s="100">
        <f t="shared" ref="K85:K99" si="18">J85*CH4_fraction*conv</f>
        <v>0</v>
      </c>
      <c r="O85" s="96">
        <f>Amnt_Deposited!B80</f>
        <v>2066</v>
      </c>
      <c r="P85" s="99">
        <f>Amnt_Deposited!P80</f>
        <v>0</v>
      </c>
      <c r="Q85" s="284">
        <f>MCF!R84</f>
        <v>1</v>
      </c>
      <c r="R85" s="67">
        <f t="shared" si="17"/>
        <v>0</v>
      </c>
      <c r="S85" s="67">
        <f t="shared" ref="S85:S98" si="19">R85*$W$12</f>
        <v>0</v>
      </c>
      <c r="T85" s="67">
        <f t="shared" ref="T85:T98" si="20">R85*(1-$W$12)</f>
        <v>0</v>
      </c>
      <c r="U85" s="67">
        <f t="shared" ref="U85:U98" si="21">S85+U84*$W$10</f>
        <v>0</v>
      </c>
      <c r="V85" s="67">
        <f t="shared" ref="V85:V98" si="22">U84*(1-$W$10)+T85</f>
        <v>0</v>
      </c>
      <c r="W85" s="100">
        <f t="shared" ref="W85:W99" si="23">V85*CH4_fraction*conv</f>
        <v>0</v>
      </c>
    </row>
    <row r="86" spans="2:23">
      <c r="B86" s="96">
        <f>Amnt_Deposited!B81</f>
        <v>2067</v>
      </c>
      <c r="C86" s="99">
        <f>Amnt_Deposited!P81</f>
        <v>0</v>
      </c>
      <c r="D86" s="418">
        <f>Dry_Matter_Content!P73</f>
        <v>0</v>
      </c>
      <c r="E86" s="284">
        <f>MCF!R85</f>
        <v>1</v>
      </c>
      <c r="F86" s="67">
        <f t="shared" si="12"/>
        <v>0</v>
      </c>
      <c r="G86" s="67">
        <f t="shared" si="13"/>
        <v>0</v>
      </c>
      <c r="H86" s="67">
        <f t="shared" si="14"/>
        <v>0</v>
      </c>
      <c r="I86" s="67">
        <f t="shared" si="15"/>
        <v>0</v>
      </c>
      <c r="J86" s="67">
        <f t="shared" si="16"/>
        <v>0</v>
      </c>
      <c r="K86" s="100">
        <f t="shared" si="18"/>
        <v>0</v>
      </c>
      <c r="O86" s="96">
        <f>Amnt_Deposited!B81</f>
        <v>2067</v>
      </c>
      <c r="P86" s="99">
        <f>Amnt_Deposited!P81</f>
        <v>0</v>
      </c>
      <c r="Q86" s="284">
        <f>MCF!R85</f>
        <v>1</v>
      </c>
      <c r="R86" s="67">
        <f t="shared" si="17"/>
        <v>0</v>
      </c>
      <c r="S86" s="67">
        <f t="shared" si="19"/>
        <v>0</v>
      </c>
      <c r="T86" s="67">
        <f t="shared" si="20"/>
        <v>0</v>
      </c>
      <c r="U86" s="67">
        <f t="shared" si="21"/>
        <v>0</v>
      </c>
      <c r="V86" s="67">
        <f t="shared" si="22"/>
        <v>0</v>
      </c>
      <c r="W86" s="100">
        <f t="shared" si="23"/>
        <v>0</v>
      </c>
    </row>
    <row r="87" spans="2:23">
      <c r="B87" s="96">
        <f>Amnt_Deposited!B82</f>
        <v>2068</v>
      </c>
      <c r="C87" s="99">
        <f>Amnt_Deposited!P82</f>
        <v>0</v>
      </c>
      <c r="D87" s="418">
        <f>Dry_Matter_Content!P74</f>
        <v>0</v>
      </c>
      <c r="E87" s="284">
        <f>MCF!R86</f>
        <v>1</v>
      </c>
      <c r="F87" s="67">
        <f t="shared" si="12"/>
        <v>0</v>
      </c>
      <c r="G87" s="67">
        <f t="shared" si="13"/>
        <v>0</v>
      </c>
      <c r="H87" s="67">
        <f t="shared" si="14"/>
        <v>0</v>
      </c>
      <c r="I87" s="67">
        <f t="shared" si="15"/>
        <v>0</v>
      </c>
      <c r="J87" s="67">
        <f t="shared" si="16"/>
        <v>0</v>
      </c>
      <c r="K87" s="100">
        <f t="shared" si="18"/>
        <v>0</v>
      </c>
      <c r="O87" s="96">
        <f>Amnt_Deposited!B82</f>
        <v>2068</v>
      </c>
      <c r="P87" s="99">
        <f>Amnt_Deposited!P82</f>
        <v>0</v>
      </c>
      <c r="Q87" s="284">
        <f>MCF!R86</f>
        <v>1</v>
      </c>
      <c r="R87" s="67">
        <f t="shared" si="17"/>
        <v>0</v>
      </c>
      <c r="S87" s="67">
        <f t="shared" si="19"/>
        <v>0</v>
      </c>
      <c r="T87" s="67">
        <f t="shared" si="20"/>
        <v>0</v>
      </c>
      <c r="U87" s="67">
        <f t="shared" si="21"/>
        <v>0</v>
      </c>
      <c r="V87" s="67">
        <f t="shared" si="22"/>
        <v>0</v>
      </c>
      <c r="W87" s="100">
        <f t="shared" si="23"/>
        <v>0</v>
      </c>
    </row>
    <row r="88" spans="2:23">
      <c r="B88" s="96">
        <f>Amnt_Deposited!B83</f>
        <v>2069</v>
      </c>
      <c r="C88" s="99">
        <f>Amnt_Deposited!P83</f>
        <v>0</v>
      </c>
      <c r="D88" s="418">
        <f>Dry_Matter_Content!P75</f>
        <v>0</v>
      </c>
      <c r="E88" s="284">
        <f>MCF!R87</f>
        <v>1</v>
      </c>
      <c r="F88" s="67">
        <f t="shared" si="12"/>
        <v>0</v>
      </c>
      <c r="G88" s="67">
        <f t="shared" si="13"/>
        <v>0</v>
      </c>
      <c r="H88" s="67">
        <f t="shared" si="14"/>
        <v>0</v>
      </c>
      <c r="I88" s="67">
        <f t="shared" si="15"/>
        <v>0</v>
      </c>
      <c r="J88" s="67">
        <f t="shared" si="16"/>
        <v>0</v>
      </c>
      <c r="K88" s="100">
        <f t="shared" si="18"/>
        <v>0</v>
      </c>
      <c r="O88" s="96">
        <f>Amnt_Deposited!B83</f>
        <v>2069</v>
      </c>
      <c r="P88" s="99">
        <f>Amnt_Deposited!P83</f>
        <v>0</v>
      </c>
      <c r="Q88" s="284">
        <f>MCF!R87</f>
        <v>1</v>
      </c>
      <c r="R88" s="67">
        <f t="shared" si="17"/>
        <v>0</v>
      </c>
      <c r="S88" s="67">
        <f t="shared" si="19"/>
        <v>0</v>
      </c>
      <c r="T88" s="67">
        <f t="shared" si="20"/>
        <v>0</v>
      </c>
      <c r="U88" s="67">
        <f t="shared" si="21"/>
        <v>0</v>
      </c>
      <c r="V88" s="67">
        <f t="shared" si="22"/>
        <v>0</v>
      </c>
      <c r="W88" s="100">
        <f t="shared" si="23"/>
        <v>0</v>
      </c>
    </row>
    <row r="89" spans="2:23">
      <c r="B89" s="96">
        <f>Amnt_Deposited!B84</f>
        <v>2070</v>
      </c>
      <c r="C89" s="99">
        <f>Amnt_Deposited!P84</f>
        <v>0</v>
      </c>
      <c r="D89" s="418">
        <f>Dry_Matter_Content!P76</f>
        <v>0</v>
      </c>
      <c r="E89" s="284">
        <f>MCF!R88</f>
        <v>1</v>
      </c>
      <c r="F89" s="67">
        <f t="shared" si="12"/>
        <v>0</v>
      </c>
      <c r="G89" s="67">
        <f t="shared" si="13"/>
        <v>0</v>
      </c>
      <c r="H89" s="67">
        <f t="shared" si="14"/>
        <v>0</v>
      </c>
      <c r="I89" s="67">
        <f t="shared" si="15"/>
        <v>0</v>
      </c>
      <c r="J89" s="67">
        <f t="shared" si="16"/>
        <v>0</v>
      </c>
      <c r="K89" s="100">
        <f t="shared" si="18"/>
        <v>0</v>
      </c>
      <c r="O89" s="96">
        <f>Amnt_Deposited!B84</f>
        <v>2070</v>
      </c>
      <c r="P89" s="99">
        <f>Amnt_Deposited!P84</f>
        <v>0</v>
      </c>
      <c r="Q89" s="284">
        <f>MCF!R88</f>
        <v>1</v>
      </c>
      <c r="R89" s="67">
        <f t="shared" si="17"/>
        <v>0</v>
      </c>
      <c r="S89" s="67">
        <f t="shared" si="19"/>
        <v>0</v>
      </c>
      <c r="T89" s="67">
        <f t="shared" si="20"/>
        <v>0</v>
      </c>
      <c r="U89" s="67">
        <f t="shared" si="21"/>
        <v>0</v>
      </c>
      <c r="V89" s="67">
        <f t="shared" si="22"/>
        <v>0</v>
      </c>
      <c r="W89" s="100">
        <f t="shared" si="23"/>
        <v>0</v>
      </c>
    </row>
    <row r="90" spans="2:23">
      <c r="B90" s="96">
        <f>Amnt_Deposited!B85</f>
        <v>2071</v>
      </c>
      <c r="C90" s="99">
        <f>Amnt_Deposited!P85</f>
        <v>0</v>
      </c>
      <c r="D90" s="418">
        <f>Dry_Matter_Content!P77</f>
        <v>0</v>
      </c>
      <c r="E90" s="284">
        <f>MCF!R89</f>
        <v>1</v>
      </c>
      <c r="F90" s="67">
        <f t="shared" si="12"/>
        <v>0</v>
      </c>
      <c r="G90" s="67">
        <f t="shared" si="13"/>
        <v>0</v>
      </c>
      <c r="H90" s="67">
        <f t="shared" si="14"/>
        <v>0</v>
      </c>
      <c r="I90" s="67">
        <f t="shared" si="15"/>
        <v>0</v>
      </c>
      <c r="J90" s="67">
        <f t="shared" si="16"/>
        <v>0</v>
      </c>
      <c r="K90" s="100">
        <f t="shared" si="18"/>
        <v>0</v>
      </c>
      <c r="O90" s="96">
        <f>Amnt_Deposited!B85</f>
        <v>2071</v>
      </c>
      <c r="P90" s="99">
        <f>Amnt_Deposited!P85</f>
        <v>0</v>
      </c>
      <c r="Q90" s="284">
        <f>MCF!R89</f>
        <v>1</v>
      </c>
      <c r="R90" s="67">
        <f t="shared" si="17"/>
        <v>0</v>
      </c>
      <c r="S90" s="67">
        <f t="shared" si="19"/>
        <v>0</v>
      </c>
      <c r="T90" s="67">
        <f t="shared" si="20"/>
        <v>0</v>
      </c>
      <c r="U90" s="67">
        <f t="shared" si="21"/>
        <v>0</v>
      </c>
      <c r="V90" s="67">
        <f t="shared" si="22"/>
        <v>0</v>
      </c>
      <c r="W90" s="100">
        <f t="shared" si="23"/>
        <v>0</v>
      </c>
    </row>
    <row r="91" spans="2:23">
      <c r="B91" s="96">
        <f>Amnt_Deposited!B86</f>
        <v>2072</v>
      </c>
      <c r="C91" s="99">
        <f>Amnt_Deposited!P86</f>
        <v>0</v>
      </c>
      <c r="D91" s="418">
        <f>Dry_Matter_Content!P78</f>
        <v>0</v>
      </c>
      <c r="E91" s="284">
        <f>MCF!R90</f>
        <v>1</v>
      </c>
      <c r="F91" s="67">
        <f t="shared" si="12"/>
        <v>0</v>
      </c>
      <c r="G91" s="67">
        <f t="shared" si="13"/>
        <v>0</v>
      </c>
      <c r="H91" s="67">
        <f t="shared" si="14"/>
        <v>0</v>
      </c>
      <c r="I91" s="67">
        <f t="shared" si="15"/>
        <v>0</v>
      </c>
      <c r="J91" s="67">
        <f t="shared" si="16"/>
        <v>0</v>
      </c>
      <c r="K91" s="100">
        <f t="shared" si="18"/>
        <v>0</v>
      </c>
      <c r="O91" s="96">
        <f>Amnt_Deposited!B86</f>
        <v>2072</v>
      </c>
      <c r="P91" s="99">
        <f>Amnt_Deposited!P86</f>
        <v>0</v>
      </c>
      <c r="Q91" s="284">
        <f>MCF!R90</f>
        <v>1</v>
      </c>
      <c r="R91" s="67">
        <f t="shared" si="17"/>
        <v>0</v>
      </c>
      <c r="S91" s="67">
        <f t="shared" si="19"/>
        <v>0</v>
      </c>
      <c r="T91" s="67">
        <f t="shared" si="20"/>
        <v>0</v>
      </c>
      <c r="U91" s="67">
        <f t="shared" si="21"/>
        <v>0</v>
      </c>
      <c r="V91" s="67">
        <f t="shared" si="22"/>
        <v>0</v>
      </c>
      <c r="W91" s="100">
        <f t="shared" si="23"/>
        <v>0</v>
      </c>
    </row>
    <row r="92" spans="2:23">
      <c r="B92" s="96">
        <f>Amnt_Deposited!B87</f>
        <v>2073</v>
      </c>
      <c r="C92" s="99">
        <f>Amnt_Deposited!P87</f>
        <v>0</v>
      </c>
      <c r="D92" s="418">
        <f>Dry_Matter_Content!P79</f>
        <v>0</v>
      </c>
      <c r="E92" s="284">
        <f>MCF!R91</f>
        <v>1</v>
      </c>
      <c r="F92" s="67">
        <f t="shared" si="12"/>
        <v>0</v>
      </c>
      <c r="G92" s="67">
        <f t="shared" si="13"/>
        <v>0</v>
      </c>
      <c r="H92" s="67">
        <f t="shared" si="14"/>
        <v>0</v>
      </c>
      <c r="I92" s="67">
        <f t="shared" si="15"/>
        <v>0</v>
      </c>
      <c r="J92" s="67">
        <f t="shared" si="16"/>
        <v>0</v>
      </c>
      <c r="K92" s="100">
        <f t="shared" si="18"/>
        <v>0</v>
      </c>
      <c r="O92" s="96">
        <f>Amnt_Deposited!B87</f>
        <v>2073</v>
      </c>
      <c r="P92" s="99">
        <f>Amnt_Deposited!P87</f>
        <v>0</v>
      </c>
      <c r="Q92" s="284">
        <f>MCF!R91</f>
        <v>1</v>
      </c>
      <c r="R92" s="67">
        <f t="shared" si="17"/>
        <v>0</v>
      </c>
      <c r="S92" s="67">
        <f t="shared" si="19"/>
        <v>0</v>
      </c>
      <c r="T92" s="67">
        <f t="shared" si="20"/>
        <v>0</v>
      </c>
      <c r="U92" s="67">
        <f t="shared" si="21"/>
        <v>0</v>
      </c>
      <c r="V92" s="67">
        <f t="shared" si="22"/>
        <v>0</v>
      </c>
      <c r="W92" s="100">
        <f t="shared" si="23"/>
        <v>0</v>
      </c>
    </row>
    <row r="93" spans="2:23">
      <c r="B93" s="96">
        <f>Amnt_Deposited!B88</f>
        <v>2074</v>
      </c>
      <c r="C93" s="99">
        <f>Amnt_Deposited!P88</f>
        <v>0</v>
      </c>
      <c r="D93" s="418">
        <f>Dry_Matter_Content!P80</f>
        <v>0</v>
      </c>
      <c r="E93" s="284">
        <f>MCF!R92</f>
        <v>1</v>
      </c>
      <c r="F93" s="67">
        <f t="shared" si="12"/>
        <v>0</v>
      </c>
      <c r="G93" s="67">
        <f t="shared" si="13"/>
        <v>0</v>
      </c>
      <c r="H93" s="67">
        <f t="shared" si="14"/>
        <v>0</v>
      </c>
      <c r="I93" s="67">
        <f t="shared" si="15"/>
        <v>0</v>
      </c>
      <c r="J93" s="67">
        <f t="shared" si="16"/>
        <v>0</v>
      </c>
      <c r="K93" s="100">
        <f t="shared" si="18"/>
        <v>0</v>
      </c>
      <c r="O93" s="96">
        <f>Amnt_Deposited!B88</f>
        <v>2074</v>
      </c>
      <c r="P93" s="99">
        <f>Amnt_Deposited!P88</f>
        <v>0</v>
      </c>
      <c r="Q93" s="284">
        <f>MCF!R92</f>
        <v>1</v>
      </c>
      <c r="R93" s="67">
        <f t="shared" si="17"/>
        <v>0</v>
      </c>
      <c r="S93" s="67">
        <f t="shared" si="19"/>
        <v>0</v>
      </c>
      <c r="T93" s="67">
        <f t="shared" si="20"/>
        <v>0</v>
      </c>
      <c r="U93" s="67">
        <f t="shared" si="21"/>
        <v>0</v>
      </c>
      <c r="V93" s="67">
        <f t="shared" si="22"/>
        <v>0</v>
      </c>
      <c r="W93" s="100">
        <f t="shared" si="23"/>
        <v>0</v>
      </c>
    </row>
    <row r="94" spans="2:23">
      <c r="B94" s="96">
        <f>Amnt_Deposited!B89</f>
        <v>2075</v>
      </c>
      <c r="C94" s="99">
        <f>Amnt_Deposited!P89</f>
        <v>0</v>
      </c>
      <c r="D94" s="418">
        <f>Dry_Matter_Content!P81</f>
        <v>0</v>
      </c>
      <c r="E94" s="284">
        <f>MCF!R93</f>
        <v>1</v>
      </c>
      <c r="F94" s="67">
        <f t="shared" si="12"/>
        <v>0</v>
      </c>
      <c r="G94" s="67">
        <f t="shared" si="13"/>
        <v>0</v>
      </c>
      <c r="H94" s="67">
        <f t="shared" si="14"/>
        <v>0</v>
      </c>
      <c r="I94" s="67">
        <f t="shared" si="15"/>
        <v>0</v>
      </c>
      <c r="J94" s="67">
        <f t="shared" si="16"/>
        <v>0</v>
      </c>
      <c r="K94" s="100">
        <f t="shared" si="18"/>
        <v>0</v>
      </c>
      <c r="O94" s="96">
        <f>Amnt_Deposited!B89</f>
        <v>2075</v>
      </c>
      <c r="P94" s="99">
        <f>Amnt_Deposited!P89</f>
        <v>0</v>
      </c>
      <c r="Q94" s="284">
        <f>MCF!R93</f>
        <v>1</v>
      </c>
      <c r="R94" s="67">
        <f t="shared" si="17"/>
        <v>0</v>
      </c>
      <c r="S94" s="67">
        <f t="shared" si="19"/>
        <v>0</v>
      </c>
      <c r="T94" s="67">
        <f t="shared" si="20"/>
        <v>0</v>
      </c>
      <c r="U94" s="67">
        <f t="shared" si="21"/>
        <v>0</v>
      </c>
      <c r="V94" s="67">
        <f t="shared" si="22"/>
        <v>0</v>
      </c>
      <c r="W94" s="100">
        <f t="shared" si="23"/>
        <v>0</v>
      </c>
    </row>
    <row r="95" spans="2:23">
      <c r="B95" s="96">
        <f>Amnt_Deposited!B90</f>
        <v>2076</v>
      </c>
      <c r="C95" s="99">
        <f>Amnt_Deposited!P90</f>
        <v>0</v>
      </c>
      <c r="D95" s="418">
        <f>Dry_Matter_Content!P82</f>
        <v>0</v>
      </c>
      <c r="E95" s="284">
        <f>MCF!R94</f>
        <v>1</v>
      </c>
      <c r="F95" s="67">
        <f t="shared" si="12"/>
        <v>0</v>
      </c>
      <c r="G95" s="67">
        <f t="shared" si="13"/>
        <v>0</v>
      </c>
      <c r="H95" s="67">
        <f t="shared" si="14"/>
        <v>0</v>
      </c>
      <c r="I95" s="67">
        <f t="shared" si="15"/>
        <v>0</v>
      </c>
      <c r="J95" s="67">
        <f t="shared" si="16"/>
        <v>0</v>
      </c>
      <c r="K95" s="100">
        <f t="shared" si="18"/>
        <v>0</v>
      </c>
      <c r="O95" s="96">
        <f>Amnt_Deposited!B90</f>
        <v>2076</v>
      </c>
      <c r="P95" s="99">
        <f>Amnt_Deposited!P90</f>
        <v>0</v>
      </c>
      <c r="Q95" s="284">
        <f>MCF!R94</f>
        <v>1</v>
      </c>
      <c r="R95" s="67">
        <f t="shared" si="17"/>
        <v>0</v>
      </c>
      <c r="S95" s="67">
        <f t="shared" si="19"/>
        <v>0</v>
      </c>
      <c r="T95" s="67">
        <f t="shared" si="20"/>
        <v>0</v>
      </c>
      <c r="U95" s="67">
        <f t="shared" si="21"/>
        <v>0</v>
      </c>
      <c r="V95" s="67">
        <f t="shared" si="22"/>
        <v>0</v>
      </c>
      <c r="W95" s="100">
        <f t="shared" si="23"/>
        <v>0</v>
      </c>
    </row>
    <row r="96" spans="2:23">
      <c r="B96" s="96">
        <f>Amnt_Deposited!B91</f>
        <v>2077</v>
      </c>
      <c r="C96" s="99">
        <f>Amnt_Deposited!P91</f>
        <v>0</v>
      </c>
      <c r="D96" s="418">
        <f>Dry_Matter_Content!P83</f>
        <v>0</v>
      </c>
      <c r="E96" s="284">
        <f>MCF!R95</f>
        <v>1</v>
      </c>
      <c r="F96" s="67">
        <f t="shared" si="12"/>
        <v>0</v>
      </c>
      <c r="G96" s="67">
        <f t="shared" si="13"/>
        <v>0</v>
      </c>
      <c r="H96" s="67">
        <f t="shared" si="14"/>
        <v>0</v>
      </c>
      <c r="I96" s="67">
        <f t="shared" si="15"/>
        <v>0</v>
      </c>
      <c r="J96" s="67">
        <f t="shared" si="16"/>
        <v>0</v>
      </c>
      <c r="K96" s="100">
        <f t="shared" si="18"/>
        <v>0</v>
      </c>
      <c r="O96" s="96">
        <f>Amnt_Deposited!B91</f>
        <v>2077</v>
      </c>
      <c r="P96" s="99">
        <f>Amnt_Deposited!P91</f>
        <v>0</v>
      </c>
      <c r="Q96" s="284">
        <f>MCF!R95</f>
        <v>1</v>
      </c>
      <c r="R96" s="67">
        <f t="shared" si="17"/>
        <v>0</v>
      </c>
      <c r="S96" s="67">
        <f t="shared" si="19"/>
        <v>0</v>
      </c>
      <c r="T96" s="67">
        <f t="shared" si="20"/>
        <v>0</v>
      </c>
      <c r="U96" s="67">
        <f t="shared" si="21"/>
        <v>0</v>
      </c>
      <c r="V96" s="67">
        <f t="shared" si="22"/>
        <v>0</v>
      </c>
      <c r="W96" s="100">
        <f t="shared" si="23"/>
        <v>0</v>
      </c>
    </row>
    <row r="97" spans="2:23">
      <c r="B97" s="96">
        <f>Amnt_Deposited!B92</f>
        <v>2078</v>
      </c>
      <c r="C97" s="99">
        <f>Amnt_Deposited!P92</f>
        <v>0</v>
      </c>
      <c r="D97" s="418">
        <f>Dry_Matter_Content!P84</f>
        <v>0</v>
      </c>
      <c r="E97" s="284">
        <f>MCF!R96</f>
        <v>1</v>
      </c>
      <c r="F97" s="67">
        <f t="shared" si="12"/>
        <v>0</v>
      </c>
      <c r="G97" s="67">
        <f t="shared" si="13"/>
        <v>0</v>
      </c>
      <c r="H97" s="67">
        <f t="shared" si="14"/>
        <v>0</v>
      </c>
      <c r="I97" s="67">
        <f t="shared" si="15"/>
        <v>0</v>
      </c>
      <c r="J97" s="67">
        <f t="shared" si="16"/>
        <v>0</v>
      </c>
      <c r="K97" s="100">
        <f t="shared" si="18"/>
        <v>0</v>
      </c>
      <c r="O97" s="96">
        <f>Amnt_Deposited!B92</f>
        <v>2078</v>
      </c>
      <c r="P97" s="99">
        <f>Amnt_Deposited!P92</f>
        <v>0</v>
      </c>
      <c r="Q97" s="284">
        <f>MCF!R96</f>
        <v>1</v>
      </c>
      <c r="R97" s="67">
        <f t="shared" si="17"/>
        <v>0</v>
      </c>
      <c r="S97" s="67">
        <f t="shared" si="19"/>
        <v>0</v>
      </c>
      <c r="T97" s="67">
        <f t="shared" si="20"/>
        <v>0</v>
      </c>
      <c r="U97" s="67">
        <f t="shared" si="21"/>
        <v>0</v>
      </c>
      <c r="V97" s="67">
        <f t="shared" si="22"/>
        <v>0</v>
      </c>
      <c r="W97" s="100">
        <f t="shared" si="23"/>
        <v>0</v>
      </c>
    </row>
    <row r="98" spans="2:23">
      <c r="B98" s="96">
        <f>Amnt_Deposited!B93</f>
        <v>2079</v>
      </c>
      <c r="C98" s="99">
        <f>Amnt_Deposited!P93</f>
        <v>0</v>
      </c>
      <c r="D98" s="418">
        <f>Dry_Matter_Content!P85</f>
        <v>0</v>
      </c>
      <c r="E98" s="284">
        <f>MCF!R97</f>
        <v>1</v>
      </c>
      <c r="F98" s="67">
        <f t="shared" si="12"/>
        <v>0</v>
      </c>
      <c r="G98" s="67">
        <f t="shared" si="13"/>
        <v>0</v>
      </c>
      <c r="H98" s="67">
        <f t="shared" si="14"/>
        <v>0</v>
      </c>
      <c r="I98" s="67">
        <f t="shared" si="15"/>
        <v>0</v>
      </c>
      <c r="J98" s="67">
        <f t="shared" si="16"/>
        <v>0</v>
      </c>
      <c r="K98" s="100">
        <f t="shared" si="18"/>
        <v>0</v>
      </c>
      <c r="O98" s="96">
        <f>Amnt_Deposited!B93</f>
        <v>2079</v>
      </c>
      <c r="P98" s="99">
        <f>Amnt_Deposited!P93</f>
        <v>0</v>
      </c>
      <c r="Q98" s="284">
        <f>MCF!R97</f>
        <v>1</v>
      </c>
      <c r="R98" s="67">
        <f t="shared" si="17"/>
        <v>0</v>
      </c>
      <c r="S98" s="67">
        <f t="shared" si="19"/>
        <v>0</v>
      </c>
      <c r="T98" s="67">
        <f t="shared" si="20"/>
        <v>0</v>
      </c>
      <c r="U98" s="67">
        <f t="shared" si="21"/>
        <v>0</v>
      </c>
      <c r="V98" s="67">
        <f t="shared" si="22"/>
        <v>0</v>
      </c>
      <c r="W98" s="100">
        <f t="shared" si="23"/>
        <v>0</v>
      </c>
    </row>
    <row r="99" spans="2:23" ht="13.5" thickBot="1">
      <c r="B99" s="97">
        <f>Amnt_Deposited!B94</f>
        <v>2080</v>
      </c>
      <c r="C99" s="99">
        <f>Amnt_Deposited!P94</f>
        <v>0</v>
      </c>
      <c r="D99" s="418">
        <f>Dry_Matter_Content!P86</f>
        <v>0</v>
      </c>
      <c r="E99" s="285">
        <f>MCF!R98</f>
        <v>1</v>
      </c>
      <c r="F99" s="68">
        <f t="shared" si="12"/>
        <v>0</v>
      </c>
      <c r="G99" s="68">
        <f t="shared" si="13"/>
        <v>0</v>
      </c>
      <c r="H99" s="68">
        <f t="shared" si="14"/>
        <v>0</v>
      </c>
      <c r="I99" s="68">
        <f t="shared" si="15"/>
        <v>0</v>
      </c>
      <c r="J99" s="68">
        <f t="shared" si="16"/>
        <v>0</v>
      </c>
      <c r="K99" s="102">
        <f t="shared" si="18"/>
        <v>0</v>
      </c>
      <c r="O99" s="97">
        <f>Amnt_Deposited!B94</f>
        <v>2080</v>
      </c>
      <c r="P99" s="99">
        <f>Amnt_Deposited!P94</f>
        <v>0</v>
      </c>
      <c r="Q99" s="285">
        <f>MCF!R98</f>
        <v>1</v>
      </c>
      <c r="R99" s="68">
        <f t="shared" si="17"/>
        <v>0</v>
      </c>
      <c r="S99" s="68">
        <f>R99*$W$12</f>
        <v>0</v>
      </c>
      <c r="T99" s="68">
        <f>R99*(1-$W$12)</f>
        <v>0</v>
      </c>
      <c r="U99" s="68">
        <f>S99+U98*$W$10</f>
        <v>0</v>
      </c>
      <c r="V99" s="68">
        <f>U98*(1-$W$10)+T99</f>
        <v>0</v>
      </c>
      <c r="W99" s="102">
        <f t="shared" si="23"/>
        <v>0</v>
      </c>
    </row>
  </sheetData>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indexed="13"/>
  </sheetPr>
  <dimension ref="B2:T100"/>
  <sheetViews>
    <sheetView showGridLines="0" tabSelected="1" topLeftCell="A10" zoomScale="85" zoomScaleNormal="85" zoomScalePageLayoutView="150" workbookViewId="0">
      <selection activeCell="F20" sqref="F20"/>
    </sheetView>
  </sheetViews>
  <sheetFormatPr defaultColWidth="11.42578125" defaultRowHeight="12.75"/>
  <cols>
    <col min="1" max="1" width="3.42578125" style="713" customWidth="1"/>
    <col min="2" max="2" width="15.28515625" style="713" customWidth="1"/>
    <col min="3" max="4" width="10.140625" style="713" bestFit="1" customWidth="1"/>
    <col min="5" max="5" width="9.42578125" style="713" customWidth="1"/>
    <col min="6" max="6" width="11.28515625" style="713" customWidth="1"/>
    <col min="7" max="7" width="9.42578125" style="713" customWidth="1"/>
    <col min="8" max="8" width="8.42578125" style="713" customWidth="1"/>
    <col min="9" max="10" width="10.85546875" style="713" customWidth="1"/>
    <col min="11" max="11" width="9.42578125" style="713" bestFit="1" customWidth="1"/>
    <col min="12" max="12" width="10.28515625" style="713" customWidth="1"/>
    <col min="13" max="13" width="10.140625" style="713" customWidth="1"/>
    <col min="14" max="14" width="8.42578125" style="713" customWidth="1"/>
    <col min="15" max="15" width="23.7109375" style="713" customWidth="1"/>
    <col min="16" max="16" width="9.28515625" style="713" customWidth="1"/>
    <col min="17" max="17" width="3.85546875" style="713" customWidth="1"/>
    <col min="18" max="19" width="13" style="713" customWidth="1"/>
    <col min="20" max="20" width="9.42578125" style="713" customWidth="1"/>
    <col min="21" max="16384" width="11.42578125" style="713"/>
  </cols>
  <sheetData>
    <row r="2" spans="2:20" ht="15.75">
      <c r="C2" s="714" t="s">
        <v>106</v>
      </c>
      <c r="Q2" s="810" t="s">
        <v>107</v>
      </c>
      <c r="R2" s="810"/>
      <c r="S2" s="810"/>
      <c r="T2" s="810"/>
    </row>
    <row r="4" spans="2:20">
      <c r="C4" s="713" t="s">
        <v>26</v>
      </c>
    </row>
    <row r="5" spans="2:20">
      <c r="C5" s="713" t="s">
        <v>281</v>
      </c>
    </row>
    <row r="6" spans="2:20">
      <c r="C6" s="713" t="s">
        <v>29</v>
      </c>
    </row>
    <row r="7" spans="2:20">
      <c r="C7" s="713" t="s">
        <v>109</v>
      </c>
    </row>
    <row r="8" spans="2:20" ht="13.5" thickBot="1"/>
    <row r="9" spans="2:20" ht="13.5" thickBot="1">
      <c r="C9" s="811" t="s">
        <v>95</v>
      </c>
      <c r="D9" s="812"/>
      <c r="E9" s="812"/>
      <c r="F9" s="812"/>
      <c r="G9" s="812"/>
      <c r="H9" s="813"/>
      <c r="I9" s="819" t="s">
        <v>308</v>
      </c>
      <c r="J9" s="820"/>
      <c r="K9" s="820"/>
      <c r="L9" s="820"/>
      <c r="M9" s="820"/>
      <c r="N9" s="821"/>
      <c r="R9" s="715" t="s">
        <v>95</v>
      </c>
      <c r="S9" s="712" t="s">
        <v>308</v>
      </c>
    </row>
    <row r="10" spans="2:20" s="722" customFormat="1" ht="38.25" customHeight="1">
      <c r="B10" s="716"/>
      <c r="C10" s="716" t="s">
        <v>104</v>
      </c>
      <c r="D10" s="717" t="s">
        <v>105</v>
      </c>
      <c r="E10" s="717" t="s">
        <v>0</v>
      </c>
      <c r="F10" s="717" t="s">
        <v>206</v>
      </c>
      <c r="G10" s="717" t="s">
        <v>103</v>
      </c>
      <c r="H10" s="718" t="s">
        <v>161</v>
      </c>
      <c r="I10" s="719" t="s">
        <v>104</v>
      </c>
      <c r="J10" s="720" t="s">
        <v>105</v>
      </c>
      <c r="K10" s="720" t="s">
        <v>0</v>
      </c>
      <c r="L10" s="720" t="s">
        <v>206</v>
      </c>
      <c r="M10" s="720" t="s">
        <v>103</v>
      </c>
      <c r="N10" s="721" t="s">
        <v>161</v>
      </c>
      <c r="O10" s="711" t="s">
        <v>28</v>
      </c>
      <c r="R10" s="814" t="s">
        <v>147</v>
      </c>
      <c r="S10" s="814" t="s">
        <v>315</v>
      </c>
    </row>
    <row r="11" spans="2:20" s="727" customFormat="1" ht="13.5" thickBot="1">
      <c r="B11" s="723"/>
      <c r="C11" s="723" t="s">
        <v>11</v>
      </c>
      <c r="D11" s="724" t="s">
        <v>11</v>
      </c>
      <c r="E11" s="724" t="s">
        <v>11</v>
      </c>
      <c r="F11" s="724" t="s">
        <v>11</v>
      </c>
      <c r="G11" s="724" t="s">
        <v>11</v>
      </c>
      <c r="H11" s="725"/>
      <c r="I11" s="723" t="s">
        <v>11</v>
      </c>
      <c r="J11" s="724" t="s">
        <v>11</v>
      </c>
      <c r="K11" s="724" t="s">
        <v>11</v>
      </c>
      <c r="L11" s="724" t="s">
        <v>11</v>
      </c>
      <c r="M11" s="724" t="s">
        <v>11</v>
      </c>
      <c r="N11" s="725"/>
      <c r="O11" s="726"/>
      <c r="R11" s="815"/>
      <c r="S11" s="815"/>
    </row>
    <row r="12" spans="2:20" s="727" customFormat="1" ht="13.5" thickBot="1">
      <c r="B12" s="728" t="s">
        <v>25</v>
      </c>
      <c r="C12" s="729">
        <v>0.4</v>
      </c>
      <c r="D12" s="730">
        <v>0.8</v>
      </c>
      <c r="E12" s="730">
        <v>1</v>
      </c>
      <c r="F12" s="730">
        <v>0.5</v>
      </c>
      <c r="G12" s="730">
        <v>0.6</v>
      </c>
      <c r="H12" s="731"/>
      <c r="I12" s="729">
        <v>0.4</v>
      </c>
      <c r="J12" s="730">
        <v>0.8</v>
      </c>
      <c r="K12" s="730">
        <v>1</v>
      </c>
      <c r="L12" s="730">
        <v>0.5</v>
      </c>
      <c r="M12" s="730">
        <v>0.6</v>
      </c>
      <c r="N12" s="731"/>
      <c r="O12" s="732"/>
      <c r="R12" s="815"/>
      <c r="S12" s="815"/>
    </row>
    <row r="13" spans="2:20" s="727" customFormat="1" ht="26.25" thickBot="1">
      <c r="B13" s="728" t="s">
        <v>159</v>
      </c>
      <c r="C13" s="733">
        <f>C12</f>
        <v>0.4</v>
      </c>
      <c r="D13" s="734">
        <f>D12</f>
        <v>0.8</v>
      </c>
      <c r="E13" s="734">
        <f>E12</f>
        <v>1</v>
      </c>
      <c r="F13" s="734">
        <f>F12</f>
        <v>0.5</v>
      </c>
      <c r="G13" s="734">
        <f>G12</f>
        <v>0.6</v>
      </c>
      <c r="H13" s="735"/>
      <c r="I13" s="733">
        <v>0.4</v>
      </c>
      <c r="J13" s="734">
        <v>0.8</v>
      </c>
      <c r="K13" s="734">
        <v>1</v>
      </c>
      <c r="L13" s="734">
        <v>0.5</v>
      </c>
      <c r="M13" s="734">
        <v>0.6</v>
      </c>
      <c r="N13" s="735"/>
      <c r="O13" s="736"/>
      <c r="R13" s="815"/>
      <c r="S13" s="815"/>
    </row>
    <row r="14" spans="2:20" s="727" customFormat="1" ht="13.5" thickBot="1">
      <c r="B14" s="737"/>
      <c r="C14" s="737"/>
      <c r="D14" s="738"/>
      <c r="E14" s="738"/>
      <c r="F14" s="738"/>
      <c r="G14" s="738"/>
      <c r="H14" s="739"/>
      <c r="I14" s="737"/>
      <c r="J14" s="738"/>
      <c r="K14" s="738"/>
      <c r="L14" s="738"/>
      <c r="M14" s="738"/>
      <c r="N14" s="739"/>
      <c r="O14" s="740"/>
      <c r="R14" s="815"/>
      <c r="S14" s="815"/>
    </row>
    <row r="15" spans="2:20" s="727" customFormat="1" ht="12.75" customHeight="1" thickBot="1">
      <c r="B15" s="741"/>
      <c r="C15" s="807" t="s">
        <v>158</v>
      </c>
      <c r="D15" s="808"/>
      <c r="E15" s="808"/>
      <c r="F15" s="808"/>
      <c r="G15" s="808"/>
      <c r="H15" s="809"/>
      <c r="I15" s="807" t="s">
        <v>158</v>
      </c>
      <c r="J15" s="808"/>
      <c r="K15" s="808"/>
      <c r="L15" s="808"/>
      <c r="M15" s="808"/>
      <c r="N15" s="809"/>
      <c r="O15" s="742"/>
      <c r="R15" s="815"/>
      <c r="S15" s="815"/>
    </row>
    <row r="16" spans="2:20" s="727" customFormat="1" ht="26.25" thickBot="1">
      <c r="B16" s="728" t="s">
        <v>160</v>
      </c>
      <c r="C16" s="743">
        <v>0</v>
      </c>
      <c r="D16" s="744">
        <v>0</v>
      </c>
      <c r="E16" s="744">
        <v>1</v>
      </c>
      <c r="F16" s="744">
        <v>0</v>
      </c>
      <c r="G16" s="744">
        <v>0</v>
      </c>
      <c r="H16" s="817" t="s">
        <v>36</v>
      </c>
      <c r="I16" s="745">
        <v>0.2</v>
      </c>
      <c r="J16" s="746">
        <v>0.3</v>
      </c>
      <c r="K16" s="746">
        <v>0.25</v>
      </c>
      <c r="L16" s="746">
        <v>0.05</v>
      </c>
      <c r="M16" s="746">
        <v>0.2</v>
      </c>
      <c r="N16" s="817" t="s">
        <v>36</v>
      </c>
      <c r="O16" s="747"/>
      <c r="R16" s="816"/>
      <c r="S16" s="816"/>
    </row>
    <row r="17" spans="2:19" s="727" customFormat="1" ht="13.5" thickBot="1">
      <c r="B17" s="748" t="s">
        <v>1</v>
      </c>
      <c r="C17" s="748" t="s">
        <v>24</v>
      </c>
      <c r="D17" s="749" t="s">
        <v>24</v>
      </c>
      <c r="E17" s="749" t="s">
        <v>24</v>
      </c>
      <c r="F17" s="749" t="s">
        <v>24</v>
      </c>
      <c r="G17" s="749" t="s">
        <v>24</v>
      </c>
      <c r="H17" s="818"/>
      <c r="I17" s="748" t="s">
        <v>24</v>
      </c>
      <c r="J17" s="749" t="s">
        <v>24</v>
      </c>
      <c r="K17" s="749" t="s">
        <v>24</v>
      </c>
      <c r="L17" s="749" t="s">
        <v>24</v>
      </c>
      <c r="M17" s="749" t="s">
        <v>24</v>
      </c>
      <c r="N17" s="818"/>
      <c r="O17" s="726"/>
      <c r="R17" s="728" t="s">
        <v>157</v>
      </c>
      <c r="S17" s="750" t="s">
        <v>157</v>
      </c>
    </row>
    <row r="18" spans="2:19">
      <c r="B18" s="751">
        <f>year</f>
        <v>2000</v>
      </c>
      <c r="C18" s="752">
        <f>C$16</f>
        <v>0</v>
      </c>
      <c r="D18" s="753">
        <f t="shared" ref="D18:G33" si="0">D$16</f>
        <v>0</v>
      </c>
      <c r="E18" s="753">
        <f t="shared" si="0"/>
        <v>1</v>
      </c>
      <c r="F18" s="753">
        <f t="shared" si="0"/>
        <v>0</v>
      </c>
      <c r="G18" s="753">
        <f t="shared" si="0"/>
        <v>0</v>
      </c>
      <c r="H18" s="754">
        <f>SUM(C18:G18)</f>
        <v>1</v>
      </c>
      <c r="I18" s="752">
        <f>I$16</f>
        <v>0.2</v>
      </c>
      <c r="J18" s="753">
        <f t="shared" ref="J18:M33" si="1">J$16</f>
        <v>0.3</v>
      </c>
      <c r="K18" s="753">
        <f t="shared" si="1"/>
        <v>0.25</v>
      </c>
      <c r="L18" s="753">
        <f t="shared" si="1"/>
        <v>0.05</v>
      </c>
      <c r="M18" s="753">
        <f t="shared" si="1"/>
        <v>0.2</v>
      </c>
      <c r="N18" s="754">
        <f>SUM(I18:M18)</f>
        <v>1</v>
      </c>
      <c r="O18" s="755"/>
      <c r="R18" s="756">
        <f>C18*C$13+D18*D$13+E18*E$13+F18*F$13+G18*G$13</f>
        <v>1</v>
      </c>
      <c r="S18" s="757">
        <f>I18*I$13+J18*J$13+K18*K$13+L18*L$13+M18*M$13</f>
        <v>0.71500000000000008</v>
      </c>
    </row>
    <row r="19" spans="2:19">
      <c r="B19" s="758">
        <f t="shared" ref="B19:B50" si="2">B18+1</f>
        <v>2001</v>
      </c>
      <c r="C19" s="759">
        <f t="shared" ref="C19:G50" si="3">C$16</f>
        <v>0</v>
      </c>
      <c r="D19" s="760">
        <f t="shared" si="0"/>
        <v>0</v>
      </c>
      <c r="E19" s="760">
        <f t="shared" si="0"/>
        <v>1</v>
      </c>
      <c r="F19" s="760">
        <f t="shared" si="0"/>
        <v>0</v>
      </c>
      <c r="G19" s="760">
        <f t="shared" si="0"/>
        <v>0</v>
      </c>
      <c r="H19" s="761">
        <f t="shared" ref="H19:H82" si="4">SUM(C19:G19)</f>
        <v>1</v>
      </c>
      <c r="I19" s="759">
        <f t="shared" ref="I19:M50" si="5">I$16</f>
        <v>0.2</v>
      </c>
      <c r="J19" s="760">
        <f t="shared" si="1"/>
        <v>0.3</v>
      </c>
      <c r="K19" s="760">
        <f t="shared" si="1"/>
        <v>0.25</v>
      </c>
      <c r="L19" s="760">
        <f t="shared" si="1"/>
        <v>0.05</v>
      </c>
      <c r="M19" s="760">
        <f t="shared" si="1"/>
        <v>0.2</v>
      </c>
      <c r="N19" s="761">
        <f t="shared" ref="N19:N82" si="6">SUM(I19:M19)</f>
        <v>1</v>
      </c>
      <c r="O19" s="762"/>
      <c r="R19" s="756">
        <f t="shared" ref="R19:R82" si="7">C19*C$13+D19*D$13+E19*E$13+F19*F$13+G19*G$13</f>
        <v>1</v>
      </c>
      <c r="S19" s="757">
        <f t="shared" ref="S19:S82" si="8">I19*I$13+J19*J$13+K19*K$13+L19*L$13+M19*M$13</f>
        <v>0.71500000000000008</v>
      </c>
    </row>
    <row r="20" spans="2:19">
      <c r="B20" s="758">
        <f t="shared" si="2"/>
        <v>2002</v>
      </c>
      <c r="C20" s="759">
        <f t="shared" si="3"/>
        <v>0</v>
      </c>
      <c r="D20" s="760">
        <f t="shared" si="0"/>
        <v>0</v>
      </c>
      <c r="E20" s="760">
        <f t="shared" si="0"/>
        <v>1</v>
      </c>
      <c r="F20" s="760">
        <f t="shared" si="0"/>
        <v>0</v>
      </c>
      <c r="G20" s="760">
        <f t="shared" si="0"/>
        <v>0</v>
      </c>
      <c r="H20" s="761">
        <f t="shared" si="4"/>
        <v>1</v>
      </c>
      <c r="I20" s="759">
        <f t="shared" si="5"/>
        <v>0.2</v>
      </c>
      <c r="J20" s="760">
        <f t="shared" si="1"/>
        <v>0.3</v>
      </c>
      <c r="K20" s="760">
        <f t="shared" si="1"/>
        <v>0.25</v>
      </c>
      <c r="L20" s="760">
        <f t="shared" si="1"/>
        <v>0.05</v>
      </c>
      <c r="M20" s="760">
        <f t="shared" si="1"/>
        <v>0.2</v>
      </c>
      <c r="N20" s="761">
        <f t="shared" si="6"/>
        <v>1</v>
      </c>
      <c r="O20" s="762"/>
      <c r="R20" s="756">
        <f t="shared" si="7"/>
        <v>1</v>
      </c>
      <c r="S20" s="757">
        <f t="shared" si="8"/>
        <v>0.71500000000000008</v>
      </c>
    </row>
    <row r="21" spans="2:19">
      <c r="B21" s="758">
        <f t="shared" si="2"/>
        <v>2003</v>
      </c>
      <c r="C21" s="759">
        <f t="shared" si="3"/>
        <v>0</v>
      </c>
      <c r="D21" s="760">
        <f t="shared" si="0"/>
        <v>0</v>
      </c>
      <c r="E21" s="760">
        <f t="shared" si="0"/>
        <v>1</v>
      </c>
      <c r="F21" s="760">
        <f t="shared" si="0"/>
        <v>0</v>
      </c>
      <c r="G21" s="760">
        <f t="shared" si="0"/>
        <v>0</v>
      </c>
      <c r="H21" s="761">
        <f t="shared" si="4"/>
        <v>1</v>
      </c>
      <c r="I21" s="759">
        <f t="shared" si="5"/>
        <v>0.2</v>
      </c>
      <c r="J21" s="760">
        <f t="shared" si="1"/>
        <v>0.3</v>
      </c>
      <c r="K21" s="760">
        <f t="shared" si="1"/>
        <v>0.25</v>
      </c>
      <c r="L21" s="760">
        <f t="shared" si="1"/>
        <v>0.05</v>
      </c>
      <c r="M21" s="760">
        <f t="shared" si="1"/>
        <v>0.2</v>
      </c>
      <c r="N21" s="761">
        <f t="shared" si="6"/>
        <v>1</v>
      </c>
      <c r="O21" s="762"/>
      <c r="R21" s="756">
        <f t="shared" si="7"/>
        <v>1</v>
      </c>
      <c r="S21" s="757">
        <f t="shared" si="8"/>
        <v>0.71500000000000008</v>
      </c>
    </row>
    <row r="22" spans="2:19">
      <c r="B22" s="758">
        <f t="shared" si="2"/>
        <v>2004</v>
      </c>
      <c r="C22" s="759">
        <f t="shared" si="3"/>
        <v>0</v>
      </c>
      <c r="D22" s="760">
        <f t="shared" si="0"/>
        <v>0</v>
      </c>
      <c r="E22" s="760">
        <f t="shared" si="0"/>
        <v>1</v>
      </c>
      <c r="F22" s="760">
        <f t="shared" si="0"/>
        <v>0</v>
      </c>
      <c r="G22" s="760">
        <f t="shared" si="0"/>
        <v>0</v>
      </c>
      <c r="H22" s="761">
        <f t="shared" si="4"/>
        <v>1</v>
      </c>
      <c r="I22" s="759">
        <f t="shared" si="5"/>
        <v>0.2</v>
      </c>
      <c r="J22" s="760">
        <f t="shared" si="1"/>
        <v>0.3</v>
      </c>
      <c r="K22" s="760">
        <f t="shared" si="1"/>
        <v>0.25</v>
      </c>
      <c r="L22" s="760">
        <f t="shared" si="1"/>
        <v>0.05</v>
      </c>
      <c r="M22" s="760">
        <f t="shared" si="1"/>
        <v>0.2</v>
      </c>
      <c r="N22" s="761">
        <f t="shared" si="6"/>
        <v>1</v>
      </c>
      <c r="O22" s="762"/>
      <c r="R22" s="756">
        <f t="shared" si="7"/>
        <v>1</v>
      </c>
      <c r="S22" s="757">
        <f t="shared" si="8"/>
        <v>0.71500000000000008</v>
      </c>
    </row>
    <row r="23" spans="2:19">
      <c r="B23" s="758">
        <f t="shared" si="2"/>
        <v>2005</v>
      </c>
      <c r="C23" s="759">
        <f t="shared" si="3"/>
        <v>0</v>
      </c>
      <c r="D23" s="760">
        <f t="shared" si="0"/>
        <v>0</v>
      </c>
      <c r="E23" s="760">
        <f t="shared" si="0"/>
        <v>1</v>
      </c>
      <c r="F23" s="760">
        <f t="shared" si="0"/>
        <v>0</v>
      </c>
      <c r="G23" s="760">
        <f t="shared" si="0"/>
        <v>0</v>
      </c>
      <c r="H23" s="761">
        <f t="shared" si="4"/>
        <v>1</v>
      </c>
      <c r="I23" s="759">
        <f t="shared" si="5"/>
        <v>0.2</v>
      </c>
      <c r="J23" s="760">
        <f t="shared" si="1"/>
        <v>0.3</v>
      </c>
      <c r="K23" s="760">
        <f t="shared" si="1"/>
        <v>0.25</v>
      </c>
      <c r="L23" s="760">
        <f t="shared" si="1"/>
        <v>0.05</v>
      </c>
      <c r="M23" s="760">
        <f t="shared" si="1"/>
        <v>0.2</v>
      </c>
      <c r="N23" s="761">
        <f t="shared" si="6"/>
        <v>1</v>
      </c>
      <c r="O23" s="762"/>
      <c r="R23" s="756">
        <f t="shared" si="7"/>
        <v>1</v>
      </c>
      <c r="S23" s="757">
        <f t="shared" si="8"/>
        <v>0.71500000000000008</v>
      </c>
    </row>
    <row r="24" spans="2:19">
      <c r="B24" s="758">
        <f t="shared" si="2"/>
        <v>2006</v>
      </c>
      <c r="C24" s="759">
        <f t="shared" si="3"/>
        <v>0</v>
      </c>
      <c r="D24" s="760">
        <f t="shared" si="0"/>
        <v>0</v>
      </c>
      <c r="E24" s="760">
        <f t="shared" si="0"/>
        <v>1</v>
      </c>
      <c r="F24" s="760">
        <f t="shared" si="0"/>
        <v>0</v>
      </c>
      <c r="G24" s="760">
        <f t="shared" si="0"/>
        <v>0</v>
      </c>
      <c r="H24" s="761">
        <f t="shared" si="4"/>
        <v>1</v>
      </c>
      <c r="I24" s="759">
        <f t="shared" si="5"/>
        <v>0.2</v>
      </c>
      <c r="J24" s="760">
        <f t="shared" si="1"/>
        <v>0.3</v>
      </c>
      <c r="K24" s="760">
        <f t="shared" si="1"/>
        <v>0.25</v>
      </c>
      <c r="L24" s="760">
        <f t="shared" si="1"/>
        <v>0.05</v>
      </c>
      <c r="M24" s="760">
        <f t="shared" si="1"/>
        <v>0.2</v>
      </c>
      <c r="N24" s="761">
        <f t="shared" si="6"/>
        <v>1</v>
      </c>
      <c r="O24" s="762"/>
      <c r="R24" s="756">
        <f t="shared" si="7"/>
        <v>1</v>
      </c>
      <c r="S24" s="757">
        <f t="shared" si="8"/>
        <v>0.71500000000000008</v>
      </c>
    </row>
    <row r="25" spans="2:19">
      <c r="B25" s="758">
        <f t="shared" si="2"/>
        <v>2007</v>
      </c>
      <c r="C25" s="759">
        <f t="shared" si="3"/>
        <v>0</v>
      </c>
      <c r="D25" s="760">
        <f t="shared" si="0"/>
        <v>0</v>
      </c>
      <c r="E25" s="760">
        <f t="shared" si="0"/>
        <v>1</v>
      </c>
      <c r="F25" s="760">
        <f t="shared" si="0"/>
        <v>0</v>
      </c>
      <c r="G25" s="760">
        <f t="shared" si="0"/>
        <v>0</v>
      </c>
      <c r="H25" s="761">
        <f t="shared" si="4"/>
        <v>1</v>
      </c>
      <c r="I25" s="759">
        <f t="shared" si="5"/>
        <v>0.2</v>
      </c>
      <c r="J25" s="760">
        <f t="shared" si="1"/>
        <v>0.3</v>
      </c>
      <c r="K25" s="760">
        <f t="shared" si="1"/>
        <v>0.25</v>
      </c>
      <c r="L25" s="760">
        <f t="shared" si="1"/>
        <v>0.05</v>
      </c>
      <c r="M25" s="760">
        <f t="shared" si="1"/>
        <v>0.2</v>
      </c>
      <c r="N25" s="761">
        <f t="shared" si="6"/>
        <v>1</v>
      </c>
      <c r="O25" s="762"/>
      <c r="R25" s="756">
        <f t="shared" si="7"/>
        <v>1</v>
      </c>
      <c r="S25" s="757">
        <f t="shared" si="8"/>
        <v>0.71500000000000008</v>
      </c>
    </row>
    <row r="26" spans="2:19">
      <c r="B26" s="758">
        <f t="shared" si="2"/>
        <v>2008</v>
      </c>
      <c r="C26" s="759">
        <f t="shared" si="3"/>
        <v>0</v>
      </c>
      <c r="D26" s="760">
        <f t="shared" si="0"/>
        <v>0</v>
      </c>
      <c r="E26" s="760">
        <f t="shared" si="0"/>
        <v>1</v>
      </c>
      <c r="F26" s="760">
        <f t="shared" si="0"/>
        <v>0</v>
      </c>
      <c r="G26" s="760">
        <f t="shared" si="0"/>
        <v>0</v>
      </c>
      <c r="H26" s="761">
        <f t="shared" si="4"/>
        <v>1</v>
      </c>
      <c r="I26" s="759">
        <f t="shared" si="5"/>
        <v>0.2</v>
      </c>
      <c r="J26" s="760">
        <f t="shared" si="1"/>
        <v>0.3</v>
      </c>
      <c r="K26" s="760">
        <f t="shared" si="1"/>
        <v>0.25</v>
      </c>
      <c r="L26" s="760">
        <f t="shared" si="1"/>
        <v>0.05</v>
      </c>
      <c r="M26" s="760">
        <f t="shared" si="1"/>
        <v>0.2</v>
      </c>
      <c r="N26" s="761">
        <f t="shared" si="6"/>
        <v>1</v>
      </c>
      <c r="O26" s="762"/>
      <c r="R26" s="756">
        <f t="shared" si="7"/>
        <v>1</v>
      </c>
      <c r="S26" s="757">
        <f t="shared" si="8"/>
        <v>0.71500000000000008</v>
      </c>
    </row>
    <row r="27" spans="2:19">
      <c r="B27" s="758">
        <f t="shared" si="2"/>
        <v>2009</v>
      </c>
      <c r="C27" s="759">
        <f t="shared" si="3"/>
        <v>0</v>
      </c>
      <c r="D27" s="760">
        <f t="shared" si="0"/>
        <v>0</v>
      </c>
      <c r="E27" s="760">
        <f t="shared" si="0"/>
        <v>1</v>
      </c>
      <c r="F27" s="760">
        <f t="shared" si="0"/>
        <v>0</v>
      </c>
      <c r="G27" s="760">
        <f t="shared" si="0"/>
        <v>0</v>
      </c>
      <c r="H27" s="761">
        <f t="shared" si="4"/>
        <v>1</v>
      </c>
      <c r="I27" s="759">
        <f t="shared" si="5"/>
        <v>0.2</v>
      </c>
      <c r="J27" s="760">
        <f t="shared" si="1"/>
        <v>0.3</v>
      </c>
      <c r="K27" s="760">
        <f t="shared" si="1"/>
        <v>0.25</v>
      </c>
      <c r="L27" s="760">
        <f t="shared" si="1"/>
        <v>0.05</v>
      </c>
      <c r="M27" s="760">
        <f t="shared" si="1"/>
        <v>0.2</v>
      </c>
      <c r="N27" s="761">
        <f t="shared" si="6"/>
        <v>1</v>
      </c>
      <c r="O27" s="762"/>
      <c r="R27" s="756">
        <f t="shared" si="7"/>
        <v>1</v>
      </c>
      <c r="S27" s="757">
        <f t="shared" si="8"/>
        <v>0.71500000000000008</v>
      </c>
    </row>
    <row r="28" spans="2:19">
      <c r="B28" s="758">
        <f t="shared" si="2"/>
        <v>2010</v>
      </c>
      <c r="C28" s="759">
        <f t="shared" si="3"/>
        <v>0</v>
      </c>
      <c r="D28" s="760">
        <f t="shared" si="0"/>
        <v>0</v>
      </c>
      <c r="E28" s="760">
        <f t="shared" si="0"/>
        <v>1</v>
      </c>
      <c r="F28" s="760">
        <f t="shared" si="0"/>
        <v>0</v>
      </c>
      <c r="G28" s="760">
        <f t="shared" si="0"/>
        <v>0</v>
      </c>
      <c r="H28" s="761">
        <f t="shared" si="4"/>
        <v>1</v>
      </c>
      <c r="I28" s="759">
        <f t="shared" si="5"/>
        <v>0.2</v>
      </c>
      <c r="J28" s="760">
        <f t="shared" si="1"/>
        <v>0.3</v>
      </c>
      <c r="K28" s="760">
        <f t="shared" si="1"/>
        <v>0.25</v>
      </c>
      <c r="L28" s="760">
        <f t="shared" si="1"/>
        <v>0.05</v>
      </c>
      <c r="M28" s="760">
        <f t="shared" si="1"/>
        <v>0.2</v>
      </c>
      <c r="N28" s="761">
        <f t="shared" si="6"/>
        <v>1</v>
      </c>
      <c r="O28" s="762"/>
      <c r="R28" s="756">
        <f t="shared" si="7"/>
        <v>1</v>
      </c>
      <c r="S28" s="757">
        <f t="shared" si="8"/>
        <v>0.71500000000000008</v>
      </c>
    </row>
    <row r="29" spans="2:19">
      <c r="B29" s="758">
        <f t="shared" si="2"/>
        <v>2011</v>
      </c>
      <c r="C29" s="759">
        <f t="shared" si="3"/>
        <v>0</v>
      </c>
      <c r="D29" s="760">
        <f t="shared" si="0"/>
        <v>0</v>
      </c>
      <c r="E29" s="760">
        <f t="shared" si="0"/>
        <v>1</v>
      </c>
      <c r="F29" s="760">
        <f t="shared" si="0"/>
        <v>0</v>
      </c>
      <c r="G29" s="760">
        <f t="shared" si="0"/>
        <v>0</v>
      </c>
      <c r="H29" s="761">
        <f t="shared" si="4"/>
        <v>1</v>
      </c>
      <c r="I29" s="759">
        <f t="shared" si="5"/>
        <v>0.2</v>
      </c>
      <c r="J29" s="760">
        <f t="shared" si="1"/>
        <v>0.3</v>
      </c>
      <c r="K29" s="760">
        <f t="shared" si="1"/>
        <v>0.25</v>
      </c>
      <c r="L29" s="760">
        <f t="shared" si="1"/>
        <v>0.05</v>
      </c>
      <c r="M29" s="760">
        <f t="shared" si="1"/>
        <v>0.2</v>
      </c>
      <c r="N29" s="761">
        <f t="shared" si="6"/>
        <v>1</v>
      </c>
      <c r="O29" s="762"/>
      <c r="R29" s="756">
        <f t="shared" si="7"/>
        <v>1</v>
      </c>
      <c r="S29" s="757">
        <f t="shared" si="8"/>
        <v>0.71500000000000008</v>
      </c>
    </row>
    <row r="30" spans="2:19">
      <c r="B30" s="758">
        <f t="shared" si="2"/>
        <v>2012</v>
      </c>
      <c r="C30" s="759">
        <f t="shared" si="3"/>
        <v>0</v>
      </c>
      <c r="D30" s="760">
        <f t="shared" si="0"/>
        <v>0</v>
      </c>
      <c r="E30" s="760">
        <f t="shared" si="0"/>
        <v>1</v>
      </c>
      <c r="F30" s="760">
        <f t="shared" si="0"/>
        <v>0</v>
      </c>
      <c r="G30" s="760">
        <f t="shared" si="0"/>
        <v>0</v>
      </c>
      <c r="H30" s="761">
        <f t="shared" si="4"/>
        <v>1</v>
      </c>
      <c r="I30" s="759">
        <f t="shared" si="5"/>
        <v>0.2</v>
      </c>
      <c r="J30" s="760">
        <f t="shared" si="1"/>
        <v>0.3</v>
      </c>
      <c r="K30" s="760">
        <f t="shared" si="1"/>
        <v>0.25</v>
      </c>
      <c r="L30" s="760">
        <f t="shared" si="1"/>
        <v>0.05</v>
      </c>
      <c r="M30" s="760">
        <f t="shared" si="1"/>
        <v>0.2</v>
      </c>
      <c r="N30" s="761">
        <f t="shared" si="6"/>
        <v>1</v>
      </c>
      <c r="O30" s="762"/>
      <c r="R30" s="756">
        <f t="shared" si="7"/>
        <v>1</v>
      </c>
      <c r="S30" s="757">
        <f t="shared" si="8"/>
        <v>0.71500000000000008</v>
      </c>
    </row>
    <row r="31" spans="2:19">
      <c r="B31" s="758">
        <f t="shared" si="2"/>
        <v>2013</v>
      </c>
      <c r="C31" s="759">
        <f t="shared" si="3"/>
        <v>0</v>
      </c>
      <c r="D31" s="760">
        <f t="shared" si="0"/>
        <v>0</v>
      </c>
      <c r="E31" s="760">
        <f t="shared" si="0"/>
        <v>1</v>
      </c>
      <c r="F31" s="760">
        <f t="shared" si="0"/>
        <v>0</v>
      </c>
      <c r="G31" s="760">
        <f t="shared" si="0"/>
        <v>0</v>
      </c>
      <c r="H31" s="761">
        <f t="shared" si="4"/>
        <v>1</v>
      </c>
      <c r="I31" s="759">
        <f t="shared" si="5"/>
        <v>0.2</v>
      </c>
      <c r="J31" s="760">
        <f t="shared" si="1"/>
        <v>0.3</v>
      </c>
      <c r="K31" s="760">
        <f t="shared" si="1"/>
        <v>0.25</v>
      </c>
      <c r="L31" s="760">
        <f t="shared" si="1"/>
        <v>0.05</v>
      </c>
      <c r="M31" s="760">
        <f t="shared" si="1"/>
        <v>0.2</v>
      </c>
      <c r="N31" s="761">
        <f t="shared" si="6"/>
        <v>1</v>
      </c>
      <c r="O31" s="762"/>
      <c r="R31" s="756">
        <f t="shared" si="7"/>
        <v>1</v>
      </c>
      <c r="S31" s="757">
        <f t="shared" si="8"/>
        <v>0.71500000000000008</v>
      </c>
    </row>
    <row r="32" spans="2:19">
      <c r="B32" s="758">
        <f t="shared" si="2"/>
        <v>2014</v>
      </c>
      <c r="C32" s="759">
        <f t="shared" si="3"/>
        <v>0</v>
      </c>
      <c r="D32" s="760">
        <f t="shared" si="0"/>
        <v>0</v>
      </c>
      <c r="E32" s="760">
        <f t="shared" si="0"/>
        <v>1</v>
      </c>
      <c r="F32" s="760">
        <f t="shared" si="0"/>
        <v>0</v>
      </c>
      <c r="G32" s="760">
        <f t="shared" si="0"/>
        <v>0</v>
      </c>
      <c r="H32" s="761">
        <f t="shared" si="4"/>
        <v>1</v>
      </c>
      <c r="I32" s="759">
        <f t="shared" si="5"/>
        <v>0.2</v>
      </c>
      <c r="J32" s="760">
        <f t="shared" si="1"/>
        <v>0.3</v>
      </c>
      <c r="K32" s="760">
        <f t="shared" si="1"/>
        <v>0.25</v>
      </c>
      <c r="L32" s="760">
        <f t="shared" si="1"/>
        <v>0.05</v>
      </c>
      <c r="M32" s="760">
        <f t="shared" si="1"/>
        <v>0.2</v>
      </c>
      <c r="N32" s="761">
        <f t="shared" si="6"/>
        <v>1</v>
      </c>
      <c r="O32" s="762"/>
      <c r="R32" s="756">
        <f t="shared" si="7"/>
        <v>1</v>
      </c>
      <c r="S32" s="757">
        <f t="shared" si="8"/>
        <v>0.71500000000000008</v>
      </c>
    </row>
    <row r="33" spans="2:19">
      <c r="B33" s="758">
        <f t="shared" si="2"/>
        <v>2015</v>
      </c>
      <c r="C33" s="759">
        <f t="shared" si="3"/>
        <v>0</v>
      </c>
      <c r="D33" s="760">
        <f t="shared" si="0"/>
        <v>0</v>
      </c>
      <c r="E33" s="760">
        <f t="shared" si="0"/>
        <v>1</v>
      </c>
      <c r="F33" s="760">
        <f t="shared" si="0"/>
        <v>0</v>
      </c>
      <c r="G33" s="760">
        <f t="shared" si="0"/>
        <v>0</v>
      </c>
      <c r="H33" s="761">
        <f t="shared" si="4"/>
        <v>1</v>
      </c>
      <c r="I33" s="759">
        <f t="shared" si="5"/>
        <v>0.2</v>
      </c>
      <c r="J33" s="760">
        <f t="shared" si="1"/>
        <v>0.3</v>
      </c>
      <c r="K33" s="760">
        <f t="shared" si="1"/>
        <v>0.25</v>
      </c>
      <c r="L33" s="760">
        <f t="shared" si="1"/>
        <v>0.05</v>
      </c>
      <c r="M33" s="760">
        <f t="shared" si="1"/>
        <v>0.2</v>
      </c>
      <c r="N33" s="761">
        <f t="shared" si="6"/>
        <v>1</v>
      </c>
      <c r="O33" s="762"/>
      <c r="R33" s="756">
        <f t="shared" si="7"/>
        <v>1</v>
      </c>
      <c r="S33" s="757">
        <f t="shared" si="8"/>
        <v>0.71500000000000008</v>
      </c>
    </row>
    <row r="34" spans="2:19">
      <c r="B34" s="758">
        <f t="shared" si="2"/>
        <v>2016</v>
      </c>
      <c r="C34" s="759">
        <f t="shared" si="3"/>
        <v>0</v>
      </c>
      <c r="D34" s="760">
        <f t="shared" si="3"/>
        <v>0</v>
      </c>
      <c r="E34" s="760">
        <f t="shared" si="3"/>
        <v>1</v>
      </c>
      <c r="F34" s="760">
        <f t="shared" si="3"/>
        <v>0</v>
      </c>
      <c r="G34" s="760">
        <f t="shared" si="3"/>
        <v>0</v>
      </c>
      <c r="H34" s="761">
        <f t="shared" si="4"/>
        <v>1</v>
      </c>
      <c r="I34" s="759">
        <f t="shared" si="5"/>
        <v>0.2</v>
      </c>
      <c r="J34" s="760">
        <f t="shared" si="5"/>
        <v>0.3</v>
      </c>
      <c r="K34" s="760">
        <f t="shared" si="5"/>
        <v>0.25</v>
      </c>
      <c r="L34" s="760">
        <f t="shared" si="5"/>
        <v>0.05</v>
      </c>
      <c r="M34" s="760">
        <f t="shared" si="5"/>
        <v>0.2</v>
      </c>
      <c r="N34" s="761">
        <f t="shared" si="6"/>
        <v>1</v>
      </c>
      <c r="O34" s="762"/>
      <c r="R34" s="756">
        <f t="shared" si="7"/>
        <v>1</v>
      </c>
      <c r="S34" s="757">
        <f t="shared" si="8"/>
        <v>0.71500000000000008</v>
      </c>
    </row>
    <row r="35" spans="2:19">
      <c r="B35" s="758">
        <f t="shared" si="2"/>
        <v>2017</v>
      </c>
      <c r="C35" s="759">
        <f t="shared" si="3"/>
        <v>0</v>
      </c>
      <c r="D35" s="760">
        <f t="shared" si="3"/>
        <v>0</v>
      </c>
      <c r="E35" s="760">
        <f t="shared" si="3"/>
        <v>1</v>
      </c>
      <c r="F35" s="760">
        <f t="shared" si="3"/>
        <v>0</v>
      </c>
      <c r="G35" s="760">
        <f t="shared" si="3"/>
        <v>0</v>
      </c>
      <c r="H35" s="761">
        <f t="shared" si="4"/>
        <v>1</v>
      </c>
      <c r="I35" s="759">
        <f t="shared" si="5"/>
        <v>0.2</v>
      </c>
      <c r="J35" s="760">
        <f t="shared" si="5"/>
        <v>0.3</v>
      </c>
      <c r="K35" s="760">
        <f t="shared" si="5"/>
        <v>0.25</v>
      </c>
      <c r="L35" s="760">
        <f t="shared" si="5"/>
        <v>0.05</v>
      </c>
      <c r="M35" s="760">
        <f t="shared" si="5"/>
        <v>0.2</v>
      </c>
      <c r="N35" s="761">
        <f t="shared" si="6"/>
        <v>1</v>
      </c>
      <c r="O35" s="762"/>
      <c r="R35" s="756">
        <f t="shared" si="7"/>
        <v>1</v>
      </c>
      <c r="S35" s="757">
        <f t="shared" si="8"/>
        <v>0.71500000000000008</v>
      </c>
    </row>
    <row r="36" spans="2:19">
      <c r="B36" s="758">
        <f t="shared" si="2"/>
        <v>2018</v>
      </c>
      <c r="C36" s="759">
        <f t="shared" si="3"/>
        <v>0</v>
      </c>
      <c r="D36" s="760">
        <f t="shared" si="3"/>
        <v>0</v>
      </c>
      <c r="E36" s="760">
        <f t="shared" si="3"/>
        <v>1</v>
      </c>
      <c r="F36" s="760">
        <f t="shared" si="3"/>
        <v>0</v>
      </c>
      <c r="G36" s="760">
        <f t="shared" si="3"/>
        <v>0</v>
      </c>
      <c r="H36" s="761">
        <f t="shared" si="4"/>
        <v>1</v>
      </c>
      <c r="I36" s="759">
        <f t="shared" si="5"/>
        <v>0.2</v>
      </c>
      <c r="J36" s="760">
        <f t="shared" si="5"/>
        <v>0.3</v>
      </c>
      <c r="K36" s="760">
        <f t="shared" si="5"/>
        <v>0.25</v>
      </c>
      <c r="L36" s="760">
        <f t="shared" si="5"/>
        <v>0.05</v>
      </c>
      <c r="M36" s="760">
        <f t="shared" si="5"/>
        <v>0.2</v>
      </c>
      <c r="N36" s="761">
        <f t="shared" si="6"/>
        <v>1</v>
      </c>
      <c r="O36" s="762"/>
      <c r="R36" s="756">
        <f t="shared" si="7"/>
        <v>1</v>
      </c>
      <c r="S36" s="757">
        <f t="shared" si="8"/>
        <v>0.71500000000000008</v>
      </c>
    </row>
    <row r="37" spans="2:19">
      <c r="B37" s="758">
        <f t="shared" si="2"/>
        <v>2019</v>
      </c>
      <c r="C37" s="759">
        <f t="shared" si="3"/>
        <v>0</v>
      </c>
      <c r="D37" s="760">
        <f t="shared" si="3"/>
        <v>0</v>
      </c>
      <c r="E37" s="760">
        <f t="shared" si="3"/>
        <v>1</v>
      </c>
      <c r="F37" s="760">
        <f t="shared" si="3"/>
        <v>0</v>
      </c>
      <c r="G37" s="760">
        <f t="shared" si="3"/>
        <v>0</v>
      </c>
      <c r="H37" s="761">
        <f t="shared" si="4"/>
        <v>1</v>
      </c>
      <c r="I37" s="759">
        <f t="shared" si="5"/>
        <v>0.2</v>
      </c>
      <c r="J37" s="760">
        <f t="shared" si="5"/>
        <v>0.3</v>
      </c>
      <c r="K37" s="760">
        <f t="shared" si="5"/>
        <v>0.25</v>
      </c>
      <c r="L37" s="760">
        <f t="shared" si="5"/>
        <v>0.05</v>
      </c>
      <c r="M37" s="760">
        <f t="shared" si="5"/>
        <v>0.2</v>
      </c>
      <c r="N37" s="761">
        <f t="shared" si="6"/>
        <v>1</v>
      </c>
      <c r="O37" s="762"/>
      <c r="R37" s="756">
        <f t="shared" si="7"/>
        <v>1</v>
      </c>
      <c r="S37" s="757">
        <f t="shared" si="8"/>
        <v>0.71500000000000008</v>
      </c>
    </row>
    <row r="38" spans="2:19">
      <c r="B38" s="758">
        <f t="shared" si="2"/>
        <v>2020</v>
      </c>
      <c r="C38" s="759">
        <f t="shared" si="3"/>
        <v>0</v>
      </c>
      <c r="D38" s="760">
        <f t="shared" si="3"/>
        <v>0</v>
      </c>
      <c r="E38" s="760">
        <f t="shared" si="3"/>
        <v>1</v>
      </c>
      <c r="F38" s="760">
        <f t="shared" si="3"/>
        <v>0</v>
      </c>
      <c r="G38" s="760">
        <f t="shared" si="3"/>
        <v>0</v>
      </c>
      <c r="H38" s="761">
        <f t="shared" si="4"/>
        <v>1</v>
      </c>
      <c r="I38" s="759">
        <f t="shared" si="5"/>
        <v>0.2</v>
      </c>
      <c r="J38" s="760">
        <f t="shared" si="5"/>
        <v>0.3</v>
      </c>
      <c r="K38" s="760">
        <f t="shared" si="5"/>
        <v>0.25</v>
      </c>
      <c r="L38" s="760">
        <f t="shared" si="5"/>
        <v>0.05</v>
      </c>
      <c r="M38" s="760">
        <f t="shared" si="5"/>
        <v>0.2</v>
      </c>
      <c r="N38" s="761">
        <f t="shared" si="6"/>
        <v>1</v>
      </c>
      <c r="O38" s="762"/>
      <c r="R38" s="756">
        <f t="shared" si="7"/>
        <v>1</v>
      </c>
      <c r="S38" s="757">
        <f t="shared" si="8"/>
        <v>0.71500000000000008</v>
      </c>
    </row>
    <row r="39" spans="2:19">
      <c r="B39" s="758">
        <f t="shared" si="2"/>
        <v>2021</v>
      </c>
      <c r="C39" s="759">
        <f t="shared" si="3"/>
        <v>0</v>
      </c>
      <c r="D39" s="760">
        <f t="shared" si="3"/>
        <v>0</v>
      </c>
      <c r="E39" s="760">
        <f t="shared" si="3"/>
        <v>1</v>
      </c>
      <c r="F39" s="760">
        <f t="shared" si="3"/>
        <v>0</v>
      </c>
      <c r="G39" s="760">
        <f t="shared" si="3"/>
        <v>0</v>
      </c>
      <c r="H39" s="761">
        <f t="shared" si="4"/>
        <v>1</v>
      </c>
      <c r="I39" s="759">
        <f t="shared" si="5"/>
        <v>0.2</v>
      </c>
      <c r="J39" s="760">
        <f t="shared" si="5"/>
        <v>0.3</v>
      </c>
      <c r="K39" s="760">
        <f t="shared" si="5"/>
        <v>0.25</v>
      </c>
      <c r="L39" s="760">
        <f t="shared" si="5"/>
        <v>0.05</v>
      </c>
      <c r="M39" s="760">
        <f t="shared" si="5"/>
        <v>0.2</v>
      </c>
      <c r="N39" s="761">
        <f t="shared" si="6"/>
        <v>1</v>
      </c>
      <c r="O39" s="762"/>
      <c r="R39" s="756">
        <f t="shared" si="7"/>
        <v>1</v>
      </c>
      <c r="S39" s="757">
        <f t="shared" si="8"/>
        <v>0.71500000000000008</v>
      </c>
    </row>
    <row r="40" spans="2:19">
      <c r="B40" s="758">
        <f t="shared" si="2"/>
        <v>2022</v>
      </c>
      <c r="C40" s="759">
        <f t="shared" si="3"/>
        <v>0</v>
      </c>
      <c r="D40" s="760">
        <f t="shared" si="3"/>
        <v>0</v>
      </c>
      <c r="E40" s="760">
        <f t="shared" si="3"/>
        <v>1</v>
      </c>
      <c r="F40" s="760">
        <f t="shared" si="3"/>
        <v>0</v>
      </c>
      <c r="G40" s="760">
        <f t="shared" si="3"/>
        <v>0</v>
      </c>
      <c r="H40" s="761">
        <f t="shared" si="4"/>
        <v>1</v>
      </c>
      <c r="I40" s="759">
        <f t="shared" si="5"/>
        <v>0.2</v>
      </c>
      <c r="J40" s="760">
        <f t="shared" si="5"/>
        <v>0.3</v>
      </c>
      <c r="K40" s="760">
        <f t="shared" si="5"/>
        <v>0.25</v>
      </c>
      <c r="L40" s="760">
        <f t="shared" si="5"/>
        <v>0.05</v>
      </c>
      <c r="M40" s="760">
        <f t="shared" si="5"/>
        <v>0.2</v>
      </c>
      <c r="N40" s="761">
        <f t="shared" si="6"/>
        <v>1</v>
      </c>
      <c r="O40" s="762"/>
      <c r="R40" s="756">
        <f t="shared" si="7"/>
        <v>1</v>
      </c>
      <c r="S40" s="757">
        <f t="shared" si="8"/>
        <v>0.71500000000000008</v>
      </c>
    </row>
    <row r="41" spans="2:19">
      <c r="B41" s="758">
        <f t="shared" si="2"/>
        <v>2023</v>
      </c>
      <c r="C41" s="759">
        <f t="shared" si="3"/>
        <v>0</v>
      </c>
      <c r="D41" s="760">
        <f t="shared" si="3"/>
        <v>0</v>
      </c>
      <c r="E41" s="760">
        <f t="shared" si="3"/>
        <v>1</v>
      </c>
      <c r="F41" s="760">
        <f t="shared" si="3"/>
        <v>0</v>
      </c>
      <c r="G41" s="760">
        <f t="shared" si="3"/>
        <v>0</v>
      </c>
      <c r="H41" s="761">
        <f t="shared" si="4"/>
        <v>1</v>
      </c>
      <c r="I41" s="759">
        <f t="shared" si="5"/>
        <v>0.2</v>
      </c>
      <c r="J41" s="760">
        <f t="shared" si="5"/>
        <v>0.3</v>
      </c>
      <c r="K41" s="760">
        <f t="shared" si="5"/>
        <v>0.25</v>
      </c>
      <c r="L41" s="760">
        <f t="shared" si="5"/>
        <v>0.05</v>
      </c>
      <c r="M41" s="760">
        <f t="shared" si="5"/>
        <v>0.2</v>
      </c>
      <c r="N41" s="761">
        <f t="shared" si="6"/>
        <v>1</v>
      </c>
      <c r="O41" s="762"/>
      <c r="R41" s="756">
        <f t="shared" si="7"/>
        <v>1</v>
      </c>
      <c r="S41" s="757">
        <f t="shared" si="8"/>
        <v>0.71500000000000008</v>
      </c>
    </row>
    <row r="42" spans="2:19">
      <c r="B42" s="758">
        <f t="shared" si="2"/>
        <v>2024</v>
      </c>
      <c r="C42" s="759">
        <f t="shared" si="3"/>
        <v>0</v>
      </c>
      <c r="D42" s="760">
        <f t="shared" si="3"/>
        <v>0</v>
      </c>
      <c r="E42" s="760">
        <f t="shared" si="3"/>
        <v>1</v>
      </c>
      <c r="F42" s="760">
        <f t="shared" si="3"/>
        <v>0</v>
      </c>
      <c r="G42" s="760">
        <f t="shared" si="3"/>
        <v>0</v>
      </c>
      <c r="H42" s="761">
        <f t="shared" si="4"/>
        <v>1</v>
      </c>
      <c r="I42" s="759">
        <f t="shared" si="5"/>
        <v>0.2</v>
      </c>
      <c r="J42" s="760">
        <f t="shared" si="5"/>
        <v>0.3</v>
      </c>
      <c r="K42" s="760">
        <f t="shared" si="5"/>
        <v>0.25</v>
      </c>
      <c r="L42" s="760">
        <f t="shared" si="5"/>
        <v>0.05</v>
      </c>
      <c r="M42" s="760">
        <f t="shared" si="5"/>
        <v>0.2</v>
      </c>
      <c r="N42" s="761">
        <f t="shared" si="6"/>
        <v>1</v>
      </c>
      <c r="O42" s="762"/>
      <c r="R42" s="756">
        <f t="shared" si="7"/>
        <v>1</v>
      </c>
      <c r="S42" s="757">
        <f t="shared" si="8"/>
        <v>0.71500000000000008</v>
      </c>
    </row>
    <row r="43" spans="2:19">
      <c r="B43" s="758">
        <f t="shared" si="2"/>
        <v>2025</v>
      </c>
      <c r="C43" s="759">
        <f t="shared" si="3"/>
        <v>0</v>
      </c>
      <c r="D43" s="760">
        <f t="shared" si="3"/>
        <v>0</v>
      </c>
      <c r="E43" s="760">
        <f t="shared" si="3"/>
        <v>1</v>
      </c>
      <c r="F43" s="760">
        <f t="shared" si="3"/>
        <v>0</v>
      </c>
      <c r="G43" s="760">
        <f t="shared" si="3"/>
        <v>0</v>
      </c>
      <c r="H43" s="761">
        <f t="shared" si="4"/>
        <v>1</v>
      </c>
      <c r="I43" s="759">
        <f t="shared" si="5"/>
        <v>0.2</v>
      </c>
      <c r="J43" s="760">
        <f t="shared" si="5"/>
        <v>0.3</v>
      </c>
      <c r="K43" s="760">
        <f t="shared" si="5"/>
        <v>0.25</v>
      </c>
      <c r="L43" s="760">
        <f t="shared" si="5"/>
        <v>0.05</v>
      </c>
      <c r="M43" s="760">
        <f t="shared" si="5"/>
        <v>0.2</v>
      </c>
      <c r="N43" s="761">
        <f t="shared" si="6"/>
        <v>1</v>
      </c>
      <c r="O43" s="762"/>
      <c r="R43" s="756">
        <f t="shared" si="7"/>
        <v>1</v>
      </c>
      <c r="S43" s="757">
        <f t="shared" si="8"/>
        <v>0.71500000000000008</v>
      </c>
    </row>
    <row r="44" spans="2:19">
      <c r="B44" s="758">
        <f t="shared" si="2"/>
        <v>2026</v>
      </c>
      <c r="C44" s="759">
        <f t="shared" si="3"/>
        <v>0</v>
      </c>
      <c r="D44" s="760">
        <f t="shared" si="3"/>
        <v>0</v>
      </c>
      <c r="E44" s="760">
        <f t="shared" si="3"/>
        <v>1</v>
      </c>
      <c r="F44" s="760">
        <f t="shared" si="3"/>
        <v>0</v>
      </c>
      <c r="G44" s="760">
        <f t="shared" si="3"/>
        <v>0</v>
      </c>
      <c r="H44" s="761">
        <f t="shared" si="4"/>
        <v>1</v>
      </c>
      <c r="I44" s="759">
        <f t="shared" si="5"/>
        <v>0.2</v>
      </c>
      <c r="J44" s="760">
        <f t="shared" si="5"/>
        <v>0.3</v>
      </c>
      <c r="K44" s="760">
        <f t="shared" si="5"/>
        <v>0.25</v>
      </c>
      <c r="L44" s="760">
        <f t="shared" si="5"/>
        <v>0.05</v>
      </c>
      <c r="M44" s="760">
        <f t="shared" si="5"/>
        <v>0.2</v>
      </c>
      <c r="N44" s="761">
        <f t="shared" si="6"/>
        <v>1</v>
      </c>
      <c r="O44" s="762"/>
      <c r="R44" s="756">
        <f t="shared" si="7"/>
        <v>1</v>
      </c>
      <c r="S44" s="757">
        <f t="shared" si="8"/>
        <v>0.71500000000000008</v>
      </c>
    </row>
    <row r="45" spans="2:19">
      <c r="B45" s="758">
        <f t="shared" si="2"/>
        <v>2027</v>
      </c>
      <c r="C45" s="759">
        <f t="shared" si="3"/>
        <v>0</v>
      </c>
      <c r="D45" s="760">
        <f t="shared" si="3"/>
        <v>0</v>
      </c>
      <c r="E45" s="760">
        <f t="shared" si="3"/>
        <v>1</v>
      </c>
      <c r="F45" s="760">
        <f t="shared" si="3"/>
        <v>0</v>
      </c>
      <c r="G45" s="760">
        <f t="shared" si="3"/>
        <v>0</v>
      </c>
      <c r="H45" s="761">
        <f t="shared" si="4"/>
        <v>1</v>
      </c>
      <c r="I45" s="759">
        <f t="shared" si="5"/>
        <v>0.2</v>
      </c>
      <c r="J45" s="760">
        <f t="shared" si="5"/>
        <v>0.3</v>
      </c>
      <c r="K45" s="760">
        <f t="shared" si="5"/>
        <v>0.25</v>
      </c>
      <c r="L45" s="760">
        <f t="shared" si="5"/>
        <v>0.05</v>
      </c>
      <c r="M45" s="760">
        <f t="shared" si="5"/>
        <v>0.2</v>
      </c>
      <c r="N45" s="761">
        <f t="shared" si="6"/>
        <v>1</v>
      </c>
      <c r="O45" s="762"/>
      <c r="R45" s="756">
        <f t="shared" si="7"/>
        <v>1</v>
      </c>
      <c r="S45" s="757">
        <f t="shared" si="8"/>
        <v>0.71500000000000008</v>
      </c>
    </row>
    <row r="46" spans="2:19">
      <c r="B46" s="758">
        <f t="shared" si="2"/>
        <v>2028</v>
      </c>
      <c r="C46" s="759">
        <f t="shared" si="3"/>
        <v>0</v>
      </c>
      <c r="D46" s="760">
        <f t="shared" si="3"/>
        <v>0</v>
      </c>
      <c r="E46" s="760">
        <f t="shared" si="3"/>
        <v>1</v>
      </c>
      <c r="F46" s="760">
        <f t="shared" si="3"/>
        <v>0</v>
      </c>
      <c r="G46" s="760">
        <f t="shared" si="3"/>
        <v>0</v>
      </c>
      <c r="H46" s="761">
        <f t="shared" si="4"/>
        <v>1</v>
      </c>
      <c r="I46" s="759">
        <f t="shared" si="5"/>
        <v>0.2</v>
      </c>
      <c r="J46" s="760">
        <f t="shared" si="5"/>
        <v>0.3</v>
      </c>
      <c r="K46" s="760">
        <f t="shared" si="5"/>
        <v>0.25</v>
      </c>
      <c r="L46" s="760">
        <f t="shared" si="5"/>
        <v>0.05</v>
      </c>
      <c r="M46" s="760">
        <f t="shared" si="5"/>
        <v>0.2</v>
      </c>
      <c r="N46" s="761">
        <f t="shared" si="6"/>
        <v>1</v>
      </c>
      <c r="O46" s="762"/>
      <c r="R46" s="756">
        <f t="shared" si="7"/>
        <v>1</v>
      </c>
      <c r="S46" s="757">
        <f t="shared" si="8"/>
        <v>0.71500000000000008</v>
      </c>
    </row>
    <row r="47" spans="2:19">
      <c r="B47" s="758">
        <f t="shared" si="2"/>
        <v>2029</v>
      </c>
      <c r="C47" s="759">
        <f t="shared" si="3"/>
        <v>0</v>
      </c>
      <c r="D47" s="760">
        <f t="shared" si="3"/>
        <v>0</v>
      </c>
      <c r="E47" s="760">
        <f t="shared" si="3"/>
        <v>1</v>
      </c>
      <c r="F47" s="760">
        <f t="shared" si="3"/>
        <v>0</v>
      </c>
      <c r="G47" s="760">
        <f t="shared" si="3"/>
        <v>0</v>
      </c>
      <c r="H47" s="761">
        <f t="shared" si="4"/>
        <v>1</v>
      </c>
      <c r="I47" s="759">
        <f t="shared" si="5"/>
        <v>0.2</v>
      </c>
      <c r="J47" s="760">
        <f t="shared" si="5"/>
        <v>0.3</v>
      </c>
      <c r="K47" s="760">
        <f t="shared" si="5"/>
        <v>0.25</v>
      </c>
      <c r="L47" s="760">
        <f t="shared" si="5"/>
        <v>0.05</v>
      </c>
      <c r="M47" s="760">
        <f t="shared" si="5"/>
        <v>0.2</v>
      </c>
      <c r="N47" s="761">
        <f t="shared" si="6"/>
        <v>1</v>
      </c>
      <c r="O47" s="762"/>
      <c r="R47" s="756">
        <f t="shared" si="7"/>
        <v>1</v>
      </c>
      <c r="S47" s="757">
        <f t="shared" si="8"/>
        <v>0.71500000000000008</v>
      </c>
    </row>
    <row r="48" spans="2:19">
      <c r="B48" s="758">
        <f t="shared" si="2"/>
        <v>2030</v>
      </c>
      <c r="C48" s="759">
        <f t="shared" si="3"/>
        <v>0</v>
      </c>
      <c r="D48" s="760">
        <f t="shared" si="3"/>
        <v>0</v>
      </c>
      <c r="E48" s="760">
        <f t="shared" si="3"/>
        <v>1</v>
      </c>
      <c r="F48" s="760">
        <f t="shared" si="3"/>
        <v>0</v>
      </c>
      <c r="G48" s="760">
        <f t="shared" si="3"/>
        <v>0</v>
      </c>
      <c r="H48" s="761">
        <f t="shared" si="4"/>
        <v>1</v>
      </c>
      <c r="I48" s="759">
        <f t="shared" si="5"/>
        <v>0.2</v>
      </c>
      <c r="J48" s="760">
        <f t="shared" si="5"/>
        <v>0.3</v>
      </c>
      <c r="K48" s="760">
        <f t="shared" si="5"/>
        <v>0.25</v>
      </c>
      <c r="L48" s="760">
        <f t="shared" si="5"/>
        <v>0.05</v>
      </c>
      <c r="M48" s="760">
        <f t="shared" si="5"/>
        <v>0.2</v>
      </c>
      <c r="N48" s="761">
        <f t="shared" si="6"/>
        <v>1</v>
      </c>
      <c r="O48" s="762"/>
      <c r="R48" s="756">
        <f t="shared" si="7"/>
        <v>1</v>
      </c>
      <c r="S48" s="757">
        <f t="shared" si="8"/>
        <v>0.71500000000000008</v>
      </c>
    </row>
    <row r="49" spans="2:19">
      <c r="B49" s="758">
        <f t="shared" si="2"/>
        <v>2031</v>
      </c>
      <c r="C49" s="759">
        <f t="shared" si="3"/>
        <v>0</v>
      </c>
      <c r="D49" s="760">
        <f t="shared" si="3"/>
        <v>0</v>
      </c>
      <c r="E49" s="760">
        <f t="shared" si="3"/>
        <v>1</v>
      </c>
      <c r="F49" s="760">
        <f t="shared" si="3"/>
        <v>0</v>
      </c>
      <c r="G49" s="760">
        <f t="shared" si="3"/>
        <v>0</v>
      </c>
      <c r="H49" s="761">
        <f t="shared" si="4"/>
        <v>1</v>
      </c>
      <c r="I49" s="759">
        <f t="shared" si="5"/>
        <v>0.2</v>
      </c>
      <c r="J49" s="760">
        <f t="shared" si="5"/>
        <v>0.3</v>
      </c>
      <c r="K49" s="760">
        <f t="shared" si="5"/>
        <v>0.25</v>
      </c>
      <c r="L49" s="760">
        <f t="shared" si="5"/>
        <v>0.05</v>
      </c>
      <c r="M49" s="760">
        <f t="shared" si="5"/>
        <v>0.2</v>
      </c>
      <c r="N49" s="761">
        <f t="shared" si="6"/>
        <v>1</v>
      </c>
      <c r="O49" s="762"/>
      <c r="R49" s="756">
        <f t="shared" si="7"/>
        <v>1</v>
      </c>
      <c r="S49" s="757">
        <f t="shared" si="8"/>
        <v>0.71500000000000008</v>
      </c>
    </row>
    <row r="50" spans="2:19">
      <c r="B50" s="758">
        <f t="shared" si="2"/>
        <v>2032</v>
      </c>
      <c r="C50" s="759">
        <f t="shared" si="3"/>
        <v>0</v>
      </c>
      <c r="D50" s="760">
        <f t="shared" si="3"/>
        <v>0</v>
      </c>
      <c r="E50" s="760">
        <f t="shared" si="3"/>
        <v>1</v>
      </c>
      <c r="F50" s="760">
        <f t="shared" si="3"/>
        <v>0</v>
      </c>
      <c r="G50" s="760">
        <f t="shared" si="3"/>
        <v>0</v>
      </c>
      <c r="H50" s="761">
        <f t="shared" si="4"/>
        <v>1</v>
      </c>
      <c r="I50" s="759">
        <f t="shared" si="5"/>
        <v>0.2</v>
      </c>
      <c r="J50" s="760">
        <f t="shared" si="5"/>
        <v>0.3</v>
      </c>
      <c r="K50" s="760">
        <f t="shared" si="5"/>
        <v>0.25</v>
      </c>
      <c r="L50" s="760">
        <f t="shared" si="5"/>
        <v>0.05</v>
      </c>
      <c r="M50" s="760">
        <f t="shared" si="5"/>
        <v>0.2</v>
      </c>
      <c r="N50" s="761">
        <f t="shared" si="6"/>
        <v>1</v>
      </c>
      <c r="O50" s="762"/>
      <c r="R50" s="756">
        <f t="shared" si="7"/>
        <v>1</v>
      </c>
      <c r="S50" s="757">
        <f t="shared" si="8"/>
        <v>0.71500000000000008</v>
      </c>
    </row>
    <row r="51" spans="2:19">
      <c r="B51" s="758">
        <f t="shared" ref="B51:B82" si="9">B50+1</f>
        <v>2033</v>
      </c>
      <c r="C51" s="759">
        <f t="shared" ref="C51:G98" si="10">C$16</f>
        <v>0</v>
      </c>
      <c r="D51" s="760">
        <f t="shared" si="10"/>
        <v>0</v>
      </c>
      <c r="E51" s="760">
        <f t="shared" si="10"/>
        <v>1</v>
      </c>
      <c r="F51" s="760">
        <f t="shared" si="10"/>
        <v>0</v>
      </c>
      <c r="G51" s="760">
        <f t="shared" si="10"/>
        <v>0</v>
      </c>
      <c r="H51" s="761">
        <f t="shared" si="4"/>
        <v>1</v>
      </c>
      <c r="I51" s="759">
        <f t="shared" ref="I51:M98" si="11">I$16</f>
        <v>0.2</v>
      </c>
      <c r="J51" s="760">
        <f t="shared" si="11"/>
        <v>0.3</v>
      </c>
      <c r="K51" s="760">
        <f t="shared" si="11"/>
        <v>0.25</v>
      </c>
      <c r="L51" s="760">
        <f t="shared" si="11"/>
        <v>0.05</v>
      </c>
      <c r="M51" s="760">
        <f t="shared" si="11"/>
        <v>0.2</v>
      </c>
      <c r="N51" s="761">
        <f t="shared" si="6"/>
        <v>1</v>
      </c>
      <c r="O51" s="762"/>
      <c r="R51" s="756">
        <f t="shared" si="7"/>
        <v>1</v>
      </c>
      <c r="S51" s="757">
        <f t="shared" si="8"/>
        <v>0.71500000000000008</v>
      </c>
    </row>
    <row r="52" spans="2:19">
      <c r="B52" s="758">
        <f t="shared" si="9"/>
        <v>2034</v>
      </c>
      <c r="C52" s="759">
        <f t="shared" si="10"/>
        <v>0</v>
      </c>
      <c r="D52" s="760">
        <f t="shared" si="10"/>
        <v>0</v>
      </c>
      <c r="E52" s="760">
        <f t="shared" si="10"/>
        <v>1</v>
      </c>
      <c r="F52" s="760">
        <f t="shared" si="10"/>
        <v>0</v>
      </c>
      <c r="G52" s="760">
        <f t="shared" si="10"/>
        <v>0</v>
      </c>
      <c r="H52" s="761">
        <f t="shared" si="4"/>
        <v>1</v>
      </c>
      <c r="I52" s="759">
        <f t="shared" si="11"/>
        <v>0.2</v>
      </c>
      <c r="J52" s="760">
        <f t="shared" si="11"/>
        <v>0.3</v>
      </c>
      <c r="K52" s="760">
        <f t="shared" si="11"/>
        <v>0.25</v>
      </c>
      <c r="L52" s="760">
        <f t="shared" si="11"/>
        <v>0.05</v>
      </c>
      <c r="M52" s="760">
        <f t="shared" si="11"/>
        <v>0.2</v>
      </c>
      <c r="N52" s="761">
        <f t="shared" si="6"/>
        <v>1</v>
      </c>
      <c r="O52" s="762"/>
      <c r="R52" s="756">
        <f t="shared" si="7"/>
        <v>1</v>
      </c>
      <c r="S52" s="757">
        <f t="shared" si="8"/>
        <v>0.71500000000000008</v>
      </c>
    </row>
    <row r="53" spans="2:19">
      <c r="B53" s="758">
        <f t="shared" si="9"/>
        <v>2035</v>
      </c>
      <c r="C53" s="759">
        <f t="shared" si="10"/>
        <v>0</v>
      </c>
      <c r="D53" s="760">
        <f t="shared" si="10"/>
        <v>0</v>
      </c>
      <c r="E53" s="760">
        <f t="shared" si="10"/>
        <v>1</v>
      </c>
      <c r="F53" s="760">
        <f t="shared" si="10"/>
        <v>0</v>
      </c>
      <c r="G53" s="760">
        <f t="shared" si="10"/>
        <v>0</v>
      </c>
      <c r="H53" s="761">
        <f t="shared" si="4"/>
        <v>1</v>
      </c>
      <c r="I53" s="759">
        <f t="shared" si="11"/>
        <v>0.2</v>
      </c>
      <c r="J53" s="760">
        <f t="shared" si="11"/>
        <v>0.3</v>
      </c>
      <c r="K53" s="760">
        <f t="shared" si="11"/>
        <v>0.25</v>
      </c>
      <c r="L53" s="760">
        <f t="shared" si="11"/>
        <v>0.05</v>
      </c>
      <c r="M53" s="760">
        <f t="shared" si="11"/>
        <v>0.2</v>
      </c>
      <c r="N53" s="761">
        <f t="shared" si="6"/>
        <v>1</v>
      </c>
      <c r="O53" s="762"/>
      <c r="R53" s="756">
        <f t="shared" si="7"/>
        <v>1</v>
      </c>
      <c r="S53" s="757">
        <f t="shared" si="8"/>
        <v>0.71500000000000008</v>
      </c>
    </row>
    <row r="54" spans="2:19">
      <c r="B54" s="758">
        <f t="shared" si="9"/>
        <v>2036</v>
      </c>
      <c r="C54" s="759">
        <f t="shared" si="10"/>
        <v>0</v>
      </c>
      <c r="D54" s="760">
        <f t="shared" si="10"/>
        <v>0</v>
      </c>
      <c r="E54" s="760">
        <f t="shared" si="10"/>
        <v>1</v>
      </c>
      <c r="F54" s="760">
        <f t="shared" si="10"/>
        <v>0</v>
      </c>
      <c r="G54" s="760">
        <f t="shared" si="10"/>
        <v>0</v>
      </c>
      <c r="H54" s="761">
        <f t="shared" si="4"/>
        <v>1</v>
      </c>
      <c r="I54" s="759">
        <f t="shared" si="11"/>
        <v>0.2</v>
      </c>
      <c r="J54" s="760">
        <f t="shared" si="11"/>
        <v>0.3</v>
      </c>
      <c r="K54" s="760">
        <f t="shared" si="11"/>
        <v>0.25</v>
      </c>
      <c r="L54" s="760">
        <f t="shared" si="11"/>
        <v>0.05</v>
      </c>
      <c r="M54" s="760">
        <f t="shared" si="11"/>
        <v>0.2</v>
      </c>
      <c r="N54" s="761">
        <f t="shared" si="6"/>
        <v>1</v>
      </c>
      <c r="O54" s="762"/>
      <c r="R54" s="756">
        <f t="shared" si="7"/>
        <v>1</v>
      </c>
      <c r="S54" s="757">
        <f t="shared" si="8"/>
        <v>0.71500000000000008</v>
      </c>
    </row>
    <row r="55" spans="2:19">
      <c r="B55" s="758">
        <f t="shared" si="9"/>
        <v>2037</v>
      </c>
      <c r="C55" s="759">
        <f t="shared" si="10"/>
        <v>0</v>
      </c>
      <c r="D55" s="760">
        <f t="shared" si="10"/>
        <v>0</v>
      </c>
      <c r="E55" s="760">
        <f t="shared" si="10"/>
        <v>1</v>
      </c>
      <c r="F55" s="760">
        <f t="shared" si="10"/>
        <v>0</v>
      </c>
      <c r="G55" s="760">
        <f t="shared" si="10"/>
        <v>0</v>
      </c>
      <c r="H55" s="761">
        <f t="shared" si="4"/>
        <v>1</v>
      </c>
      <c r="I55" s="759">
        <f t="shared" si="11"/>
        <v>0.2</v>
      </c>
      <c r="J55" s="760">
        <f t="shared" si="11"/>
        <v>0.3</v>
      </c>
      <c r="K55" s="760">
        <f t="shared" si="11"/>
        <v>0.25</v>
      </c>
      <c r="L55" s="760">
        <f t="shared" si="11"/>
        <v>0.05</v>
      </c>
      <c r="M55" s="760">
        <f t="shared" si="11"/>
        <v>0.2</v>
      </c>
      <c r="N55" s="761">
        <f t="shared" si="6"/>
        <v>1</v>
      </c>
      <c r="O55" s="762"/>
      <c r="R55" s="756">
        <f t="shared" si="7"/>
        <v>1</v>
      </c>
      <c r="S55" s="757">
        <f t="shared" si="8"/>
        <v>0.71500000000000008</v>
      </c>
    </row>
    <row r="56" spans="2:19">
      <c r="B56" s="758">
        <f t="shared" si="9"/>
        <v>2038</v>
      </c>
      <c r="C56" s="759">
        <f t="shared" si="10"/>
        <v>0</v>
      </c>
      <c r="D56" s="760">
        <f t="shared" si="10"/>
        <v>0</v>
      </c>
      <c r="E56" s="760">
        <f t="shared" si="10"/>
        <v>1</v>
      </c>
      <c r="F56" s="760">
        <f t="shared" si="10"/>
        <v>0</v>
      </c>
      <c r="G56" s="760">
        <f t="shared" si="10"/>
        <v>0</v>
      </c>
      <c r="H56" s="761">
        <f t="shared" si="4"/>
        <v>1</v>
      </c>
      <c r="I56" s="759">
        <f t="shared" si="11"/>
        <v>0.2</v>
      </c>
      <c r="J56" s="760">
        <f t="shared" si="11"/>
        <v>0.3</v>
      </c>
      <c r="K56" s="760">
        <f t="shared" si="11"/>
        <v>0.25</v>
      </c>
      <c r="L56" s="760">
        <f t="shared" si="11"/>
        <v>0.05</v>
      </c>
      <c r="M56" s="760">
        <f t="shared" si="11"/>
        <v>0.2</v>
      </c>
      <c r="N56" s="761">
        <f t="shared" si="6"/>
        <v>1</v>
      </c>
      <c r="O56" s="762"/>
      <c r="R56" s="756">
        <f t="shared" si="7"/>
        <v>1</v>
      </c>
      <c r="S56" s="757">
        <f t="shared" si="8"/>
        <v>0.71500000000000008</v>
      </c>
    </row>
    <row r="57" spans="2:19">
      <c r="B57" s="758">
        <f t="shared" si="9"/>
        <v>2039</v>
      </c>
      <c r="C57" s="759">
        <f t="shared" si="10"/>
        <v>0</v>
      </c>
      <c r="D57" s="760">
        <f t="shared" si="10"/>
        <v>0</v>
      </c>
      <c r="E57" s="760">
        <f t="shared" si="10"/>
        <v>1</v>
      </c>
      <c r="F57" s="760">
        <f t="shared" si="10"/>
        <v>0</v>
      </c>
      <c r="G57" s="760">
        <f t="shared" si="10"/>
        <v>0</v>
      </c>
      <c r="H57" s="761">
        <f t="shared" si="4"/>
        <v>1</v>
      </c>
      <c r="I57" s="759">
        <f t="shared" si="11"/>
        <v>0.2</v>
      </c>
      <c r="J57" s="760">
        <f t="shared" si="11"/>
        <v>0.3</v>
      </c>
      <c r="K57" s="760">
        <f t="shared" si="11"/>
        <v>0.25</v>
      </c>
      <c r="L57" s="760">
        <f t="shared" si="11"/>
        <v>0.05</v>
      </c>
      <c r="M57" s="760">
        <f t="shared" si="11"/>
        <v>0.2</v>
      </c>
      <c r="N57" s="761">
        <f t="shared" si="6"/>
        <v>1</v>
      </c>
      <c r="O57" s="762"/>
      <c r="R57" s="756">
        <f t="shared" si="7"/>
        <v>1</v>
      </c>
      <c r="S57" s="757">
        <f t="shared" si="8"/>
        <v>0.71500000000000008</v>
      </c>
    </row>
    <row r="58" spans="2:19">
      <c r="B58" s="758">
        <f t="shared" si="9"/>
        <v>2040</v>
      </c>
      <c r="C58" s="759">
        <f t="shared" si="10"/>
        <v>0</v>
      </c>
      <c r="D58" s="760">
        <f t="shared" si="10"/>
        <v>0</v>
      </c>
      <c r="E58" s="760">
        <f t="shared" si="10"/>
        <v>1</v>
      </c>
      <c r="F58" s="760">
        <f t="shared" si="10"/>
        <v>0</v>
      </c>
      <c r="G58" s="760">
        <f t="shared" si="10"/>
        <v>0</v>
      </c>
      <c r="H58" s="761">
        <f t="shared" si="4"/>
        <v>1</v>
      </c>
      <c r="I58" s="759">
        <f t="shared" si="11"/>
        <v>0.2</v>
      </c>
      <c r="J58" s="760">
        <f t="shared" si="11"/>
        <v>0.3</v>
      </c>
      <c r="K58" s="760">
        <f t="shared" si="11"/>
        <v>0.25</v>
      </c>
      <c r="L58" s="760">
        <f t="shared" si="11"/>
        <v>0.05</v>
      </c>
      <c r="M58" s="760">
        <f t="shared" si="11"/>
        <v>0.2</v>
      </c>
      <c r="N58" s="761">
        <f t="shared" si="6"/>
        <v>1</v>
      </c>
      <c r="O58" s="762"/>
      <c r="R58" s="756">
        <f t="shared" si="7"/>
        <v>1</v>
      </c>
      <c r="S58" s="757">
        <f t="shared" si="8"/>
        <v>0.71500000000000008</v>
      </c>
    </row>
    <row r="59" spans="2:19">
      <c r="B59" s="758">
        <f t="shared" si="9"/>
        <v>2041</v>
      </c>
      <c r="C59" s="759">
        <f t="shared" si="10"/>
        <v>0</v>
      </c>
      <c r="D59" s="760">
        <f t="shared" si="10"/>
        <v>0</v>
      </c>
      <c r="E59" s="760">
        <f t="shared" si="10"/>
        <v>1</v>
      </c>
      <c r="F59" s="760">
        <f t="shared" si="10"/>
        <v>0</v>
      </c>
      <c r="G59" s="760">
        <f t="shared" si="10"/>
        <v>0</v>
      </c>
      <c r="H59" s="761">
        <f t="shared" si="4"/>
        <v>1</v>
      </c>
      <c r="I59" s="759">
        <f t="shared" si="11"/>
        <v>0.2</v>
      </c>
      <c r="J59" s="760">
        <f t="shared" si="11"/>
        <v>0.3</v>
      </c>
      <c r="K59" s="760">
        <f t="shared" si="11"/>
        <v>0.25</v>
      </c>
      <c r="L59" s="760">
        <f t="shared" si="11"/>
        <v>0.05</v>
      </c>
      <c r="M59" s="760">
        <f t="shared" si="11"/>
        <v>0.2</v>
      </c>
      <c r="N59" s="761">
        <f t="shared" si="6"/>
        <v>1</v>
      </c>
      <c r="O59" s="762"/>
      <c r="R59" s="756">
        <f t="shared" si="7"/>
        <v>1</v>
      </c>
      <c r="S59" s="757">
        <f t="shared" si="8"/>
        <v>0.71500000000000008</v>
      </c>
    </row>
    <row r="60" spans="2:19">
      <c r="B60" s="758">
        <f t="shared" si="9"/>
        <v>2042</v>
      </c>
      <c r="C60" s="759">
        <f t="shared" si="10"/>
        <v>0</v>
      </c>
      <c r="D60" s="760">
        <f t="shared" si="10"/>
        <v>0</v>
      </c>
      <c r="E60" s="760">
        <f t="shared" si="10"/>
        <v>1</v>
      </c>
      <c r="F60" s="760">
        <f t="shared" si="10"/>
        <v>0</v>
      </c>
      <c r="G60" s="760">
        <f t="shared" si="10"/>
        <v>0</v>
      </c>
      <c r="H60" s="761">
        <f t="shared" si="4"/>
        <v>1</v>
      </c>
      <c r="I60" s="759">
        <f t="shared" si="11"/>
        <v>0.2</v>
      </c>
      <c r="J60" s="760">
        <f t="shared" si="11"/>
        <v>0.3</v>
      </c>
      <c r="K60" s="760">
        <f t="shared" si="11"/>
        <v>0.25</v>
      </c>
      <c r="L60" s="760">
        <f t="shared" si="11"/>
        <v>0.05</v>
      </c>
      <c r="M60" s="760">
        <f t="shared" si="11"/>
        <v>0.2</v>
      </c>
      <c r="N60" s="761">
        <f t="shared" si="6"/>
        <v>1</v>
      </c>
      <c r="O60" s="762"/>
      <c r="R60" s="756">
        <f t="shared" si="7"/>
        <v>1</v>
      </c>
      <c r="S60" s="757">
        <f t="shared" si="8"/>
        <v>0.71500000000000008</v>
      </c>
    </row>
    <row r="61" spans="2:19">
      <c r="B61" s="758">
        <f t="shared" si="9"/>
        <v>2043</v>
      </c>
      <c r="C61" s="759">
        <f t="shared" si="10"/>
        <v>0</v>
      </c>
      <c r="D61" s="760">
        <f t="shared" si="10"/>
        <v>0</v>
      </c>
      <c r="E61" s="760">
        <f t="shared" si="10"/>
        <v>1</v>
      </c>
      <c r="F61" s="760">
        <f t="shared" si="10"/>
        <v>0</v>
      </c>
      <c r="G61" s="760">
        <f t="shared" si="10"/>
        <v>0</v>
      </c>
      <c r="H61" s="761">
        <f t="shared" si="4"/>
        <v>1</v>
      </c>
      <c r="I61" s="759">
        <f t="shared" si="11"/>
        <v>0.2</v>
      </c>
      <c r="J61" s="760">
        <f t="shared" si="11"/>
        <v>0.3</v>
      </c>
      <c r="K61" s="760">
        <f t="shared" si="11"/>
        <v>0.25</v>
      </c>
      <c r="L61" s="760">
        <f t="shared" si="11"/>
        <v>0.05</v>
      </c>
      <c r="M61" s="760">
        <f t="shared" si="11"/>
        <v>0.2</v>
      </c>
      <c r="N61" s="761">
        <f t="shared" si="6"/>
        <v>1</v>
      </c>
      <c r="O61" s="762"/>
      <c r="R61" s="756">
        <f t="shared" si="7"/>
        <v>1</v>
      </c>
      <c r="S61" s="757">
        <f t="shared" si="8"/>
        <v>0.71500000000000008</v>
      </c>
    </row>
    <row r="62" spans="2:19">
      <c r="B62" s="758">
        <f t="shared" si="9"/>
        <v>2044</v>
      </c>
      <c r="C62" s="759">
        <f t="shared" si="10"/>
        <v>0</v>
      </c>
      <c r="D62" s="760">
        <f t="shared" si="10"/>
        <v>0</v>
      </c>
      <c r="E62" s="760">
        <f t="shared" si="10"/>
        <v>1</v>
      </c>
      <c r="F62" s="760">
        <f t="shared" si="10"/>
        <v>0</v>
      </c>
      <c r="G62" s="760">
        <f t="shared" si="10"/>
        <v>0</v>
      </c>
      <c r="H62" s="761">
        <f t="shared" si="4"/>
        <v>1</v>
      </c>
      <c r="I62" s="759">
        <f t="shared" si="11"/>
        <v>0.2</v>
      </c>
      <c r="J62" s="760">
        <f t="shared" si="11"/>
        <v>0.3</v>
      </c>
      <c r="K62" s="760">
        <f t="shared" si="11"/>
        <v>0.25</v>
      </c>
      <c r="L62" s="760">
        <f t="shared" si="11"/>
        <v>0.05</v>
      </c>
      <c r="M62" s="760">
        <f t="shared" si="11"/>
        <v>0.2</v>
      </c>
      <c r="N62" s="761">
        <f t="shared" si="6"/>
        <v>1</v>
      </c>
      <c r="O62" s="762"/>
      <c r="R62" s="756">
        <f t="shared" si="7"/>
        <v>1</v>
      </c>
      <c r="S62" s="757">
        <f t="shared" si="8"/>
        <v>0.71500000000000008</v>
      </c>
    </row>
    <row r="63" spans="2:19">
      <c r="B63" s="758">
        <f t="shared" si="9"/>
        <v>2045</v>
      </c>
      <c r="C63" s="759">
        <f t="shared" si="10"/>
        <v>0</v>
      </c>
      <c r="D63" s="760">
        <f t="shared" si="10"/>
        <v>0</v>
      </c>
      <c r="E63" s="760">
        <f t="shared" si="10"/>
        <v>1</v>
      </c>
      <c r="F63" s="760">
        <f t="shared" si="10"/>
        <v>0</v>
      </c>
      <c r="G63" s="760">
        <f t="shared" si="10"/>
        <v>0</v>
      </c>
      <c r="H63" s="761">
        <f t="shared" si="4"/>
        <v>1</v>
      </c>
      <c r="I63" s="759">
        <f t="shared" si="11"/>
        <v>0.2</v>
      </c>
      <c r="J63" s="760">
        <f t="shared" si="11"/>
        <v>0.3</v>
      </c>
      <c r="K63" s="760">
        <f t="shared" si="11"/>
        <v>0.25</v>
      </c>
      <c r="L63" s="760">
        <f t="shared" si="11"/>
        <v>0.05</v>
      </c>
      <c r="M63" s="760">
        <f t="shared" si="11"/>
        <v>0.2</v>
      </c>
      <c r="N63" s="761">
        <f t="shared" si="6"/>
        <v>1</v>
      </c>
      <c r="O63" s="762"/>
      <c r="R63" s="756">
        <f t="shared" si="7"/>
        <v>1</v>
      </c>
      <c r="S63" s="757">
        <f t="shared" si="8"/>
        <v>0.71500000000000008</v>
      </c>
    </row>
    <row r="64" spans="2:19">
      <c r="B64" s="758">
        <f t="shared" si="9"/>
        <v>2046</v>
      </c>
      <c r="C64" s="759">
        <f t="shared" si="10"/>
        <v>0</v>
      </c>
      <c r="D64" s="760">
        <f t="shared" si="10"/>
        <v>0</v>
      </c>
      <c r="E64" s="760">
        <f t="shared" si="10"/>
        <v>1</v>
      </c>
      <c r="F64" s="760">
        <f t="shared" si="10"/>
        <v>0</v>
      </c>
      <c r="G64" s="760">
        <f t="shared" si="10"/>
        <v>0</v>
      </c>
      <c r="H64" s="761">
        <f t="shared" si="4"/>
        <v>1</v>
      </c>
      <c r="I64" s="759">
        <f t="shared" si="11"/>
        <v>0.2</v>
      </c>
      <c r="J64" s="760">
        <f t="shared" si="11"/>
        <v>0.3</v>
      </c>
      <c r="K64" s="760">
        <f t="shared" si="11"/>
        <v>0.25</v>
      </c>
      <c r="L64" s="760">
        <f t="shared" si="11"/>
        <v>0.05</v>
      </c>
      <c r="M64" s="760">
        <f t="shared" si="11"/>
        <v>0.2</v>
      </c>
      <c r="N64" s="761">
        <f t="shared" si="6"/>
        <v>1</v>
      </c>
      <c r="O64" s="762"/>
      <c r="R64" s="756">
        <f t="shared" si="7"/>
        <v>1</v>
      </c>
      <c r="S64" s="757">
        <f t="shared" si="8"/>
        <v>0.71500000000000008</v>
      </c>
    </row>
    <row r="65" spans="2:19">
      <c r="B65" s="758">
        <f t="shared" si="9"/>
        <v>2047</v>
      </c>
      <c r="C65" s="759">
        <f t="shared" si="10"/>
        <v>0</v>
      </c>
      <c r="D65" s="760">
        <f t="shared" si="10"/>
        <v>0</v>
      </c>
      <c r="E65" s="760">
        <f t="shared" si="10"/>
        <v>1</v>
      </c>
      <c r="F65" s="760">
        <f t="shared" si="10"/>
        <v>0</v>
      </c>
      <c r="G65" s="760">
        <f t="shared" si="10"/>
        <v>0</v>
      </c>
      <c r="H65" s="761">
        <f t="shared" si="4"/>
        <v>1</v>
      </c>
      <c r="I65" s="759">
        <f t="shared" si="11"/>
        <v>0.2</v>
      </c>
      <c r="J65" s="760">
        <f t="shared" si="11"/>
        <v>0.3</v>
      </c>
      <c r="K65" s="760">
        <f t="shared" si="11"/>
        <v>0.25</v>
      </c>
      <c r="L65" s="760">
        <f t="shared" si="11"/>
        <v>0.05</v>
      </c>
      <c r="M65" s="760">
        <f t="shared" si="11"/>
        <v>0.2</v>
      </c>
      <c r="N65" s="761">
        <f t="shared" si="6"/>
        <v>1</v>
      </c>
      <c r="O65" s="762"/>
      <c r="R65" s="756">
        <f t="shared" si="7"/>
        <v>1</v>
      </c>
      <c r="S65" s="757">
        <f t="shared" si="8"/>
        <v>0.71500000000000008</v>
      </c>
    </row>
    <row r="66" spans="2:19">
      <c r="B66" s="758">
        <f t="shared" si="9"/>
        <v>2048</v>
      </c>
      <c r="C66" s="759">
        <f t="shared" si="10"/>
        <v>0</v>
      </c>
      <c r="D66" s="760">
        <f t="shared" si="10"/>
        <v>0</v>
      </c>
      <c r="E66" s="760">
        <f t="shared" si="10"/>
        <v>1</v>
      </c>
      <c r="F66" s="760">
        <f t="shared" si="10"/>
        <v>0</v>
      </c>
      <c r="G66" s="760">
        <f t="shared" si="10"/>
        <v>0</v>
      </c>
      <c r="H66" s="761">
        <f t="shared" si="4"/>
        <v>1</v>
      </c>
      <c r="I66" s="759">
        <f t="shared" si="11"/>
        <v>0.2</v>
      </c>
      <c r="J66" s="760">
        <f t="shared" si="11"/>
        <v>0.3</v>
      </c>
      <c r="K66" s="760">
        <f t="shared" si="11"/>
        <v>0.25</v>
      </c>
      <c r="L66" s="760">
        <f t="shared" si="11"/>
        <v>0.05</v>
      </c>
      <c r="M66" s="760">
        <f t="shared" si="11"/>
        <v>0.2</v>
      </c>
      <c r="N66" s="761">
        <f t="shared" si="6"/>
        <v>1</v>
      </c>
      <c r="O66" s="762"/>
      <c r="R66" s="756">
        <f t="shared" si="7"/>
        <v>1</v>
      </c>
      <c r="S66" s="757">
        <f t="shared" si="8"/>
        <v>0.71500000000000008</v>
      </c>
    </row>
    <row r="67" spans="2:19">
      <c r="B67" s="758">
        <f t="shared" si="9"/>
        <v>2049</v>
      </c>
      <c r="C67" s="759">
        <f t="shared" si="10"/>
        <v>0</v>
      </c>
      <c r="D67" s="760">
        <f t="shared" si="10"/>
        <v>0</v>
      </c>
      <c r="E67" s="760">
        <f t="shared" si="10"/>
        <v>1</v>
      </c>
      <c r="F67" s="760">
        <f t="shared" si="10"/>
        <v>0</v>
      </c>
      <c r="G67" s="760">
        <f t="shared" si="10"/>
        <v>0</v>
      </c>
      <c r="H67" s="761">
        <f t="shared" si="4"/>
        <v>1</v>
      </c>
      <c r="I67" s="759">
        <f t="shared" si="11"/>
        <v>0.2</v>
      </c>
      <c r="J67" s="760">
        <f t="shared" si="11"/>
        <v>0.3</v>
      </c>
      <c r="K67" s="760">
        <f t="shared" si="11"/>
        <v>0.25</v>
      </c>
      <c r="L67" s="760">
        <f t="shared" si="11"/>
        <v>0.05</v>
      </c>
      <c r="M67" s="760">
        <f t="shared" si="11"/>
        <v>0.2</v>
      </c>
      <c r="N67" s="761">
        <f t="shared" si="6"/>
        <v>1</v>
      </c>
      <c r="O67" s="762"/>
      <c r="R67" s="756">
        <f t="shared" si="7"/>
        <v>1</v>
      </c>
      <c r="S67" s="757">
        <f t="shared" si="8"/>
        <v>0.71500000000000008</v>
      </c>
    </row>
    <row r="68" spans="2:19">
      <c r="B68" s="758">
        <f t="shared" si="9"/>
        <v>2050</v>
      </c>
      <c r="C68" s="759">
        <f t="shared" si="10"/>
        <v>0</v>
      </c>
      <c r="D68" s="760">
        <f t="shared" si="10"/>
        <v>0</v>
      </c>
      <c r="E68" s="760">
        <f t="shared" si="10"/>
        <v>1</v>
      </c>
      <c r="F68" s="760">
        <f t="shared" si="10"/>
        <v>0</v>
      </c>
      <c r="G68" s="760">
        <f t="shared" si="10"/>
        <v>0</v>
      </c>
      <c r="H68" s="761">
        <f t="shared" si="4"/>
        <v>1</v>
      </c>
      <c r="I68" s="759">
        <f t="shared" si="11"/>
        <v>0.2</v>
      </c>
      <c r="J68" s="760">
        <f t="shared" si="11"/>
        <v>0.3</v>
      </c>
      <c r="K68" s="760">
        <f t="shared" si="11"/>
        <v>0.25</v>
      </c>
      <c r="L68" s="760">
        <f t="shared" si="11"/>
        <v>0.05</v>
      </c>
      <c r="M68" s="760">
        <f t="shared" si="11"/>
        <v>0.2</v>
      </c>
      <c r="N68" s="761">
        <f t="shared" si="6"/>
        <v>1</v>
      </c>
      <c r="O68" s="762"/>
      <c r="R68" s="756">
        <f t="shared" si="7"/>
        <v>1</v>
      </c>
      <c r="S68" s="757">
        <f t="shared" si="8"/>
        <v>0.71500000000000008</v>
      </c>
    </row>
    <row r="69" spans="2:19">
      <c r="B69" s="758">
        <f t="shared" si="9"/>
        <v>2051</v>
      </c>
      <c r="C69" s="759">
        <f t="shared" si="10"/>
        <v>0</v>
      </c>
      <c r="D69" s="760">
        <f t="shared" si="10"/>
        <v>0</v>
      </c>
      <c r="E69" s="760">
        <f t="shared" si="10"/>
        <v>1</v>
      </c>
      <c r="F69" s="760">
        <f t="shared" si="10"/>
        <v>0</v>
      </c>
      <c r="G69" s="760">
        <f t="shared" si="10"/>
        <v>0</v>
      </c>
      <c r="H69" s="761">
        <f t="shared" si="4"/>
        <v>1</v>
      </c>
      <c r="I69" s="759">
        <f t="shared" si="11"/>
        <v>0.2</v>
      </c>
      <c r="J69" s="760">
        <f t="shared" si="11"/>
        <v>0.3</v>
      </c>
      <c r="K69" s="760">
        <f t="shared" si="11"/>
        <v>0.25</v>
      </c>
      <c r="L69" s="760">
        <f t="shared" si="11"/>
        <v>0.05</v>
      </c>
      <c r="M69" s="760">
        <f t="shared" si="11"/>
        <v>0.2</v>
      </c>
      <c r="N69" s="761">
        <f t="shared" si="6"/>
        <v>1</v>
      </c>
      <c r="O69" s="762"/>
      <c r="R69" s="756">
        <f t="shared" si="7"/>
        <v>1</v>
      </c>
      <c r="S69" s="757">
        <f t="shared" si="8"/>
        <v>0.71500000000000008</v>
      </c>
    </row>
    <row r="70" spans="2:19">
      <c r="B70" s="758">
        <f t="shared" si="9"/>
        <v>2052</v>
      </c>
      <c r="C70" s="759">
        <f t="shared" si="10"/>
        <v>0</v>
      </c>
      <c r="D70" s="760">
        <f t="shared" si="10"/>
        <v>0</v>
      </c>
      <c r="E70" s="760">
        <f t="shared" si="10"/>
        <v>1</v>
      </c>
      <c r="F70" s="760">
        <f t="shared" si="10"/>
        <v>0</v>
      </c>
      <c r="G70" s="760">
        <f t="shared" si="10"/>
        <v>0</v>
      </c>
      <c r="H70" s="761">
        <f t="shared" si="4"/>
        <v>1</v>
      </c>
      <c r="I70" s="759">
        <f t="shared" si="11"/>
        <v>0.2</v>
      </c>
      <c r="J70" s="760">
        <f t="shared" si="11"/>
        <v>0.3</v>
      </c>
      <c r="K70" s="760">
        <f t="shared" si="11"/>
        <v>0.25</v>
      </c>
      <c r="L70" s="760">
        <f t="shared" si="11"/>
        <v>0.05</v>
      </c>
      <c r="M70" s="760">
        <f t="shared" si="11"/>
        <v>0.2</v>
      </c>
      <c r="N70" s="761">
        <f t="shared" si="6"/>
        <v>1</v>
      </c>
      <c r="O70" s="762"/>
      <c r="R70" s="756">
        <f t="shared" si="7"/>
        <v>1</v>
      </c>
      <c r="S70" s="757">
        <f t="shared" si="8"/>
        <v>0.71500000000000008</v>
      </c>
    </row>
    <row r="71" spans="2:19">
      <c r="B71" s="758">
        <f t="shared" si="9"/>
        <v>2053</v>
      </c>
      <c r="C71" s="759">
        <f t="shared" si="10"/>
        <v>0</v>
      </c>
      <c r="D71" s="760">
        <f t="shared" si="10"/>
        <v>0</v>
      </c>
      <c r="E71" s="760">
        <f t="shared" si="10"/>
        <v>1</v>
      </c>
      <c r="F71" s="760">
        <f t="shared" si="10"/>
        <v>0</v>
      </c>
      <c r="G71" s="760">
        <f t="shared" si="10"/>
        <v>0</v>
      </c>
      <c r="H71" s="761">
        <f t="shared" si="4"/>
        <v>1</v>
      </c>
      <c r="I71" s="759">
        <f t="shared" si="11"/>
        <v>0.2</v>
      </c>
      <c r="J71" s="760">
        <f t="shared" si="11"/>
        <v>0.3</v>
      </c>
      <c r="K71" s="760">
        <f t="shared" si="11"/>
        <v>0.25</v>
      </c>
      <c r="L71" s="760">
        <f t="shared" si="11"/>
        <v>0.05</v>
      </c>
      <c r="M71" s="760">
        <f t="shared" si="11"/>
        <v>0.2</v>
      </c>
      <c r="N71" s="761">
        <f t="shared" si="6"/>
        <v>1</v>
      </c>
      <c r="O71" s="762"/>
      <c r="R71" s="756">
        <f t="shared" si="7"/>
        <v>1</v>
      </c>
      <c r="S71" s="757">
        <f t="shared" si="8"/>
        <v>0.71500000000000008</v>
      </c>
    </row>
    <row r="72" spans="2:19">
      <c r="B72" s="758">
        <f t="shared" si="9"/>
        <v>2054</v>
      </c>
      <c r="C72" s="759">
        <f t="shared" si="10"/>
        <v>0</v>
      </c>
      <c r="D72" s="760">
        <f t="shared" si="10"/>
        <v>0</v>
      </c>
      <c r="E72" s="760">
        <f t="shared" si="10"/>
        <v>1</v>
      </c>
      <c r="F72" s="760">
        <f t="shared" si="10"/>
        <v>0</v>
      </c>
      <c r="G72" s="760">
        <f t="shared" si="10"/>
        <v>0</v>
      </c>
      <c r="H72" s="761">
        <f t="shared" si="4"/>
        <v>1</v>
      </c>
      <c r="I72" s="759">
        <f t="shared" si="11"/>
        <v>0.2</v>
      </c>
      <c r="J72" s="760">
        <f t="shared" si="11"/>
        <v>0.3</v>
      </c>
      <c r="K72" s="760">
        <f t="shared" si="11"/>
        <v>0.25</v>
      </c>
      <c r="L72" s="760">
        <f t="shared" si="11"/>
        <v>0.05</v>
      </c>
      <c r="M72" s="760">
        <f t="shared" si="11"/>
        <v>0.2</v>
      </c>
      <c r="N72" s="761">
        <f t="shared" si="6"/>
        <v>1</v>
      </c>
      <c r="O72" s="762"/>
      <c r="R72" s="756">
        <f t="shared" si="7"/>
        <v>1</v>
      </c>
      <c r="S72" s="757">
        <f t="shared" si="8"/>
        <v>0.71500000000000008</v>
      </c>
    </row>
    <row r="73" spans="2:19">
      <c r="B73" s="758">
        <f t="shared" si="9"/>
        <v>2055</v>
      </c>
      <c r="C73" s="759">
        <f t="shared" si="10"/>
        <v>0</v>
      </c>
      <c r="D73" s="760">
        <f t="shared" si="10"/>
        <v>0</v>
      </c>
      <c r="E73" s="760">
        <f t="shared" si="10"/>
        <v>1</v>
      </c>
      <c r="F73" s="760">
        <f t="shared" si="10"/>
        <v>0</v>
      </c>
      <c r="G73" s="760">
        <f t="shared" si="10"/>
        <v>0</v>
      </c>
      <c r="H73" s="761">
        <f t="shared" si="4"/>
        <v>1</v>
      </c>
      <c r="I73" s="759">
        <f t="shared" si="11"/>
        <v>0.2</v>
      </c>
      <c r="J73" s="760">
        <f t="shared" si="11"/>
        <v>0.3</v>
      </c>
      <c r="K73" s="760">
        <f t="shared" si="11"/>
        <v>0.25</v>
      </c>
      <c r="L73" s="760">
        <f t="shared" si="11"/>
        <v>0.05</v>
      </c>
      <c r="M73" s="760">
        <f t="shared" si="11"/>
        <v>0.2</v>
      </c>
      <c r="N73" s="761">
        <f t="shared" si="6"/>
        <v>1</v>
      </c>
      <c r="O73" s="762"/>
      <c r="R73" s="756">
        <f t="shared" si="7"/>
        <v>1</v>
      </c>
      <c r="S73" s="757">
        <f t="shared" si="8"/>
        <v>0.71500000000000008</v>
      </c>
    </row>
    <row r="74" spans="2:19">
      <c r="B74" s="758">
        <f t="shared" si="9"/>
        <v>2056</v>
      </c>
      <c r="C74" s="759">
        <f t="shared" si="10"/>
        <v>0</v>
      </c>
      <c r="D74" s="760">
        <f t="shared" si="10"/>
        <v>0</v>
      </c>
      <c r="E74" s="760">
        <f t="shared" si="10"/>
        <v>1</v>
      </c>
      <c r="F74" s="760">
        <f t="shared" si="10"/>
        <v>0</v>
      </c>
      <c r="G74" s="760">
        <f t="shared" si="10"/>
        <v>0</v>
      </c>
      <c r="H74" s="761">
        <f t="shared" si="4"/>
        <v>1</v>
      </c>
      <c r="I74" s="759">
        <f t="shared" si="11"/>
        <v>0.2</v>
      </c>
      <c r="J74" s="760">
        <f t="shared" si="11"/>
        <v>0.3</v>
      </c>
      <c r="K74" s="760">
        <f t="shared" si="11"/>
        <v>0.25</v>
      </c>
      <c r="L74" s="760">
        <f t="shared" si="11"/>
        <v>0.05</v>
      </c>
      <c r="M74" s="760">
        <f t="shared" si="11"/>
        <v>0.2</v>
      </c>
      <c r="N74" s="761">
        <f t="shared" si="6"/>
        <v>1</v>
      </c>
      <c r="O74" s="762"/>
      <c r="R74" s="756">
        <f t="shared" si="7"/>
        <v>1</v>
      </c>
      <c r="S74" s="757">
        <f t="shared" si="8"/>
        <v>0.71500000000000008</v>
      </c>
    </row>
    <row r="75" spans="2:19">
      <c r="B75" s="758">
        <f t="shared" si="9"/>
        <v>2057</v>
      </c>
      <c r="C75" s="759">
        <f t="shared" si="10"/>
        <v>0</v>
      </c>
      <c r="D75" s="760">
        <f t="shared" si="10"/>
        <v>0</v>
      </c>
      <c r="E75" s="760">
        <f t="shared" si="10"/>
        <v>1</v>
      </c>
      <c r="F75" s="760">
        <f t="shared" si="10"/>
        <v>0</v>
      </c>
      <c r="G75" s="760">
        <f t="shared" si="10"/>
        <v>0</v>
      </c>
      <c r="H75" s="761">
        <f t="shared" si="4"/>
        <v>1</v>
      </c>
      <c r="I75" s="759">
        <f t="shared" si="11"/>
        <v>0.2</v>
      </c>
      <c r="J75" s="760">
        <f t="shared" si="11"/>
        <v>0.3</v>
      </c>
      <c r="K75" s="760">
        <f t="shared" si="11"/>
        <v>0.25</v>
      </c>
      <c r="L75" s="760">
        <f t="shared" si="11"/>
        <v>0.05</v>
      </c>
      <c r="M75" s="760">
        <f t="shared" si="11"/>
        <v>0.2</v>
      </c>
      <c r="N75" s="761">
        <f t="shared" si="6"/>
        <v>1</v>
      </c>
      <c r="O75" s="762"/>
      <c r="R75" s="756">
        <f t="shared" si="7"/>
        <v>1</v>
      </c>
      <c r="S75" s="757">
        <f t="shared" si="8"/>
        <v>0.71500000000000008</v>
      </c>
    </row>
    <row r="76" spans="2:19">
      <c r="B76" s="758">
        <f t="shared" si="9"/>
        <v>2058</v>
      </c>
      <c r="C76" s="759">
        <f t="shared" si="10"/>
        <v>0</v>
      </c>
      <c r="D76" s="760">
        <f t="shared" si="10"/>
        <v>0</v>
      </c>
      <c r="E76" s="760">
        <f t="shared" si="10"/>
        <v>1</v>
      </c>
      <c r="F76" s="760">
        <f t="shared" si="10"/>
        <v>0</v>
      </c>
      <c r="G76" s="760">
        <f t="shared" si="10"/>
        <v>0</v>
      </c>
      <c r="H76" s="761">
        <f t="shared" si="4"/>
        <v>1</v>
      </c>
      <c r="I76" s="759">
        <f t="shared" si="11"/>
        <v>0.2</v>
      </c>
      <c r="J76" s="760">
        <f t="shared" si="11"/>
        <v>0.3</v>
      </c>
      <c r="K76" s="760">
        <f t="shared" si="11"/>
        <v>0.25</v>
      </c>
      <c r="L76" s="760">
        <f t="shared" si="11"/>
        <v>0.05</v>
      </c>
      <c r="M76" s="760">
        <f t="shared" si="11"/>
        <v>0.2</v>
      </c>
      <c r="N76" s="761">
        <f t="shared" si="6"/>
        <v>1</v>
      </c>
      <c r="O76" s="762"/>
      <c r="R76" s="756">
        <f t="shared" si="7"/>
        <v>1</v>
      </c>
      <c r="S76" s="757">
        <f t="shared" si="8"/>
        <v>0.71500000000000008</v>
      </c>
    </row>
    <row r="77" spans="2:19">
      <c r="B77" s="758">
        <f t="shared" si="9"/>
        <v>2059</v>
      </c>
      <c r="C77" s="759">
        <f t="shared" si="10"/>
        <v>0</v>
      </c>
      <c r="D77" s="760">
        <f t="shared" si="10"/>
        <v>0</v>
      </c>
      <c r="E77" s="760">
        <f t="shared" si="10"/>
        <v>1</v>
      </c>
      <c r="F77" s="760">
        <f t="shared" si="10"/>
        <v>0</v>
      </c>
      <c r="G77" s="760">
        <f t="shared" si="10"/>
        <v>0</v>
      </c>
      <c r="H77" s="761">
        <f t="shared" si="4"/>
        <v>1</v>
      </c>
      <c r="I77" s="759">
        <f t="shared" si="11"/>
        <v>0.2</v>
      </c>
      <c r="J77" s="760">
        <f t="shared" si="11"/>
        <v>0.3</v>
      </c>
      <c r="K77" s="760">
        <f t="shared" si="11"/>
        <v>0.25</v>
      </c>
      <c r="L77" s="760">
        <f t="shared" si="11"/>
        <v>0.05</v>
      </c>
      <c r="M77" s="760">
        <f t="shared" si="11"/>
        <v>0.2</v>
      </c>
      <c r="N77" s="761">
        <f t="shared" si="6"/>
        <v>1</v>
      </c>
      <c r="O77" s="762"/>
      <c r="R77" s="756">
        <f t="shared" si="7"/>
        <v>1</v>
      </c>
      <c r="S77" s="757">
        <f t="shared" si="8"/>
        <v>0.71500000000000008</v>
      </c>
    </row>
    <row r="78" spans="2:19">
      <c r="B78" s="758">
        <f t="shared" si="9"/>
        <v>2060</v>
      </c>
      <c r="C78" s="759">
        <f t="shared" si="10"/>
        <v>0</v>
      </c>
      <c r="D78" s="760">
        <f t="shared" si="10"/>
        <v>0</v>
      </c>
      <c r="E78" s="760">
        <f t="shared" si="10"/>
        <v>1</v>
      </c>
      <c r="F78" s="760">
        <f t="shared" si="10"/>
        <v>0</v>
      </c>
      <c r="G78" s="760">
        <f t="shared" si="10"/>
        <v>0</v>
      </c>
      <c r="H78" s="761">
        <f t="shared" si="4"/>
        <v>1</v>
      </c>
      <c r="I78" s="759">
        <f t="shared" si="11"/>
        <v>0.2</v>
      </c>
      <c r="J78" s="760">
        <f t="shared" si="11"/>
        <v>0.3</v>
      </c>
      <c r="K78" s="760">
        <f t="shared" si="11"/>
        <v>0.25</v>
      </c>
      <c r="L78" s="760">
        <f t="shared" si="11"/>
        <v>0.05</v>
      </c>
      <c r="M78" s="760">
        <f t="shared" si="11"/>
        <v>0.2</v>
      </c>
      <c r="N78" s="761">
        <f t="shared" si="6"/>
        <v>1</v>
      </c>
      <c r="O78" s="762"/>
      <c r="R78" s="756">
        <f t="shared" si="7"/>
        <v>1</v>
      </c>
      <c r="S78" s="757">
        <f t="shared" si="8"/>
        <v>0.71500000000000008</v>
      </c>
    </row>
    <row r="79" spans="2:19">
      <c r="B79" s="758">
        <f t="shared" si="9"/>
        <v>2061</v>
      </c>
      <c r="C79" s="759">
        <f t="shared" si="10"/>
        <v>0</v>
      </c>
      <c r="D79" s="760">
        <f t="shared" si="10"/>
        <v>0</v>
      </c>
      <c r="E79" s="760">
        <f t="shared" si="10"/>
        <v>1</v>
      </c>
      <c r="F79" s="760">
        <f t="shared" si="10"/>
        <v>0</v>
      </c>
      <c r="G79" s="760">
        <f t="shared" si="10"/>
        <v>0</v>
      </c>
      <c r="H79" s="761">
        <f t="shared" si="4"/>
        <v>1</v>
      </c>
      <c r="I79" s="759">
        <f t="shared" si="11"/>
        <v>0.2</v>
      </c>
      <c r="J79" s="760">
        <f t="shared" si="11"/>
        <v>0.3</v>
      </c>
      <c r="K79" s="760">
        <f t="shared" si="11"/>
        <v>0.25</v>
      </c>
      <c r="L79" s="760">
        <f t="shared" si="11"/>
        <v>0.05</v>
      </c>
      <c r="M79" s="760">
        <f t="shared" si="11"/>
        <v>0.2</v>
      </c>
      <c r="N79" s="761">
        <f t="shared" si="6"/>
        <v>1</v>
      </c>
      <c r="O79" s="762"/>
      <c r="R79" s="756">
        <f t="shared" si="7"/>
        <v>1</v>
      </c>
      <c r="S79" s="757">
        <f t="shared" si="8"/>
        <v>0.71500000000000008</v>
      </c>
    </row>
    <row r="80" spans="2:19">
      <c r="B80" s="758">
        <f t="shared" si="9"/>
        <v>2062</v>
      </c>
      <c r="C80" s="759">
        <f t="shared" si="10"/>
        <v>0</v>
      </c>
      <c r="D80" s="760">
        <f t="shared" si="10"/>
        <v>0</v>
      </c>
      <c r="E80" s="760">
        <f t="shared" si="10"/>
        <v>1</v>
      </c>
      <c r="F80" s="760">
        <f t="shared" si="10"/>
        <v>0</v>
      </c>
      <c r="G80" s="760">
        <f t="shared" si="10"/>
        <v>0</v>
      </c>
      <c r="H80" s="761">
        <f t="shared" si="4"/>
        <v>1</v>
      </c>
      <c r="I80" s="759">
        <f t="shared" si="11"/>
        <v>0.2</v>
      </c>
      <c r="J80" s="760">
        <f t="shared" si="11"/>
        <v>0.3</v>
      </c>
      <c r="K80" s="760">
        <f t="shared" si="11"/>
        <v>0.25</v>
      </c>
      <c r="L80" s="760">
        <f t="shared" si="11"/>
        <v>0.05</v>
      </c>
      <c r="M80" s="760">
        <f t="shared" si="11"/>
        <v>0.2</v>
      </c>
      <c r="N80" s="761">
        <f t="shared" si="6"/>
        <v>1</v>
      </c>
      <c r="O80" s="762"/>
      <c r="R80" s="756">
        <f t="shared" si="7"/>
        <v>1</v>
      </c>
      <c r="S80" s="757">
        <f t="shared" si="8"/>
        <v>0.71500000000000008</v>
      </c>
    </row>
    <row r="81" spans="2:19">
      <c r="B81" s="758">
        <f t="shared" si="9"/>
        <v>2063</v>
      </c>
      <c r="C81" s="759">
        <f t="shared" si="10"/>
        <v>0</v>
      </c>
      <c r="D81" s="760">
        <f t="shared" si="10"/>
        <v>0</v>
      </c>
      <c r="E81" s="760">
        <f t="shared" si="10"/>
        <v>1</v>
      </c>
      <c r="F81" s="760">
        <f t="shared" si="10"/>
        <v>0</v>
      </c>
      <c r="G81" s="760">
        <f t="shared" si="10"/>
        <v>0</v>
      </c>
      <c r="H81" s="761">
        <f t="shared" si="4"/>
        <v>1</v>
      </c>
      <c r="I81" s="759">
        <f t="shared" si="11"/>
        <v>0.2</v>
      </c>
      <c r="J81" s="760">
        <f t="shared" si="11"/>
        <v>0.3</v>
      </c>
      <c r="K81" s="760">
        <f t="shared" si="11"/>
        <v>0.25</v>
      </c>
      <c r="L81" s="760">
        <f t="shared" si="11"/>
        <v>0.05</v>
      </c>
      <c r="M81" s="760">
        <f t="shared" si="11"/>
        <v>0.2</v>
      </c>
      <c r="N81" s="761">
        <f t="shared" si="6"/>
        <v>1</v>
      </c>
      <c r="O81" s="762"/>
      <c r="R81" s="756">
        <f t="shared" si="7"/>
        <v>1</v>
      </c>
      <c r="S81" s="757">
        <f t="shared" si="8"/>
        <v>0.71500000000000008</v>
      </c>
    </row>
    <row r="82" spans="2:19">
      <c r="B82" s="758">
        <f t="shared" si="9"/>
        <v>2064</v>
      </c>
      <c r="C82" s="759">
        <f t="shared" si="10"/>
        <v>0</v>
      </c>
      <c r="D82" s="760">
        <f t="shared" si="10"/>
        <v>0</v>
      </c>
      <c r="E82" s="760">
        <f t="shared" si="10"/>
        <v>1</v>
      </c>
      <c r="F82" s="760">
        <f t="shared" si="10"/>
        <v>0</v>
      </c>
      <c r="G82" s="760">
        <f t="shared" si="10"/>
        <v>0</v>
      </c>
      <c r="H82" s="761">
        <f t="shared" si="4"/>
        <v>1</v>
      </c>
      <c r="I82" s="759">
        <f t="shared" si="11"/>
        <v>0.2</v>
      </c>
      <c r="J82" s="760">
        <f t="shared" si="11"/>
        <v>0.3</v>
      </c>
      <c r="K82" s="760">
        <f t="shared" si="11"/>
        <v>0.25</v>
      </c>
      <c r="L82" s="760">
        <f t="shared" si="11"/>
        <v>0.05</v>
      </c>
      <c r="M82" s="760">
        <f t="shared" si="11"/>
        <v>0.2</v>
      </c>
      <c r="N82" s="761">
        <f t="shared" si="6"/>
        <v>1</v>
      </c>
      <c r="O82" s="762"/>
      <c r="R82" s="756">
        <f t="shared" si="7"/>
        <v>1</v>
      </c>
      <c r="S82" s="757">
        <f t="shared" si="8"/>
        <v>0.71500000000000008</v>
      </c>
    </row>
    <row r="83" spans="2:19">
      <c r="B83" s="758">
        <f t="shared" ref="B83:B98" si="12">B82+1</f>
        <v>2065</v>
      </c>
      <c r="C83" s="759">
        <f t="shared" si="10"/>
        <v>0</v>
      </c>
      <c r="D83" s="760">
        <f t="shared" si="10"/>
        <v>0</v>
      </c>
      <c r="E83" s="760">
        <f t="shared" si="10"/>
        <v>1</v>
      </c>
      <c r="F83" s="760">
        <f t="shared" si="10"/>
        <v>0</v>
      </c>
      <c r="G83" s="760">
        <f t="shared" si="10"/>
        <v>0</v>
      </c>
      <c r="H83" s="761">
        <f t="shared" ref="H83:H98" si="13">SUM(C83:G83)</f>
        <v>1</v>
      </c>
      <c r="I83" s="759">
        <f t="shared" si="11"/>
        <v>0.2</v>
      </c>
      <c r="J83" s="760">
        <f t="shared" si="11"/>
        <v>0.3</v>
      </c>
      <c r="K83" s="760">
        <f t="shared" si="11"/>
        <v>0.25</v>
      </c>
      <c r="L83" s="760">
        <f t="shared" si="11"/>
        <v>0.05</v>
      </c>
      <c r="M83" s="760">
        <f t="shared" si="11"/>
        <v>0.2</v>
      </c>
      <c r="N83" s="761">
        <f t="shared" ref="N83:N98" si="14">SUM(I83:M83)</f>
        <v>1</v>
      </c>
      <c r="O83" s="762"/>
      <c r="R83" s="756">
        <f t="shared" ref="R83:R98" si="15">C83*C$13+D83*D$13+E83*E$13+F83*F$13+G83*G$13</f>
        <v>1</v>
      </c>
      <c r="S83" s="757">
        <f t="shared" ref="S83:S98" si="16">I83*I$13+J83*J$13+K83*K$13+L83*L$13+M83*M$13</f>
        <v>0.71500000000000008</v>
      </c>
    </row>
    <row r="84" spans="2:19">
      <c r="B84" s="758">
        <f t="shared" si="12"/>
        <v>2066</v>
      </c>
      <c r="C84" s="759">
        <f t="shared" si="10"/>
        <v>0</v>
      </c>
      <c r="D84" s="760">
        <f t="shared" si="10"/>
        <v>0</v>
      </c>
      <c r="E84" s="760">
        <f t="shared" si="10"/>
        <v>1</v>
      </c>
      <c r="F84" s="760">
        <f t="shared" si="10"/>
        <v>0</v>
      </c>
      <c r="G84" s="760">
        <f t="shared" si="10"/>
        <v>0</v>
      </c>
      <c r="H84" s="761">
        <f t="shared" si="13"/>
        <v>1</v>
      </c>
      <c r="I84" s="759">
        <f t="shared" si="11"/>
        <v>0.2</v>
      </c>
      <c r="J84" s="760">
        <f t="shared" si="11"/>
        <v>0.3</v>
      </c>
      <c r="K84" s="760">
        <f t="shared" si="11"/>
        <v>0.25</v>
      </c>
      <c r="L84" s="760">
        <f t="shared" si="11"/>
        <v>0.05</v>
      </c>
      <c r="M84" s="760">
        <f t="shared" si="11"/>
        <v>0.2</v>
      </c>
      <c r="N84" s="761">
        <f t="shared" si="14"/>
        <v>1</v>
      </c>
      <c r="O84" s="762"/>
      <c r="R84" s="756">
        <f t="shared" si="15"/>
        <v>1</v>
      </c>
      <c r="S84" s="757">
        <f t="shared" si="16"/>
        <v>0.71500000000000008</v>
      </c>
    </row>
    <row r="85" spans="2:19">
      <c r="B85" s="758">
        <f t="shared" si="12"/>
        <v>2067</v>
      </c>
      <c r="C85" s="759">
        <f t="shared" si="10"/>
        <v>0</v>
      </c>
      <c r="D85" s="760">
        <f t="shared" si="10"/>
        <v>0</v>
      </c>
      <c r="E85" s="760">
        <f t="shared" si="10"/>
        <v>1</v>
      </c>
      <c r="F85" s="760">
        <f t="shared" si="10"/>
        <v>0</v>
      </c>
      <c r="G85" s="760">
        <f t="shared" si="10"/>
        <v>0</v>
      </c>
      <c r="H85" s="761">
        <f t="shared" si="13"/>
        <v>1</v>
      </c>
      <c r="I85" s="759">
        <f t="shared" si="11"/>
        <v>0.2</v>
      </c>
      <c r="J85" s="760">
        <f t="shared" si="11"/>
        <v>0.3</v>
      </c>
      <c r="K85" s="760">
        <f t="shared" si="11"/>
        <v>0.25</v>
      </c>
      <c r="L85" s="760">
        <f t="shared" si="11"/>
        <v>0.05</v>
      </c>
      <c r="M85" s="760">
        <f t="shared" si="11"/>
        <v>0.2</v>
      </c>
      <c r="N85" s="761">
        <f t="shared" si="14"/>
        <v>1</v>
      </c>
      <c r="O85" s="762"/>
      <c r="R85" s="756">
        <f t="shared" si="15"/>
        <v>1</v>
      </c>
      <c r="S85" s="757">
        <f t="shared" si="16"/>
        <v>0.71500000000000008</v>
      </c>
    </row>
    <row r="86" spans="2:19">
      <c r="B86" s="758">
        <f t="shared" si="12"/>
        <v>2068</v>
      </c>
      <c r="C86" s="759">
        <f t="shared" si="10"/>
        <v>0</v>
      </c>
      <c r="D86" s="760">
        <f t="shared" si="10"/>
        <v>0</v>
      </c>
      <c r="E86" s="760">
        <f t="shared" si="10"/>
        <v>1</v>
      </c>
      <c r="F86" s="760">
        <f t="shared" si="10"/>
        <v>0</v>
      </c>
      <c r="G86" s="760">
        <f t="shared" si="10"/>
        <v>0</v>
      </c>
      <c r="H86" s="761">
        <f t="shared" si="13"/>
        <v>1</v>
      </c>
      <c r="I86" s="759">
        <f t="shared" si="11"/>
        <v>0.2</v>
      </c>
      <c r="J86" s="760">
        <f t="shared" si="11"/>
        <v>0.3</v>
      </c>
      <c r="K86" s="760">
        <f t="shared" si="11"/>
        <v>0.25</v>
      </c>
      <c r="L86" s="760">
        <f t="shared" si="11"/>
        <v>0.05</v>
      </c>
      <c r="M86" s="760">
        <f t="shared" si="11"/>
        <v>0.2</v>
      </c>
      <c r="N86" s="761">
        <f t="shared" si="14"/>
        <v>1</v>
      </c>
      <c r="O86" s="762"/>
      <c r="R86" s="756">
        <f t="shared" si="15"/>
        <v>1</v>
      </c>
      <c r="S86" s="757">
        <f t="shared" si="16"/>
        <v>0.71500000000000008</v>
      </c>
    </row>
    <row r="87" spans="2:19">
      <c r="B87" s="758">
        <f t="shared" si="12"/>
        <v>2069</v>
      </c>
      <c r="C87" s="759">
        <f t="shared" si="10"/>
        <v>0</v>
      </c>
      <c r="D87" s="760">
        <f t="shared" si="10"/>
        <v>0</v>
      </c>
      <c r="E87" s="760">
        <f t="shared" si="10"/>
        <v>1</v>
      </c>
      <c r="F87" s="760">
        <f t="shared" si="10"/>
        <v>0</v>
      </c>
      <c r="G87" s="760">
        <f t="shared" si="10"/>
        <v>0</v>
      </c>
      <c r="H87" s="761">
        <f t="shared" si="13"/>
        <v>1</v>
      </c>
      <c r="I87" s="759">
        <f t="shared" si="11"/>
        <v>0.2</v>
      </c>
      <c r="J87" s="760">
        <f t="shared" si="11"/>
        <v>0.3</v>
      </c>
      <c r="K87" s="760">
        <f t="shared" si="11"/>
        <v>0.25</v>
      </c>
      <c r="L87" s="760">
        <f t="shared" si="11"/>
        <v>0.05</v>
      </c>
      <c r="M87" s="760">
        <f t="shared" si="11"/>
        <v>0.2</v>
      </c>
      <c r="N87" s="761">
        <f t="shared" si="14"/>
        <v>1</v>
      </c>
      <c r="O87" s="762"/>
      <c r="R87" s="756">
        <f t="shared" si="15"/>
        <v>1</v>
      </c>
      <c r="S87" s="757">
        <f t="shared" si="16"/>
        <v>0.71500000000000008</v>
      </c>
    </row>
    <row r="88" spans="2:19">
      <c r="B88" s="758">
        <f t="shared" si="12"/>
        <v>2070</v>
      </c>
      <c r="C88" s="759">
        <f t="shared" si="10"/>
        <v>0</v>
      </c>
      <c r="D88" s="760">
        <f t="shared" si="10"/>
        <v>0</v>
      </c>
      <c r="E88" s="760">
        <f t="shared" si="10"/>
        <v>1</v>
      </c>
      <c r="F88" s="760">
        <f t="shared" si="10"/>
        <v>0</v>
      </c>
      <c r="G88" s="760">
        <f t="shared" si="10"/>
        <v>0</v>
      </c>
      <c r="H88" s="761">
        <f t="shared" si="13"/>
        <v>1</v>
      </c>
      <c r="I88" s="759">
        <f t="shared" si="11"/>
        <v>0.2</v>
      </c>
      <c r="J88" s="760">
        <f t="shared" si="11"/>
        <v>0.3</v>
      </c>
      <c r="K88" s="760">
        <f t="shared" si="11"/>
        <v>0.25</v>
      </c>
      <c r="L88" s="760">
        <f t="shared" si="11"/>
        <v>0.05</v>
      </c>
      <c r="M88" s="760">
        <f t="shared" si="11"/>
        <v>0.2</v>
      </c>
      <c r="N88" s="761">
        <f t="shared" si="14"/>
        <v>1</v>
      </c>
      <c r="O88" s="762"/>
      <c r="R88" s="756">
        <f t="shared" si="15"/>
        <v>1</v>
      </c>
      <c r="S88" s="757">
        <f t="shared" si="16"/>
        <v>0.71500000000000008</v>
      </c>
    </row>
    <row r="89" spans="2:19">
      <c r="B89" s="758">
        <f t="shared" si="12"/>
        <v>2071</v>
      </c>
      <c r="C89" s="759">
        <f t="shared" si="10"/>
        <v>0</v>
      </c>
      <c r="D89" s="760">
        <f t="shared" si="10"/>
        <v>0</v>
      </c>
      <c r="E89" s="760">
        <f t="shared" si="10"/>
        <v>1</v>
      </c>
      <c r="F89" s="760">
        <f t="shared" si="10"/>
        <v>0</v>
      </c>
      <c r="G89" s="760">
        <f t="shared" si="10"/>
        <v>0</v>
      </c>
      <c r="H89" s="761">
        <f t="shared" si="13"/>
        <v>1</v>
      </c>
      <c r="I89" s="759">
        <f t="shared" si="11"/>
        <v>0.2</v>
      </c>
      <c r="J89" s="760">
        <f t="shared" si="11"/>
        <v>0.3</v>
      </c>
      <c r="K89" s="760">
        <f t="shared" si="11"/>
        <v>0.25</v>
      </c>
      <c r="L89" s="760">
        <f t="shared" si="11"/>
        <v>0.05</v>
      </c>
      <c r="M89" s="760">
        <f t="shared" si="11"/>
        <v>0.2</v>
      </c>
      <c r="N89" s="761">
        <f t="shared" si="14"/>
        <v>1</v>
      </c>
      <c r="O89" s="762"/>
      <c r="R89" s="756">
        <f t="shared" si="15"/>
        <v>1</v>
      </c>
      <c r="S89" s="757">
        <f t="shared" si="16"/>
        <v>0.71500000000000008</v>
      </c>
    </row>
    <row r="90" spans="2:19">
      <c r="B90" s="758">
        <f t="shared" si="12"/>
        <v>2072</v>
      </c>
      <c r="C90" s="759">
        <f t="shared" si="10"/>
        <v>0</v>
      </c>
      <c r="D90" s="760">
        <f t="shared" si="10"/>
        <v>0</v>
      </c>
      <c r="E90" s="760">
        <f t="shared" si="10"/>
        <v>1</v>
      </c>
      <c r="F90" s="760">
        <f t="shared" si="10"/>
        <v>0</v>
      </c>
      <c r="G90" s="760">
        <f t="shared" si="10"/>
        <v>0</v>
      </c>
      <c r="H90" s="761">
        <f t="shared" si="13"/>
        <v>1</v>
      </c>
      <c r="I90" s="759">
        <f t="shared" si="11"/>
        <v>0.2</v>
      </c>
      <c r="J90" s="760">
        <f t="shared" si="11"/>
        <v>0.3</v>
      </c>
      <c r="K90" s="760">
        <f t="shared" si="11"/>
        <v>0.25</v>
      </c>
      <c r="L90" s="760">
        <f t="shared" si="11"/>
        <v>0.05</v>
      </c>
      <c r="M90" s="760">
        <f t="shared" si="11"/>
        <v>0.2</v>
      </c>
      <c r="N90" s="761">
        <f t="shared" si="14"/>
        <v>1</v>
      </c>
      <c r="O90" s="762"/>
      <c r="R90" s="756">
        <f t="shared" si="15"/>
        <v>1</v>
      </c>
      <c r="S90" s="757">
        <f t="shared" si="16"/>
        <v>0.71500000000000008</v>
      </c>
    </row>
    <row r="91" spans="2:19">
      <c r="B91" s="758">
        <f t="shared" si="12"/>
        <v>2073</v>
      </c>
      <c r="C91" s="759">
        <f t="shared" si="10"/>
        <v>0</v>
      </c>
      <c r="D91" s="760">
        <f t="shared" si="10"/>
        <v>0</v>
      </c>
      <c r="E91" s="760">
        <f t="shared" si="10"/>
        <v>1</v>
      </c>
      <c r="F91" s="760">
        <f t="shared" si="10"/>
        <v>0</v>
      </c>
      <c r="G91" s="760">
        <f t="shared" si="10"/>
        <v>0</v>
      </c>
      <c r="H91" s="761">
        <f t="shared" si="13"/>
        <v>1</v>
      </c>
      <c r="I91" s="759">
        <f t="shared" si="11"/>
        <v>0.2</v>
      </c>
      <c r="J91" s="760">
        <f t="shared" si="11"/>
        <v>0.3</v>
      </c>
      <c r="K91" s="760">
        <f t="shared" si="11"/>
        <v>0.25</v>
      </c>
      <c r="L91" s="760">
        <f t="shared" si="11"/>
        <v>0.05</v>
      </c>
      <c r="M91" s="760">
        <f t="shared" si="11"/>
        <v>0.2</v>
      </c>
      <c r="N91" s="761">
        <f t="shared" si="14"/>
        <v>1</v>
      </c>
      <c r="O91" s="762"/>
      <c r="R91" s="756">
        <f t="shared" si="15"/>
        <v>1</v>
      </c>
      <c r="S91" s="757">
        <f t="shared" si="16"/>
        <v>0.71500000000000008</v>
      </c>
    </row>
    <row r="92" spans="2:19">
      <c r="B92" s="758">
        <f t="shared" si="12"/>
        <v>2074</v>
      </c>
      <c r="C92" s="759">
        <f t="shared" si="10"/>
        <v>0</v>
      </c>
      <c r="D92" s="760">
        <f t="shared" si="10"/>
        <v>0</v>
      </c>
      <c r="E92" s="760">
        <f t="shared" si="10"/>
        <v>1</v>
      </c>
      <c r="F92" s="760">
        <f t="shared" si="10"/>
        <v>0</v>
      </c>
      <c r="G92" s="760">
        <f t="shared" si="10"/>
        <v>0</v>
      </c>
      <c r="H92" s="761">
        <f t="shared" si="13"/>
        <v>1</v>
      </c>
      <c r="I92" s="759">
        <f t="shared" si="11"/>
        <v>0.2</v>
      </c>
      <c r="J92" s="760">
        <f t="shared" si="11"/>
        <v>0.3</v>
      </c>
      <c r="K92" s="760">
        <f t="shared" si="11"/>
        <v>0.25</v>
      </c>
      <c r="L92" s="760">
        <f t="shared" si="11"/>
        <v>0.05</v>
      </c>
      <c r="M92" s="760">
        <f t="shared" si="11"/>
        <v>0.2</v>
      </c>
      <c r="N92" s="761">
        <f t="shared" si="14"/>
        <v>1</v>
      </c>
      <c r="O92" s="762"/>
      <c r="R92" s="756">
        <f t="shared" si="15"/>
        <v>1</v>
      </c>
      <c r="S92" s="757">
        <f t="shared" si="16"/>
        <v>0.71500000000000008</v>
      </c>
    </row>
    <row r="93" spans="2:19">
      <c r="B93" s="758">
        <f t="shared" si="12"/>
        <v>2075</v>
      </c>
      <c r="C93" s="759">
        <f t="shared" si="10"/>
        <v>0</v>
      </c>
      <c r="D93" s="760">
        <f t="shared" si="10"/>
        <v>0</v>
      </c>
      <c r="E93" s="760">
        <f t="shared" si="10"/>
        <v>1</v>
      </c>
      <c r="F93" s="760">
        <f t="shared" si="10"/>
        <v>0</v>
      </c>
      <c r="G93" s="760">
        <f t="shared" si="10"/>
        <v>0</v>
      </c>
      <c r="H93" s="761">
        <f t="shared" si="13"/>
        <v>1</v>
      </c>
      <c r="I93" s="759">
        <f t="shared" si="11"/>
        <v>0.2</v>
      </c>
      <c r="J93" s="760">
        <f t="shared" si="11"/>
        <v>0.3</v>
      </c>
      <c r="K93" s="760">
        <f t="shared" si="11"/>
        <v>0.25</v>
      </c>
      <c r="L93" s="760">
        <f t="shared" si="11"/>
        <v>0.05</v>
      </c>
      <c r="M93" s="760">
        <f t="shared" si="11"/>
        <v>0.2</v>
      </c>
      <c r="N93" s="761">
        <f t="shared" si="14"/>
        <v>1</v>
      </c>
      <c r="O93" s="762"/>
      <c r="R93" s="756">
        <f t="shared" si="15"/>
        <v>1</v>
      </c>
      <c r="S93" s="757">
        <f t="shared" si="16"/>
        <v>0.71500000000000008</v>
      </c>
    </row>
    <row r="94" spans="2:19">
      <c r="B94" s="758">
        <f t="shared" si="12"/>
        <v>2076</v>
      </c>
      <c r="C94" s="759">
        <f t="shared" si="10"/>
        <v>0</v>
      </c>
      <c r="D94" s="760">
        <f t="shared" si="10"/>
        <v>0</v>
      </c>
      <c r="E94" s="760">
        <f t="shared" si="10"/>
        <v>1</v>
      </c>
      <c r="F94" s="760">
        <f t="shared" si="10"/>
        <v>0</v>
      </c>
      <c r="G94" s="760">
        <f t="shared" si="10"/>
        <v>0</v>
      </c>
      <c r="H94" s="761">
        <f t="shared" si="13"/>
        <v>1</v>
      </c>
      <c r="I94" s="759">
        <f t="shared" si="11"/>
        <v>0.2</v>
      </c>
      <c r="J94" s="760">
        <f t="shared" si="11"/>
        <v>0.3</v>
      </c>
      <c r="K94" s="760">
        <f t="shared" si="11"/>
        <v>0.25</v>
      </c>
      <c r="L94" s="760">
        <f t="shared" si="11"/>
        <v>0.05</v>
      </c>
      <c r="M94" s="760">
        <f t="shared" si="11"/>
        <v>0.2</v>
      </c>
      <c r="N94" s="761">
        <f t="shared" si="14"/>
        <v>1</v>
      </c>
      <c r="O94" s="762"/>
      <c r="R94" s="756">
        <f t="shared" si="15"/>
        <v>1</v>
      </c>
      <c r="S94" s="757">
        <f t="shared" si="16"/>
        <v>0.71500000000000008</v>
      </c>
    </row>
    <row r="95" spans="2:19">
      <c r="B95" s="758">
        <f t="shared" si="12"/>
        <v>2077</v>
      </c>
      <c r="C95" s="759">
        <f t="shared" si="10"/>
        <v>0</v>
      </c>
      <c r="D95" s="760">
        <f t="shared" si="10"/>
        <v>0</v>
      </c>
      <c r="E95" s="760">
        <f t="shared" si="10"/>
        <v>1</v>
      </c>
      <c r="F95" s="760">
        <f t="shared" si="10"/>
        <v>0</v>
      </c>
      <c r="G95" s="760">
        <f t="shared" si="10"/>
        <v>0</v>
      </c>
      <c r="H95" s="761">
        <f t="shared" si="13"/>
        <v>1</v>
      </c>
      <c r="I95" s="759">
        <f t="shared" si="11"/>
        <v>0.2</v>
      </c>
      <c r="J95" s="760">
        <f t="shared" si="11"/>
        <v>0.3</v>
      </c>
      <c r="K95" s="760">
        <f t="shared" si="11"/>
        <v>0.25</v>
      </c>
      <c r="L95" s="760">
        <f t="shared" si="11"/>
        <v>0.05</v>
      </c>
      <c r="M95" s="760">
        <f t="shared" si="11"/>
        <v>0.2</v>
      </c>
      <c r="N95" s="761">
        <f t="shared" si="14"/>
        <v>1</v>
      </c>
      <c r="O95" s="762"/>
      <c r="R95" s="756">
        <f t="shared" si="15"/>
        <v>1</v>
      </c>
      <c r="S95" s="757">
        <f t="shared" si="16"/>
        <v>0.71500000000000008</v>
      </c>
    </row>
    <row r="96" spans="2:19">
      <c r="B96" s="758">
        <f t="shared" si="12"/>
        <v>2078</v>
      </c>
      <c r="C96" s="759">
        <f t="shared" si="10"/>
        <v>0</v>
      </c>
      <c r="D96" s="760">
        <f t="shared" si="10"/>
        <v>0</v>
      </c>
      <c r="E96" s="760">
        <f t="shared" si="10"/>
        <v>1</v>
      </c>
      <c r="F96" s="760">
        <f t="shared" si="10"/>
        <v>0</v>
      </c>
      <c r="G96" s="760">
        <f t="shared" si="10"/>
        <v>0</v>
      </c>
      <c r="H96" s="761">
        <f t="shared" si="13"/>
        <v>1</v>
      </c>
      <c r="I96" s="759">
        <f t="shared" si="11"/>
        <v>0.2</v>
      </c>
      <c r="J96" s="760">
        <f t="shared" si="11"/>
        <v>0.3</v>
      </c>
      <c r="K96" s="760">
        <f t="shared" si="11"/>
        <v>0.25</v>
      </c>
      <c r="L96" s="760">
        <f t="shared" si="11"/>
        <v>0.05</v>
      </c>
      <c r="M96" s="760">
        <f t="shared" si="11"/>
        <v>0.2</v>
      </c>
      <c r="N96" s="761">
        <f t="shared" si="14"/>
        <v>1</v>
      </c>
      <c r="O96" s="762"/>
      <c r="R96" s="756">
        <f t="shared" si="15"/>
        <v>1</v>
      </c>
      <c r="S96" s="757">
        <f t="shared" si="16"/>
        <v>0.71500000000000008</v>
      </c>
    </row>
    <row r="97" spans="2:19">
      <c r="B97" s="758">
        <f t="shared" si="12"/>
        <v>2079</v>
      </c>
      <c r="C97" s="759">
        <f t="shared" si="10"/>
        <v>0</v>
      </c>
      <c r="D97" s="760">
        <f t="shared" si="10"/>
        <v>0</v>
      </c>
      <c r="E97" s="760">
        <f t="shared" si="10"/>
        <v>1</v>
      </c>
      <c r="F97" s="760">
        <f t="shared" si="10"/>
        <v>0</v>
      </c>
      <c r="G97" s="760">
        <f t="shared" si="10"/>
        <v>0</v>
      </c>
      <c r="H97" s="761">
        <f t="shared" si="13"/>
        <v>1</v>
      </c>
      <c r="I97" s="759">
        <f t="shared" si="11"/>
        <v>0.2</v>
      </c>
      <c r="J97" s="760">
        <f t="shared" si="11"/>
        <v>0.3</v>
      </c>
      <c r="K97" s="760">
        <f t="shared" si="11"/>
        <v>0.25</v>
      </c>
      <c r="L97" s="760">
        <f t="shared" si="11"/>
        <v>0.05</v>
      </c>
      <c r="M97" s="760">
        <f t="shared" si="11"/>
        <v>0.2</v>
      </c>
      <c r="N97" s="761">
        <f t="shared" si="14"/>
        <v>1</v>
      </c>
      <c r="O97" s="762"/>
      <c r="R97" s="756">
        <f t="shared" si="15"/>
        <v>1</v>
      </c>
      <c r="S97" s="757">
        <f t="shared" si="16"/>
        <v>0.71500000000000008</v>
      </c>
    </row>
    <row r="98" spans="2:19" ht="13.5" thickBot="1">
      <c r="B98" s="763">
        <f t="shared" si="12"/>
        <v>2080</v>
      </c>
      <c r="C98" s="764">
        <f t="shared" si="10"/>
        <v>0</v>
      </c>
      <c r="D98" s="765">
        <f t="shared" si="10"/>
        <v>0</v>
      </c>
      <c r="E98" s="765">
        <f t="shared" si="10"/>
        <v>1</v>
      </c>
      <c r="F98" s="765">
        <f t="shared" si="10"/>
        <v>0</v>
      </c>
      <c r="G98" s="765">
        <f t="shared" si="10"/>
        <v>0</v>
      </c>
      <c r="H98" s="766">
        <f t="shared" si="13"/>
        <v>1</v>
      </c>
      <c r="I98" s="764">
        <f t="shared" si="11"/>
        <v>0.2</v>
      </c>
      <c r="J98" s="765">
        <f t="shared" si="11"/>
        <v>0.3</v>
      </c>
      <c r="K98" s="765">
        <f t="shared" si="11"/>
        <v>0.25</v>
      </c>
      <c r="L98" s="765">
        <f t="shared" si="11"/>
        <v>0.05</v>
      </c>
      <c r="M98" s="765">
        <f t="shared" si="11"/>
        <v>0.2</v>
      </c>
      <c r="N98" s="766">
        <f t="shared" si="14"/>
        <v>1</v>
      </c>
      <c r="O98" s="767"/>
      <c r="R98" s="768">
        <f t="shared" si="15"/>
        <v>1</v>
      </c>
      <c r="S98" s="768">
        <f t="shared" si="16"/>
        <v>0.71500000000000008</v>
      </c>
    </row>
    <row r="99" spans="2:19">
      <c r="H99" s="769"/>
    </row>
    <row r="100" spans="2:19">
      <c r="H100" s="769"/>
    </row>
  </sheetData>
  <customSheetViews>
    <customSheetView guid="{B400968E-E9A7-41C3-9739-36597C9C6BC6}" showGridLines="0" showRuler="0">
      <pane xSplit="2" ySplit="14" topLeftCell="C15" activePane="bottomRight" state="frozenSplit"/>
      <selection pane="bottomRight" activeCell="H4" sqref="H4"/>
      <pageMargins left="0.7" right="0.7" top="0.75" bottom="0.75" header="0.3" footer="0.3"/>
      <headerFooter alignWithMargins="0"/>
    </customSheetView>
  </customSheetViews>
  <mergeCells count="9">
    <mergeCell ref="C15:H15"/>
    <mergeCell ref="Q2:T2"/>
    <mergeCell ref="C9:H9"/>
    <mergeCell ref="R10:R16"/>
    <mergeCell ref="H16:H17"/>
    <mergeCell ref="I9:N9"/>
    <mergeCell ref="I15:N15"/>
    <mergeCell ref="N16:N17"/>
    <mergeCell ref="S10:S16"/>
  </mergeCells>
  <phoneticPr fontId="16" type="noConversion"/>
  <dataValidations count="3">
    <dataValidation type="decimal" allowBlank="1" showInputMessage="1" showErrorMessage="1" errorTitle="Error in MCF" error="Please enter a number between 0 and 1. Guidance can be found in the 2006 IPCC Guidelines." promptTitle="MCF" prompt="Enter a fraction between 0 and 1" sqref="C13:G13 I13:M13">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8:G98 I18:M98">
      <formula1>0</formula1>
      <formula2>1</formula2>
    </dataValidation>
    <dataValidation type="list" allowBlank="1" showInputMessage="1" showErrorMessage="1" sqref="H18">
      <formula1>"""1"""</formula1>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indexed="34"/>
  </sheetPr>
  <dimension ref="B2:AD93"/>
  <sheetViews>
    <sheetView showGridLines="0" workbookViewId="0">
      <pane xSplit="1" ySplit="12" topLeftCell="B40" activePane="bottomRight" state="frozen"/>
      <selection activeCell="E19" sqref="E19"/>
      <selection pane="topRight" activeCell="E19" sqref="E19"/>
      <selection pane="bottomLeft" activeCell="E19" sqref="E19"/>
      <selection pane="bottomRight" activeCell="C43" sqref="C43"/>
    </sheetView>
  </sheetViews>
  <sheetFormatPr defaultColWidth="11.42578125" defaultRowHeight="12.75"/>
  <cols>
    <col min="1" max="1" width="2.28515625" style="586" customWidth="1"/>
    <col min="2" max="2" width="6.28515625" style="586" customWidth="1"/>
    <col min="3" max="3" width="9.28515625" style="586" customWidth="1"/>
    <col min="4" max="4" width="7.42578125" style="586" customWidth="1"/>
    <col min="5" max="14" width="8" style="586" customWidth="1"/>
    <col min="15" max="16" width="8.42578125" style="586" customWidth="1"/>
    <col min="17" max="17" width="3.85546875" style="586" customWidth="1"/>
    <col min="18" max="18" width="3.42578125" style="586" customWidth="1"/>
    <col min="19" max="21" width="11.42578125" style="586" hidden="1" customWidth="1"/>
    <col min="22" max="22" width="10.28515625" style="586" hidden="1" customWidth="1"/>
    <col min="23" max="23" width="9.7109375" style="586" hidden="1" customWidth="1"/>
    <col min="24" max="24" width="9.42578125" style="586" hidden="1" customWidth="1"/>
    <col min="25" max="27" width="11.42578125" style="586" hidden="1" customWidth="1"/>
    <col min="28" max="28" width="3.42578125" style="586" customWidth="1"/>
    <col min="29" max="29" width="15" style="586" customWidth="1"/>
    <col min="30" max="30" width="10.85546875" style="586" customWidth="1"/>
    <col min="31" max="16384" width="11.42578125" style="586"/>
  </cols>
  <sheetData>
    <row r="2" spans="2:30">
      <c r="C2" s="587" t="s">
        <v>34</v>
      </c>
      <c r="S2" s="587" t="s">
        <v>300</v>
      </c>
      <c r="AC2" s="586" t="s">
        <v>6</v>
      </c>
      <c r="AD2" s="775">
        <v>0.435</v>
      </c>
    </row>
    <row r="3" spans="2:30">
      <c r="B3" s="588"/>
      <c r="C3" s="588"/>
      <c r="S3" s="588"/>
      <c r="AC3" s="586" t="s">
        <v>256</v>
      </c>
      <c r="AD3" s="775">
        <v>0.129</v>
      </c>
    </row>
    <row r="4" spans="2:30">
      <c r="B4" s="588"/>
      <c r="C4" s="588" t="s">
        <v>38</v>
      </c>
      <c r="S4" s="588" t="s">
        <v>301</v>
      </c>
      <c r="AC4" s="586" t="s">
        <v>2</v>
      </c>
      <c r="AD4" s="775">
        <v>9.9000000000000005E-2</v>
      </c>
    </row>
    <row r="5" spans="2:30">
      <c r="B5" s="588"/>
      <c r="C5" s="588"/>
      <c r="S5" s="588" t="s">
        <v>38</v>
      </c>
      <c r="AC5" s="586" t="s">
        <v>16</v>
      </c>
      <c r="AD5" s="775">
        <v>2.7E-2</v>
      </c>
    </row>
    <row r="6" spans="2:30">
      <c r="B6" s="588"/>
      <c r="S6" s="588"/>
      <c r="AC6" s="586" t="s">
        <v>331</v>
      </c>
      <c r="AD6" s="775">
        <v>8.9999999999999993E-3</v>
      </c>
    </row>
    <row r="7" spans="2:30" ht="13.5" thickBot="1">
      <c r="B7" s="588"/>
      <c r="C7" s="589"/>
      <c r="S7" s="588"/>
      <c r="AC7" s="586" t="s">
        <v>332</v>
      </c>
      <c r="AD7" s="775">
        <v>7.1999999999999995E-2</v>
      </c>
    </row>
    <row r="8" spans="2:30" ht="13.5" thickBot="1">
      <c r="B8" s="588"/>
      <c r="D8" s="590">
        <v>6.2100000000000002E-2</v>
      </c>
      <c r="E8" s="591">
        <f>AD2</f>
        <v>0.435</v>
      </c>
      <c r="F8" s="592">
        <f>AD3</f>
        <v>0.129</v>
      </c>
      <c r="G8" s="592">
        <v>0</v>
      </c>
      <c r="H8" s="592">
        <v>0</v>
      </c>
      <c r="I8" s="592">
        <f>AD4</f>
        <v>9.9000000000000005E-2</v>
      </c>
      <c r="J8" s="592">
        <f>AD5</f>
        <v>2.7E-2</v>
      </c>
      <c r="K8" s="592">
        <f>AD6</f>
        <v>8.9999999999999993E-3</v>
      </c>
      <c r="L8" s="592">
        <f>AD7</f>
        <v>7.1999999999999995E-2</v>
      </c>
      <c r="M8" s="592">
        <f>AD8</f>
        <v>3.3000000000000002E-2</v>
      </c>
      <c r="N8" s="592">
        <f>AD9</f>
        <v>0.04</v>
      </c>
      <c r="O8" s="592">
        <f>AD10</f>
        <v>0.156</v>
      </c>
      <c r="P8" s="593">
        <f>SUM(E8:O8)</f>
        <v>1</v>
      </c>
      <c r="S8" s="588"/>
      <c r="T8" s="588"/>
      <c r="AC8" s="586" t="s">
        <v>231</v>
      </c>
      <c r="AD8" s="775">
        <v>3.3000000000000002E-2</v>
      </c>
    </row>
    <row r="9" spans="2:30" ht="13.5" thickBot="1">
      <c r="B9" s="594"/>
      <c r="C9" s="595"/>
      <c r="D9" s="596"/>
      <c r="E9" s="824" t="s">
        <v>41</v>
      </c>
      <c r="F9" s="825"/>
      <c r="G9" s="825"/>
      <c r="H9" s="825"/>
      <c r="I9" s="825"/>
      <c r="J9" s="825"/>
      <c r="K9" s="825"/>
      <c r="L9" s="825"/>
      <c r="M9" s="825"/>
      <c r="N9" s="825"/>
      <c r="O9" s="825"/>
      <c r="P9" s="597"/>
      <c r="AC9" s="586" t="s">
        <v>232</v>
      </c>
      <c r="AD9" s="775">
        <v>0.04</v>
      </c>
    </row>
    <row r="10" spans="2:30" ht="21.75" customHeight="1" thickBot="1">
      <c r="B10" s="822" t="s">
        <v>1</v>
      </c>
      <c r="C10" s="822" t="s">
        <v>33</v>
      </c>
      <c r="D10" s="822" t="s">
        <v>40</v>
      </c>
      <c r="E10" s="822" t="s">
        <v>228</v>
      </c>
      <c r="F10" s="822" t="s">
        <v>271</v>
      </c>
      <c r="G10" s="814" t="s">
        <v>267</v>
      </c>
      <c r="H10" s="822" t="s">
        <v>270</v>
      </c>
      <c r="I10" s="814" t="s">
        <v>2</v>
      </c>
      <c r="J10" s="822" t="s">
        <v>16</v>
      </c>
      <c r="K10" s="814" t="s">
        <v>229</v>
      </c>
      <c r="L10" s="811" t="s">
        <v>273</v>
      </c>
      <c r="M10" s="812"/>
      <c r="N10" s="812"/>
      <c r="O10" s="813"/>
      <c r="P10" s="822" t="s">
        <v>27</v>
      </c>
      <c r="AC10" s="586" t="s">
        <v>233</v>
      </c>
      <c r="AD10" s="775">
        <v>0.156</v>
      </c>
    </row>
    <row r="11" spans="2:30" s="599" customFormat="1" ht="42" customHeight="1" thickBot="1">
      <c r="B11" s="823"/>
      <c r="C11" s="823"/>
      <c r="D11" s="823"/>
      <c r="E11" s="823"/>
      <c r="F11" s="823"/>
      <c r="G11" s="816"/>
      <c r="H11" s="823"/>
      <c r="I11" s="816"/>
      <c r="J11" s="823"/>
      <c r="K11" s="816"/>
      <c r="L11" s="598" t="s">
        <v>230</v>
      </c>
      <c r="M11" s="598" t="s">
        <v>231</v>
      </c>
      <c r="N11" s="598" t="s">
        <v>232</v>
      </c>
      <c r="O11" s="598" t="s">
        <v>233</v>
      </c>
      <c r="P11" s="823"/>
      <c r="S11" s="365" t="s">
        <v>1</v>
      </c>
      <c r="T11" s="369" t="s">
        <v>302</v>
      </c>
      <c r="U11" s="365" t="s">
        <v>303</v>
      </c>
      <c r="V11" s="369" t="s">
        <v>304</v>
      </c>
      <c r="W11" s="365" t="s">
        <v>40</v>
      </c>
      <c r="X11" s="369" t="s">
        <v>305</v>
      </c>
    </row>
    <row r="12" spans="2:30" s="606" customFormat="1" ht="26.25" thickBot="1">
      <c r="B12" s="600"/>
      <c r="C12" s="601" t="s">
        <v>15</v>
      </c>
      <c r="D12" s="601" t="s">
        <v>24</v>
      </c>
      <c r="E12" s="602" t="s">
        <v>24</v>
      </c>
      <c r="F12" s="603" t="s">
        <v>24</v>
      </c>
      <c r="G12" s="603" t="s">
        <v>24</v>
      </c>
      <c r="H12" s="603" t="s">
        <v>24</v>
      </c>
      <c r="I12" s="603" t="s">
        <v>24</v>
      </c>
      <c r="J12" s="603" t="s">
        <v>24</v>
      </c>
      <c r="K12" s="603" t="s">
        <v>24</v>
      </c>
      <c r="L12" s="603" t="s">
        <v>24</v>
      </c>
      <c r="M12" s="603" t="s">
        <v>24</v>
      </c>
      <c r="N12" s="603" t="s">
        <v>24</v>
      </c>
      <c r="O12" s="604" t="s">
        <v>24</v>
      </c>
      <c r="P12" s="605" t="s">
        <v>39</v>
      </c>
      <c r="S12" s="607"/>
      <c r="T12" s="608" t="s">
        <v>306</v>
      </c>
      <c r="U12" s="607" t="s">
        <v>307</v>
      </c>
      <c r="V12" s="608" t="s">
        <v>15</v>
      </c>
      <c r="W12" s="609" t="s">
        <v>24</v>
      </c>
      <c r="X12" s="608" t="s">
        <v>15</v>
      </c>
    </row>
    <row r="13" spans="2:30">
      <c r="B13" s="610">
        <f>year</f>
        <v>2000</v>
      </c>
      <c r="C13" s="611">
        <f>'[2]Fraksi pengelolaan sampah BaU'!B30</f>
        <v>8.1682642359999988</v>
      </c>
      <c r="D13" s="612">
        <v>1</v>
      </c>
      <c r="E13" s="613">
        <f t="shared" ref="E13:O28" si="0">E$8</f>
        <v>0.435</v>
      </c>
      <c r="F13" s="613">
        <f t="shared" si="0"/>
        <v>0.129</v>
      </c>
      <c r="G13" s="613">
        <f t="shared" si="0"/>
        <v>0</v>
      </c>
      <c r="H13" s="613">
        <f t="shared" si="0"/>
        <v>0</v>
      </c>
      <c r="I13" s="613">
        <f t="shared" si="0"/>
        <v>9.9000000000000005E-2</v>
      </c>
      <c r="J13" s="613">
        <f t="shared" si="0"/>
        <v>2.7E-2</v>
      </c>
      <c r="K13" s="613">
        <f t="shared" si="0"/>
        <v>8.9999999999999993E-3</v>
      </c>
      <c r="L13" s="613">
        <f t="shared" si="0"/>
        <v>7.1999999999999995E-2</v>
      </c>
      <c r="M13" s="613">
        <f t="shared" si="0"/>
        <v>3.3000000000000002E-2</v>
      </c>
      <c r="N13" s="613">
        <f t="shared" si="0"/>
        <v>0.04</v>
      </c>
      <c r="O13" s="613">
        <f t="shared" si="0"/>
        <v>0.156</v>
      </c>
      <c r="P13" s="614">
        <f t="shared" ref="P13:P44" si="1">SUM(E13:O13)</f>
        <v>1</v>
      </c>
      <c r="S13" s="610">
        <f>year</f>
        <v>2000</v>
      </c>
      <c r="T13" s="615">
        <v>0</v>
      </c>
      <c r="U13" s="615">
        <v>5</v>
      </c>
      <c r="V13" s="616">
        <f>T13*U13</f>
        <v>0</v>
      </c>
      <c r="W13" s="617">
        <v>1</v>
      </c>
      <c r="X13" s="618">
        <f t="shared" ref="X13:X44" si="2">V13*W13</f>
        <v>0</v>
      </c>
    </row>
    <row r="14" spans="2:30">
      <c r="B14" s="619">
        <f t="shared" ref="B14:B45" si="3">B13+1</f>
        <v>2001</v>
      </c>
      <c r="C14" s="611">
        <f>'[2]Fraksi pengelolaan sampah BaU'!B31</f>
        <v>8.621399907999999</v>
      </c>
      <c r="D14" s="612">
        <v>1</v>
      </c>
      <c r="E14" s="613">
        <f t="shared" si="0"/>
        <v>0.435</v>
      </c>
      <c r="F14" s="613">
        <f t="shared" si="0"/>
        <v>0.129</v>
      </c>
      <c r="G14" s="613">
        <f t="shared" si="0"/>
        <v>0</v>
      </c>
      <c r="H14" s="613">
        <f t="shared" si="0"/>
        <v>0</v>
      </c>
      <c r="I14" s="613">
        <f t="shared" si="0"/>
        <v>9.9000000000000005E-2</v>
      </c>
      <c r="J14" s="613">
        <f t="shared" si="0"/>
        <v>2.7E-2</v>
      </c>
      <c r="K14" s="613">
        <f t="shared" si="0"/>
        <v>8.9999999999999993E-3</v>
      </c>
      <c r="L14" s="613">
        <f t="shared" si="0"/>
        <v>7.1999999999999995E-2</v>
      </c>
      <c r="M14" s="613">
        <f t="shared" si="0"/>
        <v>3.3000000000000002E-2</v>
      </c>
      <c r="N14" s="613">
        <f t="shared" si="0"/>
        <v>0.04</v>
      </c>
      <c r="O14" s="613">
        <f t="shared" si="0"/>
        <v>0.156</v>
      </c>
      <c r="P14" s="620">
        <f t="shared" si="1"/>
        <v>1</v>
      </c>
      <c r="S14" s="619">
        <f t="shared" ref="S14:S77" si="4">S13+1</f>
        <v>2001</v>
      </c>
      <c r="T14" s="621">
        <v>0</v>
      </c>
      <c r="U14" s="621">
        <v>5</v>
      </c>
      <c r="V14" s="622">
        <f>T14*U14</f>
        <v>0</v>
      </c>
      <c r="W14" s="623">
        <v>1</v>
      </c>
      <c r="X14" s="624">
        <f t="shared" si="2"/>
        <v>0</v>
      </c>
    </row>
    <row r="15" spans="2:30">
      <c r="B15" s="619">
        <f t="shared" si="3"/>
        <v>2002</v>
      </c>
      <c r="C15" s="611">
        <f>'[2]Fraksi pengelolaan sampah BaU'!B32</f>
        <v>9.1091674959999995</v>
      </c>
      <c r="D15" s="612">
        <v>1</v>
      </c>
      <c r="E15" s="613">
        <f t="shared" si="0"/>
        <v>0.435</v>
      </c>
      <c r="F15" s="613">
        <f t="shared" si="0"/>
        <v>0.129</v>
      </c>
      <c r="G15" s="613">
        <f t="shared" si="0"/>
        <v>0</v>
      </c>
      <c r="H15" s="613">
        <f t="shared" si="0"/>
        <v>0</v>
      </c>
      <c r="I15" s="613">
        <f t="shared" si="0"/>
        <v>9.9000000000000005E-2</v>
      </c>
      <c r="J15" s="613">
        <f t="shared" si="0"/>
        <v>2.7E-2</v>
      </c>
      <c r="K15" s="613">
        <f t="shared" si="0"/>
        <v>8.9999999999999993E-3</v>
      </c>
      <c r="L15" s="613">
        <f t="shared" si="0"/>
        <v>7.1999999999999995E-2</v>
      </c>
      <c r="M15" s="613">
        <f t="shared" si="0"/>
        <v>3.3000000000000002E-2</v>
      </c>
      <c r="N15" s="613">
        <f t="shared" si="0"/>
        <v>0.04</v>
      </c>
      <c r="O15" s="613">
        <f t="shared" si="0"/>
        <v>0.156</v>
      </c>
      <c r="P15" s="620">
        <f t="shared" si="1"/>
        <v>1</v>
      </c>
      <c r="S15" s="619">
        <f t="shared" si="4"/>
        <v>2002</v>
      </c>
      <c r="T15" s="621">
        <v>0</v>
      </c>
      <c r="U15" s="621">
        <v>5</v>
      </c>
      <c r="V15" s="622">
        <f t="shared" ref="V15:V78" si="5">T15*U15</f>
        <v>0</v>
      </c>
      <c r="W15" s="623">
        <v>1</v>
      </c>
      <c r="X15" s="624">
        <f t="shared" si="2"/>
        <v>0</v>
      </c>
    </row>
    <row r="16" spans="2:30">
      <c r="B16" s="619">
        <f t="shared" si="3"/>
        <v>2003</v>
      </c>
      <c r="C16" s="611">
        <f>'[2]Fraksi pengelolaan sampah BaU'!B33</f>
        <v>9.2759292120000012</v>
      </c>
      <c r="D16" s="612">
        <v>1</v>
      </c>
      <c r="E16" s="613">
        <f t="shared" si="0"/>
        <v>0.435</v>
      </c>
      <c r="F16" s="613">
        <f t="shared" si="0"/>
        <v>0.129</v>
      </c>
      <c r="G16" s="613">
        <f t="shared" si="0"/>
        <v>0</v>
      </c>
      <c r="H16" s="613">
        <f t="shared" si="0"/>
        <v>0</v>
      </c>
      <c r="I16" s="613">
        <f t="shared" si="0"/>
        <v>9.9000000000000005E-2</v>
      </c>
      <c r="J16" s="613">
        <f t="shared" si="0"/>
        <v>2.7E-2</v>
      </c>
      <c r="K16" s="613">
        <f t="shared" si="0"/>
        <v>8.9999999999999993E-3</v>
      </c>
      <c r="L16" s="613">
        <f t="shared" si="0"/>
        <v>7.1999999999999995E-2</v>
      </c>
      <c r="M16" s="613">
        <f t="shared" si="0"/>
        <v>3.3000000000000002E-2</v>
      </c>
      <c r="N16" s="613">
        <f t="shared" si="0"/>
        <v>0.04</v>
      </c>
      <c r="O16" s="613">
        <f t="shared" si="0"/>
        <v>0.156</v>
      </c>
      <c r="P16" s="620">
        <f t="shared" si="1"/>
        <v>1</v>
      </c>
      <c r="S16" s="619">
        <f t="shared" si="4"/>
        <v>2003</v>
      </c>
      <c r="T16" s="621">
        <v>0</v>
      </c>
      <c r="U16" s="621">
        <v>5</v>
      </c>
      <c r="V16" s="622">
        <f t="shared" si="5"/>
        <v>0</v>
      </c>
      <c r="W16" s="623">
        <v>1</v>
      </c>
      <c r="X16" s="624">
        <f t="shared" si="2"/>
        <v>0</v>
      </c>
    </row>
    <row r="17" spans="2:24">
      <c r="B17" s="619">
        <f t="shared" si="3"/>
        <v>2004</v>
      </c>
      <c r="C17" s="611">
        <f>'[2]Fraksi pengelolaan sampah BaU'!B34</f>
        <v>9.7867152019999999</v>
      </c>
      <c r="D17" s="612">
        <v>1</v>
      </c>
      <c r="E17" s="613">
        <f t="shared" si="0"/>
        <v>0.435</v>
      </c>
      <c r="F17" s="613">
        <f t="shared" si="0"/>
        <v>0.129</v>
      </c>
      <c r="G17" s="613">
        <f t="shared" si="0"/>
        <v>0</v>
      </c>
      <c r="H17" s="613">
        <f t="shared" si="0"/>
        <v>0</v>
      </c>
      <c r="I17" s="613">
        <f t="shared" si="0"/>
        <v>9.9000000000000005E-2</v>
      </c>
      <c r="J17" s="613">
        <f t="shared" si="0"/>
        <v>2.7E-2</v>
      </c>
      <c r="K17" s="613">
        <f t="shared" si="0"/>
        <v>8.9999999999999993E-3</v>
      </c>
      <c r="L17" s="613">
        <f t="shared" si="0"/>
        <v>7.1999999999999995E-2</v>
      </c>
      <c r="M17" s="613">
        <f t="shared" si="0"/>
        <v>3.3000000000000002E-2</v>
      </c>
      <c r="N17" s="613">
        <f t="shared" si="0"/>
        <v>0.04</v>
      </c>
      <c r="O17" s="613">
        <f t="shared" si="0"/>
        <v>0.156</v>
      </c>
      <c r="P17" s="620">
        <f t="shared" si="1"/>
        <v>1</v>
      </c>
      <c r="S17" s="619">
        <f t="shared" si="4"/>
        <v>2004</v>
      </c>
      <c r="T17" s="621">
        <v>0</v>
      </c>
      <c r="U17" s="621">
        <v>5</v>
      </c>
      <c r="V17" s="622">
        <f t="shared" si="5"/>
        <v>0</v>
      </c>
      <c r="W17" s="623">
        <v>1</v>
      </c>
      <c r="X17" s="624">
        <f t="shared" si="2"/>
        <v>0</v>
      </c>
    </row>
    <row r="18" spans="2:24">
      <c r="B18" s="619">
        <f t="shared" si="3"/>
        <v>2005</v>
      </c>
      <c r="C18" s="611">
        <f>'[2]Fraksi pengelolaan sampah BaU'!B35</f>
        <v>10.490549784000001</v>
      </c>
      <c r="D18" s="612">
        <v>1</v>
      </c>
      <c r="E18" s="613">
        <f t="shared" si="0"/>
        <v>0.435</v>
      </c>
      <c r="F18" s="613">
        <f t="shared" si="0"/>
        <v>0.129</v>
      </c>
      <c r="G18" s="613">
        <f t="shared" si="0"/>
        <v>0</v>
      </c>
      <c r="H18" s="613">
        <f t="shared" si="0"/>
        <v>0</v>
      </c>
      <c r="I18" s="613">
        <f t="shared" si="0"/>
        <v>9.9000000000000005E-2</v>
      </c>
      <c r="J18" s="613">
        <f t="shared" si="0"/>
        <v>2.7E-2</v>
      </c>
      <c r="K18" s="613">
        <f t="shared" si="0"/>
        <v>8.9999999999999993E-3</v>
      </c>
      <c r="L18" s="613">
        <f t="shared" si="0"/>
        <v>7.1999999999999995E-2</v>
      </c>
      <c r="M18" s="613">
        <f t="shared" si="0"/>
        <v>3.3000000000000002E-2</v>
      </c>
      <c r="N18" s="613">
        <f t="shared" si="0"/>
        <v>0.04</v>
      </c>
      <c r="O18" s="613">
        <f t="shared" si="0"/>
        <v>0.156</v>
      </c>
      <c r="P18" s="620">
        <f t="shared" si="1"/>
        <v>1</v>
      </c>
      <c r="S18" s="619">
        <f t="shared" si="4"/>
        <v>2005</v>
      </c>
      <c r="T18" s="621">
        <v>0</v>
      </c>
      <c r="U18" s="621">
        <v>5</v>
      </c>
      <c r="V18" s="622">
        <f t="shared" si="5"/>
        <v>0</v>
      </c>
      <c r="W18" s="623">
        <v>1</v>
      </c>
      <c r="X18" s="624">
        <f t="shared" si="2"/>
        <v>0</v>
      </c>
    </row>
    <row r="19" spans="2:24">
      <c r="B19" s="619">
        <f t="shared" si="3"/>
        <v>2006</v>
      </c>
      <c r="C19" s="611">
        <f>'[2]Fraksi pengelolaan sampah BaU'!B36</f>
        <v>10.917468121999999</v>
      </c>
      <c r="D19" s="612">
        <v>1</v>
      </c>
      <c r="E19" s="613">
        <f t="shared" si="0"/>
        <v>0.435</v>
      </c>
      <c r="F19" s="613">
        <f t="shared" si="0"/>
        <v>0.129</v>
      </c>
      <c r="G19" s="613">
        <f t="shared" si="0"/>
        <v>0</v>
      </c>
      <c r="H19" s="613">
        <f t="shared" si="0"/>
        <v>0</v>
      </c>
      <c r="I19" s="613">
        <f t="shared" si="0"/>
        <v>9.9000000000000005E-2</v>
      </c>
      <c r="J19" s="613">
        <f t="shared" si="0"/>
        <v>2.7E-2</v>
      </c>
      <c r="K19" s="613">
        <f t="shared" si="0"/>
        <v>8.9999999999999993E-3</v>
      </c>
      <c r="L19" s="613">
        <f t="shared" si="0"/>
        <v>7.1999999999999995E-2</v>
      </c>
      <c r="M19" s="613">
        <f t="shared" si="0"/>
        <v>3.3000000000000002E-2</v>
      </c>
      <c r="N19" s="613">
        <f t="shared" si="0"/>
        <v>0.04</v>
      </c>
      <c r="O19" s="613">
        <f t="shared" si="0"/>
        <v>0.156</v>
      </c>
      <c r="P19" s="620">
        <f t="shared" si="1"/>
        <v>1</v>
      </c>
      <c r="S19" s="619">
        <f t="shared" si="4"/>
        <v>2006</v>
      </c>
      <c r="T19" s="621">
        <v>0</v>
      </c>
      <c r="U19" s="621">
        <v>5</v>
      </c>
      <c r="V19" s="622">
        <f t="shared" si="5"/>
        <v>0</v>
      </c>
      <c r="W19" s="623">
        <v>1</v>
      </c>
      <c r="X19" s="624">
        <f t="shared" si="2"/>
        <v>0</v>
      </c>
    </row>
    <row r="20" spans="2:24">
      <c r="B20" s="619">
        <f t="shared" si="3"/>
        <v>2007</v>
      </c>
      <c r="C20" s="611">
        <f>'[2]Fraksi pengelolaan sampah BaU'!B37</f>
        <v>11.356834478000001</v>
      </c>
      <c r="D20" s="612">
        <v>1</v>
      </c>
      <c r="E20" s="613">
        <f t="shared" si="0"/>
        <v>0.435</v>
      </c>
      <c r="F20" s="613">
        <f t="shared" si="0"/>
        <v>0.129</v>
      </c>
      <c r="G20" s="613">
        <f t="shared" si="0"/>
        <v>0</v>
      </c>
      <c r="H20" s="613">
        <f t="shared" si="0"/>
        <v>0</v>
      </c>
      <c r="I20" s="613">
        <f t="shared" si="0"/>
        <v>9.9000000000000005E-2</v>
      </c>
      <c r="J20" s="613">
        <f t="shared" si="0"/>
        <v>2.7E-2</v>
      </c>
      <c r="K20" s="613">
        <f t="shared" si="0"/>
        <v>8.9999999999999993E-3</v>
      </c>
      <c r="L20" s="613">
        <f t="shared" si="0"/>
        <v>7.1999999999999995E-2</v>
      </c>
      <c r="M20" s="613">
        <f t="shared" si="0"/>
        <v>3.3000000000000002E-2</v>
      </c>
      <c r="N20" s="613">
        <f t="shared" si="0"/>
        <v>0.04</v>
      </c>
      <c r="O20" s="613">
        <f t="shared" si="0"/>
        <v>0.156</v>
      </c>
      <c r="P20" s="620">
        <f t="shared" si="1"/>
        <v>1</v>
      </c>
      <c r="S20" s="619">
        <f t="shared" si="4"/>
        <v>2007</v>
      </c>
      <c r="T20" s="621">
        <v>0</v>
      </c>
      <c r="U20" s="621">
        <v>5</v>
      </c>
      <c r="V20" s="622">
        <f t="shared" si="5"/>
        <v>0</v>
      </c>
      <c r="W20" s="623">
        <v>1</v>
      </c>
      <c r="X20" s="624">
        <f t="shared" si="2"/>
        <v>0</v>
      </c>
    </row>
    <row r="21" spans="2:24">
      <c r="B21" s="619">
        <f t="shared" si="3"/>
        <v>2008</v>
      </c>
      <c r="C21" s="611">
        <f>'[2]Fraksi pengelolaan sampah BaU'!B38</f>
        <v>11.807744805999999</v>
      </c>
      <c r="D21" s="612">
        <v>1</v>
      </c>
      <c r="E21" s="613">
        <f t="shared" si="0"/>
        <v>0.435</v>
      </c>
      <c r="F21" s="613">
        <f t="shared" si="0"/>
        <v>0.129</v>
      </c>
      <c r="G21" s="613">
        <f t="shared" si="0"/>
        <v>0</v>
      </c>
      <c r="H21" s="613">
        <f t="shared" si="0"/>
        <v>0</v>
      </c>
      <c r="I21" s="613">
        <f t="shared" si="0"/>
        <v>9.9000000000000005E-2</v>
      </c>
      <c r="J21" s="613">
        <f t="shared" si="0"/>
        <v>2.7E-2</v>
      </c>
      <c r="K21" s="613">
        <f t="shared" si="0"/>
        <v>8.9999999999999993E-3</v>
      </c>
      <c r="L21" s="613">
        <f t="shared" si="0"/>
        <v>7.1999999999999995E-2</v>
      </c>
      <c r="M21" s="613">
        <f t="shared" si="0"/>
        <v>3.3000000000000002E-2</v>
      </c>
      <c r="N21" s="613">
        <f t="shared" si="0"/>
        <v>0.04</v>
      </c>
      <c r="O21" s="613">
        <f t="shared" si="0"/>
        <v>0.156</v>
      </c>
      <c r="P21" s="620">
        <f t="shared" si="1"/>
        <v>1</v>
      </c>
      <c r="S21" s="619">
        <f t="shared" si="4"/>
        <v>2008</v>
      </c>
      <c r="T21" s="621">
        <v>0</v>
      </c>
      <c r="U21" s="621">
        <v>5</v>
      </c>
      <c r="V21" s="622">
        <f t="shared" si="5"/>
        <v>0</v>
      </c>
      <c r="W21" s="623">
        <v>1</v>
      </c>
      <c r="X21" s="624">
        <f t="shared" si="2"/>
        <v>0</v>
      </c>
    </row>
    <row r="22" spans="2:24">
      <c r="B22" s="619">
        <f t="shared" si="3"/>
        <v>2009</v>
      </c>
      <c r="C22" s="611">
        <f>'[2]Fraksi pengelolaan sampah BaU'!B39</f>
        <v>12.268738724</v>
      </c>
      <c r="D22" s="612">
        <v>1</v>
      </c>
      <c r="E22" s="613">
        <f t="shared" si="0"/>
        <v>0.435</v>
      </c>
      <c r="F22" s="613">
        <f t="shared" si="0"/>
        <v>0.129</v>
      </c>
      <c r="G22" s="613">
        <f t="shared" si="0"/>
        <v>0</v>
      </c>
      <c r="H22" s="613">
        <f t="shared" si="0"/>
        <v>0</v>
      </c>
      <c r="I22" s="613">
        <f t="shared" si="0"/>
        <v>9.9000000000000005E-2</v>
      </c>
      <c r="J22" s="613">
        <f t="shared" si="0"/>
        <v>2.7E-2</v>
      </c>
      <c r="K22" s="613">
        <f t="shared" si="0"/>
        <v>8.9999999999999993E-3</v>
      </c>
      <c r="L22" s="613">
        <f t="shared" si="0"/>
        <v>7.1999999999999995E-2</v>
      </c>
      <c r="M22" s="613">
        <f t="shared" si="0"/>
        <v>3.3000000000000002E-2</v>
      </c>
      <c r="N22" s="613">
        <f t="shared" si="0"/>
        <v>0.04</v>
      </c>
      <c r="O22" s="613">
        <f t="shared" si="0"/>
        <v>0.156</v>
      </c>
      <c r="P22" s="620">
        <f t="shared" si="1"/>
        <v>1</v>
      </c>
      <c r="S22" s="619">
        <f t="shared" si="4"/>
        <v>2009</v>
      </c>
      <c r="T22" s="621">
        <v>0</v>
      </c>
      <c r="U22" s="621">
        <v>5</v>
      </c>
      <c r="V22" s="622">
        <f t="shared" si="5"/>
        <v>0</v>
      </c>
      <c r="W22" s="623">
        <v>1</v>
      </c>
      <c r="X22" s="624">
        <f t="shared" si="2"/>
        <v>0</v>
      </c>
    </row>
    <row r="23" spans="2:24">
      <c r="B23" s="619">
        <f t="shared" si="3"/>
        <v>2010</v>
      </c>
      <c r="C23" s="611">
        <f>'[2]Fraksi pengelolaan sampah BaU'!B40</f>
        <v>12.453511817999999</v>
      </c>
      <c r="D23" s="612">
        <v>1</v>
      </c>
      <c r="E23" s="613">
        <f t="shared" ref="E23:O38" si="6">E$8</f>
        <v>0.435</v>
      </c>
      <c r="F23" s="613">
        <f t="shared" si="6"/>
        <v>0.129</v>
      </c>
      <c r="G23" s="613">
        <f t="shared" si="0"/>
        <v>0</v>
      </c>
      <c r="H23" s="613">
        <f t="shared" si="6"/>
        <v>0</v>
      </c>
      <c r="I23" s="613">
        <f t="shared" si="0"/>
        <v>9.9000000000000005E-2</v>
      </c>
      <c r="J23" s="613">
        <f t="shared" si="6"/>
        <v>2.7E-2</v>
      </c>
      <c r="K23" s="613">
        <f t="shared" si="6"/>
        <v>8.9999999999999993E-3</v>
      </c>
      <c r="L23" s="613">
        <f t="shared" si="6"/>
        <v>7.1999999999999995E-2</v>
      </c>
      <c r="M23" s="613">
        <f t="shared" si="6"/>
        <v>3.3000000000000002E-2</v>
      </c>
      <c r="N23" s="613">
        <f t="shared" si="6"/>
        <v>0.04</v>
      </c>
      <c r="O23" s="613">
        <f t="shared" si="6"/>
        <v>0.156</v>
      </c>
      <c r="P23" s="620">
        <f t="shared" si="1"/>
        <v>1</v>
      </c>
      <c r="S23" s="619">
        <f t="shared" si="4"/>
        <v>2010</v>
      </c>
      <c r="T23" s="621">
        <v>0</v>
      </c>
      <c r="U23" s="621">
        <v>5</v>
      </c>
      <c r="V23" s="622">
        <f t="shared" si="5"/>
        <v>0</v>
      </c>
      <c r="W23" s="623">
        <v>1</v>
      </c>
      <c r="X23" s="624">
        <f t="shared" si="2"/>
        <v>0</v>
      </c>
    </row>
    <row r="24" spans="2:24">
      <c r="B24" s="619">
        <f t="shared" si="3"/>
        <v>2011</v>
      </c>
      <c r="C24" s="611">
        <f>'[3]Fraksi pengelolaan sampah BaU'!B29</f>
        <v>11.75803492</v>
      </c>
      <c r="D24" s="612">
        <v>1</v>
      </c>
      <c r="E24" s="613">
        <f t="shared" si="6"/>
        <v>0.435</v>
      </c>
      <c r="F24" s="613">
        <f t="shared" si="6"/>
        <v>0.129</v>
      </c>
      <c r="G24" s="613">
        <f t="shared" si="0"/>
        <v>0</v>
      </c>
      <c r="H24" s="613">
        <f t="shared" si="6"/>
        <v>0</v>
      </c>
      <c r="I24" s="613">
        <f t="shared" si="0"/>
        <v>9.9000000000000005E-2</v>
      </c>
      <c r="J24" s="613">
        <f t="shared" si="6"/>
        <v>2.7E-2</v>
      </c>
      <c r="K24" s="613">
        <f t="shared" si="6"/>
        <v>8.9999999999999993E-3</v>
      </c>
      <c r="L24" s="613">
        <f t="shared" si="6"/>
        <v>7.1999999999999995E-2</v>
      </c>
      <c r="M24" s="613">
        <f t="shared" si="6"/>
        <v>3.3000000000000002E-2</v>
      </c>
      <c r="N24" s="613">
        <f t="shared" si="6"/>
        <v>0.04</v>
      </c>
      <c r="O24" s="613">
        <f t="shared" si="6"/>
        <v>0.156</v>
      </c>
      <c r="P24" s="620">
        <f t="shared" si="1"/>
        <v>1</v>
      </c>
      <c r="S24" s="619">
        <f t="shared" si="4"/>
        <v>2011</v>
      </c>
      <c r="T24" s="621">
        <v>0</v>
      </c>
      <c r="U24" s="621">
        <v>5</v>
      </c>
      <c r="V24" s="622">
        <f t="shared" si="5"/>
        <v>0</v>
      </c>
      <c r="W24" s="623">
        <v>1</v>
      </c>
      <c r="X24" s="624">
        <f t="shared" si="2"/>
        <v>0</v>
      </c>
    </row>
    <row r="25" spans="2:24">
      <c r="B25" s="619">
        <f t="shared" si="3"/>
        <v>2012</v>
      </c>
      <c r="C25" s="611">
        <f>'[3]Fraksi pengelolaan sampah BaU'!B30</f>
        <v>12.111434720000002</v>
      </c>
      <c r="D25" s="612">
        <v>1</v>
      </c>
      <c r="E25" s="613">
        <f t="shared" si="6"/>
        <v>0.435</v>
      </c>
      <c r="F25" s="613">
        <f t="shared" si="6"/>
        <v>0.129</v>
      </c>
      <c r="G25" s="613">
        <f t="shared" si="0"/>
        <v>0</v>
      </c>
      <c r="H25" s="613">
        <f t="shared" si="6"/>
        <v>0</v>
      </c>
      <c r="I25" s="613">
        <f t="shared" si="0"/>
        <v>9.9000000000000005E-2</v>
      </c>
      <c r="J25" s="613">
        <f t="shared" si="6"/>
        <v>2.7E-2</v>
      </c>
      <c r="K25" s="613">
        <f t="shared" si="6"/>
        <v>8.9999999999999993E-3</v>
      </c>
      <c r="L25" s="613">
        <f t="shared" si="6"/>
        <v>7.1999999999999995E-2</v>
      </c>
      <c r="M25" s="613">
        <f t="shared" si="6"/>
        <v>3.3000000000000002E-2</v>
      </c>
      <c r="N25" s="613">
        <f t="shared" si="6"/>
        <v>0.04</v>
      </c>
      <c r="O25" s="613">
        <f t="shared" si="6"/>
        <v>0.156</v>
      </c>
      <c r="P25" s="620">
        <f t="shared" si="1"/>
        <v>1</v>
      </c>
      <c r="S25" s="619">
        <f t="shared" si="4"/>
        <v>2012</v>
      </c>
      <c r="T25" s="621">
        <v>0</v>
      </c>
      <c r="U25" s="621">
        <v>5</v>
      </c>
      <c r="V25" s="622">
        <f t="shared" si="5"/>
        <v>0</v>
      </c>
      <c r="W25" s="623">
        <v>1</v>
      </c>
      <c r="X25" s="624">
        <f t="shared" si="2"/>
        <v>0</v>
      </c>
    </row>
    <row r="26" spans="2:24">
      <c r="B26" s="619">
        <f t="shared" si="3"/>
        <v>2013</v>
      </c>
      <c r="C26" s="611">
        <f>'[3]Fraksi pengelolaan sampah BaU'!B31</f>
        <v>12.478869360000001</v>
      </c>
      <c r="D26" s="612">
        <v>1</v>
      </c>
      <c r="E26" s="613">
        <f t="shared" si="6"/>
        <v>0.435</v>
      </c>
      <c r="F26" s="613">
        <f t="shared" si="6"/>
        <v>0.129</v>
      </c>
      <c r="G26" s="613">
        <f t="shared" si="0"/>
        <v>0</v>
      </c>
      <c r="H26" s="613">
        <f t="shared" si="6"/>
        <v>0</v>
      </c>
      <c r="I26" s="613">
        <f t="shared" si="0"/>
        <v>9.9000000000000005E-2</v>
      </c>
      <c r="J26" s="613">
        <f t="shared" si="6"/>
        <v>2.7E-2</v>
      </c>
      <c r="K26" s="613">
        <f t="shared" si="6"/>
        <v>8.9999999999999993E-3</v>
      </c>
      <c r="L26" s="613">
        <f t="shared" si="6"/>
        <v>7.1999999999999995E-2</v>
      </c>
      <c r="M26" s="613">
        <f t="shared" si="6"/>
        <v>3.3000000000000002E-2</v>
      </c>
      <c r="N26" s="613">
        <f t="shared" si="6"/>
        <v>0.04</v>
      </c>
      <c r="O26" s="613">
        <f t="shared" si="6"/>
        <v>0.156</v>
      </c>
      <c r="P26" s="620">
        <f t="shared" si="1"/>
        <v>1</v>
      </c>
      <c r="S26" s="619">
        <f t="shared" si="4"/>
        <v>2013</v>
      </c>
      <c r="T26" s="621">
        <v>0</v>
      </c>
      <c r="U26" s="621">
        <v>5</v>
      </c>
      <c r="V26" s="622">
        <f t="shared" si="5"/>
        <v>0</v>
      </c>
      <c r="W26" s="623">
        <v>1</v>
      </c>
      <c r="X26" s="624">
        <f t="shared" si="2"/>
        <v>0</v>
      </c>
    </row>
    <row r="27" spans="2:24">
      <c r="B27" s="619">
        <f t="shared" si="3"/>
        <v>2014</v>
      </c>
      <c r="C27" s="611">
        <f>'[3]Fraksi pengelolaan sampah BaU'!B32</f>
        <v>12.84775806</v>
      </c>
      <c r="D27" s="612">
        <v>1</v>
      </c>
      <c r="E27" s="613">
        <f t="shared" si="6"/>
        <v>0.435</v>
      </c>
      <c r="F27" s="613">
        <f t="shared" si="6"/>
        <v>0.129</v>
      </c>
      <c r="G27" s="613">
        <f t="shared" si="0"/>
        <v>0</v>
      </c>
      <c r="H27" s="613">
        <f t="shared" si="6"/>
        <v>0</v>
      </c>
      <c r="I27" s="613">
        <f t="shared" si="0"/>
        <v>9.9000000000000005E-2</v>
      </c>
      <c r="J27" s="613">
        <f t="shared" si="6"/>
        <v>2.7E-2</v>
      </c>
      <c r="K27" s="613">
        <f t="shared" si="6"/>
        <v>8.9999999999999993E-3</v>
      </c>
      <c r="L27" s="613">
        <f t="shared" si="6"/>
        <v>7.1999999999999995E-2</v>
      </c>
      <c r="M27" s="613">
        <f t="shared" si="6"/>
        <v>3.3000000000000002E-2</v>
      </c>
      <c r="N27" s="613">
        <f t="shared" si="6"/>
        <v>0.04</v>
      </c>
      <c r="O27" s="613">
        <f t="shared" si="6"/>
        <v>0.156</v>
      </c>
      <c r="P27" s="620">
        <f t="shared" si="1"/>
        <v>1</v>
      </c>
      <c r="S27" s="619">
        <f t="shared" si="4"/>
        <v>2014</v>
      </c>
      <c r="T27" s="621">
        <v>0</v>
      </c>
      <c r="U27" s="621">
        <v>5</v>
      </c>
      <c r="V27" s="622">
        <f t="shared" si="5"/>
        <v>0</v>
      </c>
      <c r="W27" s="623">
        <v>1</v>
      </c>
      <c r="X27" s="624">
        <f t="shared" si="2"/>
        <v>0</v>
      </c>
    </row>
    <row r="28" spans="2:24">
      <c r="B28" s="619">
        <f t="shared" si="3"/>
        <v>2015</v>
      </c>
      <c r="C28" s="611">
        <f>'[3]Fraksi pengelolaan sampah BaU'!B33</f>
        <v>13.206215460000001</v>
      </c>
      <c r="D28" s="612">
        <v>1</v>
      </c>
      <c r="E28" s="613">
        <f t="shared" si="6"/>
        <v>0.435</v>
      </c>
      <c r="F28" s="613">
        <f t="shared" si="6"/>
        <v>0.129</v>
      </c>
      <c r="G28" s="613">
        <f t="shared" si="0"/>
        <v>0</v>
      </c>
      <c r="H28" s="613">
        <f t="shared" si="6"/>
        <v>0</v>
      </c>
      <c r="I28" s="613">
        <f t="shared" si="0"/>
        <v>9.9000000000000005E-2</v>
      </c>
      <c r="J28" s="613">
        <f t="shared" si="6"/>
        <v>2.7E-2</v>
      </c>
      <c r="K28" s="613">
        <f t="shared" si="6"/>
        <v>8.9999999999999993E-3</v>
      </c>
      <c r="L28" s="613">
        <f t="shared" si="6"/>
        <v>7.1999999999999995E-2</v>
      </c>
      <c r="M28" s="613">
        <f t="shared" si="6"/>
        <v>3.3000000000000002E-2</v>
      </c>
      <c r="N28" s="613">
        <f t="shared" si="6"/>
        <v>0.04</v>
      </c>
      <c r="O28" s="613">
        <f t="shared" si="6"/>
        <v>0.156</v>
      </c>
      <c r="P28" s="620">
        <f t="shared" si="1"/>
        <v>1</v>
      </c>
      <c r="S28" s="619">
        <f t="shared" si="4"/>
        <v>2015</v>
      </c>
      <c r="T28" s="621">
        <v>0</v>
      </c>
      <c r="U28" s="621">
        <v>5</v>
      </c>
      <c r="V28" s="622">
        <f t="shared" si="5"/>
        <v>0</v>
      </c>
      <c r="W28" s="623">
        <v>1</v>
      </c>
      <c r="X28" s="624">
        <f t="shared" si="2"/>
        <v>0</v>
      </c>
    </row>
    <row r="29" spans="2:24">
      <c r="B29" s="619">
        <f t="shared" si="3"/>
        <v>2016</v>
      </c>
      <c r="C29" s="611">
        <f>'[3]Fraksi pengelolaan sampah BaU'!B34</f>
        <v>13.581426160000003</v>
      </c>
      <c r="D29" s="612">
        <v>1</v>
      </c>
      <c r="E29" s="613">
        <f t="shared" si="6"/>
        <v>0.435</v>
      </c>
      <c r="F29" s="613">
        <f t="shared" si="6"/>
        <v>0.129</v>
      </c>
      <c r="G29" s="613">
        <f t="shared" si="6"/>
        <v>0</v>
      </c>
      <c r="H29" s="613">
        <f t="shared" si="6"/>
        <v>0</v>
      </c>
      <c r="I29" s="613">
        <f t="shared" si="6"/>
        <v>9.9000000000000005E-2</v>
      </c>
      <c r="J29" s="613">
        <f t="shared" si="6"/>
        <v>2.7E-2</v>
      </c>
      <c r="K29" s="613">
        <f t="shared" si="6"/>
        <v>8.9999999999999993E-3</v>
      </c>
      <c r="L29" s="613">
        <f t="shared" si="6"/>
        <v>7.1999999999999995E-2</v>
      </c>
      <c r="M29" s="613">
        <f t="shared" si="6"/>
        <v>3.3000000000000002E-2</v>
      </c>
      <c r="N29" s="613">
        <f t="shared" si="6"/>
        <v>0.04</v>
      </c>
      <c r="O29" s="613">
        <f t="shared" si="6"/>
        <v>0.156</v>
      </c>
      <c r="P29" s="620">
        <f t="shared" si="1"/>
        <v>1</v>
      </c>
      <c r="S29" s="619">
        <f t="shared" si="4"/>
        <v>2016</v>
      </c>
      <c r="T29" s="621">
        <v>0</v>
      </c>
      <c r="U29" s="621">
        <v>5</v>
      </c>
      <c r="V29" s="622">
        <f t="shared" si="5"/>
        <v>0</v>
      </c>
      <c r="W29" s="623">
        <v>1</v>
      </c>
      <c r="X29" s="624">
        <f t="shared" si="2"/>
        <v>0</v>
      </c>
    </row>
    <row r="30" spans="2:24">
      <c r="B30" s="619">
        <f t="shared" si="3"/>
        <v>2017</v>
      </c>
      <c r="C30" s="611">
        <f>'[3]Fraksi pengelolaan sampah BaU'!B35</f>
        <v>14.053755424000002</v>
      </c>
      <c r="D30" s="612">
        <v>1</v>
      </c>
      <c r="E30" s="613">
        <f t="shared" si="6"/>
        <v>0.435</v>
      </c>
      <c r="F30" s="613">
        <f t="shared" si="6"/>
        <v>0.129</v>
      </c>
      <c r="G30" s="613">
        <f t="shared" si="6"/>
        <v>0</v>
      </c>
      <c r="H30" s="613">
        <f t="shared" si="6"/>
        <v>0</v>
      </c>
      <c r="I30" s="613">
        <f t="shared" si="6"/>
        <v>9.9000000000000005E-2</v>
      </c>
      <c r="J30" s="613">
        <f t="shared" si="6"/>
        <v>2.7E-2</v>
      </c>
      <c r="K30" s="613">
        <f t="shared" si="6"/>
        <v>8.9999999999999993E-3</v>
      </c>
      <c r="L30" s="613">
        <f t="shared" si="6"/>
        <v>7.1999999999999995E-2</v>
      </c>
      <c r="M30" s="613">
        <f t="shared" si="6"/>
        <v>3.3000000000000002E-2</v>
      </c>
      <c r="N30" s="613">
        <f t="shared" si="6"/>
        <v>0.04</v>
      </c>
      <c r="O30" s="613">
        <f t="shared" si="6"/>
        <v>0.156</v>
      </c>
      <c r="P30" s="620">
        <f t="shared" si="1"/>
        <v>1</v>
      </c>
      <c r="S30" s="619">
        <f t="shared" si="4"/>
        <v>2017</v>
      </c>
      <c r="T30" s="621">
        <v>0</v>
      </c>
      <c r="U30" s="621">
        <v>5</v>
      </c>
      <c r="V30" s="622">
        <f t="shared" si="5"/>
        <v>0</v>
      </c>
      <c r="W30" s="623">
        <v>1</v>
      </c>
      <c r="X30" s="624">
        <f t="shared" si="2"/>
        <v>0</v>
      </c>
    </row>
    <row r="31" spans="2:24">
      <c r="B31" s="619">
        <f t="shared" si="3"/>
        <v>2018</v>
      </c>
      <c r="C31" s="611">
        <f>'[3]Fraksi pengelolaan sampah BaU'!B36</f>
        <v>14.439643981999998</v>
      </c>
      <c r="D31" s="612">
        <v>1</v>
      </c>
      <c r="E31" s="613">
        <f t="shared" si="6"/>
        <v>0.435</v>
      </c>
      <c r="F31" s="613">
        <f t="shared" si="6"/>
        <v>0.129</v>
      </c>
      <c r="G31" s="613">
        <f t="shared" si="6"/>
        <v>0</v>
      </c>
      <c r="H31" s="613">
        <f t="shared" si="6"/>
        <v>0</v>
      </c>
      <c r="I31" s="613">
        <f t="shared" si="6"/>
        <v>9.9000000000000005E-2</v>
      </c>
      <c r="J31" s="613">
        <f t="shared" si="6"/>
        <v>2.7E-2</v>
      </c>
      <c r="K31" s="613">
        <f t="shared" si="6"/>
        <v>8.9999999999999993E-3</v>
      </c>
      <c r="L31" s="613">
        <f t="shared" si="6"/>
        <v>7.1999999999999995E-2</v>
      </c>
      <c r="M31" s="613">
        <f t="shared" si="6"/>
        <v>3.3000000000000002E-2</v>
      </c>
      <c r="N31" s="613">
        <f t="shared" si="6"/>
        <v>0.04</v>
      </c>
      <c r="O31" s="613">
        <f t="shared" si="6"/>
        <v>0.156</v>
      </c>
      <c r="P31" s="620">
        <f t="shared" si="1"/>
        <v>1</v>
      </c>
      <c r="S31" s="619">
        <f t="shared" si="4"/>
        <v>2018</v>
      </c>
      <c r="T31" s="621">
        <v>0</v>
      </c>
      <c r="U31" s="621">
        <v>5</v>
      </c>
      <c r="V31" s="622">
        <f t="shared" si="5"/>
        <v>0</v>
      </c>
      <c r="W31" s="623">
        <v>1</v>
      </c>
      <c r="X31" s="624">
        <f t="shared" si="2"/>
        <v>0</v>
      </c>
    </row>
    <row r="32" spans="2:24">
      <c r="B32" s="619">
        <f t="shared" si="3"/>
        <v>2019</v>
      </c>
      <c r="C32" s="611">
        <f>'[3]Fraksi pengelolaan sampah BaU'!B37</f>
        <v>14.825532540000001</v>
      </c>
      <c r="D32" s="612">
        <v>1</v>
      </c>
      <c r="E32" s="613">
        <f t="shared" si="6"/>
        <v>0.435</v>
      </c>
      <c r="F32" s="613">
        <f t="shared" si="6"/>
        <v>0.129</v>
      </c>
      <c r="G32" s="613">
        <f t="shared" si="6"/>
        <v>0</v>
      </c>
      <c r="H32" s="613">
        <f t="shared" si="6"/>
        <v>0</v>
      </c>
      <c r="I32" s="613">
        <f t="shared" si="6"/>
        <v>9.9000000000000005E-2</v>
      </c>
      <c r="J32" s="613">
        <f t="shared" si="6"/>
        <v>2.7E-2</v>
      </c>
      <c r="K32" s="613">
        <f t="shared" si="6"/>
        <v>8.9999999999999993E-3</v>
      </c>
      <c r="L32" s="613">
        <f t="shared" si="6"/>
        <v>7.1999999999999995E-2</v>
      </c>
      <c r="M32" s="613">
        <f t="shared" si="6"/>
        <v>3.3000000000000002E-2</v>
      </c>
      <c r="N32" s="613">
        <f t="shared" si="6"/>
        <v>0.04</v>
      </c>
      <c r="O32" s="613">
        <f t="shared" si="6"/>
        <v>0.156</v>
      </c>
      <c r="P32" s="620">
        <f t="shared" si="1"/>
        <v>1</v>
      </c>
      <c r="S32" s="619">
        <f t="shared" si="4"/>
        <v>2019</v>
      </c>
      <c r="T32" s="621">
        <v>0</v>
      </c>
      <c r="U32" s="621">
        <v>5</v>
      </c>
      <c r="V32" s="622">
        <f t="shared" si="5"/>
        <v>0</v>
      </c>
      <c r="W32" s="623">
        <v>1</v>
      </c>
      <c r="X32" s="624">
        <f t="shared" si="2"/>
        <v>0</v>
      </c>
    </row>
    <row r="33" spans="2:24">
      <c r="B33" s="619">
        <f t="shared" si="3"/>
        <v>2020</v>
      </c>
      <c r="C33" s="611">
        <f>'[3]Fraksi pengelolaan sampah BaU'!B38</f>
        <v>15.211421097999999</v>
      </c>
      <c r="D33" s="612">
        <v>1</v>
      </c>
      <c r="E33" s="613">
        <f t="shared" ref="E33:O48" si="7">E$8</f>
        <v>0.435</v>
      </c>
      <c r="F33" s="613">
        <f t="shared" si="7"/>
        <v>0.129</v>
      </c>
      <c r="G33" s="613">
        <f t="shared" si="6"/>
        <v>0</v>
      </c>
      <c r="H33" s="613">
        <f t="shared" si="7"/>
        <v>0</v>
      </c>
      <c r="I33" s="613">
        <f t="shared" si="6"/>
        <v>9.9000000000000005E-2</v>
      </c>
      <c r="J33" s="613">
        <f t="shared" si="7"/>
        <v>2.7E-2</v>
      </c>
      <c r="K33" s="613">
        <f t="shared" si="7"/>
        <v>8.9999999999999993E-3</v>
      </c>
      <c r="L33" s="613">
        <f t="shared" si="7"/>
        <v>7.1999999999999995E-2</v>
      </c>
      <c r="M33" s="613">
        <f t="shared" si="7"/>
        <v>3.3000000000000002E-2</v>
      </c>
      <c r="N33" s="613">
        <f t="shared" si="7"/>
        <v>0.04</v>
      </c>
      <c r="O33" s="613">
        <f t="shared" si="7"/>
        <v>0.156</v>
      </c>
      <c r="P33" s="620">
        <f t="shared" si="1"/>
        <v>1</v>
      </c>
      <c r="S33" s="619">
        <f t="shared" si="4"/>
        <v>2020</v>
      </c>
      <c r="T33" s="621">
        <v>0</v>
      </c>
      <c r="U33" s="621">
        <v>5</v>
      </c>
      <c r="V33" s="622">
        <f t="shared" si="5"/>
        <v>0</v>
      </c>
      <c r="W33" s="623">
        <v>1</v>
      </c>
      <c r="X33" s="624">
        <f t="shared" si="2"/>
        <v>0</v>
      </c>
    </row>
    <row r="34" spans="2:24">
      <c r="B34" s="619">
        <f t="shared" si="3"/>
        <v>2021</v>
      </c>
      <c r="C34" s="611">
        <f>'[3]Fraksi pengelolaan sampah BaU'!B39</f>
        <v>15.597309655999998</v>
      </c>
      <c r="D34" s="612">
        <v>1</v>
      </c>
      <c r="E34" s="613">
        <f t="shared" si="7"/>
        <v>0.435</v>
      </c>
      <c r="F34" s="613">
        <f t="shared" si="7"/>
        <v>0.129</v>
      </c>
      <c r="G34" s="613">
        <f t="shared" si="6"/>
        <v>0</v>
      </c>
      <c r="H34" s="613">
        <f t="shared" si="7"/>
        <v>0</v>
      </c>
      <c r="I34" s="613">
        <f t="shared" si="6"/>
        <v>9.9000000000000005E-2</v>
      </c>
      <c r="J34" s="613">
        <f t="shared" si="7"/>
        <v>2.7E-2</v>
      </c>
      <c r="K34" s="613">
        <f t="shared" si="7"/>
        <v>8.9999999999999993E-3</v>
      </c>
      <c r="L34" s="613">
        <f t="shared" si="7"/>
        <v>7.1999999999999995E-2</v>
      </c>
      <c r="M34" s="613">
        <f t="shared" si="7"/>
        <v>3.3000000000000002E-2</v>
      </c>
      <c r="N34" s="613">
        <f t="shared" si="7"/>
        <v>0.04</v>
      </c>
      <c r="O34" s="613">
        <f t="shared" si="7"/>
        <v>0.156</v>
      </c>
      <c r="P34" s="620">
        <f t="shared" si="1"/>
        <v>1</v>
      </c>
      <c r="S34" s="619">
        <f t="shared" si="4"/>
        <v>2021</v>
      </c>
      <c r="T34" s="621">
        <v>0</v>
      </c>
      <c r="U34" s="621">
        <v>5</v>
      </c>
      <c r="V34" s="622">
        <f t="shared" si="5"/>
        <v>0</v>
      </c>
      <c r="W34" s="623">
        <v>1</v>
      </c>
      <c r="X34" s="624">
        <f t="shared" si="2"/>
        <v>0</v>
      </c>
    </row>
    <row r="35" spans="2:24">
      <c r="B35" s="619">
        <f t="shared" si="3"/>
        <v>2022</v>
      </c>
      <c r="C35" s="611">
        <f>'[3]Fraksi pengelolaan sampah BaU'!B40</f>
        <v>15.983198213999998</v>
      </c>
      <c r="D35" s="612">
        <v>1</v>
      </c>
      <c r="E35" s="613">
        <f t="shared" si="7"/>
        <v>0.435</v>
      </c>
      <c r="F35" s="613">
        <f t="shared" si="7"/>
        <v>0.129</v>
      </c>
      <c r="G35" s="613">
        <f t="shared" si="6"/>
        <v>0</v>
      </c>
      <c r="H35" s="613">
        <f t="shared" si="7"/>
        <v>0</v>
      </c>
      <c r="I35" s="613">
        <f t="shared" si="6"/>
        <v>9.9000000000000005E-2</v>
      </c>
      <c r="J35" s="613">
        <f t="shared" si="7"/>
        <v>2.7E-2</v>
      </c>
      <c r="K35" s="613">
        <f t="shared" si="7"/>
        <v>8.9999999999999993E-3</v>
      </c>
      <c r="L35" s="613">
        <f t="shared" si="7"/>
        <v>7.1999999999999995E-2</v>
      </c>
      <c r="M35" s="613">
        <f t="shared" si="7"/>
        <v>3.3000000000000002E-2</v>
      </c>
      <c r="N35" s="613">
        <f t="shared" si="7"/>
        <v>0.04</v>
      </c>
      <c r="O35" s="613">
        <f t="shared" si="7"/>
        <v>0.156</v>
      </c>
      <c r="P35" s="620">
        <f t="shared" si="1"/>
        <v>1</v>
      </c>
      <c r="S35" s="619">
        <f t="shared" si="4"/>
        <v>2022</v>
      </c>
      <c r="T35" s="621">
        <v>0</v>
      </c>
      <c r="U35" s="621">
        <v>5</v>
      </c>
      <c r="V35" s="622">
        <f t="shared" si="5"/>
        <v>0</v>
      </c>
      <c r="W35" s="623">
        <v>1</v>
      </c>
      <c r="X35" s="624">
        <f t="shared" si="2"/>
        <v>0</v>
      </c>
    </row>
    <row r="36" spans="2:24">
      <c r="B36" s="619">
        <f t="shared" si="3"/>
        <v>2023</v>
      </c>
      <c r="C36" s="611">
        <f>'[3]Fraksi pengelolaan sampah BaU'!B41</f>
        <v>16.369086771999999</v>
      </c>
      <c r="D36" s="612">
        <v>1</v>
      </c>
      <c r="E36" s="613">
        <f t="shared" si="7"/>
        <v>0.435</v>
      </c>
      <c r="F36" s="613">
        <f t="shared" si="7"/>
        <v>0.129</v>
      </c>
      <c r="G36" s="613">
        <f t="shared" si="6"/>
        <v>0</v>
      </c>
      <c r="H36" s="613">
        <f t="shared" si="7"/>
        <v>0</v>
      </c>
      <c r="I36" s="613">
        <f t="shared" si="6"/>
        <v>9.9000000000000005E-2</v>
      </c>
      <c r="J36" s="613">
        <f t="shared" si="7"/>
        <v>2.7E-2</v>
      </c>
      <c r="K36" s="613">
        <f t="shared" si="7"/>
        <v>8.9999999999999993E-3</v>
      </c>
      <c r="L36" s="613">
        <f t="shared" si="7"/>
        <v>7.1999999999999995E-2</v>
      </c>
      <c r="M36" s="613">
        <f t="shared" si="7"/>
        <v>3.3000000000000002E-2</v>
      </c>
      <c r="N36" s="613">
        <f t="shared" si="7"/>
        <v>0.04</v>
      </c>
      <c r="O36" s="613">
        <f t="shared" si="7"/>
        <v>0.156</v>
      </c>
      <c r="P36" s="620">
        <f t="shared" si="1"/>
        <v>1</v>
      </c>
      <c r="S36" s="619">
        <f t="shared" si="4"/>
        <v>2023</v>
      </c>
      <c r="T36" s="621">
        <v>0</v>
      </c>
      <c r="U36" s="621">
        <v>5</v>
      </c>
      <c r="V36" s="622">
        <f t="shared" si="5"/>
        <v>0</v>
      </c>
      <c r="W36" s="623">
        <v>1</v>
      </c>
      <c r="X36" s="624">
        <f t="shared" si="2"/>
        <v>0</v>
      </c>
    </row>
    <row r="37" spans="2:24">
      <c r="B37" s="619">
        <f t="shared" si="3"/>
        <v>2024</v>
      </c>
      <c r="C37" s="611">
        <f>'[3]Fraksi pengelolaan sampah BaU'!B42</f>
        <v>16.754975330000001</v>
      </c>
      <c r="D37" s="612">
        <v>1</v>
      </c>
      <c r="E37" s="613">
        <f t="shared" si="7"/>
        <v>0.435</v>
      </c>
      <c r="F37" s="613">
        <f t="shared" si="7"/>
        <v>0.129</v>
      </c>
      <c r="G37" s="613">
        <f t="shared" si="6"/>
        <v>0</v>
      </c>
      <c r="H37" s="613">
        <f t="shared" si="7"/>
        <v>0</v>
      </c>
      <c r="I37" s="613">
        <f t="shared" si="6"/>
        <v>9.9000000000000005E-2</v>
      </c>
      <c r="J37" s="613">
        <f t="shared" si="7"/>
        <v>2.7E-2</v>
      </c>
      <c r="K37" s="613">
        <f t="shared" si="7"/>
        <v>8.9999999999999993E-3</v>
      </c>
      <c r="L37" s="613">
        <f t="shared" si="7"/>
        <v>7.1999999999999995E-2</v>
      </c>
      <c r="M37" s="613">
        <f t="shared" si="7"/>
        <v>3.3000000000000002E-2</v>
      </c>
      <c r="N37" s="613">
        <f t="shared" si="7"/>
        <v>0.04</v>
      </c>
      <c r="O37" s="613">
        <f t="shared" si="7"/>
        <v>0.156</v>
      </c>
      <c r="P37" s="620">
        <f t="shared" si="1"/>
        <v>1</v>
      </c>
      <c r="S37" s="619">
        <f t="shared" si="4"/>
        <v>2024</v>
      </c>
      <c r="T37" s="621">
        <v>0</v>
      </c>
      <c r="U37" s="621">
        <v>5</v>
      </c>
      <c r="V37" s="622">
        <f t="shared" si="5"/>
        <v>0</v>
      </c>
      <c r="W37" s="623">
        <v>1</v>
      </c>
      <c r="X37" s="624">
        <f t="shared" si="2"/>
        <v>0</v>
      </c>
    </row>
    <row r="38" spans="2:24">
      <c r="B38" s="619">
        <f t="shared" si="3"/>
        <v>2025</v>
      </c>
      <c r="C38" s="611">
        <f>'[3]Fraksi pengelolaan sampah BaU'!B43</f>
        <v>17.140863888000002</v>
      </c>
      <c r="D38" s="612">
        <v>1</v>
      </c>
      <c r="E38" s="613">
        <f t="shared" si="7"/>
        <v>0.435</v>
      </c>
      <c r="F38" s="613">
        <f t="shared" si="7"/>
        <v>0.129</v>
      </c>
      <c r="G38" s="613">
        <f t="shared" si="6"/>
        <v>0</v>
      </c>
      <c r="H38" s="613">
        <f t="shared" si="7"/>
        <v>0</v>
      </c>
      <c r="I38" s="613">
        <f t="shared" si="6"/>
        <v>9.9000000000000005E-2</v>
      </c>
      <c r="J38" s="613">
        <f t="shared" si="7"/>
        <v>2.7E-2</v>
      </c>
      <c r="K38" s="613">
        <f t="shared" si="7"/>
        <v>8.9999999999999993E-3</v>
      </c>
      <c r="L38" s="613">
        <f t="shared" si="7"/>
        <v>7.1999999999999995E-2</v>
      </c>
      <c r="M38" s="613">
        <f t="shared" si="7"/>
        <v>3.3000000000000002E-2</v>
      </c>
      <c r="N38" s="613">
        <f t="shared" si="7"/>
        <v>0.04</v>
      </c>
      <c r="O38" s="613">
        <f t="shared" si="7"/>
        <v>0.156</v>
      </c>
      <c r="P38" s="620">
        <f t="shared" si="1"/>
        <v>1</v>
      </c>
      <c r="S38" s="619">
        <f t="shared" si="4"/>
        <v>2025</v>
      </c>
      <c r="T38" s="621">
        <v>0</v>
      </c>
      <c r="U38" s="621">
        <v>5</v>
      </c>
      <c r="V38" s="622">
        <f t="shared" si="5"/>
        <v>0</v>
      </c>
      <c r="W38" s="623">
        <v>1</v>
      </c>
      <c r="X38" s="624">
        <f t="shared" si="2"/>
        <v>0</v>
      </c>
    </row>
    <row r="39" spans="2:24">
      <c r="B39" s="619">
        <f t="shared" si="3"/>
        <v>2026</v>
      </c>
      <c r="C39" s="611">
        <f>'[3]Fraksi pengelolaan sampah BaU'!B44</f>
        <v>17.526752446</v>
      </c>
      <c r="D39" s="612">
        <v>1</v>
      </c>
      <c r="E39" s="613">
        <f t="shared" si="7"/>
        <v>0.435</v>
      </c>
      <c r="F39" s="613">
        <f t="shared" si="7"/>
        <v>0.129</v>
      </c>
      <c r="G39" s="613">
        <f t="shared" si="7"/>
        <v>0</v>
      </c>
      <c r="H39" s="613">
        <f t="shared" si="7"/>
        <v>0</v>
      </c>
      <c r="I39" s="613">
        <f t="shared" si="7"/>
        <v>9.9000000000000005E-2</v>
      </c>
      <c r="J39" s="613">
        <f t="shared" si="7"/>
        <v>2.7E-2</v>
      </c>
      <c r="K39" s="613">
        <f t="shared" si="7"/>
        <v>8.9999999999999993E-3</v>
      </c>
      <c r="L39" s="613">
        <f t="shared" si="7"/>
        <v>7.1999999999999995E-2</v>
      </c>
      <c r="M39" s="613">
        <f t="shared" si="7"/>
        <v>3.3000000000000002E-2</v>
      </c>
      <c r="N39" s="613">
        <f t="shared" si="7"/>
        <v>0.04</v>
      </c>
      <c r="O39" s="613">
        <f t="shared" si="7"/>
        <v>0.156</v>
      </c>
      <c r="P39" s="620">
        <f t="shared" si="1"/>
        <v>1</v>
      </c>
      <c r="S39" s="619">
        <f t="shared" si="4"/>
        <v>2026</v>
      </c>
      <c r="T39" s="621">
        <v>0</v>
      </c>
      <c r="U39" s="621">
        <v>5</v>
      </c>
      <c r="V39" s="622">
        <f t="shared" si="5"/>
        <v>0</v>
      </c>
      <c r="W39" s="623">
        <v>1</v>
      </c>
      <c r="X39" s="624">
        <f t="shared" si="2"/>
        <v>0</v>
      </c>
    </row>
    <row r="40" spans="2:24">
      <c r="B40" s="619">
        <f t="shared" si="3"/>
        <v>2027</v>
      </c>
      <c r="C40" s="611">
        <f>'[3]Fraksi pengelolaan sampah BaU'!B45</f>
        <v>17.912641003999997</v>
      </c>
      <c r="D40" s="612">
        <v>1</v>
      </c>
      <c r="E40" s="613">
        <f t="shared" si="7"/>
        <v>0.435</v>
      </c>
      <c r="F40" s="613">
        <f t="shared" si="7"/>
        <v>0.129</v>
      </c>
      <c r="G40" s="613">
        <f t="shared" si="7"/>
        <v>0</v>
      </c>
      <c r="H40" s="613">
        <f t="shared" si="7"/>
        <v>0</v>
      </c>
      <c r="I40" s="613">
        <f t="shared" si="7"/>
        <v>9.9000000000000005E-2</v>
      </c>
      <c r="J40" s="613">
        <f t="shared" si="7"/>
        <v>2.7E-2</v>
      </c>
      <c r="K40" s="613">
        <f t="shared" si="7"/>
        <v>8.9999999999999993E-3</v>
      </c>
      <c r="L40" s="613">
        <f t="shared" si="7"/>
        <v>7.1999999999999995E-2</v>
      </c>
      <c r="M40" s="613">
        <f t="shared" si="7"/>
        <v>3.3000000000000002E-2</v>
      </c>
      <c r="N40" s="613">
        <f t="shared" si="7"/>
        <v>0.04</v>
      </c>
      <c r="O40" s="613">
        <f t="shared" si="7"/>
        <v>0.156</v>
      </c>
      <c r="P40" s="620">
        <f t="shared" si="1"/>
        <v>1</v>
      </c>
      <c r="S40" s="619">
        <f t="shared" si="4"/>
        <v>2027</v>
      </c>
      <c r="T40" s="621">
        <v>0</v>
      </c>
      <c r="U40" s="621">
        <v>5</v>
      </c>
      <c r="V40" s="622">
        <f t="shared" si="5"/>
        <v>0</v>
      </c>
      <c r="W40" s="623">
        <v>1</v>
      </c>
      <c r="X40" s="624">
        <f t="shared" si="2"/>
        <v>0</v>
      </c>
    </row>
    <row r="41" spans="2:24">
      <c r="B41" s="619">
        <f t="shared" si="3"/>
        <v>2028</v>
      </c>
      <c r="C41" s="611">
        <f>'[3]Fraksi pengelolaan sampah BaU'!B46</f>
        <v>18.298529561999999</v>
      </c>
      <c r="D41" s="612">
        <v>1</v>
      </c>
      <c r="E41" s="613">
        <f t="shared" si="7"/>
        <v>0.435</v>
      </c>
      <c r="F41" s="613">
        <f t="shared" si="7"/>
        <v>0.129</v>
      </c>
      <c r="G41" s="613">
        <f t="shared" si="7"/>
        <v>0</v>
      </c>
      <c r="H41" s="613">
        <f t="shared" si="7"/>
        <v>0</v>
      </c>
      <c r="I41" s="613">
        <f t="shared" si="7"/>
        <v>9.9000000000000005E-2</v>
      </c>
      <c r="J41" s="613">
        <f t="shared" si="7"/>
        <v>2.7E-2</v>
      </c>
      <c r="K41" s="613">
        <f t="shared" si="7"/>
        <v>8.9999999999999993E-3</v>
      </c>
      <c r="L41" s="613">
        <f t="shared" si="7"/>
        <v>7.1999999999999995E-2</v>
      </c>
      <c r="M41" s="613">
        <f t="shared" si="7"/>
        <v>3.3000000000000002E-2</v>
      </c>
      <c r="N41" s="613">
        <f t="shared" si="7"/>
        <v>0.04</v>
      </c>
      <c r="O41" s="613">
        <f t="shared" si="7"/>
        <v>0.156</v>
      </c>
      <c r="P41" s="620">
        <f t="shared" si="1"/>
        <v>1</v>
      </c>
      <c r="S41" s="619">
        <f t="shared" si="4"/>
        <v>2028</v>
      </c>
      <c r="T41" s="621">
        <v>0</v>
      </c>
      <c r="U41" s="621">
        <v>5</v>
      </c>
      <c r="V41" s="622">
        <f t="shared" si="5"/>
        <v>0</v>
      </c>
      <c r="W41" s="623">
        <v>1</v>
      </c>
      <c r="X41" s="624">
        <f t="shared" si="2"/>
        <v>0</v>
      </c>
    </row>
    <row r="42" spans="2:24">
      <c r="B42" s="619">
        <f t="shared" si="3"/>
        <v>2029</v>
      </c>
      <c r="C42" s="611">
        <f>'[3]Fraksi pengelolaan sampah BaU'!B47</f>
        <v>18.68441812</v>
      </c>
      <c r="D42" s="612">
        <v>1</v>
      </c>
      <c r="E42" s="613">
        <f t="shared" si="7"/>
        <v>0.435</v>
      </c>
      <c r="F42" s="613">
        <f t="shared" si="7"/>
        <v>0.129</v>
      </c>
      <c r="G42" s="613">
        <f t="shared" si="7"/>
        <v>0</v>
      </c>
      <c r="H42" s="613">
        <f t="shared" si="7"/>
        <v>0</v>
      </c>
      <c r="I42" s="613">
        <f t="shared" si="7"/>
        <v>9.9000000000000005E-2</v>
      </c>
      <c r="J42" s="613">
        <f t="shared" si="7"/>
        <v>2.7E-2</v>
      </c>
      <c r="K42" s="613">
        <f t="shared" si="7"/>
        <v>8.9999999999999993E-3</v>
      </c>
      <c r="L42" s="613">
        <f t="shared" si="7"/>
        <v>7.1999999999999995E-2</v>
      </c>
      <c r="M42" s="613">
        <f t="shared" si="7"/>
        <v>3.3000000000000002E-2</v>
      </c>
      <c r="N42" s="613">
        <f t="shared" si="7"/>
        <v>0.04</v>
      </c>
      <c r="O42" s="613">
        <f t="shared" si="7"/>
        <v>0.156</v>
      </c>
      <c r="P42" s="620">
        <f t="shared" si="1"/>
        <v>1</v>
      </c>
      <c r="S42" s="619">
        <f t="shared" si="4"/>
        <v>2029</v>
      </c>
      <c r="T42" s="621">
        <v>0</v>
      </c>
      <c r="U42" s="621">
        <v>5</v>
      </c>
      <c r="V42" s="622">
        <f t="shared" si="5"/>
        <v>0</v>
      </c>
      <c r="W42" s="623">
        <v>1</v>
      </c>
      <c r="X42" s="624">
        <f t="shared" si="2"/>
        <v>0</v>
      </c>
    </row>
    <row r="43" spans="2:24">
      <c r="B43" s="619">
        <f t="shared" si="3"/>
        <v>2030</v>
      </c>
      <c r="C43" s="611">
        <f>'[3]Fraksi pengelolaan sampah BaU'!B48</f>
        <v>19.070306678000005</v>
      </c>
      <c r="D43" s="612">
        <v>1</v>
      </c>
      <c r="E43" s="613">
        <f t="shared" ref="E43:O58" si="8">E$8</f>
        <v>0.435</v>
      </c>
      <c r="F43" s="613">
        <f t="shared" si="8"/>
        <v>0.129</v>
      </c>
      <c r="G43" s="613">
        <f t="shared" si="7"/>
        <v>0</v>
      </c>
      <c r="H43" s="613">
        <f t="shared" si="8"/>
        <v>0</v>
      </c>
      <c r="I43" s="613">
        <f t="shared" si="7"/>
        <v>9.9000000000000005E-2</v>
      </c>
      <c r="J43" s="613">
        <f t="shared" si="8"/>
        <v>2.7E-2</v>
      </c>
      <c r="K43" s="613">
        <f t="shared" si="8"/>
        <v>8.9999999999999993E-3</v>
      </c>
      <c r="L43" s="613">
        <f t="shared" si="8"/>
        <v>7.1999999999999995E-2</v>
      </c>
      <c r="M43" s="613">
        <f t="shared" si="8"/>
        <v>3.3000000000000002E-2</v>
      </c>
      <c r="N43" s="613">
        <f t="shared" si="8"/>
        <v>0.04</v>
      </c>
      <c r="O43" s="613">
        <f t="shared" si="8"/>
        <v>0.156</v>
      </c>
      <c r="P43" s="620">
        <f t="shared" si="1"/>
        <v>1</v>
      </c>
      <c r="S43" s="619">
        <f t="shared" si="4"/>
        <v>2030</v>
      </c>
      <c r="T43" s="621">
        <v>0</v>
      </c>
      <c r="U43" s="621">
        <v>5</v>
      </c>
      <c r="V43" s="622">
        <f t="shared" si="5"/>
        <v>0</v>
      </c>
      <c r="W43" s="623">
        <v>1</v>
      </c>
      <c r="X43" s="624">
        <f t="shared" si="2"/>
        <v>0</v>
      </c>
    </row>
    <row r="44" spans="2:24">
      <c r="B44" s="619">
        <f t="shared" si="3"/>
        <v>2031</v>
      </c>
      <c r="C44" s="625"/>
      <c r="D44" s="612">
        <v>1</v>
      </c>
      <c r="E44" s="613">
        <f t="shared" si="8"/>
        <v>0.435</v>
      </c>
      <c r="F44" s="613">
        <f t="shared" si="8"/>
        <v>0.129</v>
      </c>
      <c r="G44" s="613">
        <f t="shared" si="7"/>
        <v>0</v>
      </c>
      <c r="H44" s="613">
        <f t="shared" si="8"/>
        <v>0</v>
      </c>
      <c r="I44" s="613">
        <f t="shared" si="7"/>
        <v>9.9000000000000005E-2</v>
      </c>
      <c r="J44" s="613">
        <f t="shared" si="8"/>
        <v>2.7E-2</v>
      </c>
      <c r="K44" s="613">
        <f t="shared" si="8"/>
        <v>8.9999999999999993E-3</v>
      </c>
      <c r="L44" s="613">
        <f t="shared" si="8"/>
        <v>7.1999999999999995E-2</v>
      </c>
      <c r="M44" s="613">
        <f t="shared" si="8"/>
        <v>3.3000000000000002E-2</v>
      </c>
      <c r="N44" s="613">
        <f t="shared" si="8"/>
        <v>0.04</v>
      </c>
      <c r="O44" s="613">
        <f t="shared" si="8"/>
        <v>0.156</v>
      </c>
      <c r="P44" s="620">
        <f t="shared" si="1"/>
        <v>1</v>
      </c>
      <c r="S44" s="619">
        <f t="shared" si="4"/>
        <v>2031</v>
      </c>
      <c r="T44" s="621">
        <v>0</v>
      </c>
      <c r="U44" s="621">
        <v>5</v>
      </c>
      <c r="V44" s="622">
        <f t="shared" si="5"/>
        <v>0</v>
      </c>
      <c r="W44" s="623">
        <v>1</v>
      </c>
      <c r="X44" s="624">
        <f t="shared" si="2"/>
        <v>0</v>
      </c>
    </row>
    <row r="45" spans="2:24">
      <c r="B45" s="619">
        <f t="shared" si="3"/>
        <v>2032</v>
      </c>
      <c r="C45" s="625"/>
      <c r="D45" s="612">
        <v>1</v>
      </c>
      <c r="E45" s="613">
        <f t="shared" si="8"/>
        <v>0.435</v>
      </c>
      <c r="F45" s="613">
        <f t="shared" si="8"/>
        <v>0.129</v>
      </c>
      <c r="G45" s="613">
        <f t="shared" si="7"/>
        <v>0</v>
      </c>
      <c r="H45" s="613">
        <f t="shared" si="8"/>
        <v>0</v>
      </c>
      <c r="I45" s="613">
        <f t="shared" si="7"/>
        <v>9.9000000000000005E-2</v>
      </c>
      <c r="J45" s="613">
        <f t="shared" si="8"/>
        <v>2.7E-2</v>
      </c>
      <c r="K45" s="613">
        <f t="shared" si="8"/>
        <v>8.9999999999999993E-3</v>
      </c>
      <c r="L45" s="613">
        <f t="shared" si="8"/>
        <v>7.1999999999999995E-2</v>
      </c>
      <c r="M45" s="613">
        <f t="shared" si="8"/>
        <v>3.3000000000000002E-2</v>
      </c>
      <c r="N45" s="613">
        <f t="shared" si="8"/>
        <v>0.04</v>
      </c>
      <c r="O45" s="613">
        <f t="shared" si="8"/>
        <v>0.156</v>
      </c>
      <c r="P45" s="620">
        <f t="shared" ref="P45:P76" si="9">SUM(E45:O45)</f>
        <v>1</v>
      </c>
      <c r="S45" s="619">
        <f t="shared" si="4"/>
        <v>2032</v>
      </c>
      <c r="T45" s="621">
        <v>0</v>
      </c>
      <c r="U45" s="621">
        <v>5</v>
      </c>
      <c r="V45" s="622">
        <f t="shared" si="5"/>
        <v>0</v>
      </c>
      <c r="W45" s="623">
        <v>1</v>
      </c>
      <c r="X45" s="624">
        <f t="shared" ref="X45:X76" si="10">V45*W45</f>
        <v>0</v>
      </c>
    </row>
    <row r="46" spans="2:24">
      <c r="B46" s="619">
        <f t="shared" ref="B46:B77" si="11">B45+1</f>
        <v>2033</v>
      </c>
      <c r="C46" s="625"/>
      <c r="D46" s="612">
        <v>1</v>
      </c>
      <c r="E46" s="613">
        <f t="shared" si="8"/>
        <v>0.435</v>
      </c>
      <c r="F46" s="613">
        <f t="shared" si="8"/>
        <v>0.129</v>
      </c>
      <c r="G46" s="613">
        <f t="shared" si="7"/>
        <v>0</v>
      </c>
      <c r="H46" s="613">
        <f t="shared" si="8"/>
        <v>0</v>
      </c>
      <c r="I46" s="613">
        <f t="shared" si="7"/>
        <v>9.9000000000000005E-2</v>
      </c>
      <c r="J46" s="613">
        <f t="shared" si="8"/>
        <v>2.7E-2</v>
      </c>
      <c r="K46" s="613">
        <f t="shared" si="8"/>
        <v>8.9999999999999993E-3</v>
      </c>
      <c r="L46" s="613">
        <f t="shared" si="8"/>
        <v>7.1999999999999995E-2</v>
      </c>
      <c r="M46" s="613">
        <f t="shared" si="8"/>
        <v>3.3000000000000002E-2</v>
      </c>
      <c r="N46" s="613">
        <f t="shared" si="8"/>
        <v>0.04</v>
      </c>
      <c r="O46" s="613">
        <f t="shared" si="8"/>
        <v>0.156</v>
      </c>
      <c r="P46" s="620">
        <f t="shared" si="9"/>
        <v>1</v>
      </c>
      <c r="S46" s="619">
        <f t="shared" si="4"/>
        <v>2033</v>
      </c>
      <c r="T46" s="621">
        <v>0</v>
      </c>
      <c r="U46" s="621">
        <v>5</v>
      </c>
      <c r="V46" s="622">
        <f t="shared" si="5"/>
        <v>0</v>
      </c>
      <c r="W46" s="623">
        <v>1</v>
      </c>
      <c r="X46" s="624">
        <f t="shared" si="10"/>
        <v>0</v>
      </c>
    </row>
    <row r="47" spans="2:24">
      <c r="B47" s="619">
        <f t="shared" si="11"/>
        <v>2034</v>
      </c>
      <c r="C47" s="625"/>
      <c r="D47" s="612">
        <v>1</v>
      </c>
      <c r="E47" s="613">
        <f t="shared" si="8"/>
        <v>0.435</v>
      </c>
      <c r="F47" s="613">
        <f t="shared" si="8"/>
        <v>0.129</v>
      </c>
      <c r="G47" s="613">
        <f t="shared" si="7"/>
        <v>0</v>
      </c>
      <c r="H47" s="613">
        <f t="shared" si="8"/>
        <v>0</v>
      </c>
      <c r="I47" s="613">
        <f t="shared" si="7"/>
        <v>9.9000000000000005E-2</v>
      </c>
      <c r="J47" s="613">
        <f t="shared" si="8"/>
        <v>2.7E-2</v>
      </c>
      <c r="K47" s="613">
        <f t="shared" si="8"/>
        <v>8.9999999999999993E-3</v>
      </c>
      <c r="L47" s="613">
        <f t="shared" si="8"/>
        <v>7.1999999999999995E-2</v>
      </c>
      <c r="M47" s="613">
        <f t="shared" si="8"/>
        <v>3.3000000000000002E-2</v>
      </c>
      <c r="N47" s="613">
        <f t="shared" si="8"/>
        <v>0.04</v>
      </c>
      <c r="O47" s="613">
        <f t="shared" si="8"/>
        <v>0.156</v>
      </c>
      <c r="P47" s="620">
        <f t="shared" si="9"/>
        <v>1</v>
      </c>
      <c r="S47" s="619">
        <f t="shared" si="4"/>
        <v>2034</v>
      </c>
      <c r="T47" s="621">
        <v>0</v>
      </c>
      <c r="U47" s="621">
        <v>5</v>
      </c>
      <c r="V47" s="622">
        <f t="shared" si="5"/>
        <v>0</v>
      </c>
      <c r="W47" s="623">
        <v>1</v>
      </c>
      <c r="X47" s="624">
        <f t="shared" si="10"/>
        <v>0</v>
      </c>
    </row>
    <row r="48" spans="2:24">
      <c r="B48" s="619">
        <f t="shared" si="11"/>
        <v>2035</v>
      </c>
      <c r="C48" s="625"/>
      <c r="D48" s="612">
        <v>1</v>
      </c>
      <c r="E48" s="613">
        <f t="shared" si="8"/>
        <v>0.435</v>
      </c>
      <c r="F48" s="613">
        <f t="shared" si="8"/>
        <v>0.129</v>
      </c>
      <c r="G48" s="613">
        <f t="shared" si="7"/>
        <v>0</v>
      </c>
      <c r="H48" s="613">
        <f t="shared" si="8"/>
        <v>0</v>
      </c>
      <c r="I48" s="613">
        <f t="shared" si="7"/>
        <v>9.9000000000000005E-2</v>
      </c>
      <c r="J48" s="613">
        <f t="shared" si="8"/>
        <v>2.7E-2</v>
      </c>
      <c r="K48" s="613">
        <f t="shared" si="8"/>
        <v>8.9999999999999993E-3</v>
      </c>
      <c r="L48" s="613">
        <f t="shared" si="8"/>
        <v>7.1999999999999995E-2</v>
      </c>
      <c r="M48" s="613">
        <f t="shared" si="8"/>
        <v>3.3000000000000002E-2</v>
      </c>
      <c r="N48" s="613">
        <f t="shared" si="8"/>
        <v>0.04</v>
      </c>
      <c r="O48" s="613">
        <f t="shared" si="8"/>
        <v>0.156</v>
      </c>
      <c r="P48" s="620">
        <f t="shared" si="9"/>
        <v>1</v>
      </c>
      <c r="S48" s="619">
        <f t="shared" si="4"/>
        <v>2035</v>
      </c>
      <c r="T48" s="621">
        <v>0</v>
      </c>
      <c r="U48" s="621">
        <v>5</v>
      </c>
      <c r="V48" s="622">
        <f t="shared" si="5"/>
        <v>0</v>
      </c>
      <c r="W48" s="623">
        <v>1</v>
      </c>
      <c r="X48" s="624">
        <f t="shared" si="10"/>
        <v>0</v>
      </c>
    </row>
    <row r="49" spans="2:24">
      <c r="B49" s="619">
        <f t="shared" si="11"/>
        <v>2036</v>
      </c>
      <c r="C49" s="625"/>
      <c r="D49" s="612">
        <v>1</v>
      </c>
      <c r="E49" s="613">
        <f t="shared" si="8"/>
        <v>0.435</v>
      </c>
      <c r="F49" s="613">
        <f t="shared" si="8"/>
        <v>0.129</v>
      </c>
      <c r="G49" s="613">
        <f t="shared" si="8"/>
        <v>0</v>
      </c>
      <c r="H49" s="613">
        <f t="shared" si="8"/>
        <v>0</v>
      </c>
      <c r="I49" s="613">
        <f t="shared" si="8"/>
        <v>9.9000000000000005E-2</v>
      </c>
      <c r="J49" s="613">
        <f t="shared" si="8"/>
        <v>2.7E-2</v>
      </c>
      <c r="K49" s="613">
        <f t="shared" si="8"/>
        <v>8.9999999999999993E-3</v>
      </c>
      <c r="L49" s="613">
        <f t="shared" si="8"/>
        <v>7.1999999999999995E-2</v>
      </c>
      <c r="M49" s="613">
        <f t="shared" si="8"/>
        <v>3.3000000000000002E-2</v>
      </c>
      <c r="N49" s="613">
        <f t="shared" si="8"/>
        <v>0.04</v>
      </c>
      <c r="O49" s="613">
        <f t="shared" si="8"/>
        <v>0.156</v>
      </c>
      <c r="P49" s="620">
        <f t="shared" si="9"/>
        <v>1</v>
      </c>
      <c r="S49" s="619">
        <f t="shared" si="4"/>
        <v>2036</v>
      </c>
      <c r="T49" s="621">
        <v>0</v>
      </c>
      <c r="U49" s="621">
        <v>5</v>
      </c>
      <c r="V49" s="622">
        <f t="shared" si="5"/>
        <v>0</v>
      </c>
      <c r="W49" s="623">
        <v>1</v>
      </c>
      <c r="X49" s="624">
        <f t="shared" si="10"/>
        <v>0</v>
      </c>
    </row>
    <row r="50" spans="2:24">
      <c r="B50" s="619">
        <f t="shared" si="11"/>
        <v>2037</v>
      </c>
      <c r="C50" s="625"/>
      <c r="D50" s="612">
        <v>1</v>
      </c>
      <c r="E50" s="613">
        <f t="shared" si="8"/>
        <v>0.435</v>
      </c>
      <c r="F50" s="613">
        <f t="shared" si="8"/>
        <v>0.129</v>
      </c>
      <c r="G50" s="613">
        <f t="shared" si="8"/>
        <v>0</v>
      </c>
      <c r="H50" s="613">
        <f t="shared" si="8"/>
        <v>0</v>
      </c>
      <c r="I50" s="613">
        <f t="shared" si="8"/>
        <v>9.9000000000000005E-2</v>
      </c>
      <c r="J50" s="613">
        <f t="shared" si="8"/>
        <v>2.7E-2</v>
      </c>
      <c r="K50" s="613">
        <f t="shared" si="8"/>
        <v>8.9999999999999993E-3</v>
      </c>
      <c r="L50" s="613">
        <f t="shared" si="8"/>
        <v>7.1999999999999995E-2</v>
      </c>
      <c r="M50" s="613">
        <f t="shared" si="8"/>
        <v>3.3000000000000002E-2</v>
      </c>
      <c r="N50" s="613">
        <f t="shared" si="8"/>
        <v>0.04</v>
      </c>
      <c r="O50" s="613">
        <f t="shared" si="8"/>
        <v>0.156</v>
      </c>
      <c r="P50" s="620">
        <f t="shared" si="9"/>
        <v>1</v>
      </c>
      <c r="S50" s="619">
        <f t="shared" si="4"/>
        <v>2037</v>
      </c>
      <c r="T50" s="621">
        <v>0</v>
      </c>
      <c r="U50" s="621">
        <v>5</v>
      </c>
      <c r="V50" s="622">
        <f t="shared" si="5"/>
        <v>0</v>
      </c>
      <c r="W50" s="623">
        <v>1</v>
      </c>
      <c r="X50" s="624">
        <f t="shared" si="10"/>
        <v>0</v>
      </c>
    </row>
    <row r="51" spans="2:24">
      <c r="B51" s="619">
        <f t="shared" si="11"/>
        <v>2038</v>
      </c>
      <c r="C51" s="625"/>
      <c r="D51" s="612">
        <v>1</v>
      </c>
      <c r="E51" s="613">
        <f t="shared" si="8"/>
        <v>0.435</v>
      </c>
      <c r="F51" s="613">
        <f t="shared" si="8"/>
        <v>0.129</v>
      </c>
      <c r="G51" s="613">
        <f t="shared" si="8"/>
        <v>0</v>
      </c>
      <c r="H51" s="613">
        <f t="shared" si="8"/>
        <v>0</v>
      </c>
      <c r="I51" s="613">
        <f t="shared" si="8"/>
        <v>9.9000000000000005E-2</v>
      </c>
      <c r="J51" s="613">
        <f t="shared" si="8"/>
        <v>2.7E-2</v>
      </c>
      <c r="K51" s="613">
        <f t="shared" si="8"/>
        <v>8.9999999999999993E-3</v>
      </c>
      <c r="L51" s="613">
        <f t="shared" si="8"/>
        <v>7.1999999999999995E-2</v>
      </c>
      <c r="M51" s="613">
        <f t="shared" si="8"/>
        <v>3.3000000000000002E-2</v>
      </c>
      <c r="N51" s="613">
        <f t="shared" si="8"/>
        <v>0.04</v>
      </c>
      <c r="O51" s="613">
        <f t="shared" si="8"/>
        <v>0.156</v>
      </c>
      <c r="P51" s="620">
        <f t="shared" si="9"/>
        <v>1</v>
      </c>
      <c r="S51" s="619">
        <f t="shared" si="4"/>
        <v>2038</v>
      </c>
      <c r="T51" s="621">
        <v>0</v>
      </c>
      <c r="U51" s="621">
        <v>5</v>
      </c>
      <c r="V51" s="622">
        <f t="shared" si="5"/>
        <v>0</v>
      </c>
      <c r="W51" s="623">
        <v>1</v>
      </c>
      <c r="X51" s="624">
        <f t="shared" si="10"/>
        <v>0</v>
      </c>
    </row>
    <row r="52" spans="2:24">
      <c r="B52" s="619">
        <f t="shared" si="11"/>
        <v>2039</v>
      </c>
      <c r="C52" s="625"/>
      <c r="D52" s="612">
        <v>1</v>
      </c>
      <c r="E52" s="613">
        <f t="shared" si="8"/>
        <v>0.435</v>
      </c>
      <c r="F52" s="613">
        <f t="shared" si="8"/>
        <v>0.129</v>
      </c>
      <c r="G52" s="613">
        <f t="shared" si="8"/>
        <v>0</v>
      </c>
      <c r="H52" s="613">
        <f t="shared" si="8"/>
        <v>0</v>
      </c>
      <c r="I52" s="613">
        <f t="shared" si="8"/>
        <v>9.9000000000000005E-2</v>
      </c>
      <c r="J52" s="613">
        <f t="shared" si="8"/>
        <v>2.7E-2</v>
      </c>
      <c r="K52" s="613">
        <f t="shared" si="8"/>
        <v>8.9999999999999993E-3</v>
      </c>
      <c r="L52" s="613">
        <f t="shared" si="8"/>
        <v>7.1999999999999995E-2</v>
      </c>
      <c r="M52" s="613">
        <f t="shared" si="8"/>
        <v>3.3000000000000002E-2</v>
      </c>
      <c r="N52" s="613">
        <f t="shared" si="8"/>
        <v>0.04</v>
      </c>
      <c r="O52" s="613">
        <f t="shared" si="8"/>
        <v>0.156</v>
      </c>
      <c r="P52" s="620">
        <f t="shared" si="9"/>
        <v>1</v>
      </c>
      <c r="S52" s="619">
        <f t="shared" si="4"/>
        <v>2039</v>
      </c>
      <c r="T52" s="621">
        <v>0</v>
      </c>
      <c r="U52" s="621">
        <v>5</v>
      </c>
      <c r="V52" s="622">
        <f t="shared" si="5"/>
        <v>0</v>
      </c>
      <c r="W52" s="623">
        <v>1</v>
      </c>
      <c r="X52" s="624">
        <f t="shared" si="10"/>
        <v>0</v>
      </c>
    </row>
    <row r="53" spans="2:24">
      <c r="B53" s="619">
        <f t="shared" si="11"/>
        <v>2040</v>
      </c>
      <c r="C53" s="625"/>
      <c r="D53" s="612">
        <v>1</v>
      </c>
      <c r="E53" s="613">
        <f t="shared" ref="E53:O68" si="12">E$8</f>
        <v>0.435</v>
      </c>
      <c r="F53" s="613">
        <f t="shared" si="12"/>
        <v>0.129</v>
      </c>
      <c r="G53" s="613">
        <f t="shared" si="8"/>
        <v>0</v>
      </c>
      <c r="H53" s="613">
        <f t="shared" si="12"/>
        <v>0</v>
      </c>
      <c r="I53" s="613">
        <f t="shared" si="8"/>
        <v>9.9000000000000005E-2</v>
      </c>
      <c r="J53" s="613">
        <f t="shared" si="12"/>
        <v>2.7E-2</v>
      </c>
      <c r="K53" s="613">
        <f t="shared" si="12"/>
        <v>8.9999999999999993E-3</v>
      </c>
      <c r="L53" s="613">
        <f t="shared" si="12"/>
        <v>7.1999999999999995E-2</v>
      </c>
      <c r="M53" s="613">
        <f t="shared" si="12"/>
        <v>3.3000000000000002E-2</v>
      </c>
      <c r="N53" s="613">
        <f t="shared" si="12"/>
        <v>0.04</v>
      </c>
      <c r="O53" s="613">
        <f t="shared" si="12"/>
        <v>0.156</v>
      </c>
      <c r="P53" s="620">
        <f t="shared" si="9"/>
        <v>1</v>
      </c>
      <c r="S53" s="619">
        <f t="shared" si="4"/>
        <v>2040</v>
      </c>
      <c r="T53" s="621">
        <v>0</v>
      </c>
      <c r="U53" s="621">
        <v>5</v>
      </c>
      <c r="V53" s="622">
        <f t="shared" si="5"/>
        <v>0</v>
      </c>
      <c r="W53" s="623">
        <v>1</v>
      </c>
      <c r="X53" s="624">
        <f t="shared" si="10"/>
        <v>0</v>
      </c>
    </row>
    <row r="54" spans="2:24">
      <c r="B54" s="619">
        <f t="shared" si="11"/>
        <v>2041</v>
      </c>
      <c r="C54" s="625"/>
      <c r="D54" s="612">
        <v>1</v>
      </c>
      <c r="E54" s="613">
        <f t="shared" si="12"/>
        <v>0.435</v>
      </c>
      <c r="F54" s="613">
        <f t="shared" si="12"/>
        <v>0.129</v>
      </c>
      <c r="G54" s="613">
        <f t="shared" si="8"/>
        <v>0</v>
      </c>
      <c r="H54" s="613">
        <f t="shared" si="12"/>
        <v>0</v>
      </c>
      <c r="I54" s="613">
        <f t="shared" si="8"/>
        <v>9.9000000000000005E-2</v>
      </c>
      <c r="J54" s="613">
        <f t="shared" si="12"/>
        <v>2.7E-2</v>
      </c>
      <c r="K54" s="613">
        <f t="shared" si="12"/>
        <v>8.9999999999999993E-3</v>
      </c>
      <c r="L54" s="613">
        <f t="shared" si="12"/>
        <v>7.1999999999999995E-2</v>
      </c>
      <c r="M54" s="613">
        <f t="shared" si="12"/>
        <v>3.3000000000000002E-2</v>
      </c>
      <c r="N54" s="613">
        <f t="shared" si="12"/>
        <v>0.04</v>
      </c>
      <c r="O54" s="613">
        <f t="shared" si="12"/>
        <v>0.156</v>
      </c>
      <c r="P54" s="620">
        <f t="shared" si="9"/>
        <v>1</v>
      </c>
      <c r="S54" s="619">
        <f t="shared" si="4"/>
        <v>2041</v>
      </c>
      <c r="T54" s="621">
        <v>0</v>
      </c>
      <c r="U54" s="621">
        <v>5</v>
      </c>
      <c r="V54" s="622">
        <f t="shared" si="5"/>
        <v>0</v>
      </c>
      <c r="W54" s="623">
        <v>1</v>
      </c>
      <c r="X54" s="624">
        <f t="shared" si="10"/>
        <v>0</v>
      </c>
    </row>
    <row r="55" spans="2:24">
      <c r="B55" s="619">
        <f t="shared" si="11"/>
        <v>2042</v>
      </c>
      <c r="C55" s="625"/>
      <c r="D55" s="612">
        <v>1</v>
      </c>
      <c r="E55" s="613">
        <f t="shared" si="12"/>
        <v>0.435</v>
      </c>
      <c r="F55" s="613">
        <f t="shared" si="12"/>
        <v>0.129</v>
      </c>
      <c r="G55" s="613">
        <f t="shared" si="8"/>
        <v>0</v>
      </c>
      <c r="H55" s="613">
        <f t="shared" si="12"/>
        <v>0</v>
      </c>
      <c r="I55" s="613">
        <f t="shared" si="8"/>
        <v>9.9000000000000005E-2</v>
      </c>
      <c r="J55" s="613">
        <f t="shared" si="12"/>
        <v>2.7E-2</v>
      </c>
      <c r="K55" s="613">
        <f t="shared" si="12"/>
        <v>8.9999999999999993E-3</v>
      </c>
      <c r="L55" s="613">
        <f t="shared" si="12"/>
        <v>7.1999999999999995E-2</v>
      </c>
      <c r="M55" s="613">
        <f t="shared" si="12"/>
        <v>3.3000000000000002E-2</v>
      </c>
      <c r="N55" s="613">
        <f t="shared" si="12"/>
        <v>0.04</v>
      </c>
      <c r="O55" s="613">
        <f t="shared" si="12"/>
        <v>0.156</v>
      </c>
      <c r="P55" s="620">
        <f t="shared" si="9"/>
        <v>1</v>
      </c>
      <c r="S55" s="619">
        <f t="shared" si="4"/>
        <v>2042</v>
      </c>
      <c r="T55" s="621">
        <v>0</v>
      </c>
      <c r="U55" s="621">
        <v>5</v>
      </c>
      <c r="V55" s="622">
        <f t="shared" si="5"/>
        <v>0</v>
      </c>
      <c r="W55" s="623">
        <v>1</v>
      </c>
      <c r="X55" s="624">
        <f t="shared" si="10"/>
        <v>0</v>
      </c>
    </row>
    <row r="56" spans="2:24">
      <c r="B56" s="619">
        <f t="shared" si="11"/>
        <v>2043</v>
      </c>
      <c r="C56" s="625"/>
      <c r="D56" s="612">
        <v>1</v>
      </c>
      <c r="E56" s="613">
        <f t="shared" si="12"/>
        <v>0.435</v>
      </c>
      <c r="F56" s="613">
        <f t="shared" si="12"/>
        <v>0.129</v>
      </c>
      <c r="G56" s="613">
        <f t="shared" si="8"/>
        <v>0</v>
      </c>
      <c r="H56" s="613">
        <f t="shared" si="12"/>
        <v>0</v>
      </c>
      <c r="I56" s="613">
        <f t="shared" si="8"/>
        <v>9.9000000000000005E-2</v>
      </c>
      <c r="J56" s="613">
        <f t="shared" si="12"/>
        <v>2.7E-2</v>
      </c>
      <c r="K56" s="613">
        <f t="shared" si="12"/>
        <v>8.9999999999999993E-3</v>
      </c>
      <c r="L56" s="613">
        <f t="shared" si="12"/>
        <v>7.1999999999999995E-2</v>
      </c>
      <c r="M56" s="613">
        <f t="shared" si="12"/>
        <v>3.3000000000000002E-2</v>
      </c>
      <c r="N56" s="613">
        <f t="shared" si="12"/>
        <v>0.04</v>
      </c>
      <c r="O56" s="613">
        <f t="shared" si="12"/>
        <v>0.156</v>
      </c>
      <c r="P56" s="620">
        <f t="shared" si="9"/>
        <v>1</v>
      </c>
      <c r="S56" s="619">
        <f t="shared" si="4"/>
        <v>2043</v>
      </c>
      <c r="T56" s="621">
        <v>0</v>
      </c>
      <c r="U56" s="621">
        <v>5</v>
      </c>
      <c r="V56" s="622">
        <f t="shared" si="5"/>
        <v>0</v>
      </c>
      <c r="W56" s="623">
        <v>1</v>
      </c>
      <c r="X56" s="624">
        <f t="shared" si="10"/>
        <v>0</v>
      </c>
    </row>
    <row r="57" spans="2:24">
      <c r="B57" s="619">
        <f t="shared" si="11"/>
        <v>2044</v>
      </c>
      <c r="C57" s="625"/>
      <c r="D57" s="612">
        <v>1</v>
      </c>
      <c r="E57" s="613">
        <f t="shared" si="12"/>
        <v>0.435</v>
      </c>
      <c r="F57" s="613">
        <f t="shared" si="12"/>
        <v>0.129</v>
      </c>
      <c r="G57" s="613">
        <f t="shared" si="8"/>
        <v>0</v>
      </c>
      <c r="H57" s="613">
        <f t="shared" si="12"/>
        <v>0</v>
      </c>
      <c r="I57" s="613">
        <f t="shared" si="8"/>
        <v>9.9000000000000005E-2</v>
      </c>
      <c r="J57" s="613">
        <f t="shared" si="12"/>
        <v>2.7E-2</v>
      </c>
      <c r="K57" s="613">
        <f t="shared" si="12"/>
        <v>8.9999999999999993E-3</v>
      </c>
      <c r="L57" s="613">
        <f t="shared" si="12"/>
        <v>7.1999999999999995E-2</v>
      </c>
      <c r="M57" s="613">
        <f t="shared" si="12"/>
        <v>3.3000000000000002E-2</v>
      </c>
      <c r="N57" s="613">
        <f t="shared" si="12"/>
        <v>0.04</v>
      </c>
      <c r="O57" s="613">
        <f t="shared" si="12"/>
        <v>0.156</v>
      </c>
      <c r="P57" s="620">
        <f t="shared" si="9"/>
        <v>1</v>
      </c>
      <c r="S57" s="619">
        <f t="shared" si="4"/>
        <v>2044</v>
      </c>
      <c r="T57" s="621">
        <v>0</v>
      </c>
      <c r="U57" s="621">
        <v>5</v>
      </c>
      <c r="V57" s="622">
        <f t="shared" si="5"/>
        <v>0</v>
      </c>
      <c r="W57" s="623">
        <v>1</v>
      </c>
      <c r="X57" s="624">
        <f t="shared" si="10"/>
        <v>0</v>
      </c>
    </row>
    <row r="58" spans="2:24">
      <c r="B58" s="619">
        <f t="shared" si="11"/>
        <v>2045</v>
      </c>
      <c r="C58" s="625"/>
      <c r="D58" s="612">
        <v>1</v>
      </c>
      <c r="E58" s="613">
        <f t="shared" si="12"/>
        <v>0.435</v>
      </c>
      <c r="F58" s="613">
        <f t="shared" si="12"/>
        <v>0.129</v>
      </c>
      <c r="G58" s="613">
        <f t="shared" si="8"/>
        <v>0</v>
      </c>
      <c r="H58" s="613">
        <f t="shared" si="12"/>
        <v>0</v>
      </c>
      <c r="I58" s="613">
        <f t="shared" si="8"/>
        <v>9.9000000000000005E-2</v>
      </c>
      <c r="J58" s="613">
        <f t="shared" si="12"/>
        <v>2.7E-2</v>
      </c>
      <c r="K58" s="613">
        <f t="shared" si="12"/>
        <v>8.9999999999999993E-3</v>
      </c>
      <c r="L58" s="613">
        <f t="shared" si="12"/>
        <v>7.1999999999999995E-2</v>
      </c>
      <c r="M58" s="613">
        <f t="shared" si="12"/>
        <v>3.3000000000000002E-2</v>
      </c>
      <c r="N58" s="613">
        <f t="shared" si="12"/>
        <v>0.04</v>
      </c>
      <c r="O58" s="613">
        <f t="shared" si="12"/>
        <v>0.156</v>
      </c>
      <c r="P58" s="620">
        <f t="shared" si="9"/>
        <v>1</v>
      </c>
      <c r="S58" s="619">
        <f t="shared" si="4"/>
        <v>2045</v>
      </c>
      <c r="T58" s="621">
        <v>0</v>
      </c>
      <c r="U58" s="621">
        <v>5</v>
      </c>
      <c r="V58" s="622">
        <f t="shared" si="5"/>
        <v>0</v>
      </c>
      <c r="W58" s="623">
        <v>1</v>
      </c>
      <c r="X58" s="624">
        <f t="shared" si="10"/>
        <v>0</v>
      </c>
    </row>
    <row r="59" spans="2:24">
      <c r="B59" s="619">
        <f t="shared" si="11"/>
        <v>2046</v>
      </c>
      <c r="C59" s="625"/>
      <c r="D59" s="612">
        <v>1</v>
      </c>
      <c r="E59" s="613">
        <f t="shared" si="12"/>
        <v>0.435</v>
      </c>
      <c r="F59" s="613">
        <f t="shared" si="12"/>
        <v>0.129</v>
      </c>
      <c r="G59" s="613">
        <f t="shared" si="12"/>
        <v>0</v>
      </c>
      <c r="H59" s="613">
        <f t="shared" si="12"/>
        <v>0</v>
      </c>
      <c r="I59" s="613">
        <f t="shared" si="12"/>
        <v>9.9000000000000005E-2</v>
      </c>
      <c r="J59" s="613">
        <f t="shared" si="12"/>
        <v>2.7E-2</v>
      </c>
      <c r="K59" s="613">
        <f t="shared" si="12"/>
        <v>8.9999999999999993E-3</v>
      </c>
      <c r="L59" s="613">
        <f t="shared" si="12"/>
        <v>7.1999999999999995E-2</v>
      </c>
      <c r="M59" s="613">
        <f t="shared" si="12"/>
        <v>3.3000000000000002E-2</v>
      </c>
      <c r="N59" s="613">
        <f t="shared" si="12"/>
        <v>0.04</v>
      </c>
      <c r="O59" s="613">
        <f t="shared" si="12"/>
        <v>0.156</v>
      </c>
      <c r="P59" s="620">
        <f t="shared" si="9"/>
        <v>1</v>
      </c>
      <c r="S59" s="619">
        <f t="shared" si="4"/>
        <v>2046</v>
      </c>
      <c r="T59" s="621">
        <v>0</v>
      </c>
      <c r="U59" s="621">
        <v>5</v>
      </c>
      <c r="V59" s="622">
        <f t="shared" si="5"/>
        <v>0</v>
      </c>
      <c r="W59" s="623">
        <v>1</v>
      </c>
      <c r="X59" s="624">
        <f t="shared" si="10"/>
        <v>0</v>
      </c>
    </row>
    <row r="60" spans="2:24">
      <c r="B60" s="619">
        <f t="shared" si="11"/>
        <v>2047</v>
      </c>
      <c r="C60" s="625"/>
      <c r="D60" s="612">
        <v>1</v>
      </c>
      <c r="E60" s="613">
        <f t="shared" si="12"/>
        <v>0.435</v>
      </c>
      <c r="F60" s="613">
        <f t="shared" si="12"/>
        <v>0.129</v>
      </c>
      <c r="G60" s="613">
        <f t="shared" si="12"/>
        <v>0</v>
      </c>
      <c r="H60" s="613">
        <f t="shared" si="12"/>
        <v>0</v>
      </c>
      <c r="I60" s="613">
        <f t="shared" si="12"/>
        <v>9.9000000000000005E-2</v>
      </c>
      <c r="J60" s="613">
        <f t="shared" si="12"/>
        <v>2.7E-2</v>
      </c>
      <c r="K60" s="613">
        <f t="shared" si="12"/>
        <v>8.9999999999999993E-3</v>
      </c>
      <c r="L60" s="613">
        <f t="shared" si="12"/>
        <v>7.1999999999999995E-2</v>
      </c>
      <c r="M60" s="613">
        <f t="shared" si="12"/>
        <v>3.3000000000000002E-2</v>
      </c>
      <c r="N60" s="613">
        <f t="shared" si="12"/>
        <v>0.04</v>
      </c>
      <c r="O60" s="613">
        <f t="shared" si="12"/>
        <v>0.156</v>
      </c>
      <c r="P60" s="620">
        <f t="shared" si="9"/>
        <v>1</v>
      </c>
      <c r="S60" s="619">
        <f t="shared" si="4"/>
        <v>2047</v>
      </c>
      <c r="T60" s="621">
        <v>0</v>
      </c>
      <c r="U60" s="621">
        <v>5</v>
      </c>
      <c r="V60" s="622">
        <f t="shared" si="5"/>
        <v>0</v>
      </c>
      <c r="W60" s="623">
        <v>1</v>
      </c>
      <c r="X60" s="624">
        <f t="shared" si="10"/>
        <v>0</v>
      </c>
    </row>
    <row r="61" spans="2:24">
      <c r="B61" s="619">
        <f t="shared" si="11"/>
        <v>2048</v>
      </c>
      <c r="C61" s="625"/>
      <c r="D61" s="612">
        <v>1</v>
      </c>
      <c r="E61" s="613">
        <f t="shared" si="12"/>
        <v>0.435</v>
      </c>
      <c r="F61" s="613">
        <f t="shared" si="12"/>
        <v>0.129</v>
      </c>
      <c r="G61" s="613">
        <f t="shared" si="12"/>
        <v>0</v>
      </c>
      <c r="H61" s="613">
        <f t="shared" si="12"/>
        <v>0</v>
      </c>
      <c r="I61" s="613">
        <f t="shared" si="12"/>
        <v>9.9000000000000005E-2</v>
      </c>
      <c r="J61" s="613">
        <f t="shared" si="12"/>
        <v>2.7E-2</v>
      </c>
      <c r="K61" s="613">
        <f t="shared" si="12"/>
        <v>8.9999999999999993E-3</v>
      </c>
      <c r="L61" s="613">
        <f t="shared" si="12"/>
        <v>7.1999999999999995E-2</v>
      </c>
      <c r="M61" s="613">
        <f t="shared" si="12"/>
        <v>3.3000000000000002E-2</v>
      </c>
      <c r="N61" s="613">
        <f t="shared" si="12"/>
        <v>0.04</v>
      </c>
      <c r="O61" s="613">
        <f t="shared" si="12"/>
        <v>0.156</v>
      </c>
      <c r="P61" s="620">
        <f t="shared" si="9"/>
        <v>1</v>
      </c>
      <c r="S61" s="619">
        <f t="shared" si="4"/>
        <v>2048</v>
      </c>
      <c r="T61" s="621">
        <v>0</v>
      </c>
      <c r="U61" s="621">
        <v>5</v>
      </c>
      <c r="V61" s="622">
        <f t="shared" si="5"/>
        <v>0</v>
      </c>
      <c r="W61" s="623">
        <v>1</v>
      </c>
      <c r="X61" s="624">
        <f t="shared" si="10"/>
        <v>0</v>
      </c>
    </row>
    <row r="62" spans="2:24">
      <c r="B62" s="619">
        <f t="shared" si="11"/>
        <v>2049</v>
      </c>
      <c r="C62" s="625"/>
      <c r="D62" s="612">
        <v>1</v>
      </c>
      <c r="E62" s="613">
        <f t="shared" si="12"/>
        <v>0.435</v>
      </c>
      <c r="F62" s="613">
        <f t="shared" si="12"/>
        <v>0.129</v>
      </c>
      <c r="G62" s="613">
        <f t="shared" si="12"/>
        <v>0</v>
      </c>
      <c r="H62" s="613">
        <f t="shared" si="12"/>
        <v>0</v>
      </c>
      <c r="I62" s="613">
        <f t="shared" si="12"/>
        <v>9.9000000000000005E-2</v>
      </c>
      <c r="J62" s="613">
        <f t="shared" si="12"/>
        <v>2.7E-2</v>
      </c>
      <c r="K62" s="613">
        <f t="shared" si="12"/>
        <v>8.9999999999999993E-3</v>
      </c>
      <c r="L62" s="613">
        <f t="shared" si="12"/>
        <v>7.1999999999999995E-2</v>
      </c>
      <c r="M62" s="613">
        <f t="shared" si="12"/>
        <v>3.3000000000000002E-2</v>
      </c>
      <c r="N62" s="613">
        <f t="shared" si="12"/>
        <v>0.04</v>
      </c>
      <c r="O62" s="613">
        <f t="shared" si="12"/>
        <v>0.156</v>
      </c>
      <c r="P62" s="620">
        <f t="shared" si="9"/>
        <v>1</v>
      </c>
      <c r="S62" s="619">
        <f t="shared" si="4"/>
        <v>2049</v>
      </c>
      <c r="T62" s="621">
        <v>0</v>
      </c>
      <c r="U62" s="621">
        <v>5</v>
      </c>
      <c r="V62" s="622">
        <f t="shared" si="5"/>
        <v>0</v>
      </c>
      <c r="W62" s="623">
        <v>1</v>
      </c>
      <c r="X62" s="624">
        <f t="shared" si="10"/>
        <v>0</v>
      </c>
    </row>
    <row r="63" spans="2:24">
      <c r="B63" s="619">
        <f t="shared" si="11"/>
        <v>2050</v>
      </c>
      <c r="C63" s="625"/>
      <c r="D63" s="612">
        <v>1</v>
      </c>
      <c r="E63" s="613">
        <f t="shared" ref="E63:O78" si="13">E$8</f>
        <v>0.435</v>
      </c>
      <c r="F63" s="613">
        <f t="shared" si="13"/>
        <v>0.129</v>
      </c>
      <c r="G63" s="613">
        <f t="shared" si="12"/>
        <v>0</v>
      </c>
      <c r="H63" s="613">
        <f t="shared" si="13"/>
        <v>0</v>
      </c>
      <c r="I63" s="613">
        <f t="shared" si="12"/>
        <v>9.9000000000000005E-2</v>
      </c>
      <c r="J63" s="613">
        <f t="shared" si="13"/>
        <v>2.7E-2</v>
      </c>
      <c r="K63" s="613">
        <f t="shared" si="13"/>
        <v>8.9999999999999993E-3</v>
      </c>
      <c r="L63" s="613">
        <f t="shared" si="13"/>
        <v>7.1999999999999995E-2</v>
      </c>
      <c r="M63" s="613">
        <f t="shared" si="13"/>
        <v>3.3000000000000002E-2</v>
      </c>
      <c r="N63" s="613">
        <f t="shared" si="13"/>
        <v>0.04</v>
      </c>
      <c r="O63" s="613">
        <f t="shared" si="13"/>
        <v>0.156</v>
      </c>
      <c r="P63" s="620">
        <f t="shared" si="9"/>
        <v>1</v>
      </c>
      <c r="S63" s="619">
        <f t="shared" si="4"/>
        <v>2050</v>
      </c>
      <c r="T63" s="621">
        <v>0</v>
      </c>
      <c r="U63" s="621">
        <v>5</v>
      </c>
      <c r="V63" s="622">
        <f t="shared" si="5"/>
        <v>0</v>
      </c>
      <c r="W63" s="623">
        <v>1</v>
      </c>
      <c r="X63" s="624">
        <f t="shared" si="10"/>
        <v>0</v>
      </c>
    </row>
    <row r="64" spans="2:24">
      <c r="B64" s="619">
        <f t="shared" si="11"/>
        <v>2051</v>
      </c>
      <c r="C64" s="625"/>
      <c r="D64" s="612">
        <v>1</v>
      </c>
      <c r="E64" s="613">
        <f t="shared" si="13"/>
        <v>0.435</v>
      </c>
      <c r="F64" s="613">
        <f t="shared" si="13"/>
        <v>0.129</v>
      </c>
      <c r="G64" s="613">
        <f t="shared" si="12"/>
        <v>0</v>
      </c>
      <c r="H64" s="613">
        <f t="shared" si="13"/>
        <v>0</v>
      </c>
      <c r="I64" s="613">
        <f t="shared" si="12"/>
        <v>9.9000000000000005E-2</v>
      </c>
      <c r="J64" s="613">
        <f t="shared" si="13"/>
        <v>2.7E-2</v>
      </c>
      <c r="K64" s="613">
        <f t="shared" si="13"/>
        <v>8.9999999999999993E-3</v>
      </c>
      <c r="L64" s="613">
        <f t="shared" si="13"/>
        <v>7.1999999999999995E-2</v>
      </c>
      <c r="M64" s="613">
        <f t="shared" si="13"/>
        <v>3.3000000000000002E-2</v>
      </c>
      <c r="N64" s="613">
        <f t="shared" si="13"/>
        <v>0.04</v>
      </c>
      <c r="O64" s="613">
        <f t="shared" si="13"/>
        <v>0.156</v>
      </c>
      <c r="P64" s="620">
        <f t="shared" si="9"/>
        <v>1</v>
      </c>
      <c r="S64" s="619">
        <f t="shared" si="4"/>
        <v>2051</v>
      </c>
      <c r="T64" s="621">
        <v>0</v>
      </c>
      <c r="U64" s="621">
        <v>5</v>
      </c>
      <c r="V64" s="622">
        <f t="shared" si="5"/>
        <v>0</v>
      </c>
      <c r="W64" s="623">
        <v>1</v>
      </c>
      <c r="X64" s="624">
        <f t="shared" si="10"/>
        <v>0</v>
      </c>
    </row>
    <row r="65" spans="2:24">
      <c r="B65" s="619">
        <f t="shared" si="11"/>
        <v>2052</v>
      </c>
      <c r="C65" s="625"/>
      <c r="D65" s="612">
        <v>1</v>
      </c>
      <c r="E65" s="613">
        <f t="shared" si="13"/>
        <v>0.435</v>
      </c>
      <c r="F65" s="613">
        <f t="shared" si="13"/>
        <v>0.129</v>
      </c>
      <c r="G65" s="613">
        <f t="shared" si="12"/>
        <v>0</v>
      </c>
      <c r="H65" s="613">
        <f t="shared" si="13"/>
        <v>0</v>
      </c>
      <c r="I65" s="613">
        <f t="shared" si="12"/>
        <v>9.9000000000000005E-2</v>
      </c>
      <c r="J65" s="613">
        <f t="shared" si="13"/>
        <v>2.7E-2</v>
      </c>
      <c r="K65" s="613">
        <f t="shared" si="13"/>
        <v>8.9999999999999993E-3</v>
      </c>
      <c r="L65" s="613">
        <f t="shared" si="13"/>
        <v>7.1999999999999995E-2</v>
      </c>
      <c r="M65" s="613">
        <f t="shared" si="13"/>
        <v>3.3000000000000002E-2</v>
      </c>
      <c r="N65" s="613">
        <f t="shared" si="13"/>
        <v>0.04</v>
      </c>
      <c r="O65" s="613">
        <f t="shared" si="13"/>
        <v>0.156</v>
      </c>
      <c r="P65" s="620">
        <f t="shared" si="9"/>
        <v>1</v>
      </c>
      <c r="S65" s="619">
        <f t="shared" si="4"/>
        <v>2052</v>
      </c>
      <c r="T65" s="621">
        <v>0</v>
      </c>
      <c r="U65" s="621">
        <v>5</v>
      </c>
      <c r="V65" s="622">
        <f t="shared" si="5"/>
        <v>0</v>
      </c>
      <c r="W65" s="623">
        <v>1</v>
      </c>
      <c r="X65" s="624">
        <f t="shared" si="10"/>
        <v>0</v>
      </c>
    </row>
    <row r="66" spans="2:24">
      <c r="B66" s="619">
        <f t="shared" si="11"/>
        <v>2053</v>
      </c>
      <c r="C66" s="625"/>
      <c r="D66" s="612">
        <v>1</v>
      </c>
      <c r="E66" s="613">
        <f t="shared" si="13"/>
        <v>0.435</v>
      </c>
      <c r="F66" s="613">
        <f t="shared" si="13"/>
        <v>0.129</v>
      </c>
      <c r="G66" s="613">
        <f t="shared" si="12"/>
        <v>0</v>
      </c>
      <c r="H66" s="613">
        <f t="shared" si="13"/>
        <v>0</v>
      </c>
      <c r="I66" s="613">
        <f t="shared" si="12"/>
        <v>9.9000000000000005E-2</v>
      </c>
      <c r="J66" s="613">
        <f t="shared" si="13"/>
        <v>2.7E-2</v>
      </c>
      <c r="K66" s="613">
        <f t="shared" si="13"/>
        <v>8.9999999999999993E-3</v>
      </c>
      <c r="L66" s="613">
        <f t="shared" si="13"/>
        <v>7.1999999999999995E-2</v>
      </c>
      <c r="M66" s="613">
        <f t="shared" si="13"/>
        <v>3.3000000000000002E-2</v>
      </c>
      <c r="N66" s="613">
        <f t="shared" si="13"/>
        <v>0.04</v>
      </c>
      <c r="O66" s="613">
        <f t="shared" si="13"/>
        <v>0.156</v>
      </c>
      <c r="P66" s="620">
        <f t="shared" si="9"/>
        <v>1</v>
      </c>
      <c r="S66" s="619">
        <f t="shared" si="4"/>
        <v>2053</v>
      </c>
      <c r="T66" s="621">
        <v>0</v>
      </c>
      <c r="U66" s="621">
        <v>5</v>
      </c>
      <c r="V66" s="622">
        <f t="shared" si="5"/>
        <v>0</v>
      </c>
      <c r="W66" s="623">
        <v>1</v>
      </c>
      <c r="X66" s="624">
        <f t="shared" si="10"/>
        <v>0</v>
      </c>
    </row>
    <row r="67" spans="2:24">
      <c r="B67" s="619">
        <f t="shared" si="11"/>
        <v>2054</v>
      </c>
      <c r="C67" s="625"/>
      <c r="D67" s="612">
        <v>1</v>
      </c>
      <c r="E67" s="613">
        <f t="shared" si="13"/>
        <v>0.435</v>
      </c>
      <c r="F67" s="613">
        <f t="shared" si="13"/>
        <v>0.129</v>
      </c>
      <c r="G67" s="613">
        <f t="shared" si="12"/>
        <v>0</v>
      </c>
      <c r="H67" s="613">
        <f t="shared" si="13"/>
        <v>0</v>
      </c>
      <c r="I67" s="613">
        <f t="shared" si="12"/>
        <v>9.9000000000000005E-2</v>
      </c>
      <c r="J67" s="613">
        <f t="shared" si="13"/>
        <v>2.7E-2</v>
      </c>
      <c r="K67" s="613">
        <f t="shared" si="13"/>
        <v>8.9999999999999993E-3</v>
      </c>
      <c r="L67" s="613">
        <f t="shared" si="13"/>
        <v>7.1999999999999995E-2</v>
      </c>
      <c r="M67" s="613">
        <f t="shared" si="13"/>
        <v>3.3000000000000002E-2</v>
      </c>
      <c r="N67" s="613">
        <f t="shared" si="13"/>
        <v>0.04</v>
      </c>
      <c r="O67" s="613">
        <f t="shared" si="13"/>
        <v>0.156</v>
      </c>
      <c r="P67" s="620">
        <f t="shared" si="9"/>
        <v>1</v>
      </c>
      <c r="S67" s="619">
        <f t="shared" si="4"/>
        <v>2054</v>
      </c>
      <c r="T67" s="621">
        <v>0</v>
      </c>
      <c r="U67" s="621">
        <v>5</v>
      </c>
      <c r="V67" s="622">
        <f t="shared" si="5"/>
        <v>0</v>
      </c>
      <c r="W67" s="623">
        <v>1</v>
      </c>
      <c r="X67" s="624">
        <f t="shared" si="10"/>
        <v>0</v>
      </c>
    </row>
    <row r="68" spans="2:24">
      <c r="B68" s="619">
        <f t="shared" si="11"/>
        <v>2055</v>
      </c>
      <c r="C68" s="625"/>
      <c r="D68" s="612">
        <v>1</v>
      </c>
      <c r="E68" s="613">
        <f t="shared" si="13"/>
        <v>0.435</v>
      </c>
      <c r="F68" s="613">
        <f t="shared" si="13"/>
        <v>0.129</v>
      </c>
      <c r="G68" s="613">
        <f t="shared" si="12"/>
        <v>0</v>
      </c>
      <c r="H68" s="613">
        <f t="shared" si="13"/>
        <v>0</v>
      </c>
      <c r="I68" s="613">
        <f t="shared" si="12"/>
        <v>9.9000000000000005E-2</v>
      </c>
      <c r="J68" s="613">
        <f t="shared" si="13"/>
        <v>2.7E-2</v>
      </c>
      <c r="K68" s="613">
        <f t="shared" si="13"/>
        <v>8.9999999999999993E-3</v>
      </c>
      <c r="L68" s="613">
        <f t="shared" si="13"/>
        <v>7.1999999999999995E-2</v>
      </c>
      <c r="M68" s="613">
        <f t="shared" si="13"/>
        <v>3.3000000000000002E-2</v>
      </c>
      <c r="N68" s="613">
        <f t="shared" si="13"/>
        <v>0.04</v>
      </c>
      <c r="O68" s="613">
        <f t="shared" si="13"/>
        <v>0.156</v>
      </c>
      <c r="P68" s="620">
        <f t="shared" si="9"/>
        <v>1</v>
      </c>
      <c r="S68" s="619">
        <f t="shared" si="4"/>
        <v>2055</v>
      </c>
      <c r="T68" s="621">
        <v>0</v>
      </c>
      <c r="U68" s="621">
        <v>5</v>
      </c>
      <c r="V68" s="622">
        <f t="shared" si="5"/>
        <v>0</v>
      </c>
      <c r="W68" s="623">
        <v>1</v>
      </c>
      <c r="X68" s="624">
        <f t="shared" si="10"/>
        <v>0</v>
      </c>
    </row>
    <row r="69" spans="2:24">
      <c r="B69" s="619">
        <f t="shared" si="11"/>
        <v>2056</v>
      </c>
      <c r="C69" s="625"/>
      <c r="D69" s="612">
        <v>1</v>
      </c>
      <c r="E69" s="613">
        <f t="shared" si="13"/>
        <v>0.435</v>
      </c>
      <c r="F69" s="613">
        <f t="shared" si="13"/>
        <v>0.129</v>
      </c>
      <c r="G69" s="613">
        <f t="shared" si="13"/>
        <v>0</v>
      </c>
      <c r="H69" s="613">
        <f t="shared" si="13"/>
        <v>0</v>
      </c>
      <c r="I69" s="613">
        <f t="shared" si="13"/>
        <v>9.9000000000000005E-2</v>
      </c>
      <c r="J69" s="613">
        <f t="shared" si="13"/>
        <v>2.7E-2</v>
      </c>
      <c r="K69" s="613">
        <f t="shared" si="13"/>
        <v>8.9999999999999993E-3</v>
      </c>
      <c r="L69" s="613">
        <f t="shared" si="13"/>
        <v>7.1999999999999995E-2</v>
      </c>
      <c r="M69" s="613">
        <f t="shared" si="13"/>
        <v>3.3000000000000002E-2</v>
      </c>
      <c r="N69" s="613">
        <f t="shared" si="13"/>
        <v>0.04</v>
      </c>
      <c r="O69" s="613">
        <f t="shared" si="13"/>
        <v>0.156</v>
      </c>
      <c r="P69" s="620">
        <f t="shared" si="9"/>
        <v>1</v>
      </c>
      <c r="S69" s="619">
        <f t="shared" si="4"/>
        <v>2056</v>
      </c>
      <c r="T69" s="621">
        <v>0</v>
      </c>
      <c r="U69" s="621">
        <v>5</v>
      </c>
      <c r="V69" s="622">
        <f t="shared" si="5"/>
        <v>0</v>
      </c>
      <c r="W69" s="623">
        <v>1</v>
      </c>
      <c r="X69" s="624">
        <f t="shared" si="10"/>
        <v>0</v>
      </c>
    </row>
    <row r="70" spans="2:24">
      <c r="B70" s="619">
        <f t="shared" si="11"/>
        <v>2057</v>
      </c>
      <c r="C70" s="625"/>
      <c r="D70" s="612">
        <v>1</v>
      </c>
      <c r="E70" s="613">
        <f t="shared" si="13"/>
        <v>0.435</v>
      </c>
      <c r="F70" s="613">
        <f t="shared" si="13"/>
        <v>0.129</v>
      </c>
      <c r="G70" s="613">
        <f t="shared" si="13"/>
        <v>0</v>
      </c>
      <c r="H70" s="613">
        <f t="shared" si="13"/>
        <v>0</v>
      </c>
      <c r="I70" s="613">
        <f t="shared" si="13"/>
        <v>9.9000000000000005E-2</v>
      </c>
      <c r="J70" s="613">
        <f t="shared" si="13"/>
        <v>2.7E-2</v>
      </c>
      <c r="K70" s="613">
        <f t="shared" si="13"/>
        <v>8.9999999999999993E-3</v>
      </c>
      <c r="L70" s="613">
        <f t="shared" si="13"/>
        <v>7.1999999999999995E-2</v>
      </c>
      <c r="M70" s="613">
        <f t="shared" si="13"/>
        <v>3.3000000000000002E-2</v>
      </c>
      <c r="N70" s="613">
        <f t="shared" si="13"/>
        <v>0.04</v>
      </c>
      <c r="O70" s="613">
        <f t="shared" si="13"/>
        <v>0.156</v>
      </c>
      <c r="P70" s="620">
        <f t="shared" si="9"/>
        <v>1</v>
      </c>
      <c r="S70" s="619">
        <f t="shared" si="4"/>
        <v>2057</v>
      </c>
      <c r="T70" s="621">
        <v>0</v>
      </c>
      <c r="U70" s="621">
        <v>5</v>
      </c>
      <c r="V70" s="622">
        <f t="shared" si="5"/>
        <v>0</v>
      </c>
      <c r="W70" s="623">
        <v>1</v>
      </c>
      <c r="X70" s="624">
        <f t="shared" si="10"/>
        <v>0</v>
      </c>
    </row>
    <row r="71" spans="2:24">
      <c r="B71" s="619">
        <f t="shared" si="11"/>
        <v>2058</v>
      </c>
      <c r="C71" s="625"/>
      <c r="D71" s="612">
        <v>1</v>
      </c>
      <c r="E71" s="613">
        <f t="shared" si="13"/>
        <v>0.435</v>
      </c>
      <c r="F71" s="613">
        <f t="shared" si="13"/>
        <v>0.129</v>
      </c>
      <c r="G71" s="613">
        <f t="shared" si="13"/>
        <v>0</v>
      </c>
      <c r="H71" s="613">
        <f t="shared" si="13"/>
        <v>0</v>
      </c>
      <c r="I71" s="613">
        <f t="shared" si="13"/>
        <v>9.9000000000000005E-2</v>
      </c>
      <c r="J71" s="613">
        <f t="shared" si="13"/>
        <v>2.7E-2</v>
      </c>
      <c r="K71" s="613">
        <f t="shared" si="13"/>
        <v>8.9999999999999993E-3</v>
      </c>
      <c r="L71" s="613">
        <f t="shared" si="13"/>
        <v>7.1999999999999995E-2</v>
      </c>
      <c r="M71" s="613">
        <f t="shared" si="13"/>
        <v>3.3000000000000002E-2</v>
      </c>
      <c r="N71" s="613">
        <f t="shared" si="13"/>
        <v>0.04</v>
      </c>
      <c r="O71" s="613">
        <f t="shared" si="13"/>
        <v>0.156</v>
      </c>
      <c r="P71" s="620">
        <f t="shared" si="9"/>
        <v>1</v>
      </c>
      <c r="S71" s="619">
        <f t="shared" si="4"/>
        <v>2058</v>
      </c>
      <c r="T71" s="621">
        <v>0</v>
      </c>
      <c r="U71" s="621">
        <v>5</v>
      </c>
      <c r="V71" s="622">
        <f t="shared" si="5"/>
        <v>0</v>
      </c>
      <c r="W71" s="623">
        <v>1</v>
      </c>
      <c r="X71" s="624">
        <f t="shared" si="10"/>
        <v>0</v>
      </c>
    </row>
    <row r="72" spans="2:24">
      <c r="B72" s="619">
        <f t="shared" si="11"/>
        <v>2059</v>
      </c>
      <c r="C72" s="625"/>
      <c r="D72" s="612">
        <v>1</v>
      </c>
      <c r="E72" s="613">
        <f t="shared" si="13"/>
        <v>0.435</v>
      </c>
      <c r="F72" s="613">
        <f t="shared" si="13"/>
        <v>0.129</v>
      </c>
      <c r="G72" s="613">
        <f t="shared" si="13"/>
        <v>0</v>
      </c>
      <c r="H72" s="613">
        <f t="shared" si="13"/>
        <v>0</v>
      </c>
      <c r="I72" s="613">
        <f t="shared" si="13"/>
        <v>9.9000000000000005E-2</v>
      </c>
      <c r="J72" s="613">
        <f t="shared" si="13"/>
        <v>2.7E-2</v>
      </c>
      <c r="K72" s="613">
        <f t="shared" si="13"/>
        <v>8.9999999999999993E-3</v>
      </c>
      <c r="L72" s="613">
        <f t="shared" si="13"/>
        <v>7.1999999999999995E-2</v>
      </c>
      <c r="M72" s="613">
        <f t="shared" si="13"/>
        <v>3.3000000000000002E-2</v>
      </c>
      <c r="N72" s="613">
        <f t="shared" si="13"/>
        <v>0.04</v>
      </c>
      <c r="O72" s="613">
        <f t="shared" si="13"/>
        <v>0.156</v>
      </c>
      <c r="P72" s="620">
        <f t="shared" si="9"/>
        <v>1</v>
      </c>
      <c r="S72" s="619">
        <f t="shared" si="4"/>
        <v>2059</v>
      </c>
      <c r="T72" s="621">
        <v>0</v>
      </c>
      <c r="U72" s="621">
        <v>5</v>
      </c>
      <c r="V72" s="622">
        <f t="shared" si="5"/>
        <v>0</v>
      </c>
      <c r="W72" s="623">
        <v>1</v>
      </c>
      <c r="X72" s="624">
        <f t="shared" si="10"/>
        <v>0</v>
      </c>
    </row>
    <row r="73" spans="2:24">
      <c r="B73" s="619">
        <f t="shared" si="11"/>
        <v>2060</v>
      </c>
      <c r="C73" s="625"/>
      <c r="D73" s="612">
        <v>1</v>
      </c>
      <c r="E73" s="613">
        <f t="shared" ref="E73:O88" si="14">E$8</f>
        <v>0.435</v>
      </c>
      <c r="F73" s="613">
        <f t="shared" si="14"/>
        <v>0.129</v>
      </c>
      <c r="G73" s="613">
        <f t="shared" si="13"/>
        <v>0</v>
      </c>
      <c r="H73" s="613">
        <f t="shared" si="14"/>
        <v>0</v>
      </c>
      <c r="I73" s="613">
        <f t="shared" si="13"/>
        <v>9.9000000000000005E-2</v>
      </c>
      <c r="J73" s="613">
        <f t="shared" si="14"/>
        <v>2.7E-2</v>
      </c>
      <c r="K73" s="613">
        <f t="shared" si="14"/>
        <v>8.9999999999999993E-3</v>
      </c>
      <c r="L73" s="613">
        <f t="shared" si="14"/>
        <v>7.1999999999999995E-2</v>
      </c>
      <c r="M73" s="613">
        <f t="shared" si="14"/>
        <v>3.3000000000000002E-2</v>
      </c>
      <c r="N73" s="613">
        <f t="shared" si="14"/>
        <v>0.04</v>
      </c>
      <c r="O73" s="613">
        <f t="shared" si="14"/>
        <v>0.156</v>
      </c>
      <c r="P73" s="620">
        <f t="shared" si="9"/>
        <v>1</v>
      </c>
      <c r="S73" s="619">
        <f t="shared" si="4"/>
        <v>2060</v>
      </c>
      <c r="T73" s="621">
        <v>0</v>
      </c>
      <c r="U73" s="621">
        <v>5</v>
      </c>
      <c r="V73" s="622">
        <f t="shared" si="5"/>
        <v>0</v>
      </c>
      <c r="W73" s="623">
        <v>1</v>
      </c>
      <c r="X73" s="624">
        <f t="shared" si="10"/>
        <v>0</v>
      </c>
    </row>
    <row r="74" spans="2:24">
      <c r="B74" s="619">
        <f t="shared" si="11"/>
        <v>2061</v>
      </c>
      <c r="C74" s="625"/>
      <c r="D74" s="612">
        <v>1</v>
      </c>
      <c r="E74" s="613">
        <f t="shared" si="14"/>
        <v>0.435</v>
      </c>
      <c r="F74" s="613">
        <f t="shared" si="14"/>
        <v>0.129</v>
      </c>
      <c r="G74" s="613">
        <f t="shared" si="13"/>
        <v>0</v>
      </c>
      <c r="H74" s="613">
        <f t="shared" si="14"/>
        <v>0</v>
      </c>
      <c r="I74" s="613">
        <f t="shared" si="13"/>
        <v>9.9000000000000005E-2</v>
      </c>
      <c r="J74" s="613">
        <f t="shared" si="14"/>
        <v>2.7E-2</v>
      </c>
      <c r="K74" s="613">
        <f t="shared" si="14"/>
        <v>8.9999999999999993E-3</v>
      </c>
      <c r="L74" s="613">
        <f t="shared" si="14"/>
        <v>7.1999999999999995E-2</v>
      </c>
      <c r="M74" s="613">
        <f t="shared" si="14"/>
        <v>3.3000000000000002E-2</v>
      </c>
      <c r="N74" s="613">
        <f t="shared" si="14"/>
        <v>0.04</v>
      </c>
      <c r="O74" s="613">
        <f t="shared" si="14"/>
        <v>0.156</v>
      </c>
      <c r="P74" s="620">
        <f t="shared" si="9"/>
        <v>1</v>
      </c>
      <c r="S74" s="619">
        <f t="shared" si="4"/>
        <v>2061</v>
      </c>
      <c r="T74" s="621">
        <v>0</v>
      </c>
      <c r="U74" s="621">
        <v>5</v>
      </c>
      <c r="V74" s="622">
        <f t="shared" si="5"/>
        <v>0</v>
      </c>
      <c r="W74" s="623">
        <v>1</v>
      </c>
      <c r="X74" s="624">
        <f t="shared" si="10"/>
        <v>0</v>
      </c>
    </row>
    <row r="75" spans="2:24">
      <c r="B75" s="619">
        <f t="shared" si="11"/>
        <v>2062</v>
      </c>
      <c r="C75" s="625"/>
      <c r="D75" s="612">
        <v>1</v>
      </c>
      <c r="E75" s="613">
        <f t="shared" si="14"/>
        <v>0.435</v>
      </c>
      <c r="F75" s="613">
        <f t="shared" si="14"/>
        <v>0.129</v>
      </c>
      <c r="G75" s="613">
        <f t="shared" si="13"/>
        <v>0</v>
      </c>
      <c r="H75" s="613">
        <f t="shared" si="14"/>
        <v>0</v>
      </c>
      <c r="I75" s="613">
        <f t="shared" si="13"/>
        <v>9.9000000000000005E-2</v>
      </c>
      <c r="J75" s="613">
        <f t="shared" si="14"/>
        <v>2.7E-2</v>
      </c>
      <c r="K75" s="613">
        <f t="shared" si="14"/>
        <v>8.9999999999999993E-3</v>
      </c>
      <c r="L75" s="613">
        <f t="shared" si="14"/>
        <v>7.1999999999999995E-2</v>
      </c>
      <c r="M75" s="613">
        <f t="shared" si="14"/>
        <v>3.3000000000000002E-2</v>
      </c>
      <c r="N75" s="613">
        <f t="shared" si="14"/>
        <v>0.04</v>
      </c>
      <c r="O75" s="613">
        <f t="shared" si="14"/>
        <v>0.156</v>
      </c>
      <c r="P75" s="620">
        <f t="shared" si="9"/>
        <v>1</v>
      </c>
      <c r="S75" s="619">
        <f t="shared" si="4"/>
        <v>2062</v>
      </c>
      <c r="T75" s="621">
        <v>0</v>
      </c>
      <c r="U75" s="621">
        <v>5</v>
      </c>
      <c r="V75" s="622">
        <f t="shared" si="5"/>
        <v>0</v>
      </c>
      <c r="W75" s="623">
        <v>1</v>
      </c>
      <c r="X75" s="624">
        <f t="shared" si="10"/>
        <v>0</v>
      </c>
    </row>
    <row r="76" spans="2:24">
      <c r="B76" s="619">
        <f t="shared" si="11"/>
        <v>2063</v>
      </c>
      <c r="C76" s="625"/>
      <c r="D76" s="612">
        <v>1</v>
      </c>
      <c r="E76" s="613">
        <f t="shared" si="14"/>
        <v>0.435</v>
      </c>
      <c r="F76" s="613">
        <f t="shared" si="14"/>
        <v>0.129</v>
      </c>
      <c r="G76" s="613">
        <f t="shared" si="13"/>
        <v>0</v>
      </c>
      <c r="H76" s="613">
        <f t="shared" si="14"/>
        <v>0</v>
      </c>
      <c r="I76" s="613">
        <f t="shared" si="13"/>
        <v>9.9000000000000005E-2</v>
      </c>
      <c r="J76" s="613">
        <f t="shared" si="14"/>
        <v>2.7E-2</v>
      </c>
      <c r="K76" s="613">
        <f t="shared" si="14"/>
        <v>8.9999999999999993E-3</v>
      </c>
      <c r="L76" s="613">
        <f t="shared" si="14"/>
        <v>7.1999999999999995E-2</v>
      </c>
      <c r="M76" s="613">
        <f t="shared" si="14"/>
        <v>3.3000000000000002E-2</v>
      </c>
      <c r="N76" s="613">
        <f t="shared" si="14"/>
        <v>0.04</v>
      </c>
      <c r="O76" s="613">
        <f t="shared" si="14"/>
        <v>0.156</v>
      </c>
      <c r="P76" s="620">
        <f t="shared" si="9"/>
        <v>1</v>
      </c>
      <c r="S76" s="619">
        <f t="shared" si="4"/>
        <v>2063</v>
      </c>
      <c r="T76" s="621">
        <v>0</v>
      </c>
      <c r="U76" s="621">
        <v>5</v>
      </c>
      <c r="V76" s="622">
        <f t="shared" si="5"/>
        <v>0</v>
      </c>
      <c r="W76" s="623">
        <v>1</v>
      </c>
      <c r="X76" s="624">
        <f t="shared" si="10"/>
        <v>0</v>
      </c>
    </row>
    <row r="77" spans="2:24">
      <c r="B77" s="619">
        <f t="shared" si="11"/>
        <v>2064</v>
      </c>
      <c r="C77" s="625"/>
      <c r="D77" s="612">
        <v>1</v>
      </c>
      <c r="E77" s="613">
        <f t="shared" si="14"/>
        <v>0.435</v>
      </c>
      <c r="F77" s="613">
        <f t="shared" si="14"/>
        <v>0.129</v>
      </c>
      <c r="G77" s="613">
        <f t="shared" si="13"/>
        <v>0</v>
      </c>
      <c r="H77" s="613">
        <f t="shared" si="14"/>
        <v>0</v>
      </c>
      <c r="I77" s="613">
        <f t="shared" si="13"/>
        <v>9.9000000000000005E-2</v>
      </c>
      <c r="J77" s="613">
        <f t="shared" si="14"/>
        <v>2.7E-2</v>
      </c>
      <c r="K77" s="613">
        <f t="shared" si="14"/>
        <v>8.9999999999999993E-3</v>
      </c>
      <c r="L77" s="613">
        <f t="shared" si="14"/>
        <v>7.1999999999999995E-2</v>
      </c>
      <c r="M77" s="613">
        <f t="shared" si="14"/>
        <v>3.3000000000000002E-2</v>
      </c>
      <c r="N77" s="613">
        <f t="shared" si="14"/>
        <v>0.04</v>
      </c>
      <c r="O77" s="613">
        <f t="shared" si="14"/>
        <v>0.156</v>
      </c>
      <c r="P77" s="620">
        <f t="shared" ref="P77:P93" si="15">SUM(E77:O77)</f>
        <v>1</v>
      </c>
      <c r="S77" s="619">
        <f t="shared" si="4"/>
        <v>2064</v>
      </c>
      <c r="T77" s="621">
        <v>0</v>
      </c>
      <c r="U77" s="621">
        <v>5</v>
      </c>
      <c r="V77" s="622">
        <f t="shared" si="5"/>
        <v>0</v>
      </c>
      <c r="W77" s="623">
        <v>1</v>
      </c>
      <c r="X77" s="624">
        <f t="shared" ref="X77:X93" si="16">V77*W77</f>
        <v>0</v>
      </c>
    </row>
    <row r="78" spans="2:24">
      <c r="B78" s="619">
        <f t="shared" ref="B78:B93" si="17">B77+1</f>
        <v>2065</v>
      </c>
      <c r="C78" s="625"/>
      <c r="D78" s="612">
        <v>1</v>
      </c>
      <c r="E78" s="613">
        <f t="shared" si="14"/>
        <v>0.435</v>
      </c>
      <c r="F78" s="613">
        <f t="shared" si="14"/>
        <v>0.129</v>
      </c>
      <c r="G78" s="613">
        <f t="shared" si="13"/>
        <v>0</v>
      </c>
      <c r="H78" s="613">
        <f t="shared" si="14"/>
        <v>0</v>
      </c>
      <c r="I78" s="613">
        <f t="shared" si="13"/>
        <v>9.9000000000000005E-2</v>
      </c>
      <c r="J78" s="613">
        <f t="shared" si="14"/>
        <v>2.7E-2</v>
      </c>
      <c r="K78" s="613">
        <f t="shared" si="14"/>
        <v>8.9999999999999993E-3</v>
      </c>
      <c r="L78" s="613">
        <f t="shared" si="14"/>
        <v>7.1999999999999995E-2</v>
      </c>
      <c r="M78" s="613">
        <f t="shared" si="14"/>
        <v>3.3000000000000002E-2</v>
      </c>
      <c r="N78" s="613">
        <f t="shared" si="14"/>
        <v>0.04</v>
      </c>
      <c r="O78" s="613">
        <f t="shared" si="14"/>
        <v>0.156</v>
      </c>
      <c r="P78" s="620">
        <f t="shared" si="15"/>
        <v>1</v>
      </c>
      <c r="S78" s="619">
        <f t="shared" ref="S78:S93" si="18">S77+1</f>
        <v>2065</v>
      </c>
      <c r="T78" s="621">
        <v>0</v>
      </c>
      <c r="U78" s="621">
        <v>5</v>
      </c>
      <c r="V78" s="622">
        <f t="shared" si="5"/>
        <v>0</v>
      </c>
      <c r="W78" s="623">
        <v>1</v>
      </c>
      <c r="X78" s="624">
        <f t="shared" si="16"/>
        <v>0</v>
      </c>
    </row>
    <row r="79" spans="2:24">
      <c r="B79" s="619">
        <f t="shared" si="17"/>
        <v>2066</v>
      </c>
      <c r="C79" s="625"/>
      <c r="D79" s="612">
        <v>1</v>
      </c>
      <c r="E79" s="613">
        <f t="shared" si="14"/>
        <v>0.435</v>
      </c>
      <c r="F79" s="613">
        <f t="shared" si="14"/>
        <v>0.129</v>
      </c>
      <c r="G79" s="613">
        <f t="shared" si="14"/>
        <v>0</v>
      </c>
      <c r="H79" s="613">
        <f t="shared" si="14"/>
        <v>0</v>
      </c>
      <c r="I79" s="613">
        <f t="shared" si="14"/>
        <v>9.9000000000000005E-2</v>
      </c>
      <c r="J79" s="613">
        <f t="shared" si="14"/>
        <v>2.7E-2</v>
      </c>
      <c r="K79" s="613">
        <f t="shared" si="14"/>
        <v>8.9999999999999993E-3</v>
      </c>
      <c r="L79" s="613">
        <f t="shared" si="14"/>
        <v>7.1999999999999995E-2</v>
      </c>
      <c r="M79" s="613">
        <f t="shared" si="14"/>
        <v>3.3000000000000002E-2</v>
      </c>
      <c r="N79" s="613">
        <f t="shared" si="14"/>
        <v>0.04</v>
      </c>
      <c r="O79" s="613">
        <f t="shared" si="14"/>
        <v>0.156</v>
      </c>
      <c r="P79" s="620">
        <f t="shared" si="15"/>
        <v>1</v>
      </c>
      <c r="S79" s="619">
        <f t="shared" si="18"/>
        <v>2066</v>
      </c>
      <c r="T79" s="621">
        <v>0</v>
      </c>
      <c r="U79" s="621">
        <v>5</v>
      </c>
      <c r="V79" s="622">
        <f t="shared" ref="V79:V93" si="19">T79*U79</f>
        <v>0</v>
      </c>
      <c r="W79" s="623">
        <v>1</v>
      </c>
      <c r="X79" s="624">
        <f t="shared" si="16"/>
        <v>0</v>
      </c>
    </row>
    <row r="80" spans="2:24">
      <c r="B80" s="619">
        <f t="shared" si="17"/>
        <v>2067</v>
      </c>
      <c r="C80" s="625"/>
      <c r="D80" s="612">
        <v>1</v>
      </c>
      <c r="E80" s="613">
        <f t="shared" si="14"/>
        <v>0.435</v>
      </c>
      <c r="F80" s="613">
        <f t="shared" si="14"/>
        <v>0.129</v>
      </c>
      <c r="G80" s="613">
        <f t="shared" si="14"/>
        <v>0</v>
      </c>
      <c r="H80" s="613">
        <f t="shared" si="14"/>
        <v>0</v>
      </c>
      <c r="I80" s="613">
        <f t="shared" si="14"/>
        <v>9.9000000000000005E-2</v>
      </c>
      <c r="J80" s="613">
        <f t="shared" si="14"/>
        <v>2.7E-2</v>
      </c>
      <c r="K80" s="613">
        <f t="shared" si="14"/>
        <v>8.9999999999999993E-3</v>
      </c>
      <c r="L80" s="613">
        <f t="shared" si="14"/>
        <v>7.1999999999999995E-2</v>
      </c>
      <c r="M80" s="613">
        <f t="shared" si="14"/>
        <v>3.3000000000000002E-2</v>
      </c>
      <c r="N80" s="613">
        <f t="shared" si="14"/>
        <v>0.04</v>
      </c>
      <c r="O80" s="613">
        <f t="shared" si="14"/>
        <v>0.156</v>
      </c>
      <c r="P80" s="620">
        <f t="shared" si="15"/>
        <v>1</v>
      </c>
      <c r="S80" s="619">
        <f t="shared" si="18"/>
        <v>2067</v>
      </c>
      <c r="T80" s="621">
        <v>0</v>
      </c>
      <c r="U80" s="621">
        <v>5</v>
      </c>
      <c r="V80" s="622">
        <f t="shared" si="19"/>
        <v>0</v>
      </c>
      <c r="W80" s="623">
        <v>1</v>
      </c>
      <c r="X80" s="624">
        <f t="shared" si="16"/>
        <v>0</v>
      </c>
    </row>
    <row r="81" spans="2:24">
      <c r="B81" s="619">
        <f t="shared" si="17"/>
        <v>2068</v>
      </c>
      <c r="C81" s="625"/>
      <c r="D81" s="612">
        <v>1</v>
      </c>
      <c r="E81" s="613">
        <f t="shared" si="14"/>
        <v>0.435</v>
      </c>
      <c r="F81" s="613">
        <f t="shared" si="14"/>
        <v>0.129</v>
      </c>
      <c r="G81" s="613">
        <f t="shared" si="14"/>
        <v>0</v>
      </c>
      <c r="H81" s="613">
        <f t="shared" si="14"/>
        <v>0</v>
      </c>
      <c r="I81" s="613">
        <f t="shared" si="14"/>
        <v>9.9000000000000005E-2</v>
      </c>
      <c r="J81" s="613">
        <f t="shared" si="14"/>
        <v>2.7E-2</v>
      </c>
      <c r="K81" s="613">
        <f t="shared" si="14"/>
        <v>8.9999999999999993E-3</v>
      </c>
      <c r="L81" s="613">
        <f t="shared" si="14"/>
        <v>7.1999999999999995E-2</v>
      </c>
      <c r="M81" s="613">
        <f t="shared" si="14"/>
        <v>3.3000000000000002E-2</v>
      </c>
      <c r="N81" s="613">
        <f t="shared" si="14"/>
        <v>0.04</v>
      </c>
      <c r="O81" s="613">
        <f t="shared" si="14"/>
        <v>0.156</v>
      </c>
      <c r="P81" s="620">
        <f t="shared" si="15"/>
        <v>1</v>
      </c>
      <c r="S81" s="619">
        <f t="shared" si="18"/>
        <v>2068</v>
      </c>
      <c r="T81" s="621">
        <v>0</v>
      </c>
      <c r="U81" s="621">
        <v>5</v>
      </c>
      <c r="V81" s="622">
        <f t="shared" si="19"/>
        <v>0</v>
      </c>
      <c r="W81" s="623">
        <v>1</v>
      </c>
      <c r="X81" s="624">
        <f t="shared" si="16"/>
        <v>0</v>
      </c>
    </row>
    <row r="82" spans="2:24">
      <c r="B82" s="619">
        <f t="shared" si="17"/>
        <v>2069</v>
      </c>
      <c r="C82" s="625"/>
      <c r="D82" s="612">
        <v>1</v>
      </c>
      <c r="E82" s="613">
        <f t="shared" si="14"/>
        <v>0.435</v>
      </c>
      <c r="F82" s="613">
        <f t="shared" si="14"/>
        <v>0.129</v>
      </c>
      <c r="G82" s="613">
        <f t="shared" si="14"/>
        <v>0</v>
      </c>
      <c r="H82" s="613">
        <f t="shared" si="14"/>
        <v>0</v>
      </c>
      <c r="I82" s="613">
        <f t="shared" si="14"/>
        <v>9.9000000000000005E-2</v>
      </c>
      <c r="J82" s="613">
        <f t="shared" si="14"/>
        <v>2.7E-2</v>
      </c>
      <c r="K82" s="613">
        <f t="shared" si="14"/>
        <v>8.9999999999999993E-3</v>
      </c>
      <c r="L82" s="613">
        <f t="shared" si="14"/>
        <v>7.1999999999999995E-2</v>
      </c>
      <c r="M82" s="613">
        <f t="shared" si="14"/>
        <v>3.3000000000000002E-2</v>
      </c>
      <c r="N82" s="613">
        <f t="shared" si="14"/>
        <v>0.04</v>
      </c>
      <c r="O82" s="613">
        <f t="shared" si="14"/>
        <v>0.156</v>
      </c>
      <c r="P82" s="620">
        <f t="shared" si="15"/>
        <v>1</v>
      </c>
      <c r="S82" s="619">
        <f t="shared" si="18"/>
        <v>2069</v>
      </c>
      <c r="T82" s="621">
        <v>0</v>
      </c>
      <c r="U82" s="621">
        <v>5</v>
      </c>
      <c r="V82" s="622">
        <f t="shared" si="19"/>
        <v>0</v>
      </c>
      <c r="W82" s="623">
        <v>1</v>
      </c>
      <c r="X82" s="624">
        <f t="shared" si="16"/>
        <v>0</v>
      </c>
    </row>
    <row r="83" spans="2:24">
      <c r="B83" s="619">
        <f t="shared" si="17"/>
        <v>2070</v>
      </c>
      <c r="C83" s="625"/>
      <c r="D83" s="612">
        <v>1</v>
      </c>
      <c r="E83" s="613">
        <f t="shared" ref="E83:O93" si="20">E$8</f>
        <v>0.435</v>
      </c>
      <c r="F83" s="613">
        <f t="shared" si="20"/>
        <v>0.129</v>
      </c>
      <c r="G83" s="613">
        <f t="shared" si="14"/>
        <v>0</v>
      </c>
      <c r="H83" s="613">
        <f t="shared" si="20"/>
        <v>0</v>
      </c>
      <c r="I83" s="613">
        <f t="shared" si="14"/>
        <v>9.9000000000000005E-2</v>
      </c>
      <c r="J83" s="613">
        <f t="shared" si="20"/>
        <v>2.7E-2</v>
      </c>
      <c r="K83" s="613">
        <f t="shared" si="20"/>
        <v>8.9999999999999993E-3</v>
      </c>
      <c r="L83" s="613">
        <f t="shared" si="20"/>
        <v>7.1999999999999995E-2</v>
      </c>
      <c r="M83" s="613">
        <f t="shared" si="20"/>
        <v>3.3000000000000002E-2</v>
      </c>
      <c r="N83" s="613">
        <f t="shared" si="20"/>
        <v>0.04</v>
      </c>
      <c r="O83" s="613">
        <f t="shared" si="20"/>
        <v>0.156</v>
      </c>
      <c r="P83" s="620">
        <f t="shared" si="15"/>
        <v>1</v>
      </c>
      <c r="S83" s="619">
        <f t="shared" si="18"/>
        <v>2070</v>
      </c>
      <c r="T83" s="621">
        <v>0</v>
      </c>
      <c r="U83" s="621">
        <v>5</v>
      </c>
      <c r="V83" s="622">
        <f t="shared" si="19"/>
        <v>0</v>
      </c>
      <c r="W83" s="623">
        <v>1</v>
      </c>
      <c r="X83" s="624">
        <f t="shared" si="16"/>
        <v>0</v>
      </c>
    </row>
    <row r="84" spans="2:24">
      <c r="B84" s="619">
        <f t="shared" si="17"/>
        <v>2071</v>
      </c>
      <c r="C84" s="625"/>
      <c r="D84" s="612">
        <v>1</v>
      </c>
      <c r="E84" s="613">
        <f t="shared" si="20"/>
        <v>0.435</v>
      </c>
      <c r="F84" s="613">
        <f t="shared" si="20"/>
        <v>0.129</v>
      </c>
      <c r="G84" s="613">
        <f t="shared" si="14"/>
        <v>0</v>
      </c>
      <c r="H84" s="613">
        <f t="shared" si="20"/>
        <v>0</v>
      </c>
      <c r="I84" s="613">
        <f t="shared" si="14"/>
        <v>9.9000000000000005E-2</v>
      </c>
      <c r="J84" s="613">
        <f t="shared" si="20"/>
        <v>2.7E-2</v>
      </c>
      <c r="K84" s="613">
        <f t="shared" si="20"/>
        <v>8.9999999999999993E-3</v>
      </c>
      <c r="L84" s="613">
        <f t="shared" si="20"/>
        <v>7.1999999999999995E-2</v>
      </c>
      <c r="M84" s="613">
        <f t="shared" si="20"/>
        <v>3.3000000000000002E-2</v>
      </c>
      <c r="N84" s="613">
        <f t="shared" si="20"/>
        <v>0.04</v>
      </c>
      <c r="O84" s="613">
        <f t="shared" si="20"/>
        <v>0.156</v>
      </c>
      <c r="P84" s="620">
        <f t="shared" si="15"/>
        <v>1</v>
      </c>
      <c r="S84" s="619">
        <f t="shared" si="18"/>
        <v>2071</v>
      </c>
      <c r="T84" s="621">
        <v>0</v>
      </c>
      <c r="U84" s="621">
        <v>5</v>
      </c>
      <c r="V84" s="622">
        <f t="shared" si="19"/>
        <v>0</v>
      </c>
      <c r="W84" s="623">
        <v>1</v>
      </c>
      <c r="X84" s="624">
        <f t="shared" si="16"/>
        <v>0</v>
      </c>
    </row>
    <row r="85" spans="2:24">
      <c r="B85" s="619">
        <f t="shared" si="17"/>
        <v>2072</v>
      </c>
      <c r="C85" s="625"/>
      <c r="D85" s="612">
        <v>1</v>
      </c>
      <c r="E85" s="613">
        <f t="shared" si="20"/>
        <v>0.435</v>
      </c>
      <c r="F85" s="613">
        <f t="shared" si="20"/>
        <v>0.129</v>
      </c>
      <c r="G85" s="613">
        <f t="shared" si="14"/>
        <v>0</v>
      </c>
      <c r="H85" s="613">
        <f t="shared" si="20"/>
        <v>0</v>
      </c>
      <c r="I85" s="613">
        <f t="shared" si="14"/>
        <v>9.9000000000000005E-2</v>
      </c>
      <c r="J85" s="613">
        <f t="shared" si="20"/>
        <v>2.7E-2</v>
      </c>
      <c r="K85" s="613">
        <f t="shared" si="20"/>
        <v>8.9999999999999993E-3</v>
      </c>
      <c r="L85" s="613">
        <f t="shared" si="20"/>
        <v>7.1999999999999995E-2</v>
      </c>
      <c r="M85" s="613">
        <f t="shared" si="20"/>
        <v>3.3000000000000002E-2</v>
      </c>
      <c r="N85" s="613">
        <f t="shared" si="20"/>
        <v>0.04</v>
      </c>
      <c r="O85" s="613">
        <f t="shared" si="20"/>
        <v>0.156</v>
      </c>
      <c r="P85" s="620">
        <f t="shared" si="15"/>
        <v>1</v>
      </c>
      <c r="S85" s="619">
        <f t="shared" si="18"/>
        <v>2072</v>
      </c>
      <c r="T85" s="621">
        <v>0</v>
      </c>
      <c r="U85" s="621">
        <v>5</v>
      </c>
      <c r="V85" s="622">
        <f t="shared" si="19"/>
        <v>0</v>
      </c>
      <c r="W85" s="623">
        <v>1</v>
      </c>
      <c r="X85" s="624">
        <f t="shared" si="16"/>
        <v>0</v>
      </c>
    </row>
    <row r="86" spans="2:24">
      <c r="B86" s="619">
        <f t="shared" si="17"/>
        <v>2073</v>
      </c>
      <c r="C86" s="625"/>
      <c r="D86" s="612">
        <v>1</v>
      </c>
      <c r="E86" s="613">
        <f t="shared" si="20"/>
        <v>0.435</v>
      </c>
      <c r="F86" s="613">
        <f t="shared" si="20"/>
        <v>0.129</v>
      </c>
      <c r="G86" s="613">
        <f t="shared" si="14"/>
        <v>0</v>
      </c>
      <c r="H86" s="613">
        <f t="shared" si="20"/>
        <v>0</v>
      </c>
      <c r="I86" s="613">
        <f t="shared" si="14"/>
        <v>9.9000000000000005E-2</v>
      </c>
      <c r="J86" s="613">
        <f t="shared" si="20"/>
        <v>2.7E-2</v>
      </c>
      <c r="K86" s="613">
        <f t="shared" si="20"/>
        <v>8.9999999999999993E-3</v>
      </c>
      <c r="L86" s="613">
        <f t="shared" si="20"/>
        <v>7.1999999999999995E-2</v>
      </c>
      <c r="M86" s="613">
        <f t="shared" si="20"/>
        <v>3.3000000000000002E-2</v>
      </c>
      <c r="N86" s="613">
        <f t="shared" si="20"/>
        <v>0.04</v>
      </c>
      <c r="O86" s="613">
        <f t="shared" si="20"/>
        <v>0.156</v>
      </c>
      <c r="P86" s="620">
        <f t="shared" si="15"/>
        <v>1</v>
      </c>
      <c r="S86" s="619">
        <f t="shared" si="18"/>
        <v>2073</v>
      </c>
      <c r="T86" s="621">
        <v>0</v>
      </c>
      <c r="U86" s="621">
        <v>5</v>
      </c>
      <c r="V86" s="622">
        <f t="shared" si="19"/>
        <v>0</v>
      </c>
      <c r="W86" s="623">
        <v>1</v>
      </c>
      <c r="X86" s="624">
        <f t="shared" si="16"/>
        <v>0</v>
      </c>
    </row>
    <row r="87" spans="2:24">
      <c r="B87" s="619">
        <f t="shared" si="17"/>
        <v>2074</v>
      </c>
      <c r="C87" s="625"/>
      <c r="D87" s="612">
        <v>1</v>
      </c>
      <c r="E87" s="613">
        <f t="shared" si="20"/>
        <v>0.435</v>
      </c>
      <c r="F87" s="613">
        <f t="shared" si="20"/>
        <v>0.129</v>
      </c>
      <c r="G87" s="613">
        <f t="shared" si="14"/>
        <v>0</v>
      </c>
      <c r="H87" s="613">
        <f t="shared" si="20"/>
        <v>0</v>
      </c>
      <c r="I87" s="613">
        <f t="shared" si="14"/>
        <v>9.9000000000000005E-2</v>
      </c>
      <c r="J87" s="613">
        <f t="shared" si="20"/>
        <v>2.7E-2</v>
      </c>
      <c r="K87" s="613">
        <f t="shared" si="20"/>
        <v>8.9999999999999993E-3</v>
      </c>
      <c r="L87" s="613">
        <f t="shared" si="20"/>
        <v>7.1999999999999995E-2</v>
      </c>
      <c r="M87" s="613">
        <f t="shared" si="20"/>
        <v>3.3000000000000002E-2</v>
      </c>
      <c r="N87" s="613">
        <f t="shared" si="20"/>
        <v>0.04</v>
      </c>
      <c r="O87" s="613">
        <f t="shared" si="20"/>
        <v>0.156</v>
      </c>
      <c r="P87" s="620">
        <f t="shared" si="15"/>
        <v>1</v>
      </c>
      <c r="S87" s="619">
        <f t="shared" si="18"/>
        <v>2074</v>
      </c>
      <c r="T87" s="621">
        <v>0</v>
      </c>
      <c r="U87" s="621">
        <v>5</v>
      </c>
      <c r="V87" s="622">
        <f t="shared" si="19"/>
        <v>0</v>
      </c>
      <c r="W87" s="623">
        <v>1</v>
      </c>
      <c r="X87" s="624">
        <f t="shared" si="16"/>
        <v>0</v>
      </c>
    </row>
    <row r="88" spans="2:24">
      <c r="B88" s="619">
        <f t="shared" si="17"/>
        <v>2075</v>
      </c>
      <c r="C88" s="625"/>
      <c r="D88" s="612">
        <v>1</v>
      </c>
      <c r="E88" s="613">
        <f t="shared" si="20"/>
        <v>0.435</v>
      </c>
      <c r="F88" s="613">
        <f t="shared" si="20"/>
        <v>0.129</v>
      </c>
      <c r="G88" s="613">
        <f t="shared" si="14"/>
        <v>0</v>
      </c>
      <c r="H88" s="613">
        <f t="shared" si="20"/>
        <v>0</v>
      </c>
      <c r="I88" s="613">
        <f t="shared" si="14"/>
        <v>9.9000000000000005E-2</v>
      </c>
      <c r="J88" s="613">
        <f t="shared" si="20"/>
        <v>2.7E-2</v>
      </c>
      <c r="K88" s="613">
        <f t="shared" si="20"/>
        <v>8.9999999999999993E-3</v>
      </c>
      <c r="L88" s="613">
        <f t="shared" si="20"/>
        <v>7.1999999999999995E-2</v>
      </c>
      <c r="M88" s="613">
        <f t="shared" si="20"/>
        <v>3.3000000000000002E-2</v>
      </c>
      <c r="N88" s="613">
        <f t="shared" si="20"/>
        <v>0.04</v>
      </c>
      <c r="O88" s="613">
        <f t="shared" si="20"/>
        <v>0.156</v>
      </c>
      <c r="P88" s="620">
        <f t="shared" si="15"/>
        <v>1</v>
      </c>
      <c r="S88" s="619">
        <f t="shared" si="18"/>
        <v>2075</v>
      </c>
      <c r="T88" s="621">
        <v>0</v>
      </c>
      <c r="U88" s="621">
        <v>5</v>
      </c>
      <c r="V88" s="622">
        <f t="shared" si="19"/>
        <v>0</v>
      </c>
      <c r="W88" s="623">
        <v>1</v>
      </c>
      <c r="X88" s="624">
        <f t="shared" si="16"/>
        <v>0</v>
      </c>
    </row>
    <row r="89" spans="2:24">
      <c r="B89" s="619">
        <f t="shared" si="17"/>
        <v>2076</v>
      </c>
      <c r="C89" s="625"/>
      <c r="D89" s="612">
        <v>1</v>
      </c>
      <c r="E89" s="613">
        <f t="shared" si="20"/>
        <v>0.435</v>
      </c>
      <c r="F89" s="613">
        <f t="shared" si="20"/>
        <v>0.129</v>
      </c>
      <c r="G89" s="613">
        <f t="shared" si="20"/>
        <v>0</v>
      </c>
      <c r="H89" s="613">
        <f t="shared" si="20"/>
        <v>0</v>
      </c>
      <c r="I89" s="613">
        <f t="shared" si="20"/>
        <v>9.9000000000000005E-2</v>
      </c>
      <c r="J89" s="613">
        <f t="shared" si="20"/>
        <v>2.7E-2</v>
      </c>
      <c r="K89" s="613">
        <f t="shared" si="20"/>
        <v>8.9999999999999993E-3</v>
      </c>
      <c r="L89" s="613">
        <f t="shared" si="20"/>
        <v>7.1999999999999995E-2</v>
      </c>
      <c r="M89" s="613">
        <f t="shared" si="20"/>
        <v>3.3000000000000002E-2</v>
      </c>
      <c r="N89" s="613">
        <f t="shared" si="20"/>
        <v>0.04</v>
      </c>
      <c r="O89" s="613">
        <f t="shared" si="20"/>
        <v>0.156</v>
      </c>
      <c r="P89" s="620">
        <f t="shared" si="15"/>
        <v>1</v>
      </c>
      <c r="S89" s="619">
        <f t="shared" si="18"/>
        <v>2076</v>
      </c>
      <c r="T89" s="621">
        <v>0</v>
      </c>
      <c r="U89" s="621">
        <v>5</v>
      </c>
      <c r="V89" s="622">
        <f t="shared" si="19"/>
        <v>0</v>
      </c>
      <c r="W89" s="623">
        <v>1</v>
      </c>
      <c r="X89" s="624">
        <f t="shared" si="16"/>
        <v>0</v>
      </c>
    </row>
    <row r="90" spans="2:24">
      <c r="B90" s="619">
        <f t="shared" si="17"/>
        <v>2077</v>
      </c>
      <c r="C90" s="625"/>
      <c r="D90" s="612">
        <v>1</v>
      </c>
      <c r="E90" s="613">
        <f t="shared" si="20"/>
        <v>0.435</v>
      </c>
      <c r="F90" s="613">
        <f t="shared" si="20"/>
        <v>0.129</v>
      </c>
      <c r="G90" s="613">
        <f t="shared" si="20"/>
        <v>0</v>
      </c>
      <c r="H90" s="613">
        <f t="shared" si="20"/>
        <v>0</v>
      </c>
      <c r="I90" s="613">
        <f t="shared" si="20"/>
        <v>9.9000000000000005E-2</v>
      </c>
      <c r="J90" s="613">
        <f t="shared" si="20"/>
        <v>2.7E-2</v>
      </c>
      <c r="K90" s="613">
        <f t="shared" si="20"/>
        <v>8.9999999999999993E-3</v>
      </c>
      <c r="L90" s="613">
        <f t="shared" si="20"/>
        <v>7.1999999999999995E-2</v>
      </c>
      <c r="M90" s="613">
        <f t="shared" si="20"/>
        <v>3.3000000000000002E-2</v>
      </c>
      <c r="N90" s="613">
        <f t="shared" si="20"/>
        <v>0.04</v>
      </c>
      <c r="O90" s="613">
        <f t="shared" si="20"/>
        <v>0.156</v>
      </c>
      <c r="P90" s="620">
        <f t="shared" si="15"/>
        <v>1</v>
      </c>
      <c r="S90" s="619">
        <f t="shared" si="18"/>
        <v>2077</v>
      </c>
      <c r="T90" s="621">
        <v>0</v>
      </c>
      <c r="U90" s="621">
        <v>5</v>
      </c>
      <c r="V90" s="622">
        <f t="shared" si="19"/>
        <v>0</v>
      </c>
      <c r="W90" s="623">
        <v>1</v>
      </c>
      <c r="X90" s="624">
        <f t="shared" si="16"/>
        <v>0</v>
      </c>
    </row>
    <row r="91" spans="2:24">
      <c r="B91" s="619">
        <f t="shared" si="17"/>
        <v>2078</v>
      </c>
      <c r="C91" s="625"/>
      <c r="D91" s="612">
        <v>1</v>
      </c>
      <c r="E91" s="613">
        <f t="shared" si="20"/>
        <v>0.435</v>
      </c>
      <c r="F91" s="613">
        <f t="shared" si="20"/>
        <v>0.129</v>
      </c>
      <c r="G91" s="613">
        <f t="shared" si="20"/>
        <v>0</v>
      </c>
      <c r="H91" s="613">
        <f t="shared" si="20"/>
        <v>0</v>
      </c>
      <c r="I91" s="613">
        <f t="shared" si="20"/>
        <v>9.9000000000000005E-2</v>
      </c>
      <c r="J91" s="613">
        <f t="shared" si="20"/>
        <v>2.7E-2</v>
      </c>
      <c r="K91" s="613">
        <f t="shared" si="20"/>
        <v>8.9999999999999993E-3</v>
      </c>
      <c r="L91" s="613">
        <f t="shared" si="20"/>
        <v>7.1999999999999995E-2</v>
      </c>
      <c r="M91" s="613">
        <f t="shared" si="20"/>
        <v>3.3000000000000002E-2</v>
      </c>
      <c r="N91" s="613">
        <f t="shared" si="20"/>
        <v>0.04</v>
      </c>
      <c r="O91" s="613">
        <f t="shared" si="20"/>
        <v>0.156</v>
      </c>
      <c r="P91" s="620">
        <f t="shared" si="15"/>
        <v>1</v>
      </c>
      <c r="S91" s="619">
        <f t="shared" si="18"/>
        <v>2078</v>
      </c>
      <c r="T91" s="621">
        <v>0</v>
      </c>
      <c r="U91" s="621">
        <v>5</v>
      </c>
      <c r="V91" s="622">
        <f t="shared" si="19"/>
        <v>0</v>
      </c>
      <c r="W91" s="623">
        <v>1</v>
      </c>
      <c r="X91" s="624">
        <f t="shared" si="16"/>
        <v>0</v>
      </c>
    </row>
    <row r="92" spans="2:24">
      <c r="B92" s="619">
        <f t="shared" si="17"/>
        <v>2079</v>
      </c>
      <c r="C92" s="625"/>
      <c r="D92" s="612">
        <v>1</v>
      </c>
      <c r="E92" s="613">
        <f t="shared" si="20"/>
        <v>0.435</v>
      </c>
      <c r="F92" s="613">
        <f t="shared" si="20"/>
        <v>0.129</v>
      </c>
      <c r="G92" s="613">
        <f t="shared" si="20"/>
        <v>0</v>
      </c>
      <c r="H92" s="613">
        <f t="shared" si="20"/>
        <v>0</v>
      </c>
      <c r="I92" s="613">
        <f t="shared" si="20"/>
        <v>9.9000000000000005E-2</v>
      </c>
      <c r="J92" s="613">
        <f t="shared" si="20"/>
        <v>2.7E-2</v>
      </c>
      <c r="K92" s="613">
        <f t="shared" si="20"/>
        <v>8.9999999999999993E-3</v>
      </c>
      <c r="L92" s="613">
        <f t="shared" si="20"/>
        <v>7.1999999999999995E-2</v>
      </c>
      <c r="M92" s="613">
        <f t="shared" si="20"/>
        <v>3.3000000000000002E-2</v>
      </c>
      <c r="N92" s="613">
        <f t="shared" si="20"/>
        <v>0.04</v>
      </c>
      <c r="O92" s="613">
        <f t="shared" si="20"/>
        <v>0.156</v>
      </c>
      <c r="P92" s="620">
        <f t="shared" si="15"/>
        <v>1</v>
      </c>
      <c r="S92" s="619">
        <f t="shared" si="18"/>
        <v>2079</v>
      </c>
      <c r="T92" s="621">
        <v>0</v>
      </c>
      <c r="U92" s="621">
        <v>5</v>
      </c>
      <c r="V92" s="622">
        <f t="shared" si="19"/>
        <v>0</v>
      </c>
      <c r="W92" s="623">
        <v>1</v>
      </c>
      <c r="X92" s="624">
        <f t="shared" si="16"/>
        <v>0</v>
      </c>
    </row>
    <row r="93" spans="2:24" ht="13.5" thickBot="1">
      <c r="B93" s="626">
        <f t="shared" si="17"/>
        <v>2080</v>
      </c>
      <c r="C93" s="627"/>
      <c r="D93" s="612">
        <v>1</v>
      </c>
      <c r="E93" s="628">
        <f t="shared" si="20"/>
        <v>0.435</v>
      </c>
      <c r="F93" s="628">
        <f t="shared" si="20"/>
        <v>0.129</v>
      </c>
      <c r="G93" s="628">
        <f t="shared" si="20"/>
        <v>0</v>
      </c>
      <c r="H93" s="628">
        <f t="shared" si="20"/>
        <v>0</v>
      </c>
      <c r="I93" s="628">
        <f t="shared" si="20"/>
        <v>9.9000000000000005E-2</v>
      </c>
      <c r="J93" s="628">
        <f t="shared" si="20"/>
        <v>2.7E-2</v>
      </c>
      <c r="K93" s="628">
        <f t="shared" si="20"/>
        <v>8.9999999999999993E-3</v>
      </c>
      <c r="L93" s="628">
        <f t="shared" si="20"/>
        <v>7.1999999999999995E-2</v>
      </c>
      <c r="M93" s="628">
        <f t="shared" si="20"/>
        <v>3.3000000000000002E-2</v>
      </c>
      <c r="N93" s="628">
        <f t="shared" si="20"/>
        <v>0.04</v>
      </c>
      <c r="O93" s="629">
        <f t="shared" si="20"/>
        <v>0.156</v>
      </c>
      <c r="P93" s="630">
        <f t="shared" si="15"/>
        <v>1</v>
      </c>
      <c r="S93" s="626">
        <f t="shared" si="18"/>
        <v>2080</v>
      </c>
      <c r="T93" s="631">
        <v>0</v>
      </c>
      <c r="U93" s="632">
        <v>5</v>
      </c>
      <c r="V93" s="633">
        <f t="shared" si="19"/>
        <v>0</v>
      </c>
      <c r="W93" s="634">
        <v>1</v>
      </c>
      <c r="X93" s="635">
        <f t="shared" si="16"/>
        <v>0</v>
      </c>
    </row>
  </sheetData>
  <customSheetViews>
    <customSheetView guid="{B400968E-E9A7-41C3-9739-36597C9C6BC6}" showGridLines="0" showRuler="0">
      <pane xSplit="2" ySplit="10" topLeftCell="C11" activePane="bottomRight" state="frozenSplit"/>
      <selection pane="bottomRight" activeCell="E18" sqref="E18"/>
      <pageMargins left="0.7" right="0.7" top="0.75" bottom="0.75" header="0.3" footer="0.3"/>
      <pageSetup paperSize="9" orientation="portrait"/>
      <headerFooter alignWithMargins="0"/>
    </customSheetView>
  </customSheetViews>
  <mergeCells count="13">
    <mergeCell ref="E9:O9"/>
    <mergeCell ref="J10:J11"/>
    <mergeCell ref="L10:O10"/>
    <mergeCell ref="H10:H11"/>
    <mergeCell ref="K10:K11"/>
    <mergeCell ref="G10:G11"/>
    <mergeCell ref="I10:I11"/>
    <mergeCell ref="P10:P11"/>
    <mergeCell ref="B10:B11"/>
    <mergeCell ref="C10:C11"/>
    <mergeCell ref="D10:D11"/>
    <mergeCell ref="E10:E11"/>
    <mergeCell ref="F10:F11"/>
  </mergeCells>
  <phoneticPr fontId="16" type="noConversion"/>
  <dataValidations count="1">
    <dataValidation type="decimal" showInputMessage="1" showErrorMessage="1" error="Please enter a number between 1% and 100%" sqref="W13:W93">
      <formula1>0</formula1>
      <formula2>1</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2:T86"/>
  <sheetViews>
    <sheetView workbookViewId="0">
      <pane ySplit="5" topLeftCell="A6" activePane="bottomLeft" state="frozen"/>
      <selection pane="bottomLeft" activeCell="O6" sqref="O6"/>
    </sheetView>
  </sheetViews>
  <sheetFormatPr defaultColWidth="8.85546875" defaultRowHeight="12.75"/>
  <cols>
    <col min="1" max="1" width="8.85546875" style="381"/>
    <col min="2" max="2" width="7.42578125" style="381" customWidth="1"/>
    <col min="3" max="3" width="10.42578125" style="381" customWidth="1"/>
    <col min="4" max="4" width="10.28515625" style="381" customWidth="1"/>
    <col min="5" max="5" width="11.140625" style="381" customWidth="1"/>
    <col min="6" max="7" width="11.42578125" style="381" customWidth="1"/>
    <col min="8" max="8" width="8.7109375" style="381" customWidth="1"/>
    <col min="9" max="9" width="11" style="381" customWidth="1"/>
    <col min="10" max="16384" width="8.85546875" style="381"/>
  </cols>
  <sheetData>
    <row r="2" spans="2:16" ht="18">
      <c r="B2" s="380" t="s">
        <v>241</v>
      </c>
    </row>
    <row r="3" spans="2:16" ht="13.5" thickBot="1">
      <c r="B3" s="417" t="s">
        <v>274</v>
      </c>
    </row>
    <row r="4" spans="2:16" ht="25.5">
      <c r="B4" s="422" t="s">
        <v>1</v>
      </c>
      <c r="C4" s="423" t="s">
        <v>6</v>
      </c>
      <c r="D4" s="424" t="s">
        <v>269</v>
      </c>
      <c r="E4" s="424" t="s">
        <v>267</v>
      </c>
      <c r="F4" s="424" t="s">
        <v>139</v>
      </c>
      <c r="G4" s="424" t="s">
        <v>2</v>
      </c>
      <c r="H4" s="423" t="s">
        <v>16</v>
      </c>
      <c r="I4" s="423" t="s">
        <v>229</v>
      </c>
      <c r="J4" s="423" t="s">
        <v>230</v>
      </c>
      <c r="K4" s="423" t="s">
        <v>231</v>
      </c>
      <c r="L4" s="423" t="s">
        <v>232</v>
      </c>
      <c r="M4" s="425" t="s">
        <v>233</v>
      </c>
      <c r="N4" s="425" t="s">
        <v>146</v>
      </c>
      <c r="O4" s="425" t="s">
        <v>204</v>
      </c>
      <c r="P4" s="425" t="s">
        <v>308</v>
      </c>
    </row>
    <row r="5" spans="2:16" ht="13.5" thickBot="1">
      <c r="B5" s="426"/>
      <c r="C5" s="421" t="s">
        <v>24</v>
      </c>
      <c r="D5" s="421" t="s">
        <v>24</v>
      </c>
      <c r="E5" s="421" t="s">
        <v>24</v>
      </c>
      <c r="F5" s="421" t="s">
        <v>24</v>
      </c>
      <c r="G5" s="421" t="s">
        <v>24</v>
      </c>
      <c r="H5" s="421" t="s">
        <v>24</v>
      </c>
      <c r="I5" s="421" t="s">
        <v>24</v>
      </c>
      <c r="J5" s="421" t="s">
        <v>24</v>
      </c>
      <c r="K5" s="421" t="s">
        <v>24</v>
      </c>
      <c r="L5" s="421" t="s">
        <v>24</v>
      </c>
      <c r="M5" s="421" t="s">
        <v>24</v>
      </c>
      <c r="N5" s="421" t="s">
        <v>24</v>
      </c>
      <c r="O5" s="421" t="s">
        <v>24</v>
      </c>
      <c r="P5" s="421" t="s">
        <v>24</v>
      </c>
    </row>
    <row r="6" spans="2:16">
      <c r="B6" s="387">
        <f>year</f>
        <v>2000</v>
      </c>
      <c r="C6" s="420">
        <v>0.59</v>
      </c>
      <c r="D6" s="420">
        <v>0.44</v>
      </c>
      <c r="E6" s="420">
        <v>0.44</v>
      </c>
      <c r="F6" s="420">
        <v>0.56999999999999995</v>
      </c>
      <c r="G6" s="420">
        <v>0.56999999999999995</v>
      </c>
      <c r="H6" s="420">
        <v>0.73</v>
      </c>
      <c r="I6" s="420">
        <v>0.89</v>
      </c>
      <c r="J6" s="420">
        <v>0.56999999999999995</v>
      </c>
      <c r="K6" s="420">
        <v>0.97</v>
      </c>
      <c r="L6" s="420">
        <v>0.66</v>
      </c>
      <c r="M6" s="420">
        <v>0.95</v>
      </c>
      <c r="N6" s="420">
        <v>0</v>
      </c>
      <c r="O6" s="420">
        <v>0</v>
      </c>
      <c r="P6" s="420">
        <v>0</v>
      </c>
    </row>
    <row r="7" spans="2:16">
      <c r="B7" s="382">
        <f>B6+1</f>
        <v>2001</v>
      </c>
      <c r="C7" s="420">
        <v>0.59</v>
      </c>
      <c r="D7" s="420">
        <v>0.44</v>
      </c>
      <c r="E7" s="420">
        <v>0.44</v>
      </c>
      <c r="F7" s="420">
        <v>0.56999999999999995</v>
      </c>
      <c r="G7" s="420">
        <v>0.56999999999999995</v>
      </c>
      <c r="H7" s="420">
        <v>0.73</v>
      </c>
      <c r="I7" s="420">
        <v>0.89</v>
      </c>
      <c r="J7" s="420">
        <v>0.56999999999999995</v>
      </c>
      <c r="K7" s="420">
        <v>0.97</v>
      </c>
      <c r="L7" s="420">
        <v>0.66</v>
      </c>
      <c r="M7" s="420">
        <v>0.95</v>
      </c>
      <c r="N7" s="420">
        <v>0</v>
      </c>
      <c r="O7" s="420">
        <v>0</v>
      </c>
      <c r="P7" s="420">
        <v>0</v>
      </c>
    </row>
    <row r="8" spans="2:16">
      <c r="B8" s="382">
        <f t="shared" ref="B8:B71" si="0">B7+1</f>
        <v>2002</v>
      </c>
      <c r="C8" s="420">
        <v>0.59</v>
      </c>
      <c r="D8" s="420">
        <v>0.44</v>
      </c>
      <c r="E8" s="420">
        <v>0.44</v>
      </c>
      <c r="F8" s="420">
        <v>0.56999999999999995</v>
      </c>
      <c r="G8" s="420">
        <v>0.56999999999999995</v>
      </c>
      <c r="H8" s="420">
        <v>0.73</v>
      </c>
      <c r="I8" s="420">
        <v>0.89</v>
      </c>
      <c r="J8" s="420">
        <v>0.56999999999999995</v>
      </c>
      <c r="K8" s="420">
        <v>0.97</v>
      </c>
      <c r="L8" s="420">
        <v>0.66</v>
      </c>
      <c r="M8" s="420">
        <v>0.95</v>
      </c>
      <c r="N8" s="420">
        <v>0</v>
      </c>
      <c r="O8" s="420">
        <v>0</v>
      </c>
      <c r="P8" s="420">
        <v>0</v>
      </c>
    </row>
    <row r="9" spans="2:16">
      <c r="B9" s="382">
        <f t="shared" si="0"/>
        <v>2003</v>
      </c>
      <c r="C9" s="420">
        <v>0.59</v>
      </c>
      <c r="D9" s="420">
        <v>0.44</v>
      </c>
      <c r="E9" s="420">
        <v>0.44</v>
      </c>
      <c r="F9" s="420">
        <v>0.56999999999999995</v>
      </c>
      <c r="G9" s="420">
        <v>0.56999999999999995</v>
      </c>
      <c r="H9" s="420">
        <v>0.73</v>
      </c>
      <c r="I9" s="420">
        <v>0.89</v>
      </c>
      <c r="J9" s="420">
        <v>0.56999999999999995</v>
      </c>
      <c r="K9" s="420">
        <v>0.97</v>
      </c>
      <c r="L9" s="420">
        <v>0.66</v>
      </c>
      <c r="M9" s="420">
        <v>0.95</v>
      </c>
      <c r="N9" s="420">
        <v>0</v>
      </c>
      <c r="O9" s="420">
        <v>0</v>
      </c>
      <c r="P9" s="420">
        <v>0</v>
      </c>
    </row>
    <row r="10" spans="2:16">
      <c r="B10" s="382">
        <f t="shared" si="0"/>
        <v>2004</v>
      </c>
      <c r="C10" s="420">
        <v>0.59</v>
      </c>
      <c r="D10" s="420">
        <v>0.44</v>
      </c>
      <c r="E10" s="420">
        <v>0.44</v>
      </c>
      <c r="F10" s="420">
        <v>0.56999999999999995</v>
      </c>
      <c r="G10" s="420">
        <v>0.56999999999999995</v>
      </c>
      <c r="H10" s="420">
        <v>0.73</v>
      </c>
      <c r="I10" s="420">
        <v>0.89</v>
      </c>
      <c r="J10" s="420">
        <v>0.56999999999999995</v>
      </c>
      <c r="K10" s="420">
        <v>0.97</v>
      </c>
      <c r="L10" s="420">
        <v>0.66</v>
      </c>
      <c r="M10" s="420">
        <v>0.95</v>
      </c>
      <c r="N10" s="420">
        <v>0</v>
      </c>
      <c r="O10" s="420">
        <v>0</v>
      </c>
      <c r="P10" s="420">
        <v>0</v>
      </c>
    </row>
    <row r="11" spans="2:16">
      <c r="B11" s="382">
        <f t="shared" si="0"/>
        <v>2005</v>
      </c>
      <c r="C11" s="420">
        <v>0.59</v>
      </c>
      <c r="D11" s="420">
        <v>0.44</v>
      </c>
      <c r="E11" s="420">
        <v>0.44</v>
      </c>
      <c r="F11" s="420">
        <v>0.56999999999999995</v>
      </c>
      <c r="G11" s="420">
        <v>0.56999999999999995</v>
      </c>
      <c r="H11" s="420">
        <v>0.73</v>
      </c>
      <c r="I11" s="420">
        <v>0.89</v>
      </c>
      <c r="J11" s="420">
        <v>0.56999999999999995</v>
      </c>
      <c r="K11" s="420">
        <v>0.97</v>
      </c>
      <c r="L11" s="420">
        <v>0.66</v>
      </c>
      <c r="M11" s="420">
        <v>0.95</v>
      </c>
      <c r="N11" s="420">
        <v>0</v>
      </c>
      <c r="O11" s="420">
        <v>0</v>
      </c>
      <c r="P11" s="420">
        <v>0</v>
      </c>
    </row>
    <row r="12" spans="2:16">
      <c r="B12" s="382">
        <f t="shared" si="0"/>
        <v>2006</v>
      </c>
      <c r="C12" s="420">
        <v>0.59</v>
      </c>
      <c r="D12" s="420">
        <v>0.44</v>
      </c>
      <c r="E12" s="420">
        <v>0.44</v>
      </c>
      <c r="F12" s="420">
        <v>0.56999999999999995</v>
      </c>
      <c r="G12" s="420">
        <v>0.56999999999999995</v>
      </c>
      <c r="H12" s="420">
        <v>0.73</v>
      </c>
      <c r="I12" s="420">
        <v>0.89</v>
      </c>
      <c r="J12" s="420">
        <v>0.56999999999999995</v>
      </c>
      <c r="K12" s="420">
        <v>0.97</v>
      </c>
      <c r="L12" s="420">
        <v>0.66</v>
      </c>
      <c r="M12" s="420">
        <v>0.95</v>
      </c>
      <c r="N12" s="420">
        <v>0</v>
      </c>
      <c r="O12" s="420">
        <v>0</v>
      </c>
      <c r="P12" s="420">
        <v>0</v>
      </c>
    </row>
    <row r="13" spans="2:16">
      <c r="B13" s="382">
        <f t="shared" si="0"/>
        <v>2007</v>
      </c>
      <c r="C13" s="420">
        <v>0.59</v>
      </c>
      <c r="D13" s="420">
        <v>0.44</v>
      </c>
      <c r="E13" s="420">
        <v>0.44</v>
      </c>
      <c r="F13" s="420">
        <v>0.56999999999999995</v>
      </c>
      <c r="G13" s="420">
        <v>0.56999999999999995</v>
      </c>
      <c r="H13" s="420">
        <v>0.73</v>
      </c>
      <c r="I13" s="420">
        <v>0.89</v>
      </c>
      <c r="J13" s="420">
        <v>0.56999999999999995</v>
      </c>
      <c r="K13" s="420">
        <v>0.97</v>
      </c>
      <c r="L13" s="420">
        <v>0.66</v>
      </c>
      <c r="M13" s="420">
        <v>0.95</v>
      </c>
      <c r="N13" s="420">
        <v>0</v>
      </c>
      <c r="O13" s="420">
        <v>0</v>
      </c>
      <c r="P13" s="420">
        <v>0</v>
      </c>
    </row>
    <row r="14" spans="2:16">
      <c r="B14" s="382">
        <f t="shared" si="0"/>
        <v>2008</v>
      </c>
      <c r="C14" s="420">
        <v>0.59</v>
      </c>
      <c r="D14" s="420">
        <v>0.44</v>
      </c>
      <c r="E14" s="420">
        <v>0.44</v>
      </c>
      <c r="F14" s="420">
        <v>0.56999999999999995</v>
      </c>
      <c r="G14" s="420">
        <v>0.56999999999999995</v>
      </c>
      <c r="H14" s="420">
        <v>0.73</v>
      </c>
      <c r="I14" s="420">
        <v>0.89</v>
      </c>
      <c r="J14" s="420">
        <v>0.56999999999999995</v>
      </c>
      <c r="K14" s="420">
        <v>0.97</v>
      </c>
      <c r="L14" s="420">
        <v>0.66</v>
      </c>
      <c r="M14" s="420">
        <v>0.95</v>
      </c>
      <c r="N14" s="420">
        <v>0</v>
      </c>
      <c r="O14" s="420">
        <v>0</v>
      </c>
      <c r="P14" s="420">
        <v>0</v>
      </c>
    </row>
    <row r="15" spans="2:16">
      <c r="B15" s="382">
        <f t="shared" si="0"/>
        <v>2009</v>
      </c>
      <c r="C15" s="420">
        <v>0.59</v>
      </c>
      <c r="D15" s="420">
        <v>0.44</v>
      </c>
      <c r="E15" s="420">
        <v>0.44</v>
      </c>
      <c r="F15" s="420">
        <v>0.56999999999999995</v>
      </c>
      <c r="G15" s="420">
        <v>0.56999999999999995</v>
      </c>
      <c r="H15" s="420">
        <v>0.73</v>
      </c>
      <c r="I15" s="420">
        <v>0.89</v>
      </c>
      <c r="J15" s="420">
        <v>0.56999999999999995</v>
      </c>
      <c r="K15" s="420">
        <v>0.97</v>
      </c>
      <c r="L15" s="420">
        <v>0.66</v>
      </c>
      <c r="M15" s="420">
        <v>0.95</v>
      </c>
      <c r="N15" s="420">
        <v>0</v>
      </c>
      <c r="O15" s="420">
        <v>0</v>
      </c>
      <c r="P15" s="420">
        <v>0</v>
      </c>
    </row>
    <row r="16" spans="2:16">
      <c r="B16" s="382">
        <f t="shared" si="0"/>
        <v>2010</v>
      </c>
      <c r="C16" s="420">
        <v>0.59</v>
      </c>
      <c r="D16" s="420">
        <v>0.44</v>
      </c>
      <c r="E16" s="420">
        <v>0.44</v>
      </c>
      <c r="F16" s="420">
        <v>0.56999999999999995</v>
      </c>
      <c r="G16" s="420">
        <v>0.56999999999999995</v>
      </c>
      <c r="H16" s="420">
        <v>0.73</v>
      </c>
      <c r="I16" s="420">
        <v>0.89</v>
      </c>
      <c r="J16" s="420">
        <v>0.56999999999999995</v>
      </c>
      <c r="K16" s="420">
        <v>0.97</v>
      </c>
      <c r="L16" s="420">
        <v>0.66</v>
      </c>
      <c r="M16" s="420">
        <v>0.95</v>
      </c>
      <c r="N16" s="420">
        <v>0</v>
      </c>
      <c r="O16" s="420">
        <v>0</v>
      </c>
      <c r="P16" s="420">
        <v>0</v>
      </c>
    </row>
    <row r="17" spans="2:20">
      <c r="B17" s="382">
        <f t="shared" si="0"/>
        <v>2011</v>
      </c>
      <c r="C17" s="420">
        <v>0.59</v>
      </c>
      <c r="D17" s="420">
        <v>0.44</v>
      </c>
      <c r="E17" s="420">
        <v>0.44</v>
      </c>
      <c r="F17" s="420">
        <v>0.56999999999999995</v>
      </c>
      <c r="G17" s="420">
        <v>0.56999999999999995</v>
      </c>
      <c r="H17" s="420">
        <v>0.73</v>
      </c>
      <c r="I17" s="420">
        <v>0.89</v>
      </c>
      <c r="J17" s="420">
        <v>0.56999999999999995</v>
      </c>
      <c r="K17" s="420">
        <v>0.97</v>
      </c>
      <c r="L17" s="420">
        <v>0.66</v>
      </c>
      <c r="M17" s="420">
        <v>0.95</v>
      </c>
      <c r="N17" s="420">
        <v>0</v>
      </c>
      <c r="O17" s="420">
        <v>0</v>
      </c>
      <c r="P17" s="420">
        <v>0</v>
      </c>
    </row>
    <row r="18" spans="2:20">
      <c r="B18" s="382">
        <f t="shared" si="0"/>
        <v>2012</v>
      </c>
      <c r="C18" s="420">
        <v>0.59</v>
      </c>
      <c r="D18" s="420">
        <v>0.44</v>
      </c>
      <c r="E18" s="420">
        <v>0.44</v>
      </c>
      <c r="F18" s="420">
        <v>0.56999999999999995</v>
      </c>
      <c r="G18" s="420">
        <v>0.56999999999999995</v>
      </c>
      <c r="H18" s="420">
        <v>0.73</v>
      </c>
      <c r="I18" s="420">
        <v>0.89</v>
      </c>
      <c r="J18" s="420">
        <v>0.56999999999999995</v>
      </c>
      <c r="K18" s="420">
        <v>0.97</v>
      </c>
      <c r="L18" s="420">
        <v>0.66</v>
      </c>
      <c r="M18" s="420">
        <v>0.95</v>
      </c>
      <c r="N18" s="420">
        <v>0</v>
      </c>
      <c r="O18" s="420">
        <v>0</v>
      </c>
      <c r="P18" s="420">
        <v>0</v>
      </c>
      <c r="S18" s="383"/>
      <c r="T18" s="384"/>
    </row>
    <row r="19" spans="2:20">
      <c r="B19" s="382">
        <f t="shared" si="0"/>
        <v>2013</v>
      </c>
      <c r="C19" s="420">
        <v>0.59</v>
      </c>
      <c r="D19" s="420">
        <v>0.44</v>
      </c>
      <c r="E19" s="420">
        <v>0.44</v>
      </c>
      <c r="F19" s="420">
        <v>0.56999999999999995</v>
      </c>
      <c r="G19" s="420">
        <v>0.56999999999999995</v>
      </c>
      <c r="H19" s="420">
        <v>0.73</v>
      </c>
      <c r="I19" s="420">
        <v>0.89</v>
      </c>
      <c r="J19" s="420">
        <v>0.56999999999999995</v>
      </c>
      <c r="K19" s="420">
        <v>0.97</v>
      </c>
      <c r="L19" s="420">
        <v>0.66</v>
      </c>
      <c r="M19" s="420">
        <v>0.95</v>
      </c>
      <c r="N19" s="420">
        <v>0</v>
      </c>
      <c r="O19" s="420">
        <v>0</v>
      </c>
      <c r="P19" s="420">
        <v>0</v>
      </c>
      <c r="S19" s="383"/>
      <c r="T19" s="385"/>
    </row>
    <row r="20" spans="2:20">
      <c r="B20" s="382">
        <f t="shared" si="0"/>
        <v>2014</v>
      </c>
      <c r="C20" s="420">
        <v>0.59</v>
      </c>
      <c r="D20" s="420">
        <v>0.44</v>
      </c>
      <c r="E20" s="420">
        <v>0.44</v>
      </c>
      <c r="F20" s="420">
        <v>0.56999999999999995</v>
      </c>
      <c r="G20" s="420">
        <v>0.56999999999999995</v>
      </c>
      <c r="H20" s="420">
        <v>0.73</v>
      </c>
      <c r="I20" s="420">
        <v>0.89</v>
      </c>
      <c r="J20" s="420">
        <v>0.56999999999999995</v>
      </c>
      <c r="K20" s="420">
        <v>0.97</v>
      </c>
      <c r="L20" s="420">
        <v>0.66</v>
      </c>
      <c r="M20" s="420">
        <v>0.95</v>
      </c>
      <c r="N20" s="420">
        <v>0</v>
      </c>
      <c r="O20" s="420">
        <v>0</v>
      </c>
      <c r="P20" s="420">
        <v>0</v>
      </c>
      <c r="S20" s="383"/>
      <c r="T20" s="385"/>
    </row>
    <row r="21" spans="2:20">
      <c r="B21" s="382">
        <f t="shared" si="0"/>
        <v>2015</v>
      </c>
      <c r="C21" s="420">
        <v>0.59</v>
      </c>
      <c r="D21" s="420">
        <v>0.44</v>
      </c>
      <c r="E21" s="420">
        <v>0.44</v>
      </c>
      <c r="F21" s="420">
        <v>0.56999999999999995</v>
      </c>
      <c r="G21" s="420">
        <v>0.56999999999999995</v>
      </c>
      <c r="H21" s="420">
        <v>0.73</v>
      </c>
      <c r="I21" s="420">
        <v>0.89</v>
      </c>
      <c r="J21" s="420">
        <v>0.56999999999999995</v>
      </c>
      <c r="K21" s="420">
        <v>0.97</v>
      </c>
      <c r="L21" s="420">
        <v>0.66</v>
      </c>
      <c r="M21" s="420">
        <v>0.95</v>
      </c>
      <c r="N21" s="420">
        <v>0</v>
      </c>
      <c r="O21" s="420">
        <v>0</v>
      </c>
      <c r="P21" s="420">
        <v>0</v>
      </c>
      <c r="S21" s="383"/>
      <c r="T21" s="385"/>
    </row>
    <row r="22" spans="2:20">
      <c r="B22" s="382">
        <f t="shared" si="0"/>
        <v>2016</v>
      </c>
      <c r="C22" s="420">
        <v>0.59</v>
      </c>
      <c r="D22" s="420">
        <v>0.44</v>
      </c>
      <c r="E22" s="420">
        <v>0.44</v>
      </c>
      <c r="F22" s="420">
        <v>0.56999999999999995</v>
      </c>
      <c r="G22" s="420">
        <v>0.56999999999999995</v>
      </c>
      <c r="H22" s="420">
        <v>0.73</v>
      </c>
      <c r="I22" s="420">
        <v>0.89</v>
      </c>
      <c r="J22" s="420">
        <v>0.56999999999999995</v>
      </c>
      <c r="K22" s="420">
        <v>0.97</v>
      </c>
      <c r="L22" s="420">
        <v>0.66</v>
      </c>
      <c r="M22" s="420">
        <v>0.95</v>
      </c>
      <c r="N22" s="420">
        <v>0</v>
      </c>
      <c r="O22" s="420">
        <v>0</v>
      </c>
      <c r="P22" s="420">
        <v>0</v>
      </c>
      <c r="S22" s="383"/>
      <c r="T22" s="385"/>
    </row>
    <row r="23" spans="2:20">
      <c r="B23" s="382">
        <f t="shared" si="0"/>
        <v>2017</v>
      </c>
      <c r="C23" s="420">
        <v>0.59</v>
      </c>
      <c r="D23" s="420">
        <v>0.44</v>
      </c>
      <c r="E23" s="420">
        <v>0.44</v>
      </c>
      <c r="F23" s="420">
        <v>0.56999999999999995</v>
      </c>
      <c r="G23" s="420">
        <v>0.56999999999999995</v>
      </c>
      <c r="H23" s="420">
        <v>0.73</v>
      </c>
      <c r="I23" s="420">
        <v>0.89</v>
      </c>
      <c r="J23" s="420">
        <v>0.56999999999999995</v>
      </c>
      <c r="K23" s="420">
        <v>0.97</v>
      </c>
      <c r="L23" s="420">
        <v>0.66</v>
      </c>
      <c r="M23" s="420">
        <v>0.95</v>
      </c>
      <c r="N23" s="420">
        <v>0</v>
      </c>
      <c r="O23" s="420">
        <v>0</v>
      </c>
      <c r="P23" s="420">
        <v>0</v>
      </c>
      <c r="S23" s="383"/>
      <c r="T23" s="385"/>
    </row>
    <row r="24" spans="2:20">
      <c r="B24" s="382">
        <f t="shared" si="0"/>
        <v>2018</v>
      </c>
      <c r="C24" s="420">
        <v>0.59</v>
      </c>
      <c r="D24" s="420">
        <v>0.44</v>
      </c>
      <c r="E24" s="420">
        <v>0.44</v>
      </c>
      <c r="F24" s="420">
        <v>0.56999999999999995</v>
      </c>
      <c r="G24" s="420">
        <v>0.56999999999999995</v>
      </c>
      <c r="H24" s="420">
        <v>0.73</v>
      </c>
      <c r="I24" s="420">
        <v>0.89</v>
      </c>
      <c r="J24" s="420">
        <v>0.56999999999999995</v>
      </c>
      <c r="K24" s="420">
        <v>0.97</v>
      </c>
      <c r="L24" s="420">
        <v>0.66</v>
      </c>
      <c r="M24" s="420">
        <v>0.95</v>
      </c>
      <c r="N24" s="420">
        <v>0</v>
      </c>
      <c r="O24" s="420">
        <v>0</v>
      </c>
      <c r="P24" s="420">
        <v>0</v>
      </c>
      <c r="S24" s="383"/>
      <c r="T24" s="385"/>
    </row>
    <row r="25" spans="2:20">
      <c r="B25" s="382">
        <f t="shared" si="0"/>
        <v>2019</v>
      </c>
      <c r="C25" s="420">
        <v>0.59</v>
      </c>
      <c r="D25" s="420">
        <v>0.44</v>
      </c>
      <c r="E25" s="420">
        <v>0.44</v>
      </c>
      <c r="F25" s="420">
        <v>0.56999999999999995</v>
      </c>
      <c r="G25" s="420">
        <v>0.56999999999999995</v>
      </c>
      <c r="H25" s="420">
        <v>0.73</v>
      </c>
      <c r="I25" s="420">
        <v>0.89</v>
      </c>
      <c r="J25" s="420">
        <v>0.56999999999999995</v>
      </c>
      <c r="K25" s="420">
        <v>0.97</v>
      </c>
      <c r="L25" s="420">
        <v>0.66</v>
      </c>
      <c r="M25" s="420">
        <v>0.95</v>
      </c>
      <c r="N25" s="420">
        <v>0</v>
      </c>
      <c r="O25" s="420">
        <v>0</v>
      </c>
      <c r="P25" s="420">
        <v>0</v>
      </c>
      <c r="S25" s="383"/>
      <c r="T25" s="385"/>
    </row>
    <row r="26" spans="2:20">
      <c r="B26" s="382">
        <f t="shared" si="0"/>
        <v>2020</v>
      </c>
      <c r="C26" s="420">
        <v>0.59</v>
      </c>
      <c r="D26" s="420">
        <v>0.44</v>
      </c>
      <c r="E26" s="420">
        <v>0.44</v>
      </c>
      <c r="F26" s="420">
        <v>0.56999999999999995</v>
      </c>
      <c r="G26" s="420">
        <v>0.56999999999999995</v>
      </c>
      <c r="H26" s="420">
        <v>0.73</v>
      </c>
      <c r="I26" s="420">
        <v>0.89</v>
      </c>
      <c r="J26" s="420">
        <v>0.56999999999999995</v>
      </c>
      <c r="K26" s="420">
        <v>0.97</v>
      </c>
      <c r="L26" s="420">
        <v>0.66</v>
      </c>
      <c r="M26" s="420">
        <v>0.95</v>
      </c>
      <c r="N26" s="420">
        <v>0</v>
      </c>
      <c r="O26" s="420">
        <v>0</v>
      </c>
      <c r="P26" s="420">
        <v>0</v>
      </c>
      <c r="S26" s="383"/>
      <c r="T26" s="385"/>
    </row>
    <row r="27" spans="2:20">
      <c r="B27" s="382">
        <f t="shared" si="0"/>
        <v>2021</v>
      </c>
      <c r="C27" s="420">
        <v>0.59</v>
      </c>
      <c r="D27" s="420">
        <v>0.44</v>
      </c>
      <c r="E27" s="420">
        <v>0.44</v>
      </c>
      <c r="F27" s="420">
        <v>0.56999999999999995</v>
      </c>
      <c r="G27" s="420">
        <v>0.56999999999999995</v>
      </c>
      <c r="H27" s="420">
        <v>0.73</v>
      </c>
      <c r="I27" s="420">
        <v>0.89</v>
      </c>
      <c r="J27" s="420">
        <v>0.56999999999999995</v>
      </c>
      <c r="K27" s="420">
        <v>0.97</v>
      </c>
      <c r="L27" s="420">
        <v>0.66</v>
      </c>
      <c r="M27" s="420">
        <v>0.95</v>
      </c>
      <c r="N27" s="420">
        <v>0</v>
      </c>
      <c r="O27" s="420">
        <v>0</v>
      </c>
      <c r="P27" s="420">
        <v>0</v>
      </c>
      <c r="S27" s="386"/>
      <c r="T27" s="385"/>
    </row>
    <row r="28" spans="2:20">
      <c r="B28" s="382">
        <f t="shared" si="0"/>
        <v>2022</v>
      </c>
      <c r="C28" s="420">
        <v>0.59</v>
      </c>
      <c r="D28" s="420">
        <v>0.44</v>
      </c>
      <c r="E28" s="420">
        <v>0.44</v>
      </c>
      <c r="F28" s="420">
        <v>0.56999999999999995</v>
      </c>
      <c r="G28" s="420">
        <v>0.56999999999999995</v>
      </c>
      <c r="H28" s="420">
        <v>0.73</v>
      </c>
      <c r="I28" s="420">
        <v>0.89</v>
      </c>
      <c r="J28" s="420">
        <v>0.56999999999999995</v>
      </c>
      <c r="K28" s="420">
        <v>0.97</v>
      </c>
      <c r="L28" s="420">
        <v>0.66</v>
      </c>
      <c r="M28" s="420">
        <v>0.95</v>
      </c>
      <c r="N28" s="420">
        <v>0</v>
      </c>
      <c r="O28" s="420">
        <v>0</v>
      </c>
      <c r="P28" s="420">
        <v>0</v>
      </c>
    </row>
    <row r="29" spans="2:20">
      <c r="B29" s="382">
        <f t="shared" si="0"/>
        <v>2023</v>
      </c>
      <c r="C29" s="420">
        <v>0.59</v>
      </c>
      <c r="D29" s="420">
        <v>0.44</v>
      </c>
      <c r="E29" s="420">
        <v>0.44</v>
      </c>
      <c r="F29" s="420">
        <v>0.56999999999999995</v>
      </c>
      <c r="G29" s="420">
        <v>0.56999999999999995</v>
      </c>
      <c r="H29" s="420">
        <v>0.73</v>
      </c>
      <c r="I29" s="420">
        <v>0.89</v>
      </c>
      <c r="J29" s="420">
        <v>0.56999999999999995</v>
      </c>
      <c r="K29" s="420">
        <v>0.97</v>
      </c>
      <c r="L29" s="420">
        <v>0.66</v>
      </c>
      <c r="M29" s="420">
        <v>0.95</v>
      </c>
      <c r="N29" s="420">
        <v>0</v>
      </c>
      <c r="O29" s="420">
        <v>0</v>
      </c>
      <c r="P29" s="420">
        <v>0</v>
      </c>
    </row>
    <row r="30" spans="2:20">
      <c r="B30" s="382">
        <f t="shared" si="0"/>
        <v>2024</v>
      </c>
      <c r="C30" s="420">
        <v>0.59</v>
      </c>
      <c r="D30" s="420">
        <v>0.44</v>
      </c>
      <c r="E30" s="420">
        <v>0.44</v>
      </c>
      <c r="F30" s="420">
        <v>0.56999999999999995</v>
      </c>
      <c r="G30" s="420">
        <v>0.56999999999999995</v>
      </c>
      <c r="H30" s="420">
        <v>0.73</v>
      </c>
      <c r="I30" s="420">
        <v>0.89</v>
      </c>
      <c r="J30" s="420">
        <v>0.56999999999999995</v>
      </c>
      <c r="K30" s="420">
        <v>0.97</v>
      </c>
      <c r="L30" s="420">
        <v>0.66</v>
      </c>
      <c r="M30" s="420">
        <v>0.95</v>
      </c>
      <c r="N30" s="420">
        <v>0</v>
      </c>
      <c r="O30" s="420">
        <v>0</v>
      </c>
      <c r="P30" s="420">
        <v>0</v>
      </c>
    </row>
    <row r="31" spans="2:20">
      <c r="B31" s="382">
        <f t="shared" si="0"/>
        <v>2025</v>
      </c>
      <c r="C31" s="420">
        <v>0.59</v>
      </c>
      <c r="D31" s="420">
        <v>0.44</v>
      </c>
      <c r="E31" s="420">
        <v>0.44</v>
      </c>
      <c r="F31" s="420">
        <v>0.56999999999999995</v>
      </c>
      <c r="G31" s="420">
        <v>0.56999999999999995</v>
      </c>
      <c r="H31" s="420">
        <v>0.73</v>
      </c>
      <c r="I31" s="420">
        <v>0.89</v>
      </c>
      <c r="J31" s="420">
        <v>0.56999999999999995</v>
      </c>
      <c r="K31" s="420">
        <v>0.97</v>
      </c>
      <c r="L31" s="420">
        <v>0.66</v>
      </c>
      <c r="M31" s="420">
        <v>0.95</v>
      </c>
      <c r="N31" s="420">
        <v>0</v>
      </c>
      <c r="O31" s="420">
        <v>0</v>
      </c>
      <c r="P31" s="420">
        <v>0</v>
      </c>
    </row>
    <row r="32" spans="2:20">
      <c r="B32" s="382">
        <f t="shared" si="0"/>
        <v>2026</v>
      </c>
      <c r="C32" s="420">
        <v>0.59</v>
      </c>
      <c r="D32" s="420">
        <v>0.44</v>
      </c>
      <c r="E32" s="420">
        <v>0.44</v>
      </c>
      <c r="F32" s="420">
        <v>0.56999999999999995</v>
      </c>
      <c r="G32" s="420">
        <v>0.56999999999999995</v>
      </c>
      <c r="H32" s="420">
        <v>0.73</v>
      </c>
      <c r="I32" s="420">
        <v>0.89</v>
      </c>
      <c r="J32" s="420">
        <v>0.56999999999999995</v>
      </c>
      <c r="K32" s="420">
        <v>0.97</v>
      </c>
      <c r="L32" s="420">
        <v>0.66</v>
      </c>
      <c r="M32" s="420">
        <v>0.95</v>
      </c>
      <c r="N32" s="420">
        <v>0</v>
      </c>
      <c r="O32" s="420">
        <v>0</v>
      </c>
      <c r="P32" s="420">
        <v>0</v>
      </c>
    </row>
    <row r="33" spans="2:16">
      <c r="B33" s="382">
        <f t="shared" si="0"/>
        <v>2027</v>
      </c>
      <c r="C33" s="420">
        <v>0.59</v>
      </c>
      <c r="D33" s="420">
        <v>0.44</v>
      </c>
      <c r="E33" s="420">
        <v>0.44</v>
      </c>
      <c r="F33" s="420">
        <v>0.56999999999999995</v>
      </c>
      <c r="G33" s="420">
        <v>0.56999999999999995</v>
      </c>
      <c r="H33" s="420">
        <v>0.73</v>
      </c>
      <c r="I33" s="420">
        <v>0.89</v>
      </c>
      <c r="J33" s="420">
        <v>0.56999999999999995</v>
      </c>
      <c r="K33" s="420">
        <v>0.97</v>
      </c>
      <c r="L33" s="420">
        <v>0.66</v>
      </c>
      <c r="M33" s="420">
        <v>0.95</v>
      </c>
      <c r="N33" s="420">
        <v>0</v>
      </c>
      <c r="O33" s="420">
        <v>0</v>
      </c>
      <c r="P33" s="420">
        <v>0</v>
      </c>
    </row>
    <row r="34" spans="2:16">
      <c r="B34" s="382">
        <f t="shared" si="0"/>
        <v>2028</v>
      </c>
      <c r="C34" s="420">
        <v>0.59</v>
      </c>
      <c r="D34" s="420">
        <v>0.44</v>
      </c>
      <c r="E34" s="420">
        <v>0.44</v>
      </c>
      <c r="F34" s="420">
        <v>0.56999999999999995</v>
      </c>
      <c r="G34" s="420">
        <v>0.56999999999999995</v>
      </c>
      <c r="H34" s="420">
        <v>0.73</v>
      </c>
      <c r="I34" s="420">
        <v>0.89</v>
      </c>
      <c r="J34" s="420">
        <v>0.56999999999999995</v>
      </c>
      <c r="K34" s="420">
        <v>0.97</v>
      </c>
      <c r="L34" s="420">
        <v>0.66</v>
      </c>
      <c r="M34" s="420">
        <v>0.95</v>
      </c>
      <c r="N34" s="420">
        <v>0</v>
      </c>
      <c r="O34" s="420">
        <v>0</v>
      </c>
      <c r="P34" s="420">
        <v>0</v>
      </c>
    </row>
    <row r="35" spans="2:16">
      <c r="B35" s="382">
        <f t="shared" si="0"/>
        <v>2029</v>
      </c>
      <c r="C35" s="420">
        <v>0.59</v>
      </c>
      <c r="D35" s="420">
        <v>0.44</v>
      </c>
      <c r="E35" s="420">
        <v>0.44</v>
      </c>
      <c r="F35" s="420">
        <v>0.56999999999999995</v>
      </c>
      <c r="G35" s="420">
        <v>0.56999999999999995</v>
      </c>
      <c r="H35" s="420">
        <v>0.73</v>
      </c>
      <c r="I35" s="420">
        <v>0.89</v>
      </c>
      <c r="J35" s="420">
        <v>0.56999999999999995</v>
      </c>
      <c r="K35" s="420">
        <v>0.97</v>
      </c>
      <c r="L35" s="420">
        <v>0.66</v>
      </c>
      <c r="M35" s="420">
        <v>0.95</v>
      </c>
      <c r="N35" s="420">
        <v>0</v>
      </c>
      <c r="O35" s="420">
        <v>0</v>
      </c>
      <c r="P35" s="420">
        <v>0</v>
      </c>
    </row>
    <row r="36" spans="2:16">
      <c r="B36" s="382">
        <f t="shared" si="0"/>
        <v>2030</v>
      </c>
      <c r="C36" s="420">
        <v>0.59</v>
      </c>
      <c r="D36" s="420">
        <v>0.44</v>
      </c>
      <c r="E36" s="420">
        <v>0.44</v>
      </c>
      <c r="F36" s="420">
        <v>0.56999999999999995</v>
      </c>
      <c r="G36" s="420">
        <v>0.56999999999999995</v>
      </c>
      <c r="H36" s="420">
        <v>0.73</v>
      </c>
      <c r="I36" s="420">
        <v>0.89</v>
      </c>
      <c r="J36" s="420">
        <v>0.56999999999999995</v>
      </c>
      <c r="K36" s="420">
        <v>0.97</v>
      </c>
      <c r="L36" s="420">
        <v>0.66</v>
      </c>
      <c r="M36" s="420">
        <v>0.95</v>
      </c>
      <c r="N36" s="420">
        <v>0</v>
      </c>
      <c r="O36" s="420">
        <v>0</v>
      </c>
      <c r="P36" s="420">
        <v>0</v>
      </c>
    </row>
    <row r="37" spans="2:16">
      <c r="B37" s="382">
        <f t="shared" si="0"/>
        <v>2031</v>
      </c>
      <c r="C37" s="420">
        <v>0.59</v>
      </c>
      <c r="D37" s="420">
        <v>0.44</v>
      </c>
      <c r="E37" s="420">
        <v>0.44</v>
      </c>
      <c r="F37" s="420">
        <v>0.56999999999999995</v>
      </c>
      <c r="G37" s="420">
        <v>0.56999999999999995</v>
      </c>
      <c r="H37" s="420">
        <v>0.73</v>
      </c>
      <c r="I37" s="420">
        <v>0.89</v>
      </c>
      <c r="J37" s="420">
        <v>0.56999999999999995</v>
      </c>
      <c r="K37" s="420">
        <v>0.97</v>
      </c>
      <c r="L37" s="420">
        <v>0.66</v>
      </c>
      <c r="M37" s="420">
        <v>0.95</v>
      </c>
      <c r="N37" s="420">
        <v>0</v>
      </c>
      <c r="O37" s="420">
        <v>0</v>
      </c>
      <c r="P37" s="420">
        <v>0</v>
      </c>
    </row>
    <row r="38" spans="2:16">
      <c r="B38" s="382">
        <f t="shared" si="0"/>
        <v>2032</v>
      </c>
      <c r="C38" s="420">
        <v>0.59</v>
      </c>
      <c r="D38" s="420">
        <v>0.44</v>
      </c>
      <c r="E38" s="420">
        <v>0.44</v>
      </c>
      <c r="F38" s="420">
        <v>0.56999999999999995</v>
      </c>
      <c r="G38" s="420">
        <v>0.56999999999999995</v>
      </c>
      <c r="H38" s="420">
        <v>0.73</v>
      </c>
      <c r="I38" s="420">
        <v>0.89</v>
      </c>
      <c r="J38" s="420">
        <v>0.56999999999999995</v>
      </c>
      <c r="K38" s="420">
        <v>0.97</v>
      </c>
      <c r="L38" s="420">
        <v>0.66</v>
      </c>
      <c r="M38" s="420">
        <v>0.95</v>
      </c>
      <c r="N38" s="420">
        <v>0</v>
      </c>
      <c r="O38" s="420">
        <v>0</v>
      </c>
      <c r="P38" s="420">
        <v>0</v>
      </c>
    </row>
    <row r="39" spans="2:16">
      <c r="B39" s="382">
        <f t="shared" si="0"/>
        <v>2033</v>
      </c>
      <c r="C39" s="420">
        <v>0.59</v>
      </c>
      <c r="D39" s="420">
        <v>0.44</v>
      </c>
      <c r="E39" s="420">
        <v>0.44</v>
      </c>
      <c r="F39" s="420">
        <v>0.56999999999999995</v>
      </c>
      <c r="G39" s="420">
        <v>0.56999999999999995</v>
      </c>
      <c r="H39" s="420">
        <v>0.73</v>
      </c>
      <c r="I39" s="420">
        <v>0.89</v>
      </c>
      <c r="J39" s="420">
        <v>0.56999999999999995</v>
      </c>
      <c r="K39" s="420">
        <v>0.97</v>
      </c>
      <c r="L39" s="420">
        <v>0.66</v>
      </c>
      <c r="M39" s="420">
        <v>0.95</v>
      </c>
      <c r="N39" s="420">
        <v>0</v>
      </c>
      <c r="O39" s="420">
        <v>0</v>
      </c>
      <c r="P39" s="420">
        <v>0</v>
      </c>
    </row>
    <row r="40" spans="2:16">
      <c r="B40" s="382">
        <f t="shared" si="0"/>
        <v>2034</v>
      </c>
      <c r="C40" s="420">
        <v>0.59</v>
      </c>
      <c r="D40" s="420">
        <v>0.44</v>
      </c>
      <c r="E40" s="420">
        <v>0.44</v>
      </c>
      <c r="F40" s="420">
        <v>0.56999999999999995</v>
      </c>
      <c r="G40" s="420">
        <v>0.56999999999999995</v>
      </c>
      <c r="H40" s="420">
        <v>0.73</v>
      </c>
      <c r="I40" s="420">
        <v>0.89</v>
      </c>
      <c r="J40" s="420">
        <v>0.56999999999999995</v>
      </c>
      <c r="K40" s="420">
        <v>0.97</v>
      </c>
      <c r="L40" s="420">
        <v>0.66</v>
      </c>
      <c r="M40" s="420">
        <v>0.95</v>
      </c>
      <c r="N40" s="420">
        <v>0</v>
      </c>
      <c r="O40" s="420">
        <v>0</v>
      </c>
      <c r="P40" s="420">
        <v>0</v>
      </c>
    </row>
    <row r="41" spans="2:16">
      <c r="B41" s="382">
        <f t="shared" si="0"/>
        <v>2035</v>
      </c>
      <c r="C41" s="420">
        <v>0.59</v>
      </c>
      <c r="D41" s="420">
        <v>0.44</v>
      </c>
      <c r="E41" s="420">
        <v>0.44</v>
      </c>
      <c r="F41" s="420">
        <v>0.56999999999999995</v>
      </c>
      <c r="G41" s="420">
        <v>0.56999999999999995</v>
      </c>
      <c r="H41" s="420">
        <v>0.73</v>
      </c>
      <c r="I41" s="420">
        <v>0.89</v>
      </c>
      <c r="J41" s="420">
        <v>0.56999999999999995</v>
      </c>
      <c r="K41" s="420">
        <v>0.97</v>
      </c>
      <c r="L41" s="420">
        <v>0.66</v>
      </c>
      <c r="M41" s="420">
        <v>0.95</v>
      </c>
      <c r="N41" s="420">
        <v>0</v>
      </c>
      <c r="O41" s="420">
        <v>0</v>
      </c>
      <c r="P41" s="420">
        <v>0</v>
      </c>
    </row>
    <row r="42" spans="2:16">
      <c r="B42" s="382">
        <f t="shared" si="0"/>
        <v>2036</v>
      </c>
      <c r="C42" s="420">
        <v>0.59</v>
      </c>
      <c r="D42" s="420">
        <v>0.44</v>
      </c>
      <c r="E42" s="420">
        <v>0.44</v>
      </c>
      <c r="F42" s="420">
        <v>0.56999999999999995</v>
      </c>
      <c r="G42" s="420">
        <v>0.56999999999999995</v>
      </c>
      <c r="H42" s="420">
        <v>0.73</v>
      </c>
      <c r="I42" s="420">
        <v>0.89</v>
      </c>
      <c r="J42" s="420">
        <v>0.56999999999999995</v>
      </c>
      <c r="K42" s="420">
        <v>0.97</v>
      </c>
      <c r="L42" s="420">
        <v>0.66</v>
      </c>
      <c r="M42" s="420">
        <v>0.95</v>
      </c>
      <c r="N42" s="420">
        <v>0</v>
      </c>
      <c r="O42" s="420">
        <v>0</v>
      </c>
      <c r="P42" s="420">
        <v>0</v>
      </c>
    </row>
    <row r="43" spans="2:16">
      <c r="B43" s="382">
        <f t="shared" si="0"/>
        <v>2037</v>
      </c>
      <c r="C43" s="420">
        <v>0.59</v>
      </c>
      <c r="D43" s="420">
        <v>0.44</v>
      </c>
      <c r="E43" s="420">
        <v>0.44</v>
      </c>
      <c r="F43" s="420">
        <v>0.56999999999999995</v>
      </c>
      <c r="G43" s="420">
        <v>0.56999999999999995</v>
      </c>
      <c r="H43" s="420">
        <v>0.73</v>
      </c>
      <c r="I43" s="420">
        <v>0.89</v>
      </c>
      <c r="J43" s="420">
        <v>0.56999999999999995</v>
      </c>
      <c r="K43" s="420">
        <v>0.97</v>
      </c>
      <c r="L43" s="420">
        <v>0.66</v>
      </c>
      <c r="M43" s="420">
        <v>0.95</v>
      </c>
      <c r="N43" s="420">
        <v>0</v>
      </c>
      <c r="O43" s="420">
        <v>0</v>
      </c>
      <c r="P43" s="420">
        <v>0</v>
      </c>
    </row>
    <row r="44" spans="2:16">
      <c r="B44" s="382">
        <f t="shared" si="0"/>
        <v>2038</v>
      </c>
      <c r="C44" s="420">
        <v>0.59</v>
      </c>
      <c r="D44" s="420">
        <v>0.44</v>
      </c>
      <c r="E44" s="420">
        <v>0.44</v>
      </c>
      <c r="F44" s="420">
        <v>0.56999999999999995</v>
      </c>
      <c r="G44" s="420">
        <v>0.56999999999999995</v>
      </c>
      <c r="H44" s="420">
        <v>0.73</v>
      </c>
      <c r="I44" s="420">
        <v>0.89</v>
      </c>
      <c r="J44" s="420">
        <v>0.56999999999999995</v>
      </c>
      <c r="K44" s="420">
        <v>0.97</v>
      </c>
      <c r="L44" s="420">
        <v>0.66</v>
      </c>
      <c r="M44" s="420">
        <v>0.95</v>
      </c>
      <c r="N44" s="420">
        <v>0</v>
      </c>
      <c r="O44" s="420">
        <v>0</v>
      </c>
      <c r="P44" s="420">
        <v>0</v>
      </c>
    </row>
    <row r="45" spans="2:16">
      <c r="B45" s="382">
        <f t="shared" si="0"/>
        <v>2039</v>
      </c>
      <c r="C45" s="420">
        <v>0.59</v>
      </c>
      <c r="D45" s="420">
        <v>0.44</v>
      </c>
      <c r="E45" s="420">
        <v>0.44</v>
      </c>
      <c r="F45" s="420">
        <v>0.56999999999999995</v>
      </c>
      <c r="G45" s="420">
        <v>0.56999999999999995</v>
      </c>
      <c r="H45" s="420">
        <v>0.73</v>
      </c>
      <c r="I45" s="420">
        <v>0.89</v>
      </c>
      <c r="J45" s="420">
        <v>0.56999999999999995</v>
      </c>
      <c r="K45" s="420">
        <v>0.97</v>
      </c>
      <c r="L45" s="420">
        <v>0.66</v>
      </c>
      <c r="M45" s="420">
        <v>0.95</v>
      </c>
      <c r="N45" s="420">
        <v>0</v>
      </c>
      <c r="O45" s="420">
        <v>0</v>
      </c>
      <c r="P45" s="420">
        <v>0</v>
      </c>
    </row>
    <row r="46" spans="2:16">
      <c r="B46" s="382">
        <f t="shared" si="0"/>
        <v>2040</v>
      </c>
      <c r="C46" s="420">
        <v>0.59</v>
      </c>
      <c r="D46" s="420">
        <v>0.44</v>
      </c>
      <c r="E46" s="420">
        <v>0.44</v>
      </c>
      <c r="F46" s="420">
        <v>0.56999999999999995</v>
      </c>
      <c r="G46" s="420">
        <v>0.56999999999999995</v>
      </c>
      <c r="H46" s="420">
        <v>0.73</v>
      </c>
      <c r="I46" s="420">
        <v>0.89</v>
      </c>
      <c r="J46" s="420">
        <v>0.56999999999999995</v>
      </c>
      <c r="K46" s="420">
        <v>0.97</v>
      </c>
      <c r="L46" s="420">
        <v>0.66</v>
      </c>
      <c r="M46" s="420">
        <v>0.95</v>
      </c>
      <c r="N46" s="420">
        <v>0</v>
      </c>
      <c r="O46" s="420">
        <v>0</v>
      </c>
      <c r="P46" s="420">
        <v>0</v>
      </c>
    </row>
    <row r="47" spans="2:16">
      <c r="B47" s="382">
        <f t="shared" si="0"/>
        <v>2041</v>
      </c>
      <c r="C47" s="420">
        <v>0.59</v>
      </c>
      <c r="D47" s="420">
        <v>0.44</v>
      </c>
      <c r="E47" s="420">
        <v>0.44</v>
      </c>
      <c r="F47" s="420">
        <v>0.56999999999999995</v>
      </c>
      <c r="G47" s="420">
        <v>0.56999999999999995</v>
      </c>
      <c r="H47" s="420">
        <v>0.73</v>
      </c>
      <c r="I47" s="420">
        <v>0.89</v>
      </c>
      <c r="J47" s="420">
        <v>0.56999999999999995</v>
      </c>
      <c r="K47" s="420">
        <v>0.97</v>
      </c>
      <c r="L47" s="420">
        <v>0.66</v>
      </c>
      <c r="M47" s="420">
        <v>0.95</v>
      </c>
      <c r="N47" s="420">
        <v>0</v>
      </c>
      <c r="O47" s="420">
        <v>0</v>
      </c>
      <c r="P47" s="420">
        <v>0</v>
      </c>
    </row>
    <row r="48" spans="2:16">
      <c r="B48" s="382">
        <f t="shared" si="0"/>
        <v>2042</v>
      </c>
      <c r="C48" s="420">
        <v>0.59</v>
      </c>
      <c r="D48" s="420">
        <v>0.44</v>
      </c>
      <c r="E48" s="420">
        <v>0.44</v>
      </c>
      <c r="F48" s="420">
        <v>0.56999999999999995</v>
      </c>
      <c r="G48" s="420">
        <v>0.56999999999999995</v>
      </c>
      <c r="H48" s="420">
        <v>0.73</v>
      </c>
      <c r="I48" s="420">
        <v>0.89</v>
      </c>
      <c r="J48" s="420">
        <v>0.56999999999999995</v>
      </c>
      <c r="K48" s="420">
        <v>0.97</v>
      </c>
      <c r="L48" s="420">
        <v>0.66</v>
      </c>
      <c r="M48" s="420">
        <v>0.95</v>
      </c>
      <c r="N48" s="420">
        <v>0</v>
      </c>
      <c r="O48" s="420">
        <v>0</v>
      </c>
      <c r="P48" s="420">
        <v>0</v>
      </c>
    </row>
    <row r="49" spans="2:16">
      <c r="B49" s="382">
        <f t="shared" si="0"/>
        <v>2043</v>
      </c>
      <c r="C49" s="420">
        <v>0.59</v>
      </c>
      <c r="D49" s="420">
        <v>0.44</v>
      </c>
      <c r="E49" s="420">
        <v>0.44</v>
      </c>
      <c r="F49" s="420">
        <v>0.56999999999999995</v>
      </c>
      <c r="G49" s="420">
        <v>0.56999999999999995</v>
      </c>
      <c r="H49" s="420">
        <v>0.73</v>
      </c>
      <c r="I49" s="420">
        <v>0.89</v>
      </c>
      <c r="J49" s="420">
        <v>0.56999999999999995</v>
      </c>
      <c r="K49" s="420">
        <v>0.97</v>
      </c>
      <c r="L49" s="420">
        <v>0.66</v>
      </c>
      <c r="M49" s="420">
        <v>0.95</v>
      </c>
      <c r="N49" s="420">
        <v>0</v>
      </c>
      <c r="O49" s="420">
        <v>0</v>
      </c>
      <c r="P49" s="420">
        <v>0</v>
      </c>
    </row>
    <row r="50" spans="2:16">
      <c r="B50" s="382">
        <f t="shared" si="0"/>
        <v>2044</v>
      </c>
      <c r="C50" s="420">
        <v>0.59</v>
      </c>
      <c r="D50" s="420">
        <v>0.44</v>
      </c>
      <c r="E50" s="420">
        <v>0.44</v>
      </c>
      <c r="F50" s="420">
        <v>0.56999999999999995</v>
      </c>
      <c r="G50" s="420">
        <v>0.56999999999999995</v>
      </c>
      <c r="H50" s="420">
        <v>0.73</v>
      </c>
      <c r="I50" s="420">
        <v>0.89</v>
      </c>
      <c r="J50" s="420">
        <v>0.56999999999999995</v>
      </c>
      <c r="K50" s="420">
        <v>0.97</v>
      </c>
      <c r="L50" s="420">
        <v>0.66</v>
      </c>
      <c r="M50" s="420">
        <v>0.95</v>
      </c>
      <c r="N50" s="420">
        <v>0</v>
      </c>
      <c r="O50" s="420">
        <v>0</v>
      </c>
      <c r="P50" s="420">
        <v>0</v>
      </c>
    </row>
    <row r="51" spans="2:16">
      <c r="B51" s="382">
        <f t="shared" si="0"/>
        <v>2045</v>
      </c>
      <c r="C51" s="420">
        <v>0.59</v>
      </c>
      <c r="D51" s="420">
        <v>0.44</v>
      </c>
      <c r="E51" s="420">
        <v>0.44</v>
      </c>
      <c r="F51" s="420">
        <v>0.56999999999999995</v>
      </c>
      <c r="G51" s="420">
        <v>0.56999999999999995</v>
      </c>
      <c r="H51" s="420">
        <v>0.73</v>
      </c>
      <c r="I51" s="420">
        <v>0.89</v>
      </c>
      <c r="J51" s="420">
        <v>0.56999999999999995</v>
      </c>
      <c r="K51" s="420">
        <v>0.97</v>
      </c>
      <c r="L51" s="420">
        <v>0.66</v>
      </c>
      <c r="M51" s="420">
        <v>0.95</v>
      </c>
      <c r="N51" s="420">
        <v>0</v>
      </c>
      <c r="O51" s="420">
        <v>0</v>
      </c>
      <c r="P51" s="420">
        <v>0</v>
      </c>
    </row>
    <row r="52" spans="2:16">
      <c r="B52" s="382">
        <f t="shared" si="0"/>
        <v>2046</v>
      </c>
      <c r="C52" s="420">
        <v>0.59</v>
      </c>
      <c r="D52" s="420">
        <v>0.44</v>
      </c>
      <c r="E52" s="420">
        <v>0.44</v>
      </c>
      <c r="F52" s="420">
        <v>0.56999999999999995</v>
      </c>
      <c r="G52" s="420">
        <v>0.56999999999999995</v>
      </c>
      <c r="H52" s="420">
        <v>0.73</v>
      </c>
      <c r="I52" s="420">
        <v>0.89</v>
      </c>
      <c r="J52" s="420">
        <v>0.56999999999999995</v>
      </c>
      <c r="K52" s="420">
        <v>0.97</v>
      </c>
      <c r="L52" s="420">
        <v>0.66</v>
      </c>
      <c r="M52" s="420">
        <v>0.95</v>
      </c>
      <c r="N52" s="420">
        <v>0</v>
      </c>
      <c r="O52" s="420">
        <v>0</v>
      </c>
      <c r="P52" s="420">
        <v>0</v>
      </c>
    </row>
    <row r="53" spans="2:16">
      <c r="B53" s="382">
        <f t="shared" si="0"/>
        <v>2047</v>
      </c>
      <c r="C53" s="420">
        <v>0.59</v>
      </c>
      <c r="D53" s="420">
        <v>0.44</v>
      </c>
      <c r="E53" s="420">
        <v>0.44</v>
      </c>
      <c r="F53" s="420">
        <v>0.56999999999999995</v>
      </c>
      <c r="G53" s="420">
        <v>0.56999999999999995</v>
      </c>
      <c r="H53" s="420">
        <v>0.73</v>
      </c>
      <c r="I53" s="420">
        <v>0.89</v>
      </c>
      <c r="J53" s="420">
        <v>0.56999999999999995</v>
      </c>
      <c r="K53" s="420">
        <v>0.97</v>
      </c>
      <c r="L53" s="420">
        <v>0.66</v>
      </c>
      <c r="M53" s="420">
        <v>0.95</v>
      </c>
      <c r="N53" s="420">
        <v>0</v>
      </c>
      <c r="O53" s="420">
        <v>0</v>
      </c>
      <c r="P53" s="420">
        <v>0</v>
      </c>
    </row>
    <row r="54" spans="2:16">
      <c r="B54" s="382">
        <f t="shared" si="0"/>
        <v>2048</v>
      </c>
      <c r="C54" s="420">
        <v>0.59</v>
      </c>
      <c r="D54" s="420">
        <v>0.44</v>
      </c>
      <c r="E54" s="420">
        <v>0.44</v>
      </c>
      <c r="F54" s="420">
        <v>0.56999999999999995</v>
      </c>
      <c r="G54" s="420">
        <v>0.56999999999999995</v>
      </c>
      <c r="H54" s="420">
        <v>0.73</v>
      </c>
      <c r="I54" s="420">
        <v>0.89</v>
      </c>
      <c r="J54" s="420">
        <v>0.56999999999999995</v>
      </c>
      <c r="K54" s="420">
        <v>0.97</v>
      </c>
      <c r="L54" s="420">
        <v>0.66</v>
      </c>
      <c r="M54" s="420">
        <v>0.95</v>
      </c>
      <c r="N54" s="420">
        <v>0</v>
      </c>
      <c r="O54" s="420">
        <v>0</v>
      </c>
      <c r="P54" s="420">
        <v>0</v>
      </c>
    </row>
    <row r="55" spans="2:16">
      <c r="B55" s="382">
        <f t="shared" si="0"/>
        <v>2049</v>
      </c>
      <c r="C55" s="420">
        <v>0.59</v>
      </c>
      <c r="D55" s="420">
        <v>0.44</v>
      </c>
      <c r="E55" s="420">
        <v>0.44</v>
      </c>
      <c r="F55" s="420">
        <v>0.56999999999999995</v>
      </c>
      <c r="G55" s="420">
        <v>0.56999999999999995</v>
      </c>
      <c r="H55" s="420">
        <v>0.73</v>
      </c>
      <c r="I55" s="420">
        <v>0.89</v>
      </c>
      <c r="J55" s="420">
        <v>0.56999999999999995</v>
      </c>
      <c r="K55" s="420">
        <v>0.97</v>
      </c>
      <c r="L55" s="420">
        <v>0.66</v>
      </c>
      <c r="M55" s="420">
        <v>0.95</v>
      </c>
      <c r="N55" s="420">
        <v>0</v>
      </c>
      <c r="O55" s="420">
        <v>0</v>
      </c>
      <c r="P55" s="420">
        <v>0</v>
      </c>
    </row>
    <row r="56" spans="2:16">
      <c r="B56" s="382">
        <f t="shared" si="0"/>
        <v>2050</v>
      </c>
      <c r="C56" s="420">
        <v>0.59</v>
      </c>
      <c r="D56" s="420">
        <v>0.44</v>
      </c>
      <c r="E56" s="420">
        <v>0.44</v>
      </c>
      <c r="F56" s="420">
        <v>0.56999999999999995</v>
      </c>
      <c r="G56" s="420">
        <v>0.56999999999999995</v>
      </c>
      <c r="H56" s="420">
        <v>0.73</v>
      </c>
      <c r="I56" s="420">
        <v>0.89</v>
      </c>
      <c r="J56" s="420">
        <v>0.56999999999999995</v>
      </c>
      <c r="K56" s="420">
        <v>0.97</v>
      </c>
      <c r="L56" s="420">
        <v>0.66</v>
      </c>
      <c r="M56" s="420">
        <v>0.95</v>
      </c>
      <c r="N56" s="420">
        <v>0</v>
      </c>
      <c r="O56" s="420">
        <v>0</v>
      </c>
      <c r="P56" s="420">
        <v>0</v>
      </c>
    </row>
    <row r="57" spans="2:16">
      <c r="B57" s="382">
        <f t="shared" si="0"/>
        <v>2051</v>
      </c>
      <c r="C57" s="420">
        <v>0.59</v>
      </c>
      <c r="D57" s="420">
        <v>0.44</v>
      </c>
      <c r="E57" s="420">
        <v>0.44</v>
      </c>
      <c r="F57" s="420">
        <v>0.56999999999999995</v>
      </c>
      <c r="G57" s="420">
        <v>0.56999999999999995</v>
      </c>
      <c r="H57" s="420">
        <v>0.73</v>
      </c>
      <c r="I57" s="420">
        <v>0.89</v>
      </c>
      <c r="J57" s="420">
        <v>0.56999999999999995</v>
      </c>
      <c r="K57" s="420">
        <v>0.97</v>
      </c>
      <c r="L57" s="420">
        <v>0.66</v>
      </c>
      <c r="M57" s="420">
        <v>0.95</v>
      </c>
      <c r="N57" s="420">
        <v>0</v>
      </c>
      <c r="O57" s="420">
        <v>0</v>
      </c>
      <c r="P57" s="420">
        <v>0</v>
      </c>
    </row>
    <row r="58" spans="2:16">
      <c r="B58" s="382">
        <f t="shared" si="0"/>
        <v>2052</v>
      </c>
      <c r="C58" s="420">
        <v>0.59</v>
      </c>
      <c r="D58" s="420">
        <v>0.44</v>
      </c>
      <c r="E58" s="420">
        <v>0.44</v>
      </c>
      <c r="F58" s="420">
        <v>0.56999999999999995</v>
      </c>
      <c r="G58" s="420">
        <v>0.56999999999999995</v>
      </c>
      <c r="H58" s="420">
        <v>0.73</v>
      </c>
      <c r="I58" s="420">
        <v>0.89</v>
      </c>
      <c r="J58" s="420">
        <v>0.56999999999999995</v>
      </c>
      <c r="K58" s="420">
        <v>0.97</v>
      </c>
      <c r="L58" s="420">
        <v>0.66</v>
      </c>
      <c r="M58" s="420">
        <v>0.95</v>
      </c>
      <c r="N58" s="420">
        <v>0</v>
      </c>
      <c r="O58" s="420">
        <v>0</v>
      </c>
      <c r="P58" s="420">
        <v>0</v>
      </c>
    </row>
    <row r="59" spans="2:16">
      <c r="B59" s="382">
        <f t="shared" si="0"/>
        <v>2053</v>
      </c>
      <c r="C59" s="420">
        <v>0.59</v>
      </c>
      <c r="D59" s="420">
        <v>0.44</v>
      </c>
      <c r="E59" s="420">
        <v>0.44</v>
      </c>
      <c r="F59" s="420">
        <v>0.56999999999999995</v>
      </c>
      <c r="G59" s="420">
        <v>0.56999999999999995</v>
      </c>
      <c r="H59" s="420">
        <v>0.73</v>
      </c>
      <c r="I59" s="420">
        <v>0.89</v>
      </c>
      <c r="J59" s="420">
        <v>0.56999999999999995</v>
      </c>
      <c r="K59" s="420">
        <v>0.97</v>
      </c>
      <c r="L59" s="420">
        <v>0.66</v>
      </c>
      <c r="M59" s="420">
        <v>0.95</v>
      </c>
      <c r="N59" s="420">
        <v>0</v>
      </c>
      <c r="O59" s="420">
        <v>0</v>
      </c>
      <c r="P59" s="420">
        <v>0</v>
      </c>
    </row>
    <row r="60" spans="2:16">
      <c r="B60" s="382">
        <f t="shared" si="0"/>
        <v>2054</v>
      </c>
      <c r="C60" s="420">
        <v>0.59</v>
      </c>
      <c r="D60" s="420">
        <v>0.44</v>
      </c>
      <c r="E60" s="420">
        <v>0.44</v>
      </c>
      <c r="F60" s="420">
        <v>0.56999999999999995</v>
      </c>
      <c r="G60" s="420">
        <v>0.56999999999999995</v>
      </c>
      <c r="H60" s="420">
        <v>0.73</v>
      </c>
      <c r="I60" s="420">
        <v>0.89</v>
      </c>
      <c r="J60" s="420">
        <v>0.56999999999999995</v>
      </c>
      <c r="K60" s="420">
        <v>0.97</v>
      </c>
      <c r="L60" s="420">
        <v>0.66</v>
      </c>
      <c r="M60" s="420">
        <v>0.95</v>
      </c>
      <c r="N60" s="420">
        <v>0</v>
      </c>
      <c r="O60" s="420">
        <v>0</v>
      </c>
      <c r="P60" s="420">
        <v>0</v>
      </c>
    </row>
    <row r="61" spans="2:16">
      <c r="B61" s="382">
        <f t="shared" si="0"/>
        <v>2055</v>
      </c>
      <c r="C61" s="420">
        <v>0.59</v>
      </c>
      <c r="D61" s="420">
        <v>0.44</v>
      </c>
      <c r="E61" s="420">
        <v>0.44</v>
      </c>
      <c r="F61" s="420">
        <v>0.56999999999999995</v>
      </c>
      <c r="G61" s="420">
        <v>0.56999999999999995</v>
      </c>
      <c r="H61" s="420">
        <v>0.73</v>
      </c>
      <c r="I61" s="420">
        <v>0.89</v>
      </c>
      <c r="J61" s="420">
        <v>0.56999999999999995</v>
      </c>
      <c r="K61" s="420">
        <v>0.97</v>
      </c>
      <c r="L61" s="420">
        <v>0.66</v>
      </c>
      <c r="M61" s="420">
        <v>0.95</v>
      </c>
      <c r="N61" s="420">
        <v>0</v>
      </c>
      <c r="O61" s="420">
        <v>0</v>
      </c>
      <c r="P61" s="420">
        <v>0</v>
      </c>
    </row>
    <row r="62" spans="2:16">
      <c r="B62" s="382">
        <f t="shared" si="0"/>
        <v>2056</v>
      </c>
      <c r="C62" s="420">
        <v>0.59</v>
      </c>
      <c r="D62" s="420">
        <v>0.44</v>
      </c>
      <c r="E62" s="420">
        <v>0.44</v>
      </c>
      <c r="F62" s="420">
        <v>0.56999999999999995</v>
      </c>
      <c r="G62" s="420">
        <v>0.56999999999999995</v>
      </c>
      <c r="H62" s="420">
        <v>0.73</v>
      </c>
      <c r="I62" s="420">
        <v>0.89</v>
      </c>
      <c r="J62" s="420">
        <v>0.56999999999999995</v>
      </c>
      <c r="K62" s="420">
        <v>0.97</v>
      </c>
      <c r="L62" s="420">
        <v>0.66</v>
      </c>
      <c r="M62" s="420">
        <v>0.95</v>
      </c>
      <c r="N62" s="420">
        <v>0</v>
      </c>
      <c r="O62" s="420">
        <v>0</v>
      </c>
      <c r="P62" s="420">
        <v>0</v>
      </c>
    </row>
    <row r="63" spans="2:16">
      <c r="B63" s="382">
        <f t="shared" si="0"/>
        <v>2057</v>
      </c>
      <c r="C63" s="420">
        <v>0.59</v>
      </c>
      <c r="D63" s="420">
        <v>0.44</v>
      </c>
      <c r="E63" s="420">
        <v>0.44</v>
      </c>
      <c r="F63" s="420">
        <v>0.56999999999999995</v>
      </c>
      <c r="G63" s="420">
        <v>0.56999999999999995</v>
      </c>
      <c r="H63" s="420">
        <v>0.73</v>
      </c>
      <c r="I63" s="420">
        <v>0.89</v>
      </c>
      <c r="J63" s="420">
        <v>0.56999999999999995</v>
      </c>
      <c r="K63" s="420">
        <v>0.97</v>
      </c>
      <c r="L63" s="420">
        <v>0.66</v>
      </c>
      <c r="M63" s="420">
        <v>0.95</v>
      </c>
      <c r="N63" s="420">
        <v>0</v>
      </c>
      <c r="O63" s="420">
        <v>0</v>
      </c>
      <c r="P63" s="420">
        <v>0</v>
      </c>
    </row>
    <row r="64" spans="2:16">
      <c r="B64" s="382">
        <f t="shared" si="0"/>
        <v>2058</v>
      </c>
      <c r="C64" s="420">
        <v>0.59</v>
      </c>
      <c r="D64" s="420">
        <v>0.44</v>
      </c>
      <c r="E64" s="420">
        <v>0.44</v>
      </c>
      <c r="F64" s="420">
        <v>0.56999999999999995</v>
      </c>
      <c r="G64" s="420">
        <v>0.56999999999999995</v>
      </c>
      <c r="H64" s="420">
        <v>0.73</v>
      </c>
      <c r="I64" s="420">
        <v>0.89</v>
      </c>
      <c r="J64" s="420">
        <v>0.56999999999999995</v>
      </c>
      <c r="K64" s="420">
        <v>0.97</v>
      </c>
      <c r="L64" s="420">
        <v>0.66</v>
      </c>
      <c r="M64" s="420">
        <v>0.95</v>
      </c>
      <c r="N64" s="420">
        <v>0</v>
      </c>
      <c r="O64" s="420">
        <v>0</v>
      </c>
      <c r="P64" s="420">
        <v>0</v>
      </c>
    </row>
    <row r="65" spans="2:16">
      <c r="B65" s="382">
        <f t="shared" si="0"/>
        <v>2059</v>
      </c>
      <c r="C65" s="420">
        <v>0.59</v>
      </c>
      <c r="D65" s="420">
        <v>0.44</v>
      </c>
      <c r="E65" s="420">
        <v>0.44</v>
      </c>
      <c r="F65" s="420">
        <v>0.56999999999999995</v>
      </c>
      <c r="G65" s="420">
        <v>0.56999999999999995</v>
      </c>
      <c r="H65" s="420">
        <v>0.73</v>
      </c>
      <c r="I65" s="420">
        <v>0.89</v>
      </c>
      <c r="J65" s="420">
        <v>0.56999999999999995</v>
      </c>
      <c r="K65" s="420">
        <v>0.97</v>
      </c>
      <c r="L65" s="420">
        <v>0.66</v>
      </c>
      <c r="M65" s="420">
        <v>0.95</v>
      </c>
      <c r="N65" s="420">
        <v>0</v>
      </c>
      <c r="O65" s="420">
        <v>0</v>
      </c>
      <c r="P65" s="420">
        <v>0</v>
      </c>
    </row>
    <row r="66" spans="2:16">
      <c r="B66" s="382">
        <f t="shared" si="0"/>
        <v>2060</v>
      </c>
      <c r="C66" s="420">
        <v>0.59</v>
      </c>
      <c r="D66" s="420">
        <v>0.44</v>
      </c>
      <c r="E66" s="420">
        <v>0.44</v>
      </c>
      <c r="F66" s="420">
        <v>0.56999999999999995</v>
      </c>
      <c r="G66" s="420">
        <v>0.56999999999999995</v>
      </c>
      <c r="H66" s="420">
        <v>0.73</v>
      </c>
      <c r="I66" s="420">
        <v>0.89</v>
      </c>
      <c r="J66" s="420">
        <v>0.56999999999999995</v>
      </c>
      <c r="K66" s="420">
        <v>0.97</v>
      </c>
      <c r="L66" s="420">
        <v>0.66</v>
      </c>
      <c r="M66" s="420">
        <v>0.95</v>
      </c>
      <c r="N66" s="420">
        <v>0</v>
      </c>
      <c r="O66" s="420">
        <v>0</v>
      </c>
      <c r="P66" s="420">
        <v>0</v>
      </c>
    </row>
    <row r="67" spans="2:16">
      <c r="B67" s="382">
        <f t="shared" si="0"/>
        <v>2061</v>
      </c>
      <c r="C67" s="420">
        <v>0.59</v>
      </c>
      <c r="D67" s="420">
        <v>0.44</v>
      </c>
      <c r="E67" s="420">
        <v>0.44</v>
      </c>
      <c r="F67" s="420">
        <v>0.56999999999999995</v>
      </c>
      <c r="G67" s="420">
        <v>0.56999999999999995</v>
      </c>
      <c r="H67" s="420">
        <v>0.73</v>
      </c>
      <c r="I67" s="420">
        <v>0.89</v>
      </c>
      <c r="J67" s="420">
        <v>0.56999999999999995</v>
      </c>
      <c r="K67" s="420">
        <v>0.97</v>
      </c>
      <c r="L67" s="420">
        <v>0.66</v>
      </c>
      <c r="M67" s="420">
        <v>0.95</v>
      </c>
      <c r="N67" s="420">
        <v>0</v>
      </c>
      <c r="O67" s="420">
        <v>0</v>
      </c>
      <c r="P67" s="420">
        <v>0</v>
      </c>
    </row>
    <row r="68" spans="2:16">
      <c r="B68" s="382">
        <f t="shared" si="0"/>
        <v>2062</v>
      </c>
      <c r="C68" s="420">
        <v>0.59</v>
      </c>
      <c r="D68" s="420">
        <v>0.44</v>
      </c>
      <c r="E68" s="420">
        <v>0.44</v>
      </c>
      <c r="F68" s="420">
        <v>0.56999999999999995</v>
      </c>
      <c r="G68" s="420">
        <v>0.56999999999999995</v>
      </c>
      <c r="H68" s="420">
        <v>0.73</v>
      </c>
      <c r="I68" s="420">
        <v>0.89</v>
      </c>
      <c r="J68" s="420">
        <v>0.56999999999999995</v>
      </c>
      <c r="K68" s="420">
        <v>0.97</v>
      </c>
      <c r="L68" s="420">
        <v>0.66</v>
      </c>
      <c r="M68" s="420">
        <v>0.95</v>
      </c>
      <c r="N68" s="420">
        <v>0</v>
      </c>
      <c r="O68" s="420">
        <v>0</v>
      </c>
      <c r="P68" s="420">
        <v>0</v>
      </c>
    </row>
    <row r="69" spans="2:16">
      <c r="B69" s="382">
        <f t="shared" si="0"/>
        <v>2063</v>
      </c>
      <c r="C69" s="420">
        <v>0.59</v>
      </c>
      <c r="D69" s="420">
        <v>0.44</v>
      </c>
      <c r="E69" s="420">
        <v>0.44</v>
      </c>
      <c r="F69" s="420">
        <v>0.56999999999999995</v>
      </c>
      <c r="G69" s="420">
        <v>0.56999999999999995</v>
      </c>
      <c r="H69" s="420">
        <v>0.73</v>
      </c>
      <c r="I69" s="420">
        <v>0.89</v>
      </c>
      <c r="J69" s="420">
        <v>0.56999999999999995</v>
      </c>
      <c r="K69" s="420">
        <v>0.97</v>
      </c>
      <c r="L69" s="420">
        <v>0.66</v>
      </c>
      <c r="M69" s="420">
        <v>0.95</v>
      </c>
      <c r="N69" s="420">
        <v>0</v>
      </c>
      <c r="O69" s="420">
        <v>0</v>
      </c>
      <c r="P69" s="420">
        <v>0</v>
      </c>
    </row>
    <row r="70" spans="2:16">
      <c r="B70" s="382">
        <f t="shared" si="0"/>
        <v>2064</v>
      </c>
      <c r="C70" s="420">
        <v>0.59</v>
      </c>
      <c r="D70" s="420">
        <v>0.44</v>
      </c>
      <c r="E70" s="420">
        <v>0.44</v>
      </c>
      <c r="F70" s="420">
        <v>0.56999999999999995</v>
      </c>
      <c r="G70" s="420">
        <v>0.56999999999999995</v>
      </c>
      <c r="H70" s="420">
        <v>0.73</v>
      </c>
      <c r="I70" s="420">
        <v>0.89</v>
      </c>
      <c r="J70" s="420">
        <v>0.56999999999999995</v>
      </c>
      <c r="K70" s="420">
        <v>0.97</v>
      </c>
      <c r="L70" s="420">
        <v>0.66</v>
      </c>
      <c r="M70" s="420">
        <v>0.95</v>
      </c>
      <c r="N70" s="420">
        <v>0</v>
      </c>
      <c r="O70" s="420">
        <v>0</v>
      </c>
      <c r="P70" s="420">
        <v>0</v>
      </c>
    </row>
    <row r="71" spans="2:16">
      <c r="B71" s="382">
        <f t="shared" si="0"/>
        <v>2065</v>
      </c>
      <c r="C71" s="420">
        <v>0.59</v>
      </c>
      <c r="D71" s="420">
        <v>0.44</v>
      </c>
      <c r="E71" s="420">
        <v>0.44</v>
      </c>
      <c r="F71" s="420">
        <v>0.56999999999999995</v>
      </c>
      <c r="G71" s="420">
        <v>0.56999999999999995</v>
      </c>
      <c r="H71" s="420">
        <v>0.73</v>
      </c>
      <c r="I71" s="420">
        <v>0.89</v>
      </c>
      <c r="J71" s="420">
        <v>0.56999999999999995</v>
      </c>
      <c r="K71" s="420">
        <v>0.97</v>
      </c>
      <c r="L71" s="420">
        <v>0.66</v>
      </c>
      <c r="M71" s="420">
        <v>0.95</v>
      </c>
      <c r="N71" s="420">
        <v>0</v>
      </c>
      <c r="O71" s="420">
        <v>0</v>
      </c>
      <c r="P71" s="420">
        <v>0</v>
      </c>
    </row>
    <row r="72" spans="2:16">
      <c r="B72" s="382">
        <f t="shared" ref="B72:B86" si="1">B71+1</f>
        <v>2066</v>
      </c>
      <c r="C72" s="420">
        <v>0.59</v>
      </c>
      <c r="D72" s="420">
        <v>0.44</v>
      </c>
      <c r="E72" s="420">
        <v>0.44</v>
      </c>
      <c r="F72" s="420">
        <v>0.56999999999999995</v>
      </c>
      <c r="G72" s="420">
        <v>0.56999999999999995</v>
      </c>
      <c r="H72" s="420">
        <v>0.73</v>
      </c>
      <c r="I72" s="420">
        <v>0.89</v>
      </c>
      <c r="J72" s="420">
        <v>0.56999999999999995</v>
      </c>
      <c r="K72" s="420">
        <v>0.97</v>
      </c>
      <c r="L72" s="420">
        <v>0.66</v>
      </c>
      <c r="M72" s="420">
        <v>0.95</v>
      </c>
      <c r="N72" s="420">
        <v>0</v>
      </c>
      <c r="O72" s="420">
        <v>0</v>
      </c>
      <c r="P72" s="420">
        <v>0</v>
      </c>
    </row>
    <row r="73" spans="2:16">
      <c r="B73" s="382">
        <f t="shared" si="1"/>
        <v>2067</v>
      </c>
      <c r="C73" s="420">
        <v>0.59</v>
      </c>
      <c r="D73" s="420">
        <v>0.44</v>
      </c>
      <c r="E73" s="420">
        <v>0.44</v>
      </c>
      <c r="F73" s="420">
        <v>0.56999999999999995</v>
      </c>
      <c r="G73" s="420">
        <v>0.56999999999999995</v>
      </c>
      <c r="H73" s="420">
        <v>0.73</v>
      </c>
      <c r="I73" s="420">
        <v>0.89</v>
      </c>
      <c r="J73" s="420">
        <v>0.56999999999999995</v>
      </c>
      <c r="K73" s="420">
        <v>0.97</v>
      </c>
      <c r="L73" s="420">
        <v>0.66</v>
      </c>
      <c r="M73" s="420">
        <v>0.95</v>
      </c>
      <c r="N73" s="420">
        <v>0</v>
      </c>
      <c r="O73" s="420">
        <v>0</v>
      </c>
      <c r="P73" s="420">
        <v>0</v>
      </c>
    </row>
    <row r="74" spans="2:16">
      <c r="B74" s="382">
        <f t="shared" si="1"/>
        <v>2068</v>
      </c>
      <c r="C74" s="420">
        <v>0.59</v>
      </c>
      <c r="D74" s="420">
        <v>0.44</v>
      </c>
      <c r="E74" s="420">
        <v>0.44</v>
      </c>
      <c r="F74" s="420">
        <v>0.56999999999999995</v>
      </c>
      <c r="G74" s="420">
        <v>0.56999999999999995</v>
      </c>
      <c r="H74" s="420">
        <v>0.73</v>
      </c>
      <c r="I74" s="420">
        <v>0.89</v>
      </c>
      <c r="J74" s="420">
        <v>0.56999999999999995</v>
      </c>
      <c r="K74" s="420">
        <v>0.97</v>
      </c>
      <c r="L74" s="420">
        <v>0.66</v>
      </c>
      <c r="M74" s="420">
        <v>0.95</v>
      </c>
      <c r="N74" s="420">
        <v>0</v>
      </c>
      <c r="O74" s="420">
        <v>0</v>
      </c>
      <c r="P74" s="420">
        <v>0</v>
      </c>
    </row>
    <row r="75" spans="2:16">
      <c r="B75" s="382">
        <f t="shared" si="1"/>
        <v>2069</v>
      </c>
      <c r="C75" s="420">
        <v>0.59</v>
      </c>
      <c r="D75" s="420">
        <v>0.44</v>
      </c>
      <c r="E75" s="420">
        <v>0.44</v>
      </c>
      <c r="F75" s="420">
        <v>0.56999999999999995</v>
      </c>
      <c r="G75" s="420">
        <v>0.56999999999999995</v>
      </c>
      <c r="H75" s="420">
        <v>0.73</v>
      </c>
      <c r="I75" s="420">
        <v>0.89</v>
      </c>
      <c r="J75" s="420">
        <v>0.56999999999999995</v>
      </c>
      <c r="K75" s="420">
        <v>0.97</v>
      </c>
      <c r="L75" s="420">
        <v>0.66</v>
      </c>
      <c r="M75" s="420">
        <v>0.95</v>
      </c>
      <c r="N75" s="420">
        <v>0</v>
      </c>
      <c r="O75" s="420">
        <v>0</v>
      </c>
      <c r="P75" s="420">
        <v>0</v>
      </c>
    </row>
    <row r="76" spans="2:16">
      <c r="B76" s="382">
        <f t="shared" si="1"/>
        <v>2070</v>
      </c>
      <c r="C76" s="420">
        <v>0.59</v>
      </c>
      <c r="D76" s="420">
        <v>0.44</v>
      </c>
      <c r="E76" s="420">
        <v>0.44</v>
      </c>
      <c r="F76" s="420">
        <v>0.56999999999999995</v>
      </c>
      <c r="G76" s="420">
        <v>0.56999999999999995</v>
      </c>
      <c r="H76" s="420">
        <v>0.73</v>
      </c>
      <c r="I76" s="420">
        <v>0.89</v>
      </c>
      <c r="J76" s="420">
        <v>0.56999999999999995</v>
      </c>
      <c r="K76" s="420">
        <v>0.97</v>
      </c>
      <c r="L76" s="420">
        <v>0.66</v>
      </c>
      <c r="M76" s="420">
        <v>0.95</v>
      </c>
      <c r="N76" s="420">
        <v>0</v>
      </c>
      <c r="O76" s="420">
        <v>0</v>
      </c>
      <c r="P76" s="420">
        <v>0</v>
      </c>
    </row>
    <row r="77" spans="2:16">
      <c r="B77" s="382">
        <f t="shared" si="1"/>
        <v>2071</v>
      </c>
      <c r="C77" s="420">
        <v>0.59</v>
      </c>
      <c r="D77" s="420">
        <v>0.44</v>
      </c>
      <c r="E77" s="420">
        <v>0.44</v>
      </c>
      <c r="F77" s="420">
        <v>0.56999999999999995</v>
      </c>
      <c r="G77" s="420">
        <v>0.56999999999999995</v>
      </c>
      <c r="H77" s="420">
        <v>0.73</v>
      </c>
      <c r="I77" s="420">
        <v>0.89</v>
      </c>
      <c r="J77" s="420">
        <v>0.56999999999999995</v>
      </c>
      <c r="K77" s="420">
        <v>0.97</v>
      </c>
      <c r="L77" s="420">
        <v>0.66</v>
      </c>
      <c r="M77" s="420">
        <v>0.95</v>
      </c>
      <c r="N77" s="420">
        <v>0</v>
      </c>
      <c r="O77" s="420">
        <v>0</v>
      </c>
      <c r="P77" s="420">
        <v>0</v>
      </c>
    </row>
    <row r="78" spans="2:16">
      <c r="B78" s="382">
        <f t="shared" si="1"/>
        <v>2072</v>
      </c>
      <c r="C78" s="420">
        <v>0.59</v>
      </c>
      <c r="D78" s="420">
        <v>0.44</v>
      </c>
      <c r="E78" s="420">
        <v>0.44</v>
      </c>
      <c r="F78" s="420">
        <v>0.56999999999999995</v>
      </c>
      <c r="G78" s="420">
        <v>0.56999999999999995</v>
      </c>
      <c r="H78" s="420">
        <v>0.73</v>
      </c>
      <c r="I78" s="420">
        <v>0.89</v>
      </c>
      <c r="J78" s="420">
        <v>0.56999999999999995</v>
      </c>
      <c r="K78" s="420">
        <v>0.97</v>
      </c>
      <c r="L78" s="420">
        <v>0.66</v>
      </c>
      <c r="M78" s="420">
        <v>0.95</v>
      </c>
      <c r="N78" s="420">
        <v>0</v>
      </c>
      <c r="O78" s="420">
        <v>0</v>
      </c>
      <c r="P78" s="420">
        <v>0</v>
      </c>
    </row>
    <row r="79" spans="2:16">
      <c r="B79" s="382">
        <f t="shared" si="1"/>
        <v>2073</v>
      </c>
      <c r="C79" s="420">
        <v>0.59</v>
      </c>
      <c r="D79" s="420">
        <v>0.44</v>
      </c>
      <c r="E79" s="420">
        <v>0.44</v>
      </c>
      <c r="F79" s="420">
        <v>0.56999999999999995</v>
      </c>
      <c r="G79" s="420">
        <v>0.56999999999999995</v>
      </c>
      <c r="H79" s="420">
        <v>0.73</v>
      </c>
      <c r="I79" s="420">
        <v>0.89</v>
      </c>
      <c r="J79" s="420">
        <v>0.56999999999999995</v>
      </c>
      <c r="K79" s="420">
        <v>0.97</v>
      </c>
      <c r="L79" s="420">
        <v>0.66</v>
      </c>
      <c r="M79" s="420">
        <v>0.95</v>
      </c>
      <c r="N79" s="420">
        <v>0</v>
      </c>
      <c r="O79" s="420">
        <v>0</v>
      </c>
      <c r="P79" s="420">
        <v>0</v>
      </c>
    </row>
    <row r="80" spans="2:16">
      <c r="B80" s="382">
        <f t="shared" si="1"/>
        <v>2074</v>
      </c>
      <c r="C80" s="420">
        <v>0.59</v>
      </c>
      <c r="D80" s="420">
        <v>0.44</v>
      </c>
      <c r="E80" s="420">
        <v>0.44</v>
      </c>
      <c r="F80" s="420">
        <v>0.56999999999999995</v>
      </c>
      <c r="G80" s="420">
        <v>0.56999999999999995</v>
      </c>
      <c r="H80" s="420">
        <v>0.73</v>
      </c>
      <c r="I80" s="420">
        <v>0.89</v>
      </c>
      <c r="J80" s="420">
        <v>0.56999999999999995</v>
      </c>
      <c r="K80" s="420">
        <v>0.97</v>
      </c>
      <c r="L80" s="420">
        <v>0.66</v>
      </c>
      <c r="M80" s="420">
        <v>0.95</v>
      </c>
      <c r="N80" s="420">
        <v>0</v>
      </c>
      <c r="O80" s="420">
        <v>0</v>
      </c>
      <c r="P80" s="420">
        <v>0</v>
      </c>
    </row>
    <row r="81" spans="2:16">
      <c r="B81" s="382">
        <f t="shared" si="1"/>
        <v>2075</v>
      </c>
      <c r="C81" s="420">
        <v>0.59</v>
      </c>
      <c r="D81" s="420">
        <v>0.44</v>
      </c>
      <c r="E81" s="420">
        <v>0.44</v>
      </c>
      <c r="F81" s="420">
        <v>0.56999999999999995</v>
      </c>
      <c r="G81" s="420">
        <v>0.56999999999999995</v>
      </c>
      <c r="H81" s="420">
        <v>0.73</v>
      </c>
      <c r="I81" s="420">
        <v>0.89</v>
      </c>
      <c r="J81" s="420">
        <v>0.56999999999999995</v>
      </c>
      <c r="K81" s="420">
        <v>0.97</v>
      </c>
      <c r="L81" s="420">
        <v>0.66</v>
      </c>
      <c r="M81" s="420">
        <v>0.95</v>
      </c>
      <c r="N81" s="420">
        <v>0</v>
      </c>
      <c r="O81" s="420">
        <v>0</v>
      </c>
      <c r="P81" s="420">
        <v>0</v>
      </c>
    </row>
    <row r="82" spans="2:16">
      <c r="B82" s="382">
        <f t="shared" si="1"/>
        <v>2076</v>
      </c>
      <c r="C82" s="420">
        <v>0.59</v>
      </c>
      <c r="D82" s="420">
        <v>0.44</v>
      </c>
      <c r="E82" s="420">
        <v>0.44</v>
      </c>
      <c r="F82" s="420">
        <v>0.56999999999999995</v>
      </c>
      <c r="G82" s="420">
        <v>0.56999999999999995</v>
      </c>
      <c r="H82" s="420">
        <v>0.73</v>
      </c>
      <c r="I82" s="420">
        <v>0.89</v>
      </c>
      <c r="J82" s="420">
        <v>0.56999999999999995</v>
      </c>
      <c r="K82" s="420">
        <v>0.97</v>
      </c>
      <c r="L82" s="420">
        <v>0.66</v>
      </c>
      <c r="M82" s="420">
        <v>0.95</v>
      </c>
      <c r="N82" s="420">
        <v>0</v>
      </c>
      <c r="O82" s="420">
        <v>0</v>
      </c>
      <c r="P82" s="420">
        <v>0</v>
      </c>
    </row>
    <row r="83" spans="2:16">
      <c r="B83" s="382">
        <f t="shared" si="1"/>
        <v>2077</v>
      </c>
      <c r="C83" s="420">
        <v>0.59</v>
      </c>
      <c r="D83" s="420">
        <v>0.44</v>
      </c>
      <c r="E83" s="420">
        <v>0.44</v>
      </c>
      <c r="F83" s="420">
        <v>0.56999999999999995</v>
      </c>
      <c r="G83" s="420">
        <v>0.56999999999999995</v>
      </c>
      <c r="H83" s="420">
        <v>0.73</v>
      </c>
      <c r="I83" s="420">
        <v>0.89</v>
      </c>
      <c r="J83" s="420">
        <v>0.56999999999999995</v>
      </c>
      <c r="K83" s="420">
        <v>0.97</v>
      </c>
      <c r="L83" s="420">
        <v>0.66</v>
      </c>
      <c r="M83" s="420">
        <v>0.95</v>
      </c>
      <c r="N83" s="420">
        <v>0</v>
      </c>
      <c r="O83" s="420">
        <v>0</v>
      </c>
      <c r="P83" s="420">
        <v>0</v>
      </c>
    </row>
    <row r="84" spans="2:16">
      <c r="B84" s="382">
        <f t="shared" si="1"/>
        <v>2078</v>
      </c>
      <c r="C84" s="420">
        <v>0.59</v>
      </c>
      <c r="D84" s="420">
        <v>0.44</v>
      </c>
      <c r="E84" s="420">
        <v>0.44</v>
      </c>
      <c r="F84" s="420">
        <v>0.56999999999999995</v>
      </c>
      <c r="G84" s="420">
        <v>0.56999999999999995</v>
      </c>
      <c r="H84" s="420">
        <v>0.73</v>
      </c>
      <c r="I84" s="420">
        <v>0.89</v>
      </c>
      <c r="J84" s="420">
        <v>0.56999999999999995</v>
      </c>
      <c r="K84" s="420">
        <v>0.97</v>
      </c>
      <c r="L84" s="420">
        <v>0.66</v>
      </c>
      <c r="M84" s="420">
        <v>0.95</v>
      </c>
      <c r="N84" s="420">
        <v>0</v>
      </c>
      <c r="O84" s="420">
        <v>0</v>
      </c>
      <c r="P84" s="420">
        <v>0</v>
      </c>
    </row>
    <row r="85" spans="2:16">
      <c r="B85" s="382">
        <f t="shared" si="1"/>
        <v>2079</v>
      </c>
      <c r="C85" s="420">
        <v>0.59</v>
      </c>
      <c r="D85" s="420">
        <v>0.44</v>
      </c>
      <c r="E85" s="420">
        <v>0.44</v>
      </c>
      <c r="F85" s="420">
        <v>0.56999999999999995</v>
      </c>
      <c r="G85" s="420">
        <v>0.56999999999999995</v>
      </c>
      <c r="H85" s="420">
        <v>0.73</v>
      </c>
      <c r="I85" s="420">
        <v>0.89</v>
      </c>
      <c r="J85" s="420">
        <v>0.56999999999999995</v>
      </c>
      <c r="K85" s="420">
        <v>0.97</v>
      </c>
      <c r="L85" s="420">
        <v>0.66</v>
      </c>
      <c r="M85" s="420">
        <v>0.95</v>
      </c>
      <c r="N85" s="420">
        <v>0</v>
      </c>
      <c r="O85" s="420">
        <v>0</v>
      </c>
      <c r="P85" s="420">
        <v>0</v>
      </c>
    </row>
    <row r="86" spans="2:16">
      <c r="B86" s="382">
        <f t="shared" si="1"/>
        <v>2080</v>
      </c>
      <c r="C86" s="420">
        <v>0.59</v>
      </c>
      <c r="D86" s="420">
        <v>0.44</v>
      </c>
      <c r="E86" s="420">
        <v>0.44</v>
      </c>
      <c r="F86" s="420">
        <v>0.56999999999999995</v>
      </c>
      <c r="G86" s="420">
        <v>0.56999999999999995</v>
      </c>
      <c r="H86" s="420">
        <v>0.73</v>
      </c>
      <c r="I86" s="420">
        <v>0.89</v>
      </c>
      <c r="J86" s="420">
        <v>0.56999999999999995</v>
      </c>
      <c r="K86" s="420">
        <v>0.97</v>
      </c>
      <c r="L86" s="420">
        <v>0.66</v>
      </c>
      <c r="M86" s="420">
        <v>0.95</v>
      </c>
      <c r="N86" s="420">
        <v>0</v>
      </c>
      <c r="O86" s="420">
        <v>0</v>
      </c>
      <c r="P86" s="420">
        <v>0</v>
      </c>
    </row>
  </sheetData>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B1:P94"/>
  <sheetViews>
    <sheetView showGridLines="0" workbookViewId="0">
      <pane xSplit="2" ySplit="13" topLeftCell="C26" activePane="bottomRight" state="frozen"/>
      <selection activeCell="E19" sqref="E19"/>
      <selection pane="topRight" activeCell="E19" sqref="E19"/>
      <selection pane="bottomLeft" activeCell="E19" sqref="E19"/>
      <selection pane="bottomRight" activeCell="C16" sqref="C16"/>
    </sheetView>
  </sheetViews>
  <sheetFormatPr defaultColWidth="11.42578125" defaultRowHeight="12.75"/>
  <cols>
    <col min="1" max="1" width="3.42578125" customWidth="1"/>
    <col min="2" max="2" width="5.42578125" customWidth="1"/>
    <col min="3" max="8" width="10.140625" customWidth="1"/>
    <col min="9" max="9" width="11.85546875" customWidth="1"/>
    <col min="10" max="14" width="10.140625" customWidth="1"/>
    <col min="15" max="15" width="11.42578125" customWidth="1"/>
    <col min="16" max="16" width="10.140625" customWidth="1"/>
  </cols>
  <sheetData>
    <row r="1" spans="2:16" ht="13.5" thickBot="1"/>
    <row r="2" spans="2:16" ht="16.5" thickBot="1">
      <c r="C2" s="4" t="s">
        <v>164</v>
      </c>
      <c r="H2" s="5" t="s">
        <v>265</v>
      </c>
      <c r="I2" s="826" t="str">
        <f>city</f>
        <v xml:space="preserve">Berau </v>
      </c>
      <c r="J2" s="827"/>
      <c r="K2" s="827"/>
      <c r="L2" s="827"/>
      <c r="M2" s="827"/>
      <c r="N2" s="827"/>
      <c r="O2" s="827"/>
    </row>
    <row r="3" spans="2:16" ht="16.5" thickBot="1">
      <c r="C3" s="4"/>
      <c r="H3" s="5" t="s">
        <v>276</v>
      </c>
      <c r="I3" s="826" t="str">
        <f>province</f>
        <v>Kalimantan Timur</v>
      </c>
      <c r="J3" s="827"/>
      <c r="K3" s="827"/>
      <c r="L3" s="827"/>
      <c r="M3" s="827"/>
      <c r="N3" s="827"/>
      <c r="O3" s="827"/>
    </row>
    <row r="4" spans="2:16" ht="16.5" thickBot="1">
      <c r="D4" s="4"/>
      <c r="E4" s="4"/>
      <c r="H4" s="5" t="s">
        <v>30</v>
      </c>
      <c r="I4" s="826" t="str">
        <f>country</f>
        <v>Indonesia</v>
      </c>
      <c r="J4" s="827"/>
      <c r="K4" s="827"/>
      <c r="L4" s="827"/>
      <c r="M4" s="827"/>
      <c r="N4" s="827"/>
      <c r="O4" s="827"/>
      <c r="P4" s="539"/>
    </row>
    <row r="5" spans="2:16">
      <c r="C5" s="5"/>
      <c r="D5" s="5"/>
      <c r="E5" s="5"/>
      <c r="F5" s="69"/>
      <c r="G5" s="69"/>
      <c r="P5" s="539"/>
    </row>
    <row r="6" spans="2:16" s="133" customFormat="1">
      <c r="C6" s="69" t="s">
        <v>101</v>
      </c>
      <c r="D6" s="69"/>
      <c r="E6" s="69"/>
      <c r="F6" s="69"/>
      <c r="G6" s="69"/>
      <c r="P6"/>
    </row>
    <row r="7" spans="2:16" s="133" customFormat="1">
      <c r="C7" s="69" t="s">
        <v>96</v>
      </c>
      <c r="D7" s="69"/>
      <c r="E7" s="69"/>
      <c r="F7" s="69"/>
      <c r="G7" s="69"/>
      <c r="P7"/>
    </row>
    <row r="9" spans="2:16" ht="13.5" thickBot="1"/>
    <row r="10" spans="2:16" ht="13.5" thickBot="1">
      <c r="C10" s="832" t="s">
        <v>32</v>
      </c>
      <c r="D10" s="833"/>
      <c r="E10" s="833"/>
      <c r="F10" s="833"/>
      <c r="G10" s="833"/>
      <c r="H10" s="833"/>
      <c r="I10" s="833"/>
      <c r="J10" s="833"/>
      <c r="K10" s="833"/>
      <c r="L10" s="833"/>
      <c r="M10" s="833"/>
      <c r="N10" s="833"/>
      <c r="O10" s="833"/>
      <c r="P10" s="834"/>
    </row>
    <row r="11" spans="2:16" ht="13.5" customHeight="1" thickBot="1">
      <c r="C11" s="815" t="s">
        <v>228</v>
      </c>
      <c r="D11" s="815" t="s">
        <v>262</v>
      </c>
      <c r="E11" s="815" t="s">
        <v>267</v>
      </c>
      <c r="F11" s="815" t="s">
        <v>261</v>
      </c>
      <c r="G11" s="815" t="s">
        <v>2</v>
      </c>
      <c r="H11" s="815" t="s">
        <v>16</v>
      </c>
      <c r="I11" s="815" t="s">
        <v>229</v>
      </c>
      <c r="J11" s="828" t="s">
        <v>273</v>
      </c>
      <c r="K11" s="829"/>
      <c r="L11" s="829"/>
      <c r="M11" s="830"/>
      <c r="N11" s="815" t="s">
        <v>146</v>
      </c>
      <c r="O11" s="815" t="s">
        <v>210</v>
      </c>
      <c r="P11" s="814" t="s">
        <v>308</v>
      </c>
    </row>
    <row r="12" spans="2:16" s="1" customFormat="1">
      <c r="B12" s="365" t="s">
        <v>1</v>
      </c>
      <c r="C12" s="831"/>
      <c r="D12" s="831"/>
      <c r="E12" s="831"/>
      <c r="F12" s="831"/>
      <c r="G12" s="831"/>
      <c r="H12" s="831"/>
      <c r="I12" s="831"/>
      <c r="J12" s="369" t="s">
        <v>230</v>
      </c>
      <c r="K12" s="369" t="s">
        <v>231</v>
      </c>
      <c r="L12" s="369" t="s">
        <v>232</v>
      </c>
      <c r="M12" s="365" t="s">
        <v>233</v>
      </c>
      <c r="N12" s="831"/>
      <c r="O12" s="831"/>
      <c r="P12" s="831"/>
    </row>
    <row r="13" spans="2:16" s="3" customFormat="1" ht="13.5" thickBot="1">
      <c r="B13" s="33"/>
      <c r="C13" s="366" t="s">
        <v>15</v>
      </c>
      <c r="D13" s="367" t="s">
        <v>15</v>
      </c>
      <c r="E13" s="367" t="s">
        <v>15</v>
      </c>
      <c r="F13" s="368" t="s">
        <v>15</v>
      </c>
      <c r="G13" s="367" t="s">
        <v>15</v>
      </c>
      <c r="H13" s="368" t="s">
        <v>15</v>
      </c>
      <c r="I13" s="368" t="s">
        <v>15</v>
      </c>
      <c r="J13" s="368" t="s">
        <v>15</v>
      </c>
      <c r="K13" s="368" t="s">
        <v>15</v>
      </c>
      <c r="L13" s="368" t="s">
        <v>15</v>
      </c>
      <c r="M13" s="368" t="s">
        <v>15</v>
      </c>
      <c r="N13" s="368" t="s">
        <v>15</v>
      </c>
      <c r="O13" s="428" t="s">
        <v>15</v>
      </c>
      <c r="P13" s="428" t="s">
        <v>15</v>
      </c>
    </row>
    <row r="14" spans="2:16">
      <c r="B14" s="129">
        <f>year</f>
        <v>2000</v>
      </c>
      <c r="C14" s="770">
        <f>Activity!$C13*Activity!$D13*Activity!E13</f>
        <v>3.5531949426599994</v>
      </c>
      <c r="D14" s="548">
        <f>Activity!$C13*Activity!$D13*Activity!F13</f>
        <v>1.053706086444</v>
      </c>
      <c r="E14" s="548">
        <f>Activity!$C13*Activity!$D13*Activity!G13</f>
        <v>0</v>
      </c>
      <c r="F14" s="548">
        <f>Activity!$C13*Activity!$D13*Activity!H13</f>
        <v>0</v>
      </c>
      <c r="G14" s="548">
        <f>Activity!$C13*Activity!$D13*Activity!I13</f>
        <v>0.80865815936399987</v>
      </c>
      <c r="H14" s="548">
        <f>Activity!$C13*Activity!$D13*Activity!J13</f>
        <v>0.22054313437199996</v>
      </c>
      <c r="I14" s="548">
        <f>Activity!$C13*Activity!$D13*Activity!K13</f>
        <v>7.3514378123999982E-2</v>
      </c>
      <c r="J14" s="548">
        <f>Activity!$C13*Activity!$D13*Activity!L13</f>
        <v>0.58811502499199986</v>
      </c>
      <c r="K14" s="549">
        <f>Activity!$C13*Activity!$D13*Activity!M13</f>
        <v>0.26955271978799999</v>
      </c>
      <c r="L14" s="549">
        <f>Activity!$C13*Activity!$D13*Activity!N13</f>
        <v>0.32673056943999995</v>
      </c>
      <c r="M14" s="548">
        <f>Activity!$C13*Activity!$D13*Activity!O13</f>
        <v>1.2742492208159999</v>
      </c>
      <c r="N14" s="412">
        <v>0</v>
      </c>
      <c r="O14" s="556">
        <f>Activity!C13*Activity!D13</f>
        <v>8.1682642359999988</v>
      </c>
      <c r="P14" s="557">
        <f>Activity!X13</f>
        <v>0</v>
      </c>
    </row>
    <row r="15" spans="2:16">
      <c r="B15" s="34">
        <f>B14+1</f>
        <v>2001</v>
      </c>
      <c r="C15" s="771">
        <f>Activity!$C14*Activity!$D14*Activity!E14</f>
        <v>3.7503089599799995</v>
      </c>
      <c r="D15" s="551">
        <f>Activity!$C14*Activity!$D14*Activity!F14</f>
        <v>1.1121605881319998</v>
      </c>
      <c r="E15" s="549">
        <f>Activity!$C14*Activity!$D14*Activity!G14</f>
        <v>0</v>
      </c>
      <c r="F15" s="551">
        <f>Activity!$C14*Activity!$D14*Activity!H14</f>
        <v>0</v>
      </c>
      <c r="G15" s="551">
        <f>Activity!$C14*Activity!$D14*Activity!I14</f>
        <v>0.853518590892</v>
      </c>
      <c r="H15" s="551">
        <f>Activity!$C14*Activity!$D14*Activity!J14</f>
        <v>0.23277779751599997</v>
      </c>
      <c r="I15" s="551">
        <f>Activity!$C14*Activity!$D14*Activity!K14</f>
        <v>7.7592599171999982E-2</v>
      </c>
      <c r="J15" s="552">
        <f>Activity!$C14*Activity!$D14*Activity!L14</f>
        <v>0.62074079337599986</v>
      </c>
      <c r="K15" s="551">
        <f>Activity!$C14*Activity!$D14*Activity!M14</f>
        <v>0.28450619696399998</v>
      </c>
      <c r="L15" s="551">
        <f>Activity!$C14*Activity!$D14*Activity!N14</f>
        <v>0.34485599631999997</v>
      </c>
      <c r="M15" s="549">
        <f>Activity!$C14*Activity!$D14*Activity!O14</f>
        <v>1.3449383856479999</v>
      </c>
      <c r="N15" s="413">
        <v>0</v>
      </c>
      <c r="O15" s="551">
        <f>Activity!C14*Activity!D14</f>
        <v>8.621399907999999</v>
      </c>
      <c r="P15" s="558">
        <f>Activity!X14</f>
        <v>0</v>
      </c>
    </row>
    <row r="16" spans="2:16">
      <c r="B16" s="7">
        <f t="shared" ref="B16:B21" si="0">B15+1</f>
        <v>2002</v>
      </c>
      <c r="C16" s="771">
        <f>Activity!$C15*Activity!$D15*Activity!E15</f>
        <v>3.9624878607599996</v>
      </c>
      <c r="D16" s="551">
        <f>Activity!$C15*Activity!$D15*Activity!F15</f>
        <v>1.1750826069839999</v>
      </c>
      <c r="E16" s="549">
        <f>Activity!$C15*Activity!$D15*Activity!G15</f>
        <v>0</v>
      </c>
      <c r="F16" s="551">
        <f>Activity!$C15*Activity!$D15*Activity!H15</f>
        <v>0</v>
      </c>
      <c r="G16" s="551">
        <f>Activity!$C15*Activity!$D15*Activity!I15</f>
        <v>0.90180758210400003</v>
      </c>
      <c r="H16" s="551">
        <f>Activity!$C15*Activity!$D15*Activity!J15</f>
        <v>0.24594752239199999</v>
      </c>
      <c r="I16" s="551">
        <f>Activity!$C15*Activity!$D15*Activity!K15</f>
        <v>8.1982507463999987E-2</v>
      </c>
      <c r="J16" s="552">
        <f>Activity!$C15*Activity!$D15*Activity!L15</f>
        <v>0.6558600597119999</v>
      </c>
      <c r="K16" s="551">
        <f>Activity!$C15*Activity!$D15*Activity!M15</f>
        <v>0.30060252736799997</v>
      </c>
      <c r="L16" s="551">
        <f>Activity!$C15*Activity!$D15*Activity!N15</f>
        <v>0.36436669983999997</v>
      </c>
      <c r="M16" s="549">
        <f>Activity!$C15*Activity!$D15*Activity!O15</f>
        <v>1.4210301293759999</v>
      </c>
      <c r="N16" s="413">
        <v>0</v>
      </c>
      <c r="O16" s="551">
        <f>Activity!C15*Activity!D15</f>
        <v>9.1091674959999995</v>
      </c>
      <c r="P16" s="558">
        <f>Activity!X15</f>
        <v>0</v>
      </c>
    </row>
    <row r="17" spans="2:16">
      <c r="B17" s="7">
        <f t="shared" si="0"/>
        <v>2003</v>
      </c>
      <c r="C17" s="771">
        <f>Activity!$C16*Activity!$D16*Activity!E16</f>
        <v>4.0350292072200009</v>
      </c>
      <c r="D17" s="551">
        <f>Activity!$C16*Activity!$D16*Activity!F16</f>
        <v>1.1965948683480001</v>
      </c>
      <c r="E17" s="549">
        <f>Activity!$C16*Activity!$D16*Activity!G16</f>
        <v>0</v>
      </c>
      <c r="F17" s="551">
        <f>Activity!$C16*Activity!$D16*Activity!H16</f>
        <v>0</v>
      </c>
      <c r="G17" s="551">
        <f>Activity!$C16*Activity!$D16*Activity!I16</f>
        <v>0.91831699198800021</v>
      </c>
      <c r="H17" s="551">
        <f>Activity!$C16*Activity!$D16*Activity!J16</f>
        <v>0.25045008872400004</v>
      </c>
      <c r="I17" s="551">
        <f>Activity!$C16*Activity!$D16*Activity!K16</f>
        <v>8.3483362908E-2</v>
      </c>
      <c r="J17" s="552">
        <f>Activity!$C16*Activity!$D16*Activity!L16</f>
        <v>0.667866903264</v>
      </c>
      <c r="K17" s="551">
        <f>Activity!$C16*Activity!$D16*Activity!M16</f>
        <v>0.30610566399600003</v>
      </c>
      <c r="L17" s="551">
        <f>Activity!$C16*Activity!$D16*Activity!N16</f>
        <v>0.37103716848000007</v>
      </c>
      <c r="M17" s="549">
        <f>Activity!$C16*Activity!$D16*Activity!O16</f>
        <v>1.4470449570720001</v>
      </c>
      <c r="N17" s="413">
        <v>0</v>
      </c>
      <c r="O17" s="551">
        <f>Activity!C16*Activity!D16</f>
        <v>9.2759292120000012</v>
      </c>
      <c r="P17" s="558">
        <f>Activity!X16</f>
        <v>0</v>
      </c>
    </row>
    <row r="18" spans="2:16">
      <c r="B18" s="7">
        <f t="shared" si="0"/>
        <v>2004</v>
      </c>
      <c r="C18" s="771">
        <f>Activity!$C17*Activity!$D17*Activity!E17</f>
        <v>4.2572211128699999</v>
      </c>
      <c r="D18" s="551">
        <f>Activity!$C17*Activity!$D17*Activity!F17</f>
        <v>1.2624862610580001</v>
      </c>
      <c r="E18" s="549">
        <f>Activity!$C17*Activity!$D17*Activity!G17</f>
        <v>0</v>
      </c>
      <c r="F18" s="551">
        <f>Activity!$C17*Activity!$D17*Activity!H17</f>
        <v>0</v>
      </c>
      <c r="G18" s="551">
        <f>Activity!$C17*Activity!$D17*Activity!I17</f>
        <v>0.968884804998</v>
      </c>
      <c r="H18" s="551">
        <f>Activity!$C17*Activity!$D17*Activity!J17</f>
        <v>0.26424131045400001</v>
      </c>
      <c r="I18" s="551">
        <f>Activity!$C17*Activity!$D17*Activity!K17</f>
        <v>8.8080436817999999E-2</v>
      </c>
      <c r="J18" s="552">
        <f>Activity!$C17*Activity!$D17*Activity!L17</f>
        <v>0.70464349454399999</v>
      </c>
      <c r="K18" s="551">
        <f>Activity!$C17*Activity!$D17*Activity!M17</f>
        <v>0.32296160166600002</v>
      </c>
      <c r="L18" s="551">
        <f>Activity!$C17*Activity!$D17*Activity!N17</f>
        <v>0.39146860808</v>
      </c>
      <c r="M18" s="549">
        <f>Activity!$C17*Activity!$D17*Activity!O17</f>
        <v>1.5267275715119999</v>
      </c>
      <c r="N18" s="413">
        <v>0</v>
      </c>
      <c r="O18" s="551">
        <f>Activity!C17*Activity!D17</f>
        <v>9.7867152019999999</v>
      </c>
      <c r="P18" s="558">
        <f>Activity!X17</f>
        <v>0</v>
      </c>
    </row>
    <row r="19" spans="2:16">
      <c r="B19" s="7">
        <f t="shared" si="0"/>
        <v>2005</v>
      </c>
      <c r="C19" s="771">
        <f>Activity!$C18*Activity!$D18*Activity!E18</f>
        <v>4.5633891560400004</v>
      </c>
      <c r="D19" s="551">
        <f>Activity!$C18*Activity!$D18*Activity!F18</f>
        <v>1.353280922136</v>
      </c>
      <c r="E19" s="549">
        <f>Activity!$C18*Activity!$D18*Activity!G18</f>
        <v>0</v>
      </c>
      <c r="F19" s="551">
        <f>Activity!$C18*Activity!$D18*Activity!H18</f>
        <v>0</v>
      </c>
      <c r="G19" s="551">
        <f>Activity!$C18*Activity!$D18*Activity!I18</f>
        <v>1.0385644286160001</v>
      </c>
      <c r="H19" s="551">
        <f>Activity!$C18*Activity!$D18*Activity!J18</f>
        <v>0.283244844168</v>
      </c>
      <c r="I19" s="551">
        <f>Activity!$C18*Activity!$D18*Activity!K18</f>
        <v>9.4414948055999995E-2</v>
      </c>
      <c r="J19" s="552">
        <f>Activity!$C18*Activity!$D18*Activity!L18</f>
        <v>0.75531958444799996</v>
      </c>
      <c r="K19" s="551">
        <f>Activity!$C18*Activity!$D18*Activity!M18</f>
        <v>0.34618814287200006</v>
      </c>
      <c r="L19" s="551">
        <f>Activity!$C18*Activity!$D18*Activity!N18</f>
        <v>0.41962199136000006</v>
      </c>
      <c r="M19" s="549">
        <f>Activity!$C18*Activity!$D18*Activity!O18</f>
        <v>1.636525766304</v>
      </c>
      <c r="N19" s="413">
        <v>0</v>
      </c>
      <c r="O19" s="551">
        <f>Activity!C18*Activity!D18</f>
        <v>10.490549784000001</v>
      </c>
      <c r="P19" s="558">
        <f>Activity!X18</f>
        <v>0</v>
      </c>
    </row>
    <row r="20" spans="2:16">
      <c r="B20" s="7">
        <f t="shared" si="0"/>
        <v>2006</v>
      </c>
      <c r="C20" s="771">
        <f>Activity!$C19*Activity!$D19*Activity!E19</f>
        <v>4.7490986330699991</v>
      </c>
      <c r="D20" s="551">
        <f>Activity!$C19*Activity!$D19*Activity!F19</f>
        <v>1.4083533877379999</v>
      </c>
      <c r="E20" s="549">
        <f>Activity!$C19*Activity!$D19*Activity!G19</f>
        <v>0</v>
      </c>
      <c r="F20" s="551">
        <f>Activity!$C19*Activity!$D19*Activity!H19</f>
        <v>0</v>
      </c>
      <c r="G20" s="551">
        <f>Activity!$C19*Activity!$D19*Activity!I19</f>
        <v>1.0808293440779999</v>
      </c>
      <c r="H20" s="551">
        <f>Activity!$C19*Activity!$D19*Activity!J19</f>
        <v>0.29477163929399997</v>
      </c>
      <c r="I20" s="551">
        <f>Activity!$C19*Activity!$D19*Activity!K19</f>
        <v>9.8257213097999979E-2</v>
      </c>
      <c r="J20" s="552">
        <f>Activity!$C19*Activity!$D19*Activity!L19</f>
        <v>0.78605770478399983</v>
      </c>
      <c r="K20" s="551">
        <f>Activity!$C19*Activity!$D19*Activity!M19</f>
        <v>0.36027644802600001</v>
      </c>
      <c r="L20" s="551">
        <f>Activity!$C19*Activity!$D19*Activity!N19</f>
        <v>0.43669872487999994</v>
      </c>
      <c r="M20" s="549">
        <f>Activity!$C19*Activity!$D19*Activity!O19</f>
        <v>1.7031250270319997</v>
      </c>
      <c r="N20" s="413">
        <v>0</v>
      </c>
      <c r="O20" s="551">
        <f>Activity!C19*Activity!D19</f>
        <v>10.917468121999999</v>
      </c>
      <c r="P20" s="558">
        <f>Activity!X19</f>
        <v>0</v>
      </c>
    </row>
    <row r="21" spans="2:16">
      <c r="B21" s="7">
        <f t="shared" si="0"/>
        <v>2007</v>
      </c>
      <c r="C21" s="771">
        <f>Activity!$C20*Activity!$D20*Activity!E20</f>
        <v>4.9402229979300003</v>
      </c>
      <c r="D21" s="551">
        <f>Activity!$C20*Activity!$D20*Activity!F20</f>
        <v>1.4650316476620002</v>
      </c>
      <c r="E21" s="549">
        <f>Activity!$C20*Activity!$D20*Activity!G20</f>
        <v>0</v>
      </c>
      <c r="F21" s="551">
        <f>Activity!$C20*Activity!$D20*Activity!H20</f>
        <v>0</v>
      </c>
      <c r="G21" s="551">
        <f>Activity!$C20*Activity!$D20*Activity!I20</f>
        <v>1.1243266133220002</v>
      </c>
      <c r="H21" s="551">
        <f>Activity!$C20*Activity!$D20*Activity!J20</f>
        <v>0.30663453090600001</v>
      </c>
      <c r="I21" s="551">
        <f>Activity!$C20*Activity!$D20*Activity!K20</f>
        <v>0.102211510302</v>
      </c>
      <c r="J21" s="552">
        <f>Activity!$C20*Activity!$D20*Activity!L20</f>
        <v>0.817692082416</v>
      </c>
      <c r="K21" s="551">
        <f>Activity!$C20*Activity!$D20*Activity!M20</f>
        <v>0.37477553777400008</v>
      </c>
      <c r="L21" s="551">
        <f>Activity!$C20*Activity!$D20*Activity!N20</f>
        <v>0.45427337912000004</v>
      </c>
      <c r="M21" s="549">
        <f>Activity!$C20*Activity!$D20*Activity!O20</f>
        <v>1.7716661785680001</v>
      </c>
      <c r="N21" s="413">
        <v>0</v>
      </c>
      <c r="O21" s="551">
        <f>Activity!C20*Activity!D20</f>
        <v>11.356834478000001</v>
      </c>
      <c r="P21" s="558">
        <f>Activity!X20</f>
        <v>0</v>
      </c>
    </row>
    <row r="22" spans="2:16">
      <c r="B22" s="7">
        <f t="shared" ref="B22:B85" si="1">B21+1</f>
        <v>2008</v>
      </c>
      <c r="C22" s="771">
        <f>Activity!$C21*Activity!$D21*Activity!E21</f>
        <v>5.1363689906099994</v>
      </c>
      <c r="D22" s="551">
        <f>Activity!$C21*Activity!$D21*Activity!F21</f>
        <v>1.5231990799739998</v>
      </c>
      <c r="E22" s="549">
        <f>Activity!$C21*Activity!$D21*Activity!G21</f>
        <v>0</v>
      </c>
      <c r="F22" s="551">
        <f>Activity!$C21*Activity!$D21*Activity!H21</f>
        <v>0</v>
      </c>
      <c r="G22" s="551">
        <f>Activity!$C21*Activity!$D21*Activity!I21</f>
        <v>1.1689667357939999</v>
      </c>
      <c r="H22" s="551">
        <f>Activity!$C21*Activity!$D21*Activity!J21</f>
        <v>0.31880910976199994</v>
      </c>
      <c r="I22" s="551">
        <f>Activity!$C21*Activity!$D21*Activity!K21</f>
        <v>0.10626970325399998</v>
      </c>
      <c r="J22" s="552">
        <f>Activity!$C21*Activity!$D21*Activity!L21</f>
        <v>0.85015762603199985</v>
      </c>
      <c r="K22" s="551">
        <f>Activity!$C21*Activity!$D21*Activity!M21</f>
        <v>0.38965557859799999</v>
      </c>
      <c r="L22" s="551">
        <f>Activity!$C21*Activity!$D21*Activity!N21</f>
        <v>0.47230979223999997</v>
      </c>
      <c r="M22" s="549">
        <f>Activity!$C21*Activity!$D21*Activity!O21</f>
        <v>1.8420081897359999</v>
      </c>
      <c r="N22" s="413">
        <v>0</v>
      </c>
      <c r="O22" s="551">
        <f>Activity!C21*Activity!D21</f>
        <v>11.807744805999999</v>
      </c>
      <c r="P22" s="558">
        <f>Activity!X21</f>
        <v>0</v>
      </c>
    </row>
    <row r="23" spans="2:16">
      <c r="B23" s="7">
        <f t="shared" si="1"/>
        <v>2009</v>
      </c>
      <c r="C23" s="771">
        <f>Activity!$C22*Activity!$D22*Activity!E22</f>
        <v>5.3369013449400002</v>
      </c>
      <c r="D23" s="551">
        <f>Activity!$C22*Activity!$D22*Activity!F22</f>
        <v>1.5826672953960002</v>
      </c>
      <c r="E23" s="549">
        <f>Activity!$C22*Activity!$D22*Activity!G22</f>
        <v>0</v>
      </c>
      <c r="F23" s="551">
        <f>Activity!$C22*Activity!$D22*Activity!H22</f>
        <v>0</v>
      </c>
      <c r="G23" s="551">
        <f>Activity!$C22*Activity!$D22*Activity!I22</f>
        <v>1.214605133676</v>
      </c>
      <c r="H23" s="551">
        <f>Activity!$C22*Activity!$D22*Activity!J22</f>
        <v>0.33125594554800003</v>
      </c>
      <c r="I23" s="551">
        <f>Activity!$C22*Activity!$D22*Activity!K22</f>
        <v>0.110418648516</v>
      </c>
      <c r="J23" s="552">
        <f>Activity!$C22*Activity!$D22*Activity!L22</f>
        <v>0.88334918812800001</v>
      </c>
      <c r="K23" s="551">
        <f>Activity!$C22*Activity!$D22*Activity!M22</f>
        <v>0.40486837789200003</v>
      </c>
      <c r="L23" s="551">
        <f>Activity!$C22*Activity!$D22*Activity!N22</f>
        <v>0.49074954896</v>
      </c>
      <c r="M23" s="549">
        <f>Activity!$C22*Activity!$D22*Activity!O22</f>
        <v>1.9139232409440001</v>
      </c>
      <c r="N23" s="413">
        <v>0</v>
      </c>
      <c r="O23" s="551">
        <f>Activity!C22*Activity!D22</f>
        <v>12.268738724</v>
      </c>
      <c r="P23" s="558">
        <f>Activity!X22</f>
        <v>0</v>
      </c>
    </row>
    <row r="24" spans="2:16">
      <c r="B24" s="7">
        <f t="shared" si="1"/>
        <v>2010</v>
      </c>
      <c r="C24" s="771">
        <f>Activity!$C23*Activity!$D23*Activity!E23</f>
        <v>5.4172776408299992</v>
      </c>
      <c r="D24" s="551">
        <f>Activity!$C23*Activity!$D23*Activity!F23</f>
        <v>1.606503024522</v>
      </c>
      <c r="E24" s="549">
        <f>Activity!$C23*Activity!$D23*Activity!G23</f>
        <v>0</v>
      </c>
      <c r="F24" s="551">
        <f>Activity!$C23*Activity!$D23*Activity!H23</f>
        <v>0</v>
      </c>
      <c r="G24" s="551">
        <f>Activity!$C23*Activity!$D23*Activity!I23</f>
        <v>1.232897669982</v>
      </c>
      <c r="H24" s="551">
        <f>Activity!$C23*Activity!$D23*Activity!J23</f>
        <v>0.33624481908599996</v>
      </c>
      <c r="I24" s="551">
        <f>Activity!$C23*Activity!$D23*Activity!K23</f>
        <v>0.11208160636199999</v>
      </c>
      <c r="J24" s="552">
        <f>Activity!$C23*Activity!$D23*Activity!L23</f>
        <v>0.89665285089599989</v>
      </c>
      <c r="K24" s="551">
        <f>Activity!$C23*Activity!$D23*Activity!M23</f>
        <v>0.41096588999399997</v>
      </c>
      <c r="L24" s="551">
        <f>Activity!$C23*Activity!$D23*Activity!N23</f>
        <v>0.49814047271999995</v>
      </c>
      <c r="M24" s="549">
        <f>Activity!$C23*Activity!$D23*Activity!O23</f>
        <v>1.9427478436079999</v>
      </c>
      <c r="N24" s="413">
        <v>0</v>
      </c>
      <c r="O24" s="551">
        <f>Activity!C23*Activity!D23</f>
        <v>12.453511817999999</v>
      </c>
      <c r="P24" s="558">
        <f>Activity!X23</f>
        <v>0</v>
      </c>
    </row>
    <row r="25" spans="2:16">
      <c r="B25" s="7">
        <f t="shared" si="1"/>
        <v>2011</v>
      </c>
      <c r="C25" s="774">
        <f>Activity!$C24*Activity!$D24*Activity!E24</f>
        <v>5.1147451901999998</v>
      </c>
      <c r="D25" s="551">
        <f>Activity!$C24*Activity!$D24*Activity!F24</f>
        <v>1.51678650468</v>
      </c>
      <c r="E25" s="549">
        <f>Activity!$C24*Activity!$D24*Activity!G24</f>
        <v>0</v>
      </c>
      <c r="F25" s="551">
        <f>Activity!$C24*Activity!$D24*Activity!H24</f>
        <v>0</v>
      </c>
      <c r="G25" s="551">
        <f>Activity!$C24*Activity!$D24*Activity!I24</f>
        <v>1.1640454570800001</v>
      </c>
      <c r="H25" s="551">
        <f>Activity!$C24*Activity!$D24*Activity!J24</f>
        <v>0.31746694283999999</v>
      </c>
      <c r="I25" s="551">
        <f>Activity!$C24*Activity!$D24*Activity!K24</f>
        <v>0.10582231428</v>
      </c>
      <c r="J25" s="552">
        <f>Activity!$C24*Activity!$D24*Activity!L24</f>
        <v>0.84657851423999997</v>
      </c>
      <c r="K25" s="551">
        <f>Activity!$C24*Activity!$D24*Activity!M24</f>
        <v>0.38801515236</v>
      </c>
      <c r="L25" s="551">
        <f>Activity!$C24*Activity!$D24*Activity!N24</f>
        <v>0.47032139680000001</v>
      </c>
      <c r="M25" s="549">
        <f>Activity!$C24*Activity!$D24*Activity!O24</f>
        <v>1.8342534475200001</v>
      </c>
      <c r="N25" s="413">
        <v>0</v>
      </c>
      <c r="O25" s="551">
        <f>Activity!C24*Activity!D24</f>
        <v>11.75803492</v>
      </c>
      <c r="P25" s="558">
        <f>Activity!X24</f>
        <v>0</v>
      </c>
    </row>
    <row r="26" spans="2:16">
      <c r="B26" s="7">
        <f t="shared" si="1"/>
        <v>2012</v>
      </c>
      <c r="C26" s="774">
        <f>Activity!$C25*Activity!$D25*Activity!E25</f>
        <v>5.2684741032000009</v>
      </c>
      <c r="D26" s="551">
        <f>Activity!$C25*Activity!$D25*Activity!F25</f>
        <v>1.5623750788800004</v>
      </c>
      <c r="E26" s="549">
        <f>Activity!$C25*Activity!$D25*Activity!G25</f>
        <v>0</v>
      </c>
      <c r="F26" s="551">
        <f>Activity!$C25*Activity!$D25*Activity!H25</f>
        <v>0</v>
      </c>
      <c r="G26" s="551">
        <f>Activity!$C25*Activity!$D25*Activity!I25</f>
        <v>1.1990320372800003</v>
      </c>
      <c r="H26" s="551">
        <f>Activity!$C25*Activity!$D25*Activity!J25</f>
        <v>0.32700873744000003</v>
      </c>
      <c r="I26" s="551">
        <f>Activity!$C25*Activity!$D25*Activity!K25</f>
        <v>0.10900291248000001</v>
      </c>
      <c r="J26" s="552">
        <f>Activity!$C25*Activity!$D25*Activity!L25</f>
        <v>0.87202329984000004</v>
      </c>
      <c r="K26" s="551">
        <f>Activity!$C25*Activity!$D25*Activity!M25</f>
        <v>0.39967734576000008</v>
      </c>
      <c r="L26" s="551">
        <f>Activity!$C25*Activity!$D25*Activity!N25</f>
        <v>0.48445738880000011</v>
      </c>
      <c r="M26" s="549">
        <f>Activity!$C25*Activity!$D25*Activity!O25</f>
        <v>1.8893838163200003</v>
      </c>
      <c r="N26" s="413">
        <v>0</v>
      </c>
      <c r="O26" s="551">
        <f>Activity!C25*Activity!D25</f>
        <v>12.111434720000002</v>
      </c>
      <c r="P26" s="558">
        <f>Activity!X25</f>
        <v>0</v>
      </c>
    </row>
    <row r="27" spans="2:16">
      <c r="B27" s="7">
        <f t="shared" si="1"/>
        <v>2013</v>
      </c>
      <c r="C27" s="774">
        <f>Activity!$C26*Activity!$D26*Activity!E26</f>
        <v>5.4283081716000003</v>
      </c>
      <c r="D27" s="551">
        <f>Activity!$C26*Activity!$D26*Activity!F26</f>
        <v>1.6097741474400002</v>
      </c>
      <c r="E27" s="549">
        <f>Activity!$C26*Activity!$D26*Activity!G26</f>
        <v>0</v>
      </c>
      <c r="F27" s="551">
        <f>Activity!$C26*Activity!$D26*Activity!H26</f>
        <v>0</v>
      </c>
      <c r="G27" s="551">
        <f>Activity!$C26*Activity!$D26*Activity!I26</f>
        <v>1.2354080666400002</v>
      </c>
      <c r="H27" s="551">
        <f>Activity!$C26*Activity!$D26*Activity!J26</f>
        <v>0.33692947272000001</v>
      </c>
      <c r="I27" s="551">
        <f>Activity!$C26*Activity!$D26*Activity!K26</f>
        <v>0.11230982423999999</v>
      </c>
      <c r="J27" s="552">
        <f>Activity!$C26*Activity!$D26*Activity!L26</f>
        <v>0.89847859391999996</v>
      </c>
      <c r="K27" s="551">
        <f>Activity!$C26*Activity!$D26*Activity!M26</f>
        <v>0.41180268888000005</v>
      </c>
      <c r="L27" s="551">
        <f>Activity!$C26*Activity!$D26*Activity!N26</f>
        <v>0.49915477440000006</v>
      </c>
      <c r="M27" s="549">
        <f>Activity!$C26*Activity!$D26*Activity!O26</f>
        <v>1.9467036201600001</v>
      </c>
      <c r="N27" s="413">
        <v>0</v>
      </c>
      <c r="O27" s="551">
        <f>Activity!C26*Activity!D26</f>
        <v>12.478869360000001</v>
      </c>
      <c r="P27" s="558">
        <f>Activity!X26</f>
        <v>0</v>
      </c>
    </row>
    <row r="28" spans="2:16">
      <c r="B28" s="7">
        <f t="shared" si="1"/>
        <v>2014</v>
      </c>
      <c r="C28" s="774">
        <f>Activity!$C27*Activity!$D27*Activity!E27</f>
        <v>5.5887747561000003</v>
      </c>
      <c r="D28" s="551">
        <f>Activity!$C27*Activity!$D27*Activity!F27</f>
        <v>1.65736078974</v>
      </c>
      <c r="E28" s="549">
        <f>Activity!$C27*Activity!$D27*Activity!G27</f>
        <v>0</v>
      </c>
      <c r="F28" s="551">
        <f>Activity!$C27*Activity!$D27*Activity!H27</f>
        <v>0</v>
      </c>
      <c r="G28" s="551">
        <f>Activity!$C27*Activity!$D27*Activity!I27</f>
        <v>1.2719280479400001</v>
      </c>
      <c r="H28" s="551">
        <f>Activity!$C27*Activity!$D27*Activity!J27</f>
        <v>0.34688946762</v>
      </c>
      <c r="I28" s="551">
        <f>Activity!$C27*Activity!$D27*Activity!K27</f>
        <v>0.11562982254</v>
      </c>
      <c r="J28" s="552">
        <f>Activity!$C27*Activity!$D27*Activity!L27</f>
        <v>0.92503858031999997</v>
      </c>
      <c r="K28" s="551">
        <f>Activity!$C27*Activity!$D27*Activity!M27</f>
        <v>0.42397601598000001</v>
      </c>
      <c r="L28" s="551">
        <f>Activity!$C27*Activity!$D27*Activity!N27</f>
        <v>0.51391032240000001</v>
      </c>
      <c r="M28" s="549">
        <f>Activity!$C27*Activity!$D27*Activity!O27</f>
        <v>2.0042502573599998</v>
      </c>
      <c r="N28" s="413">
        <v>0</v>
      </c>
      <c r="O28" s="551">
        <f>Activity!C27*Activity!D27</f>
        <v>12.84775806</v>
      </c>
      <c r="P28" s="558">
        <f>Activity!X27</f>
        <v>0</v>
      </c>
    </row>
    <row r="29" spans="2:16">
      <c r="B29" s="7">
        <f t="shared" si="1"/>
        <v>2015</v>
      </c>
      <c r="C29" s="774">
        <f>Activity!$C28*Activity!$D28*Activity!E28</f>
        <v>5.7447037251000008</v>
      </c>
      <c r="D29" s="551">
        <f>Activity!$C28*Activity!$D28*Activity!F28</f>
        <v>1.7036017943400001</v>
      </c>
      <c r="E29" s="549">
        <f>Activity!$C28*Activity!$D28*Activity!G28</f>
        <v>0</v>
      </c>
      <c r="F29" s="551">
        <f>Activity!$C28*Activity!$D28*Activity!H28</f>
        <v>0</v>
      </c>
      <c r="G29" s="551">
        <f>Activity!$C28*Activity!$D28*Activity!I28</f>
        <v>1.3074153305400003</v>
      </c>
      <c r="H29" s="551">
        <f>Activity!$C28*Activity!$D28*Activity!J28</f>
        <v>0.35656781742000004</v>
      </c>
      <c r="I29" s="551">
        <f>Activity!$C28*Activity!$D28*Activity!K28</f>
        <v>0.11885593914000001</v>
      </c>
      <c r="J29" s="552">
        <f>Activity!$C28*Activity!$D28*Activity!L28</f>
        <v>0.95084751312000004</v>
      </c>
      <c r="K29" s="551">
        <f>Activity!$C28*Activity!$D28*Activity!M28</f>
        <v>0.43580511018000007</v>
      </c>
      <c r="L29" s="551">
        <f>Activity!$C28*Activity!$D28*Activity!N28</f>
        <v>0.52824861840000004</v>
      </c>
      <c r="M29" s="549">
        <f>Activity!$C28*Activity!$D28*Activity!O28</f>
        <v>2.0601696117600001</v>
      </c>
      <c r="N29" s="413">
        <v>0</v>
      </c>
      <c r="O29" s="551">
        <f>Activity!C28*Activity!D28</f>
        <v>13.206215460000001</v>
      </c>
      <c r="P29" s="558">
        <f>Activity!X28</f>
        <v>0</v>
      </c>
    </row>
    <row r="30" spans="2:16">
      <c r="B30" s="7">
        <f t="shared" si="1"/>
        <v>2016</v>
      </c>
      <c r="C30" s="774">
        <f>Activity!$C29*Activity!$D29*Activity!E29</f>
        <v>5.907920379600001</v>
      </c>
      <c r="D30" s="551">
        <f>Activity!$C29*Activity!$D29*Activity!F29</f>
        <v>1.7520039746400005</v>
      </c>
      <c r="E30" s="549">
        <f>Activity!$C29*Activity!$D29*Activity!G29</f>
        <v>0</v>
      </c>
      <c r="F30" s="551">
        <f>Activity!$C29*Activity!$D29*Activity!H29</f>
        <v>0</v>
      </c>
      <c r="G30" s="551">
        <f>Activity!$C29*Activity!$D29*Activity!I29</f>
        <v>1.3445611898400003</v>
      </c>
      <c r="H30" s="551">
        <f>Activity!$C29*Activity!$D29*Activity!J29</f>
        <v>0.36669850632000006</v>
      </c>
      <c r="I30" s="551">
        <f>Activity!$C29*Activity!$D29*Activity!K29</f>
        <v>0.12223283544000002</v>
      </c>
      <c r="J30" s="552">
        <f>Activity!$C29*Activity!$D29*Activity!L29</f>
        <v>0.97786268352000016</v>
      </c>
      <c r="K30" s="551">
        <f>Activity!$C29*Activity!$D29*Activity!M29</f>
        <v>0.44818706328000013</v>
      </c>
      <c r="L30" s="551">
        <f>Activity!$C29*Activity!$D29*Activity!N29</f>
        <v>0.54325704640000017</v>
      </c>
      <c r="M30" s="549">
        <f>Activity!$C29*Activity!$D29*Activity!O29</f>
        <v>2.1187024809600006</v>
      </c>
      <c r="N30" s="413">
        <v>0</v>
      </c>
      <c r="O30" s="551">
        <f>Activity!C29*Activity!D29</f>
        <v>13.581426160000003</v>
      </c>
      <c r="P30" s="558">
        <f>Activity!X29</f>
        <v>0</v>
      </c>
    </row>
    <row r="31" spans="2:16">
      <c r="B31" s="7">
        <f t="shared" si="1"/>
        <v>2017</v>
      </c>
      <c r="C31" s="774">
        <f>Activity!$C30*Activity!$D30*Activity!E30</f>
        <v>6.1133836094400005</v>
      </c>
      <c r="D31" s="551">
        <f>Activity!$C30*Activity!$D30*Activity!F30</f>
        <v>1.8129344496960003</v>
      </c>
      <c r="E31" s="549">
        <f>Activity!$C30*Activity!$D30*Activity!G30</f>
        <v>0</v>
      </c>
      <c r="F31" s="551">
        <f>Activity!$C30*Activity!$D30*Activity!H30</f>
        <v>0</v>
      </c>
      <c r="G31" s="551">
        <f>Activity!$C30*Activity!$D30*Activity!I30</f>
        <v>1.3913217869760002</v>
      </c>
      <c r="H31" s="551">
        <f>Activity!$C30*Activity!$D30*Activity!J30</f>
        <v>0.37945139644800002</v>
      </c>
      <c r="I31" s="551">
        <f>Activity!$C30*Activity!$D30*Activity!K30</f>
        <v>0.126483798816</v>
      </c>
      <c r="J31" s="552">
        <f>Activity!$C30*Activity!$D30*Activity!L30</f>
        <v>1.011870390528</v>
      </c>
      <c r="K31" s="551">
        <f>Activity!$C30*Activity!$D30*Activity!M30</f>
        <v>0.4637739289920001</v>
      </c>
      <c r="L31" s="551">
        <f>Activity!$C30*Activity!$D30*Activity!N30</f>
        <v>0.56215021696000012</v>
      </c>
      <c r="M31" s="549">
        <f>Activity!$C30*Activity!$D30*Activity!O30</f>
        <v>2.1923858461440004</v>
      </c>
      <c r="N31" s="413">
        <v>0</v>
      </c>
      <c r="O31" s="551">
        <f>Activity!C30*Activity!D30</f>
        <v>14.053755424000002</v>
      </c>
      <c r="P31" s="558">
        <f>Activity!X30</f>
        <v>0</v>
      </c>
    </row>
    <row r="32" spans="2:16">
      <c r="B32" s="7">
        <f t="shared" si="1"/>
        <v>2018</v>
      </c>
      <c r="C32" s="774">
        <f>Activity!$C31*Activity!$D31*Activity!E31</f>
        <v>6.2812451321699987</v>
      </c>
      <c r="D32" s="551">
        <f>Activity!$C31*Activity!$D31*Activity!F31</f>
        <v>1.8627140736779997</v>
      </c>
      <c r="E32" s="549">
        <f>Activity!$C31*Activity!$D31*Activity!G31</f>
        <v>0</v>
      </c>
      <c r="F32" s="551">
        <f>Activity!$C31*Activity!$D31*Activity!H31</f>
        <v>0</v>
      </c>
      <c r="G32" s="551">
        <f>Activity!$C31*Activity!$D31*Activity!I31</f>
        <v>1.4295247542179998</v>
      </c>
      <c r="H32" s="551">
        <f>Activity!$C31*Activity!$D31*Activity!J31</f>
        <v>0.38987038751399994</v>
      </c>
      <c r="I32" s="551">
        <f>Activity!$C31*Activity!$D31*Activity!K31</f>
        <v>0.12995679583799996</v>
      </c>
      <c r="J32" s="552">
        <f>Activity!$C31*Activity!$D31*Activity!L31</f>
        <v>1.0396543667039997</v>
      </c>
      <c r="K32" s="551">
        <f>Activity!$C31*Activity!$D31*Activity!M31</f>
        <v>0.47650825140599995</v>
      </c>
      <c r="L32" s="551">
        <f>Activity!$C31*Activity!$D31*Activity!N31</f>
        <v>0.57758575927999989</v>
      </c>
      <c r="M32" s="549">
        <f>Activity!$C31*Activity!$D31*Activity!O31</f>
        <v>2.2525844611919998</v>
      </c>
      <c r="N32" s="413">
        <v>0</v>
      </c>
      <c r="O32" s="551">
        <f>Activity!C31*Activity!D31</f>
        <v>14.439643981999998</v>
      </c>
      <c r="P32" s="558">
        <f>Activity!X31</f>
        <v>0</v>
      </c>
    </row>
    <row r="33" spans="2:16">
      <c r="B33" s="7">
        <f t="shared" si="1"/>
        <v>2019</v>
      </c>
      <c r="C33" s="774">
        <f>Activity!$C32*Activity!$D32*Activity!E32</f>
        <v>6.4491066549000005</v>
      </c>
      <c r="D33" s="551">
        <f>Activity!$C32*Activity!$D32*Activity!F32</f>
        <v>1.9124936976600002</v>
      </c>
      <c r="E33" s="549">
        <f>Activity!$C32*Activity!$D32*Activity!G32</f>
        <v>0</v>
      </c>
      <c r="F33" s="551">
        <f>Activity!$C32*Activity!$D32*Activity!H32</f>
        <v>0</v>
      </c>
      <c r="G33" s="551">
        <f>Activity!$C32*Activity!$D32*Activity!I32</f>
        <v>1.4677277214600002</v>
      </c>
      <c r="H33" s="551">
        <f>Activity!$C32*Activity!$D32*Activity!J32</f>
        <v>0.40028937858000002</v>
      </c>
      <c r="I33" s="551">
        <f>Activity!$C32*Activity!$D32*Activity!K32</f>
        <v>0.13342979286000001</v>
      </c>
      <c r="J33" s="552">
        <f>Activity!$C32*Activity!$D32*Activity!L32</f>
        <v>1.0674383428800001</v>
      </c>
      <c r="K33" s="551">
        <f>Activity!$C32*Activity!$D32*Activity!M32</f>
        <v>0.48924257382000008</v>
      </c>
      <c r="L33" s="551">
        <f>Activity!$C32*Activity!$D32*Activity!N32</f>
        <v>0.59302130160000011</v>
      </c>
      <c r="M33" s="549">
        <f>Activity!$C32*Activity!$D32*Activity!O32</f>
        <v>2.3127830762400001</v>
      </c>
      <c r="N33" s="413">
        <v>0</v>
      </c>
      <c r="O33" s="551">
        <f>Activity!C32*Activity!D32</f>
        <v>14.825532540000001</v>
      </c>
      <c r="P33" s="558">
        <f>Activity!X32</f>
        <v>0</v>
      </c>
    </row>
    <row r="34" spans="2:16">
      <c r="B34" s="7">
        <f t="shared" si="1"/>
        <v>2020</v>
      </c>
      <c r="C34" s="774">
        <f>Activity!$C33*Activity!$D33*Activity!E33</f>
        <v>6.6169681776299996</v>
      </c>
      <c r="D34" s="551">
        <f>Activity!$C33*Activity!$D33*Activity!F33</f>
        <v>1.9622733216419999</v>
      </c>
      <c r="E34" s="549">
        <f>Activity!$C33*Activity!$D33*Activity!G33</f>
        <v>0</v>
      </c>
      <c r="F34" s="551">
        <f>Activity!$C33*Activity!$D33*Activity!H33</f>
        <v>0</v>
      </c>
      <c r="G34" s="551">
        <f>Activity!$C33*Activity!$D33*Activity!I33</f>
        <v>1.5059306887019999</v>
      </c>
      <c r="H34" s="551">
        <f>Activity!$C33*Activity!$D33*Activity!J33</f>
        <v>0.41070836964599994</v>
      </c>
      <c r="I34" s="551">
        <f>Activity!$C33*Activity!$D33*Activity!K33</f>
        <v>0.13690278988199997</v>
      </c>
      <c r="J34" s="552">
        <f>Activity!$C33*Activity!$D33*Activity!L33</f>
        <v>1.0952223190559998</v>
      </c>
      <c r="K34" s="551">
        <f>Activity!$C33*Activity!$D33*Activity!M33</f>
        <v>0.50197689623399999</v>
      </c>
      <c r="L34" s="551">
        <f>Activity!$C33*Activity!$D33*Activity!N33</f>
        <v>0.60845684391999999</v>
      </c>
      <c r="M34" s="549">
        <f>Activity!$C33*Activity!$D33*Activity!O33</f>
        <v>2.372981691288</v>
      </c>
      <c r="N34" s="413">
        <v>0</v>
      </c>
      <c r="O34" s="551">
        <f>Activity!C33*Activity!D33</f>
        <v>15.211421097999999</v>
      </c>
      <c r="P34" s="558">
        <f>Activity!X33</f>
        <v>0</v>
      </c>
    </row>
    <row r="35" spans="2:16">
      <c r="B35" s="7">
        <f t="shared" si="1"/>
        <v>2021</v>
      </c>
      <c r="C35" s="774">
        <f>Activity!$C34*Activity!$D34*Activity!E34</f>
        <v>6.7848297003599995</v>
      </c>
      <c r="D35" s="551">
        <f>Activity!$C34*Activity!$D34*Activity!F34</f>
        <v>2.0120529456239997</v>
      </c>
      <c r="E35" s="549">
        <f>Activity!$C34*Activity!$D34*Activity!G34</f>
        <v>0</v>
      </c>
      <c r="F35" s="551">
        <f>Activity!$C34*Activity!$D34*Activity!H34</f>
        <v>0</v>
      </c>
      <c r="G35" s="551">
        <f>Activity!$C34*Activity!$D34*Activity!I34</f>
        <v>1.544133655944</v>
      </c>
      <c r="H35" s="551">
        <f>Activity!$C34*Activity!$D34*Activity!J34</f>
        <v>0.42112736071199997</v>
      </c>
      <c r="I35" s="551">
        <f>Activity!$C34*Activity!$D34*Activity!K34</f>
        <v>0.14037578690399999</v>
      </c>
      <c r="J35" s="552">
        <f>Activity!$C34*Activity!$D34*Activity!L34</f>
        <v>1.1230062952319999</v>
      </c>
      <c r="K35" s="551">
        <f>Activity!$C34*Activity!$D34*Activity!M34</f>
        <v>0.51471121864799996</v>
      </c>
      <c r="L35" s="551">
        <f>Activity!$C34*Activity!$D34*Activity!N34</f>
        <v>0.62389238623999999</v>
      </c>
      <c r="M35" s="549">
        <f>Activity!$C34*Activity!$D34*Activity!O34</f>
        <v>2.4331803063359998</v>
      </c>
      <c r="N35" s="413">
        <v>0</v>
      </c>
      <c r="O35" s="551">
        <f>Activity!C34*Activity!D34</f>
        <v>15.597309655999998</v>
      </c>
      <c r="P35" s="558">
        <f>Activity!X34</f>
        <v>0</v>
      </c>
    </row>
    <row r="36" spans="2:16">
      <c r="B36" s="7">
        <f t="shared" si="1"/>
        <v>2022</v>
      </c>
      <c r="C36" s="774">
        <f>Activity!$C35*Activity!$D35*Activity!E35</f>
        <v>6.9526912230899987</v>
      </c>
      <c r="D36" s="551">
        <f>Activity!$C35*Activity!$D35*Activity!F35</f>
        <v>2.0618325696059996</v>
      </c>
      <c r="E36" s="549">
        <f>Activity!$C35*Activity!$D35*Activity!G35</f>
        <v>0</v>
      </c>
      <c r="F36" s="551">
        <f>Activity!$C35*Activity!$D35*Activity!H35</f>
        <v>0</v>
      </c>
      <c r="G36" s="551">
        <f>Activity!$C35*Activity!$D35*Activity!I35</f>
        <v>1.5823366231859999</v>
      </c>
      <c r="H36" s="551">
        <f>Activity!$C35*Activity!$D35*Activity!J35</f>
        <v>0.43154635177799994</v>
      </c>
      <c r="I36" s="551">
        <f>Activity!$C35*Activity!$D35*Activity!K35</f>
        <v>0.14384878392599998</v>
      </c>
      <c r="J36" s="552">
        <f>Activity!$C35*Activity!$D35*Activity!L35</f>
        <v>1.1507902714079998</v>
      </c>
      <c r="K36" s="551">
        <f>Activity!$C35*Activity!$D35*Activity!M35</f>
        <v>0.52744554106199992</v>
      </c>
      <c r="L36" s="551">
        <f>Activity!$C35*Activity!$D35*Activity!N35</f>
        <v>0.63932792855999998</v>
      </c>
      <c r="M36" s="549">
        <f>Activity!$C35*Activity!$D35*Activity!O35</f>
        <v>2.4933789213839996</v>
      </c>
      <c r="N36" s="413">
        <v>0</v>
      </c>
      <c r="O36" s="551">
        <f>Activity!C35*Activity!D35</f>
        <v>15.983198213999998</v>
      </c>
      <c r="P36" s="558">
        <f>Activity!X35</f>
        <v>0</v>
      </c>
    </row>
    <row r="37" spans="2:16">
      <c r="B37" s="7">
        <f t="shared" si="1"/>
        <v>2023</v>
      </c>
      <c r="C37" s="774">
        <f>Activity!$C36*Activity!$D36*Activity!E36</f>
        <v>7.1205527458199995</v>
      </c>
      <c r="D37" s="551">
        <f>Activity!$C36*Activity!$D36*Activity!F36</f>
        <v>2.1116121935879999</v>
      </c>
      <c r="E37" s="549">
        <f>Activity!$C36*Activity!$D36*Activity!G36</f>
        <v>0</v>
      </c>
      <c r="F37" s="551">
        <f>Activity!$C36*Activity!$D36*Activity!H36</f>
        <v>0</v>
      </c>
      <c r="G37" s="551">
        <f>Activity!$C36*Activity!$D36*Activity!I36</f>
        <v>1.620539590428</v>
      </c>
      <c r="H37" s="551">
        <f>Activity!$C36*Activity!$D36*Activity!J36</f>
        <v>0.44196534284399996</v>
      </c>
      <c r="I37" s="551">
        <f>Activity!$C36*Activity!$D36*Activity!K36</f>
        <v>0.14732178094799997</v>
      </c>
      <c r="J37" s="552">
        <f>Activity!$C36*Activity!$D36*Activity!L36</f>
        <v>1.1785742475839998</v>
      </c>
      <c r="K37" s="551">
        <f>Activity!$C36*Activity!$D36*Activity!M36</f>
        <v>0.540179863476</v>
      </c>
      <c r="L37" s="551">
        <f>Activity!$C36*Activity!$D36*Activity!N36</f>
        <v>0.65476347087999998</v>
      </c>
      <c r="M37" s="549">
        <f>Activity!$C36*Activity!$D36*Activity!O36</f>
        <v>2.5535775364319999</v>
      </c>
      <c r="N37" s="413">
        <v>0</v>
      </c>
      <c r="O37" s="551">
        <f>Activity!C36*Activity!D36</f>
        <v>16.369086771999999</v>
      </c>
      <c r="P37" s="558">
        <f>Activity!X36</f>
        <v>0</v>
      </c>
    </row>
    <row r="38" spans="2:16">
      <c r="B38" s="7">
        <f t="shared" si="1"/>
        <v>2024</v>
      </c>
      <c r="C38" s="774">
        <f>Activity!$C37*Activity!$D37*Activity!E37</f>
        <v>7.2884142685500004</v>
      </c>
      <c r="D38" s="551">
        <f>Activity!$C37*Activity!$D37*Activity!F37</f>
        <v>2.1613918175700002</v>
      </c>
      <c r="E38" s="549">
        <f>Activity!$C37*Activity!$D37*Activity!G37</f>
        <v>0</v>
      </c>
      <c r="F38" s="551">
        <f>Activity!$C37*Activity!$D37*Activity!H37</f>
        <v>0</v>
      </c>
      <c r="G38" s="551">
        <f>Activity!$C37*Activity!$D37*Activity!I37</f>
        <v>1.6587425576700001</v>
      </c>
      <c r="H38" s="551">
        <f>Activity!$C37*Activity!$D37*Activity!J37</f>
        <v>0.45238433390999999</v>
      </c>
      <c r="I38" s="551">
        <f>Activity!$C37*Activity!$D37*Activity!K37</f>
        <v>0.15079477796999999</v>
      </c>
      <c r="J38" s="552">
        <f>Activity!$C37*Activity!$D37*Activity!L37</f>
        <v>1.2063582237599999</v>
      </c>
      <c r="K38" s="551">
        <f>Activity!$C37*Activity!$D37*Activity!M37</f>
        <v>0.55291418589000008</v>
      </c>
      <c r="L38" s="551">
        <f>Activity!$C37*Activity!$D37*Activity!N37</f>
        <v>0.67019901320000008</v>
      </c>
      <c r="M38" s="549">
        <f>Activity!$C37*Activity!$D37*Activity!O37</f>
        <v>2.6137761514800002</v>
      </c>
      <c r="N38" s="413">
        <v>0</v>
      </c>
      <c r="O38" s="551">
        <f>Activity!C37*Activity!D37</f>
        <v>16.754975330000001</v>
      </c>
      <c r="P38" s="558">
        <f>Activity!X37</f>
        <v>0</v>
      </c>
    </row>
    <row r="39" spans="2:16">
      <c r="B39" s="7">
        <f t="shared" si="1"/>
        <v>2025</v>
      </c>
      <c r="C39" s="774">
        <f>Activity!$C38*Activity!$D38*Activity!E38</f>
        <v>7.4562757912800004</v>
      </c>
      <c r="D39" s="551">
        <f>Activity!$C38*Activity!$D38*Activity!F38</f>
        <v>2.2111714415520005</v>
      </c>
      <c r="E39" s="549">
        <f>Activity!$C38*Activity!$D38*Activity!G38</f>
        <v>0</v>
      </c>
      <c r="F39" s="551">
        <f>Activity!$C38*Activity!$D38*Activity!H38</f>
        <v>0</v>
      </c>
      <c r="G39" s="551">
        <f>Activity!$C38*Activity!$D38*Activity!I38</f>
        <v>1.6969455249120002</v>
      </c>
      <c r="H39" s="551">
        <f>Activity!$C38*Activity!$D38*Activity!J38</f>
        <v>0.46280332497600007</v>
      </c>
      <c r="I39" s="551">
        <f>Activity!$C38*Activity!$D38*Activity!K38</f>
        <v>0.15426777499200001</v>
      </c>
      <c r="J39" s="552">
        <f>Activity!$C38*Activity!$D38*Activity!L38</f>
        <v>1.2341421999360001</v>
      </c>
      <c r="K39" s="551">
        <f>Activity!$C38*Activity!$D38*Activity!M38</f>
        <v>0.56564850830400004</v>
      </c>
      <c r="L39" s="551">
        <f>Activity!$C38*Activity!$D38*Activity!N38</f>
        <v>0.68563455552000008</v>
      </c>
      <c r="M39" s="549">
        <f>Activity!$C38*Activity!$D38*Activity!O38</f>
        <v>2.6739747665280005</v>
      </c>
      <c r="N39" s="413">
        <v>0</v>
      </c>
      <c r="O39" s="551">
        <f>Activity!C38*Activity!D38</f>
        <v>17.140863888000002</v>
      </c>
      <c r="P39" s="558">
        <f>Activity!X38</f>
        <v>0</v>
      </c>
    </row>
    <row r="40" spans="2:16">
      <c r="B40" s="7">
        <f t="shared" si="1"/>
        <v>2026</v>
      </c>
      <c r="C40" s="774">
        <f>Activity!$C39*Activity!$D39*Activity!E39</f>
        <v>7.6241373140099995</v>
      </c>
      <c r="D40" s="551">
        <f>Activity!$C39*Activity!$D39*Activity!F39</f>
        <v>2.2609510655339999</v>
      </c>
      <c r="E40" s="549">
        <f>Activity!$C39*Activity!$D39*Activity!G39</f>
        <v>0</v>
      </c>
      <c r="F40" s="551">
        <f>Activity!$C39*Activity!$D39*Activity!H39</f>
        <v>0</v>
      </c>
      <c r="G40" s="551">
        <f>Activity!$C39*Activity!$D39*Activity!I39</f>
        <v>1.7351484921540001</v>
      </c>
      <c r="H40" s="551">
        <f>Activity!$C39*Activity!$D39*Activity!J39</f>
        <v>0.47322231604199999</v>
      </c>
      <c r="I40" s="551">
        <f>Activity!$C39*Activity!$D39*Activity!K39</f>
        <v>0.157740772014</v>
      </c>
      <c r="J40" s="552">
        <f>Activity!$C39*Activity!$D39*Activity!L39</f>
        <v>1.261926176112</v>
      </c>
      <c r="K40" s="551">
        <f>Activity!$C39*Activity!$D39*Activity!M39</f>
        <v>0.57838283071800001</v>
      </c>
      <c r="L40" s="551">
        <f>Activity!$C39*Activity!$D39*Activity!N39</f>
        <v>0.70107009783999996</v>
      </c>
      <c r="M40" s="549">
        <f>Activity!$C39*Activity!$D39*Activity!O39</f>
        <v>2.7341733815759999</v>
      </c>
      <c r="N40" s="413">
        <v>0</v>
      </c>
      <c r="O40" s="551">
        <f>Activity!C39*Activity!D39</f>
        <v>17.526752446</v>
      </c>
      <c r="P40" s="558">
        <f>Activity!X39</f>
        <v>0</v>
      </c>
    </row>
    <row r="41" spans="2:16">
      <c r="B41" s="7">
        <f t="shared" si="1"/>
        <v>2027</v>
      </c>
      <c r="C41" s="774">
        <f>Activity!$C40*Activity!$D40*Activity!E40</f>
        <v>7.7919988367399986</v>
      </c>
      <c r="D41" s="551">
        <f>Activity!$C40*Activity!$D40*Activity!F40</f>
        <v>2.3107306895159998</v>
      </c>
      <c r="E41" s="549">
        <f>Activity!$C40*Activity!$D40*Activity!G40</f>
        <v>0</v>
      </c>
      <c r="F41" s="551">
        <f>Activity!$C40*Activity!$D40*Activity!H40</f>
        <v>0</v>
      </c>
      <c r="G41" s="551">
        <f>Activity!$C40*Activity!$D40*Activity!I40</f>
        <v>1.7733514593959998</v>
      </c>
      <c r="H41" s="551">
        <f>Activity!$C40*Activity!$D40*Activity!J40</f>
        <v>0.48364130710799991</v>
      </c>
      <c r="I41" s="551">
        <f>Activity!$C40*Activity!$D40*Activity!K40</f>
        <v>0.16121376903599996</v>
      </c>
      <c r="J41" s="552">
        <f>Activity!$C40*Activity!$D40*Activity!L40</f>
        <v>1.2897101522879997</v>
      </c>
      <c r="K41" s="551">
        <f>Activity!$C40*Activity!$D40*Activity!M40</f>
        <v>0.59111715313199997</v>
      </c>
      <c r="L41" s="551">
        <f>Activity!$C40*Activity!$D40*Activity!N40</f>
        <v>0.71650564015999996</v>
      </c>
      <c r="M41" s="549">
        <f>Activity!$C40*Activity!$D40*Activity!O40</f>
        <v>2.7943719966239997</v>
      </c>
      <c r="N41" s="413">
        <v>0</v>
      </c>
      <c r="O41" s="551">
        <f>Activity!C40*Activity!D40</f>
        <v>17.912641003999997</v>
      </c>
      <c r="P41" s="558">
        <f>Activity!X40</f>
        <v>0</v>
      </c>
    </row>
    <row r="42" spans="2:16">
      <c r="B42" s="7">
        <f t="shared" si="1"/>
        <v>2028</v>
      </c>
      <c r="C42" s="774">
        <f>Activity!$C41*Activity!$D41*Activity!E41</f>
        <v>7.9598603594699995</v>
      </c>
      <c r="D42" s="551">
        <f>Activity!$C41*Activity!$D41*Activity!F41</f>
        <v>2.3605103134980001</v>
      </c>
      <c r="E42" s="549">
        <f>Activity!$C41*Activity!$D41*Activity!G41</f>
        <v>0</v>
      </c>
      <c r="F42" s="551">
        <f>Activity!$C41*Activity!$D41*Activity!H41</f>
        <v>0</v>
      </c>
      <c r="G42" s="551">
        <f>Activity!$C41*Activity!$D41*Activity!I41</f>
        <v>1.8115544266379999</v>
      </c>
      <c r="H42" s="551">
        <f>Activity!$C41*Activity!$D41*Activity!J41</f>
        <v>0.49406029817399993</v>
      </c>
      <c r="I42" s="551">
        <f>Activity!$C41*Activity!$D41*Activity!K41</f>
        <v>0.16468676605799998</v>
      </c>
      <c r="J42" s="552">
        <f>Activity!$C41*Activity!$D41*Activity!L41</f>
        <v>1.3174941284639998</v>
      </c>
      <c r="K42" s="551">
        <f>Activity!$C41*Activity!$D41*Activity!M41</f>
        <v>0.60385147554599994</v>
      </c>
      <c r="L42" s="551">
        <f>Activity!$C41*Activity!$D41*Activity!N41</f>
        <v>0.73194118247999995</v>
      </c>
      <c r="M42" s="549">
        <f>Activity!$C41*Activity!$D41*Activity!O41</f>
        <v>2.854570611672</v>
      </c>
      <c r="N42" s="413">
        <v>0</v>
      </c>
      <c r="O42" s="551">
        <f>Activity!C41*Activity!D41</f>
        <v>18.298529561999999</v>
      </c>
      <c r="P42" s="558">
        <f>Activity!X41</f>
        <v>0</v>
      </c>
    </row>
    <row r="43" spans="2:16">
      <c r="B43" s="7">
        <f t="shared" si="1"/>
        <v>2029</v>
      </c>
      <c r="C43" s="774">
        <f>Activity!$C42*Activity!$D42*Activity!E42</f>
        <v>8.1277218821999995</v>
      </c>
      <c r="D43" s="551">
        <f>Activity!$C42*Activity!$D42*Activity!F42</f>
        <v>2.41028993748</v>
      </c>
      <c r="E43" s="549">
        <f>Activity!$C42*Activity!$D42*Activity!G42</f>
        <v>0</v>
      </c>
      <c r="F43" s="551">
        <f>Activity!$C42*Activity!$D42*Activity!H42</f>
        <v>0</v>
      </c>
      <c r="G43" s="551">
        <f>Activity!$C42*Activity!$D42*Activity!I42</f>
        <v>1.84975739388</v>
      </c>
      <c r="H43" s="551">
        <f>Activity!$C42*Activity!$D42*Activity!J42</f>
        <v>0.50447928923999996</v>
      </c>
      <c r="I43" s="551">
        <f>Activity!$C42*Activity!$D42*Activity!K42</f>
        <v>0.16815976308</v>
      </c>
      <c r="J43" s="552">
        <f>Activity!$C42*Activity!$D42*Activity!L42</f>
        <v>1.34527810464</v>
      </c>
      <c r="K43" s="551">
        <f>Activity!$C42*Activity!$D42*Activity!M42</f>
        <v>0.61658579796000001</v>
      </c>
      <c r="L43" s="551">
        <f>Activity!$C42*Activity!$D42*Activity!N42</f>
        <v>0.74737672480000006</v>
      </c>
      <c r="M43" s="549">
        <f>Activity!$C42*Activity!$D42*Activity!O42</f>
        <v>2.9147692267199998</v>
      </c>
      <c r="N43" s="413">
        <v>0</v>
      </c>
      <c r="O43" s="551">
        <f>Activity!C42*Activity!D42</f>
        <v>18.68441812</v>
      </c>
      <c r="P43" s="558">
        <f>Activity!X42</f>
        <v>0</v>
      </c>
    </row>
    <row r="44" spans="2:16">
      <c r="B44" s="7">
        <f t="shared" si="1"/>
        <v>2030</v>
      </c>
      <c r="C44" s="774">
        <f>Activity!$C43*Activity!$D43*Activity!E43</f>
        <v>8.295583404930003</v>
      </c>
      <c r="D44" s="551">
        <f>Activity!$C43*Activity!$D43*Activity!F43</f>
        <v>2.4600695614620007</v>
      </c>
      <c r="E44" s="549">
        <f>Activity!$C43*Activity!$D43*Activity!G43</f>
        <v>0</v>
      </c>
      <c r="F44" s="551">
        <f>Activity!$C43*Activity!$D43*Activity!H43</f>
        <v>0</v>
      </c>
      <c r="G44" s="551">
        <f>Activity!$C43*Activity!$D43*Activity!I43</f>
        <v>1.8879603611220006</v>
      </c>
      <c r="H44" s="551">
        <f>Activity!$C43*Activity!$D43*Activity!J43</f>
        <v>0.51489828030600016</v>
      </c>
      <c r="I44" s="551">
        <f>Activity!$C43*Activity!$D43*Activity!K43</f>
        <v>0.17163276010200004</v>
      </c>
      <c r="J44" s="552">
        <f>Activity!$C43*Activity!$D43*Activity!L43</f>
        <v>1.3730620808160003</v>
      </c>
      <c r="K44" s="551">
        <f>Activity!$C43*Activity!$D43*Activity!M43</f>
        <v>0.6293201203740002</v>
      </c>
      <c r="L44" s="551">
        <f>Activity!$C43*Activity!$D43*Activity!N43</f>
        <v>0.76281226712000016</v>
      </c>
      <c r="M44" s="549">
        <f>Activity!$C43*Activity!$D43*Activity!O43</f>
        <v>2.974967841768001</v>
      </c>
      <c r="N44" s="413">
        <v>0</v>
      </c>
      <c r="O44" s="551">
        <f>Activity!C43*Activity!D43</f>
        <v>19.070306678000005</v>
      </c>
      <c r="P44" s="558">
        <f>Activity!X43</f>
        <v>0</v>
      </c>
    </row>
    <row r="45" spans="2:16">
      <c r="B45" s="7">
        <f t="shared" si="1"/>
        <v>2031</v>
      </c>
      <c r="C45" s="550">
        <f>Activity!$C44*Activity!$D44*Activity!E44</f>
        <v>0</v>
      </c>
      <c r="D45" s="551">
        <f>Activity!$C44*Activity!$D44*Activity!F44</f>
        <v>0</v>
      </c>
      <c r="E45" s="549">
        <f>Activity!$C44*Activity!$D44*Activity!G44</f>
        <v>0</v>
      </c>
      <c r="F45" s="551">
        <f>Activity!$C44*Activity!$D44*Activity!H44</f>
        <v>0</v>
      </c>
      <c r="G45" s="551">
        <f>Activity!$C44*Activity!$D44*Activity!I44</f>
        <v>0</v>
      </c>
      <c r="H45" s="551">
        <f>Activity!$C44*Activity!$D44*Activity!J44</f>
        <v>0</v>
      </c>
      <c r="I45" s="551">
        <f>Activity!$C44*Activity!$D44*Activity!K44</f>
        <v>0</v>
      </c>
      <c r="J45" s="552">
        <f>Activity!$C44*Activity!$D44*Activity!L44</f>
        <v>0</v>
      </c>
      <c r="K45" s="551">
        <f>Activity!$C44*Activity!$D44*Activity!M44</f>
        <v>0</v>
      </c>
      <c r="L45" s="551">
        <f>Activity!$C44*Activity!$D44*Activity!N44</f>
        <v>0</v>
      </c>
      <c r="M45" s="549">
        <f>Activity!$C44*Activity!$D44*Activity!O44</f>
        <v>0</v>
      </c>
      <c r="N45" s="413">
        <v>0</v>
      </c>
      <c r="O45" s="551">
        <f>Activity!C44*Activity!D44</f>
        <v>0</v>
      </c>
      <c r="P45" s="558">
        <f>Activity!X44</f>
        <v>0</v>
      </c>
    </row>
    <row r="46" spans="2:16">
      <c r="B46" s="7">
        <f t="shared" si="1"/>
        <v>2032</v>
      </c>
      <c r="C46" s="550">
        <f>Activity!$C45*Activity!$D45*Activity!E45</f>
        <v>0</v>
      </c>
      <c r="D46" s="551">
        <f>Activity!$C45*Activity!$D45*Activity!F45</f>
        <v>0</v>
      </c>
      <c r="E46" s="549">
        <f>Activity!$C45*Activity!$D45*Activity!G45</f>
        <v>0</v>
      </c>
      <c r="F46" s="551">
        <f>Activity!$C45*Activity!$D45*Activity!H45</f>
        <v>0</v>
      </c>
      <c r="G46" s="551">
        <f>Activity!$C45*Activity!$D45*Activity!I45</f>
        <v>0</v>
      </c>
      <c r="H46" s="551">
        <f>Activity!$C45*Activity!$D45*Activity!J45</f>
        <v>0</v>
      </c>
      <c r="I46" s="551">
        <f>Activity!$C45*Activity!$D45*Activity!K45</f>
        <v>0</v>
      </c>
      <c r="J46" s="552">
        <f>Activity!$C45*Activity!$D45*Activity!L45</f>
        <v>0</v>
      </c>
      <c r="K46" s="551">
        <f>Activity!$C45*Activity!$D45*Activity!M45</f>
        <v>0</v>
      </c>
      <c r="L46" s="551">
        <f>Activity!$C45*Activity!$D45*Activity!N45</f>
        <v>0</v>
      </c>
      <c r="M46" s="549">
        <f>Activity!$C45*Activity!$D45*Activity!O45</f>
        <v>0</v>
      </c>
      <c r="N46" s="413">
        <v>0</v>
      </c>
      <c r="O46" s="551">
        <f>Activity!C45*Activity!D45</f>
        <v>0</v>
      </c>
      <c r="P46" s="558">
        <f>Activity!X45</f>
        <v>0</v>
      </c>
    </row>
    <row r="47" spans="2:16">
      <c r="B47" s="7">
        <f t="shared" si="1"/>
        <v>2033</v>
      </c>
      <c r="C47" s="550">
        <f>Activity!$C46*Activity!$D46*Activity!E46</f>
        <v>0</v>
      </c>
      <c r="D47" s="551">
        <f>Activity!$C46*Activity!$D46*Activity!F46</f>
        <v>0</v>
      </c>
      <c r="E47" s="549">
        <f>Activity!$C46*Activity!$D46*Activity!G46</f>
        <v>0</v>
      </c>
      <c r="F47" s="551">
        <f>Activity!$C46*Activity!$D46*Activity!H46</f>
        <v>0</v>
      </c>
      <c r="G47" s="551">
        <f>Activity!$C46*Activity!$D46*Activity!I46</f>
        <v>0</v>
      </c>
      <c r="H47" s="551">
        <f>Activity!$C46*Activity!$D46*Activity!J46</f>
        <v>0</v>
      </c>
      <c r="I47" s="551">
        <f>Activity!$C46*Activity!$D46*Activity!K46</f>
        <v>0</v>
      </c>
      <c r="J47" s="552">
        <f>Activity!$C46*Activity!$D46*Activity!L46</f>
        <v>0</v>
      </c>
      <c r="K47" s="551">
        <f>Activity!$C46*Activity!$D46*Activity!M46</f>
        <v>0</v>
      </c>
      <c r="L47" s="551">
        <f>Activity!$C46*Activity!$D46*Activity!N46</f>
        <v>0</v>
      </c>
      <c r="M47" s="549">
        <f>Activity!$C46*Activity!$D46*Activity!O46</f>
        <v>0</v>
      </c>
      <c r="N47" s="413">
        <v>0</v>
      </c>
      <c r="O47" s="551">
        <f>Activity!C46*Activity!D46</f>
        <v>0</v>
      </c>
      <c r="P47" s="558">
        <f>Activity!X46</f>
        <v>0</v>
      </c>
    </row>
    <row r="48" spans="2:16">
      <c r="B48" s="7">
        <f t="shared" si="1"/>
        <v>2034</v>
      </c>
      <c r="C48" s="550">
        <f>Activity!$C47*Activity!$D47*Activity!E47</f>
        <v>0</v>
      </c>
      <c r="D48" s="551">
        <f>Activity!$C47*Activity!$D47*Activity!F47</f>
        <v>0</v>
      </c>
      <c r="E48" s="549">
        <f>Activity!$C47*Activity!$D47*Activity!G47</f>
        <v>0</v>
      </c>
      <c r="F48" s="551">
        <f>Activity!$C47*Activity!$D47*Activity!H47</f>
        <v>0</v>
      </c>
      <c r="G48" s="551">
        <f>Activity!$C47*Activity!$D47*Activity!I47</f>
        <v>0</v>
      </c>
      <c r="H48" s="551">
        <f>Activity!$C47*Activity!$D47*Activity!J47</f>
        <v>0</v>
      </c>
      <c r="I48" s="551">
        <f>Activity!$C47*Activity!$D47*Activity!K47</f>
        <v>0</v>
      </c>
      <c r="J48" s="552">
        <f>Activity!$C47*Activity!$D47*Activity!L47</f>
        <v>0</v>
      </c>
      <c r="K48" s="551">
        <f>Activity!$C47*Activity!$D47*Activity!M47</f>
        <v>0</v>
      </c>
      <c r="L48" s="551">
        <f>Activity!$C47*Activity!$D47*Activity!N47</f>
        <v>0</v>
      </c>
      <c r="M48" s="549">
        <f>Activity!$C47*Activity!$D47*Activity!O47</f>
        <v>0</v>
      </c>
      <c r="N48" s="413">
        <v>0</v>
      </c>
      <c r="O48" s="551">
        <f>Activity!C47*Activity!D47</f>
        <v>0</v>
      </c>
      <c r="P48" s="558">
        <f>Activity!X47</f>
        <v>0</v>
      </c>
    </row>
    <row r="49" spans="2:16">
      <c r="B49" s="7">
        <f t="shared" si="1"/>
        <v>2035</v>
      </c>
      <c r="C49" s="550">
        <f>Activity!$C48*Activity!$D48*Activity!E48</f>
        <v>0</v>
      </c>
      <c r="D49" s="551">
        <f>Activity!$C48*Activity!$D48*Activity!F48</f>
        <v>0</v>
      </c>
      <c r="E49" s="549">
        <f>Activity!$C48*Activity!$D48*Activity!G48</f>
        <v>0</v>
      </c>
      <c r="F49" s="551">
        <f>Activity!$C48*Activity!$D48*Activity!H48</f>
        <v>0</v>
      </c>
      <c r="G49" s="551">
        <f>Activity!$C48*Activity!$D48*Activity!I48</f>
        <v>0</v>
      </c>
      <c r="H49" s="551">
        <f>Activity!$C48*Activity!$D48*Activity!J48</f>
        <v>0</v>
      </c>
      <c r="I49" s="551">
        <f>Activity!$C48*Activity!$D48*Activity!K48</f>
        <v>0</v>
      </c>
      <c r="J49" s="552">
        <f>Activity!$C48*Activity!$D48*Activity!L48</f>
        <v>0</v>
      </c>
      <c r="K49" s="551">
        <f>Activity!$C48*Activity!$D48*Activity!M48</f>
        <v>0</v>
      </c>
      <c r="L49" s="551">
        <f>Activity!$C48*Activity!$D48*Activity!N48</f>
        <v>0</v>
      </c>
      <c r="M49" s="549">
        <f>Activity!$C48*Activity!$D48*Activity!O48</f>
        <v>0</v>
      </c>
      <c r="N49" s="413">
        <v>0</v>
      </c>
      <c r="O49" s="551">
        <f>Activity!C48*Activity!D48</f>
        <v>0</v>
      </c>
      <c r="P49" s="558">
        <f>Activity!X48</f>
        <v>0</v>
      </c>
    </row>
    <row r="50" spans="2:16">
      <c r="B50" s="7">
        <f t="shared" si="1"/>
        <v>2036</v>
      </c>
      <c r="C50" s="550">
        <f>Activity!$C49*Activity!$D49*Activity!E49</f>
        <v>0</v>
      </c>
      <c r="D50" s="551">
        <f>Activity!$C49*Activity!$D49*Activity!F49</f>
        <v>0</v>
      </c>
      <c r="E50" s="549">
        <f>Activity!$C49*Activity!$D49*Activity!G49</f>
        <v>0</v>
      </c>
      <c r="F50" s="551">
        <f>Activity!$C49*Activity!$D49*Activity!H49</f>
        <v>0</v>
      </c>
      <c r="G50" s="551">
        <f>Activity!$C49*Activity!$D49*Activity!I49</f>
        <v>0</v>
      </c>
      <c r="H50" s="551">
        <f>Activity!$C49*Activity!$D49*Activity!J49</f>
        <v>0</v>
      </c>
      <c r="I50" s="551">
        <f>Activity!$C49*Activity!$D49*Activity!K49</f>
        <v>0</v>
      </c>
      <c r="J50" s="552">
        <f>Activity!$C49*Activity!$D49*Activity!L49</f>
        <v>0</v>
      </c>
      <c r="K50" s="551">
        <f>Activity!$C49*Activity!$D49*Activity!M49</f>
        <v>0</v>
      </c>
      <c r="L50" s="551">
        <f>Activity!$C49*Activity!$D49*Activity!N49</f>
        <v>0</v>
      </c>
      <c r="M50" s="549">
        <f>Activity!$C49*Activity!$D49*Activity!O49</f>
        <v>0</v>
      </c>
      <c r="N50" s="413">
        <v>0</v>
      </c>
      <c r="O50" s="551">
        <f>Activity!C49*Activity!D49</f>
        <v>0</v>
      </c>
      <c r="P50" s="558">
        <f>Activity!X49</f>
        <v>0</v>
      </c>
    </row>
    <row r="51" spans="2:16">
      <c r="B51" s="7">
        <f t="shared" si="1"/>
        <v>2037</v>
      </c>
      <c r="C51" s="550">
        <f>Activity!$C50*Activity!$D50*Activity!E50</f>
        <v>0</v>
      </c>
      <c r="D51" s="551">
        <f>Activity!$C50*Activity!$D50*Activity!F50</f>
        <v>0</v>
      </c>
      <c r="E51" s="549">
        <f>Activity!$C50*Activity!$D50*Activity!G50</f>
        <v>0</v>
      </c>
      <c r="F51" s="551">
        <f>Activity!$C50*Activity!$D50*Activity!H50</f>
        <v>0</v>
      </c>
      <c r="G51" s="551">
        <f>Activity!$C50*Activity!$D50*Activity!I50</f>
        <v>0</v>
      </c>
      <c r="H51" s="551">
        <f>Activity!$C50*Activity!$D50*Activity!J50</f>
        <v>0</v>
      </c>
      <c r="I51" s="551">
        <f>Activity!$C50*Activity!$D50*Activity!K50</f>
        <v>0</v>
      </c>
      <c r="J51" s="552">
        <f>Activity!$C50*Activity!$D50*Activity!L50</f>
        <v>0</v>
      </c>
      <c r="K51" s="551">
        <f>Activity!$C50*Activity!$D50*Activity!M50</f>
        <v>0</v>
      </c>
      <c r="L51" s="551">
        <f>Activity!$C50*Activity!$D50*Activity!N50</f>
        <v>0</v>
      </c>
      <c r="M51" s="549">
        <f>Activity!$C50*Activity!$D50*Activity!O50</f>
        <v>0</v>
      </c>
      <c r="N51" s="413">
        <v>0</v>
      </c>
      <c r="O51" s="551">
        <f>Activity!C50*Activity!D50</f>
        <v>0</v>
      </c>
      <c r="P51" s="558">
        <f>Activity!X50</f>
        <v>0</v>
      </c>
    </row>
    <row r="52" spans="2:16">
      <c r="B52" s="7">
        <f t="shared" si="1"/>
        <v>2038</v>
      </c>
      <c r="C52" s="550">
        <f>Activity!$C51*Activity!$D51*Activity!E51</f>
        <v>0</v>
      </c>
      <c r="D52" s="551">
        <f>Activity!$C51*Activity!$D51*Activity!F51</f>
        <v>0</v>
      </c>
      <c r="E52" s="549">
        <f>Activity!$C51*Activity!$D51*Activity!G51</f>
        <v>0</v>
      </c>
      <c r="F52" s="551">
        <f>Activity!$C51*Activity!$D51*Activity!H51</f>
        <v>0</v>
      </c>
      <c r="G52" s="551">
        <f>Activity!$C51*Activity!$D51*Activity!I51</f>
        <v>0</v>
      </c>
      <c r="H52" s="551">
        <f>Activity!$C51*Activity!$D51*Activity!J51</f>
        <v>0</v>
      </c>
      <c r="I52" s="551">
        <f>Activity!$C51*Activity!$D51*Activity!K51</f>
        <v>0</v>
      </c>
      <c r="J52" s="552">
        <f>Activity!$C51*Activity!$D51*Activity!L51</f>
        <v>0</v>
      </c>
      <c r="K52" s="551">
        <f>Activity!$C51*Activity!$D51*Activity!M51</f>
        <v>0</v>
      </c>
      <c r="L52" s="551">
        <f>Activity!$C51*Activity!$D51*Activity!N51</f>
        <v>0</v>
      </c>
      <c r="M52" s="549">
        <f>Activity!$C51*Activity!$D51*Activity!O51</f>
        <v>0</v>
      </c>
      <c r="N52" s="413">
        <v>0</v>
      </c>
      <c r="O52" s="551">
        <f>Activity!C51*Activity!D51</f>
        <v>0</v>
      </c>
      <c r="P52" s="558">
        <f>Activity!X51</f>
        <v>0</v>
      </c>
    </row>
    <row r="53" spans="2:16">
      <c r="B53" s="7">
        <f t="shared" si="1"/>
        <v>2039</v>
      </c>
      <c r="C53" s="550">
        <f>Activity!$C52*Activity!$D52*Activity!E52</f>
        <v>0</v>
      </c>
      <c r="D53" s="551">
        <f>Activity!$C52*Activity!$D52*Activity!F52</f>
        <v>0</v>
      </c>
      <c r="E53" s="549">
        <f>Activity!$C52*Activity!$D52*Activity!G52</f>
        <v>0</v>
      </c>
      <c r="F53" s="551">
        <f>Activity!$C52*Activity!$D52*Activity!H52</f>
        <v>0</v>
      </c>
      <c r="G53" s="551">
        <f>Activity!$C52*Activity!$D52*Activity!I52</f>
        <v>0</v>
      </c>
      <c r="H53" s="551">
        <f>Activity!$C52*Activity!$D52*Activity!J52</f>
        <v>0</v>
      </c>
      <c r="I53" s="551">
        <f>Activity!$C52*Activity!$D52*Activity!K52</f>
        <v>0</v>
      </c>
      <c r="J53" s="552">
        <f>Activity!$C52*Activity!$D52*Activity!L52</f>
        <v>0</v>
      </c>
      <c r="K53" s="551">
        <f>Activity!$C52*Activity!$D52*Activity!M52</f>
        <v>0</v>
      </c>
      <c r="L53" s="551">
        <f>Activity!$C52*Activity!$D52*Activity!N52</f>
        <v>0</v>
      </c>
      <c r="M53" s="549">
        <f>Activity!$C52*Activity!$D52*Activity!O52</f>
        <v>0</v>
      </c>
      <c r="N53" s="413">
        <v>0</v>
      </c>
      <c r="O53" s="551">
        <f>Activity!C52*Activity!D52</f>
        <v>0</v>
      </c>
      <c r="P53" s="558">
        <f>Activity!X52</f>
        <v>0</v>
      </c>
    </row>
    <row r="54" spans="2:16">
      <c r="B54" s="7">
        <f t="shared" si="1"/>
        <v>2040</v>
      </c>
      <c r="C54" s="550">
        <f>Activity!$C53*Activity!$D53*Activity!E53</f>
        <v>0</v>
      </c>
      <c r="D54" s="551">
        <f>Activity!$C53*Activity!$D53*Activity!F53</f>
        <v>0</v>
      </c>
      <c r="E54" s="549">
        <f>Activity!$C53*Activity!$D53*Activity!G53</f>
        <v>0</v>
      </c>
      <c r="F54" s="551">
        <f>Activity!$C53*Activity!$D53*Activity!H53</f>
        <v>0</v>
      </c>
      <c r="G54" s="551">
        <f>Activity!$C53*Activity!$D53*Activity!I53</f>
        <v>0</v>
      </c>
      <c r="H54" s="551">
        <f>Activity!$C53*Activity!$D53*Activity!J53</f>
        <v>0</v>
      </c>
      <c r="I54" s="551">
        <f>Activity!$C53*Activity!$D53*Activity!K53</f>
        <v>0</v>
      </c>
      <c r="J54" s="552">
        <f>Activity!$C53*Activity!$D53*Activity!L53</f>
        <v>0</v>
      </c>
      <c r="K54" s="551">
        <f>Activity!$C53*Activity!$D53*Activity!M53</f>
        <v>0</v>
      </c>
      <c r="L54" s="551">
        <f>Activity!$C53*Activity!$D53*Activity!N53</f>
        <v>0</v>
      </c>
      <c r="M54" s="549">
        <f>Activity!$C53*Activity!$D53*Activity!O53</f>
        <v>0</v>
      </c>
      <c r="N54" s="413">
        <v>0</v>
      </c>
      <c r="O54" s="551">
        <f>Activity!C53*Activity!D53</f>
        <v>0</v>
      </c>
      <c r="P54" s="558">
        <f>Activity!X53</f>
        <v>0</v>
      </c>
    </row>
    <row r="55" spans="2:16">
      <c r="B55" s="7">
        <f t="shared" si="1"/>
        <v>2041</v>
      </c>
      <c r="C55" s="550">
        <f>Activity!$C54*Activity!$D54*Activity!E54</f>
        <v>0</v>
      </c>
      <c r="D55" s="551">
        <f>Activity!$C54*Activity!$D54*Activity!F54</f>
        <v>0</v>
      </c>
      <c r="E55" s="549">
        <f>Activity!$C54*Activity!$D54*Activity!G54</f>
        <v>0</v>
      </c>
      <c r="F55" s="551">
        <f>Activity!$C54*Activity!$D54*Activity!H54</f>
        <v>0</v>
      </c>
      <c r="G55" s="551">
        <f>Activity!$C54*Activity!$D54*Activity!I54</f>
        <v>0</v>
      </c>
      <c r="H55" s="551">
        <f>Activity!$C54*Activity!$D54*Activity!J54</f>
        <v>0</v>
      </c>
      <c r="I55" s="551">
        <f>Activity!$C54*Activity!$D54*Activity!K54</f>
        <v>0</v>
      </c>
      <c r="J55" s="552">
        <f>Activity!$C54*Activity!$D54*Activity!L54</f>
        <v>0</v>
      </c>
      <c r="K55" s="551">
        <f>Activity!$C54*Activity!$D54*Activity!M54</f>
        <v>0</v>
      </c>
      <c r="L55" s="551">
        <f>Activity!$C54*Activity!$D54*Activity!N54</f>
        <v>0</v>
      </c>
      <c r="M55" s="549">
        <f>Activity!$C54*Activity!$D54*Activity!O54</f>
        <v>0</v>
      </c>
      <c r="N55" s="413">
        <v>0</v>
      </c>
      <c r="O55" s="551">
        <f>Activity!C54*Activity!D54</f>
        <v>0</v>
      </c>
      <c r="P55" s="558">
        <f>Activity!X54</f>
        <v>0</v>
      </c>
    </row>
    <row r="56" spans="2:16">
      <c r="B56" s="7">
        <f t="shared" si="1"/>
        <v>2042</v>
      </c>
      <c r="C56" s="550">
        <f>Activity!$C55*Activity!$D55*Activity!E55</f>
        <v>0</v>
      </c>
      <c r="D56" s="551">
        <f>Activity!$C55*Activity!$D55*Activity!F55</f>
        <v>0</v>
      </c>
      <c r="E56" s="549">
        <f>Activity!$C55*Activity!$D55*Activity!G55</f>
        <v>0</v>
      </c>
      <c r="F56" s="551">
        <f>Activity!$C55*Activity!$D55*Activity!H55</f>
        <v>0</v>
      </c>
      <c r="G56" s="551">
        <f>Activity!$C55*Activity!$D55*Activity!I55</f>
        <v>0</v>
      </c>
      <c r="H56" s="551">
        <f>Activity!$C55*Activity!$D55*Activity!J55</f>
        <v>0</v>
      </c>
      <c r="I56" s="551">
        <f>Activity!$C55*Activity!$D55*Activity!K55</f>
        <v>0</v>
      </c>
      <c r="J56" s="552">
        <f>Activity!$C55*Activity!$D55*Activity!L55</f>
        <v>0</v>
      </c>
      <c r="K56" s="551">
        <f>Activity!$C55*Activity!$D55*Activity!M55</f>
        <v>0</v>
      </c>
      <c r="L56" s="551">
        <f>Activity!$C55*Activity!$D55*Activity!N55</f>
        <v>0</v>
      </c>
      <c r="M56" s="549">
        <f>Activity!$C55*Activity!$D55*Activity!O55</f>
        <v>0</v>
      </c>
      <c r="N56" s="413">
        <v>0</v>
      </c>
      <c r="O56" s="551">
        <f>Activity!C55*Activity!D55</f>
        <v>0</v>
      </c>
      <c r="P56" s="558">
        <f>Activity!X55</f>
        <v>0</v>
      </c>
    </row>
    <row r="57" spans="2:16">
      <c r="B57" s="7">
        <f t="shared" si="1"/>
        <v>2043</v>
      </c>
      <c r="C57" s="550">
        <f>Activity!$C56*Activity!$D56*Activity!E56</f>
        <v>0</v>
      </c>
      <c r="D57" s="551">
        <f>Activity!$C56*Activity!$D56*Activity!F56</f>
        <v>0</v>
      </c>
      <c r="E57" s="549">
        <f>Activity!$C56*Activity!$D56*Activity!G56</f>
        <v>0</v>
      </c>
      <c r="F57" s="551">
        <f>Activity!$C56*Activity!$D56*Activity!H56</f>
        <v>0</v>
      </c>
      <c r="G57" s="551">
        <f>Activity!$C56*Activity!$D56*Activity!I56</f>
        <v>0</v>
      </c>
      <c r="H57" s="551">
        <f>Activity!$C56*Activity!$D56*Activity!J56</f>
        <v>0</v>
      </c>
      <c r="I57" s="551">
        <f>Activity!$C56*Activity!$D56*Activity!K56</f>
        <v>0</v>
      </c>
      <c r="J57" s="552">
        <f>Activity!$C56*Activity!$D56*Activity!L56</f>
        <v>0</v>
      </c>
      <c r="K57" s="551">
        <f>Activity!$C56*Activity!$D56*Activity!M56</f>
        <v>0</v>
      </c>
      <c r="L57" s="551">
        <f>Activity!$C56*Activity!$D56*Activity!N56</f>
        <v>0</v>
      </c>
      <c r="M57" s="549">
        <f>Activity!$C56*Activity!$D56*Activity!O56</f>
        <v>0</v>
      </c>
      <c r="N57" s="413">
        <v>0</v>
      </c>
      <c r="O57" s="551">
        <f>Activity!C56*Activity!D56</f>
        <v>0</v>
      </c>
      <c r="P57" s="558">
        <f>Activity!X56</f>
        <v>0</v>
      </c>
    </row>
    <row r="58" spans="2:16">
      <c r="B58" s="7">
        <f t="shared" si="1"/>
        <v>2044</v>
      </c>
      <c r="C58" s="550">
        <f>Activity!$C57*Activity!$D57*Activity!E57</f>
        <v>0</v>
      </c>
      <c r="D58" s="551">
        <f>Activity!$C57*Activity!$D57*Activity!F57</f>
        <v>0</v>
      </c>
      <c r="E58" s="549">
        <f>Activity!$C57*Activity!$D57*Activity!G57</f>
        <v>0</v>
      </c>
      <c r="F58" s="551">
        <f>Activity!$C57*Activity!$D57*Activity!H57</f>
        <v>0</v>
      </c>
      <c r="G58" s="551">
        <f>Activity!$C57*Activity!$D57*Activity!I57</f>
        <v>0</v>
      </c>
      <c r="H58" s="551">
        <f>Activity!$C57*Activity!$D57*Activity!J57</f>
        <v>0</v>
      </c>
      <c r="I58" s="551">
        <f>Activity!$C57*Activity!$D57*Activity!K57</f>
        <v>0</v>
      </c>
      <c r="J58" s="552">
        <f>Activity!$C57*Activity!$D57*Activity!L57</f>
        <v>0</v>
      </c>
      <c r="K58" s="551">
        <f>Activity!$C57*Activity!$D57*Activity!M57</f>
        <v>0</v>
      </c>
      <c r="L58" s="551">
        <f>Activity!$C57*Activity!$D57*Activity!N57</f>
        <v>0</v>
      </c>
      <c r="M58" s="549">
        <f>Activity!$C57*Activity!$D57*Activity!O57</f>
        <v>0</v>
      </c>
      <c r="N58" s="413">
        <v>0</v>
      </c>
      <c r="O58" s="551">
        <f>Activity!C57*Activity!D57</f>
        <v>0</v>
      </c>
      <c r="P58" s="558">
        <f>Activity!X57</f>
        <v>0</v>
      </c>
    </row>
    <row r="59" spans="2:16">
      <c r="B59" s="7">
        <f t="shared" si="1"/>
        <v>2045</v>
      </c>
      <c r="C59" s="550">
        <f>Activity!$C58*Activity!$D58*Activity!E58</f>
        <v>0</v>
      </c>
      <c r="D59" s="551">
        <f>Activity!$C58*Activity!$D58*Activity!F58</f>
        <v>0</v>
      </c>
      <c r="E59" s="549">
        <f>Activity!$C58*Activity!$D58*Activity!G58</f>
        <v>0</v>
      </c>
      <c r="F59" s="551">
        <f>Activity!$C58*Activity!$D58*Activity!H58</f>
        <v>0</v>
      </c>
      <c r="G59" s="551">
        <f>Activity!$C58*Activity!$D58*Activity!I58</f>
        <v>0</v>
      </c>
      <c r="H59" s="551">
        <f>Activity!$C58*Activity!$D58*Activity!J58</f>
        <v>0</v>
      </c>
      <c r="I59" s="551">
        <f>Activity!$C58*Activity!$D58*Activity!K58</f>
        <v>0</v>
      </c>
      <c r="J59" s="552">
        <f>Activity!$C58*Activity!$D58*Activity!L58</f>
        <v>0</v>
      </c>
      <c r="K59" s="551">
        <f>Activity!$C58*Activity!$D58*Activity!M58</f>
        <v>0</v>
      </c>
      <c r="L59" s="551">
        <f>Activity!$C58*Activity!$D58*Activity!N58</f>
        <v>0</v>
      </c>
      <c r="M59" s="549">
        <f>Activity!$C58*Activity!$D58*Activity!O58</f>
        <v>0</v>
      </c>
      <c r="N59" s="413">
        <v>0</v>
      </c>
      <c r="O59" s="551">
        <f>Activity!C58*Activity!D58</f>
        <v>0</v>
      </c>
      <c r="P59" s="558">
        <f>Activity!X58</f>
        <v>0</v>
      </c>
    </row>
    <row r="60" spans="2:16">
      <c r="B60" s="7">
        <f t="shared" si="1"/>
        <v>2046</v>
      </c>
      <c r="C60" s="550">
        <f>Activity!$C59*Activity!$D59*Activity!E59</f>
        <v>0</v>
      </c>
      <c r="D60" s="551">
        <f>Activity!$C59*Activity!$D59*Activity!F59</f>
        <v>0</v>
      </c>
      <c r="E60" s="549">
        <f>Activity!$C59*Activity!$D59*Activity!G59</f>
        <v>0</v>
      </c>
      <c r="F60" s="551">
        <f>Activity!$C59*Activity!$D59*Activity!H59</f>
        <v>0</v>
      </c>
      <c r="G60" s="551">
        <f>Activity!$C59*Activity!$D59*Activity!I59</f>
        <v>0</v>
      </c>
      <c r="H60" s="551">
        <f>Activity!$C59*Activity!$D59*Activity!J59</f>
        <v>0</v>
      </c>
      <c r="I60" s="551">
        <f>Activity!$C59*Activity!$D59*Activity!K59</f>
        <v>0</v>
      </c>
      <c r="J60" s="552">
        <f>Activity!$C59*Activity!$D59*Activity!L59</f>
        <v>0</v>
      </c>
      <c r="K60" s="551">
        <f>Activity!$C59*Activity!$D59*Activity!M59</f>
        <v>0</v>
      </c>
      <c r="L60" s="551">
        <f>Activity!$C59*Activity!$D59*Activity!N59</f>
        <v>0</v>
      </c>
      <c r="M60" s="549">
        <f>Activity!$C59*Activity!$D59*Activity!O59</f>
        <v>0</v>
      </c>
      <c r="N60" s="413">
        <v>0</v>
      </c>
      <c r="O60" s="551">
        <f>Activity!C59*Activity!D59</f>
        <v>0</v>
      </c>
      <c r="P60" s="558">
        <f>Activity!X59</f>
        <v>0</v>
      </c>
    </row>
    <row r="61" spans="2:16">
      <c r="B61" s="7">
        <f t="shared" si="1"/>
        <v>2047</v>
      </c>
      <c r="C61" s="550">
        <f>Activity!$C60*Activity!$D60*Activity!E60</f>
        <v>0</v>
      </c>
      <c r="D61" s="551">
        <f>Activity!$C60*Activity!$D60*Activity!F60</f>
        <v>0</v>
      </c>
      <c r="E61" s="549">
        <f>Activity!$C60*Activity!$D60*Activity!G60</f>
        <v>0</v>
      </c>
      <c r="F61" s="551">
        <f>Activity!$C60*Activity!$D60*Activity!H60</f>
        <v>0</v>
      </c>
      <c r="G61" s="551">
        <f>Activity!$C60*Activity!$D60*Activity!I60</f>
        <v>0</v>
      </c>
      <c r="H61" s="551">
        <f>Activity!$C60*Activity!$D60*Activity!J60</f>
        <v>0</v>
      </c>
      <c r="I61" s="551">
        <f>Activity!$C60*Activity!$D60*Activity!K60</f>
        <v>0</v>
      </c>
      <c r="J61" s="552">
        <f>Activity!$C60*Activity!$D60*Activity!L60</f>
        <v>0</v>
      </c>
      <c r="K61" s="551">
        <f>Activity!$C60*Activity!$D60*Activity!M60</f>
        <v>0</v>
      </c>
      <c r="L61" s="551">
        <f>Activity!$C60*Activity!$D60*Activity!N60</f>
        <v>0</v>
      </c>
      <c r="M61" s="549">
        <f>Activity!$C60*Activity!$D60*Activity!O60</f>
        <v>0</v>
      </c>
      <c r="N61" s="413">
        <v>0</v>
      </c>
      <c r="O61" s="551">
        <f>Activity!C60*Activity!D60</f>
        <v>0</v>
      </c>
      <c r="P61" s="558">
        <f>Activity!X60</f>
        <v>0</v>
      </c>
    </row>
    <row r="62" spans="2:16">
      <c r="B62" s="7">
        <f t="shared" si="1"/>
        <v>2048</v>
      </c>
      <c r="C62" s="550">
        <f>Activity!$C61*Activity!$D61*Activity!E61</f>
        <v>0</v>
      </c>
      <c r="D62" s="551">
        <f>Activity!$C61*Activity!$D61*Activity!F61</f>
        <v>0</v>
      </c>
      <c r="E62" s="549">
        <f>Activity!$C61*Activity!$D61*Activity!G61</f>
        <v>0</v>
      </c>
      <c r="F62" s="551">
        <f>Activity!$C61*Activity!$D61*Activity!H61</f>
        <v>0</v>
      </c>
      <c r="G62" s="551">
        <f>Activity!$C61*Activity!$D61*Activity!I61</f>
        <v>0</v>
      </c>
      <c r="H62" s="551">
        <f>Activity!$C61*Activity!$D61*Activity!J61</f>
        <v>0</v>
      </c>
      <c r="I62" s="551">
        <f>Activity!$C61*Activity!$D61*Activity!K61</f>
        <v>0</v>
      </c>
      <c r="J62" s="552">
        <f>Activity!$C61*Activity!$D61*Activity!L61</f>
        <v>0</v>
      </c>
      <c r="K62" s="551">
        <f>Activity!$C61*Activity!$D61*Activity!M61</f>
        <v>0</v>
      </c>
      <c r="L62" s="551">
        <f>Activity!$C61*Activity!$D61*Activity!N61</f>
        <v>0</v>
      </c>
      <c r="M62" s="549">
        <f>Activity!$C61*Activity!$D61*Activity!O61</f>
        <v>0</v>
      </c>
      <c r="N62" s="413">
        <v>0</v>
      </c>
      <c r="O62" s="551">
        <f>Activity!C61*Activity!D61</f>
        <v>0</v>
      </c>
      <c r="P62" s="558">
        <f>Activity!X61</f>
        <v>0</v>
      </c>
    </row>
    <row r="63" spans="2:16">
      <c r="B63" s="7">
        <f t="shared" si="1"/>
        <v>2049</v>
      </c>
      <c r="C63" s="550">
        <f>Activity!$C62*Activity!$D62*Activity!E62</f>
        <v>0</v>
      </c>
      <c r="D63" s="551">
        <f>Activity!$C62*Activity!$D62*Activity!F62</f>
        <v>0</v>
      </c>
      <c r="E63" s="549">
        <f>Activity!$C62*Activity!$D62*Activity!G62</f>
        <v>0</v>
      </c>
      <c r="F63" s="551">
        <f>Activity!$C62*Activity!$D62*Activity!H62</f>
        <v>0</v>
      </c>
      <c r="G63" s="551">
        <f>Activity!$C62*Activity!$D62*Activity!I62</f>
        <v>0</v>
      </c>
      <c r="H63" s="551">
        <f>Activity!$C62*Activity!$D62*Activity!J62</f>
        <v>0</v>
      </c>
      <c r="I63" s="551">
        <f>Activity!$C62*Activity!$D62*Activity!K62</f>
        <v>0</v>
      </c>
      <c r="J63" s="552">
        <f>Activity!$C62*Activity!$D62*Activity!L62</f>
        <v>0</v>
      </c>
      <c r="K63" s="551">
        <f>Activity!$C62*Activity!$D62*Activity!M62</f>
        <v>0</v>
      </c>
      <c r="L63" s="551">
        <f>Activity!$C62*Activity!$D62*Activity!N62</f>
        <v>0</v>
      </c>
      <c r="M63" s="549">
        <f>Activity!$C62*Activity!$D62*Activity!O62</f>
        <v>0</v>
      </c>
      <c r="N63" s="413">
        <v>0</v>
      </c>
      <c r="O63" s="551">
        <f>Activity!C62*Activity!D62</f>
        <v>0</v>
      </c>
      <c r="P63" s="558">
        <f>Activity!X62</f>
        <v>0</v>
      </c>
    </row>
    <row r="64" spans="2:16">
      <c r="B64" s="7">
        <f t="shared" si="1"/>
        <v>2050</v>
      </c>
      <c r="C64" s="550">
        <f>Activity!$C63*Activity!$D63*Activity!E63</f>
        <v>0</v>
      </c>
      <c r="D64" s="551">
        <f>Activity!$C63*Activity!$D63*Activity!F63</f>
        <v>0</v>
      </c>
      <c r="E64" s="549">
        <f>Activity!$C63*Activity!$D63*Activity!G63</f>
        <v>0</v>
      </c>
      <c r="F64" s="551">
        <f>Activity!$C63*Activity!$D63*Activity!H63</f>
        <v>0</v>
      </c>
      <c r="G64" s="551">
        <f>Activity!$C63*Activity!$D63*Activity!I63</f>
        <v>0</v>
      </c>
      <c r="H64" s="551">
        <f>Activity!$C63*Activity!$D63*Activity!J63</f>
        <v>0</v>
      </c>
      <c r="I64" s="551">
        <f>Activity!$C63*Activity!$D63*Activity!K63</f>
        <v>0</v>
      </c>
      <c r="J64" s="552">
        <f>Activity!$C63*Activity!$D63*Activity!L63</f>
        <v>0</v>
      </c>
      <c r="K64" s="551">
        <f>Activity!$C63*Activity!$D63*Activity!M63</f>
        <v>0</v>
      </c>
      <c r="L64" s="551">
        <f>Activity!$C63*Activity!$D63*Activity!N63</f>
        <v>0</v>
      </c>
      <c r="M64" s="549">
        <f>Activity!$C63*Activity!$D63*Activity!O63</f>
        <v>0</v>
      </c>
      <c r="N64" s="413">
        <v>0</v>
      </c>
      <c r="O64" s="551">
        <f>Activity!C63*Activity!D63</f>
        <v>0</v>
      </c>
      <c r="P64" s="558">
        <f>Activity!X63</f>
        <v>0</v>
      </c>
    </row>
    <row r="65" spans="2:16">
      <c r="B65" s="7">
        <f t="shared" si="1"/>
        <v>2051</v>
      </c>
      <c r="C65" s="550">
        <f>Activity!$C64*Activity!$D64*Activity!E64</f>
        <v>0</v>
      </c>
      <c r="D65" s="551">
        <f>Activity!$C64*Activity!$D64*Activity!F64</f>
        <v>0</v>
      </c>
      <c r="E65" s="549">
        <f>Activity!$C64*Activity!$D64*Activity!G64</f>
        <v>0</v>
      </c>
      <c r="F65" s="551">
        <f>Activity!$C64*Activity!$D64*Activity!H64</f>
        <v>0</v>
      </c>
      <c r="G65" s="551">
        <f>Activity!$C64*Activity!$D64*Activity!I64</f>
        <v>0</v>
      </c>
      <c r="H65" s="551">
        <f>Activity!$C64*Activity!$D64*Activity!J64</f>
        <v>0</v>
      </c>
      <c r="I65" s="551">
        <f>Activity!$C64*Activity!$D64*Activity!K64</f>
        <v>0</v>
      </c>
      <c r="J65" s="552">
        <f>Activity!$C64*Activity!$D64*Activity!L64</f>
        <v>0</v>
      </c>
      <c r="K65" s="551">
        <f>Activity!$C64*Activity!$D64*Activity!M64</f>
        <v>0</v>
      </c>
      <c r="L65" s="551">
        <f>Activity!$C64*Activity!$D64*Activity!N64</f>
        <v>0</v>
      </c>
      <c r="M65" s="549">
        <f>Activity!$C64*Activity!$D64*Activity!O64</f>
        <v>0</v>
      </c>
      <c r="N65" s="413">
        <v>0</v>
      </c>
      <c r="O65" s="551">
        <f>Activity!C64*Activity!D64</f>
        <v>0</v>
      </c>
      <c r="P65" s="558">
        <f>Activity!X64</f>
        <v>0</v>
      </c>
    </row>
    <row r="66" spans="2:16">
      <c r="B66" s="7">
        <f t="shared" si="1"/>
        <v>2052</v>
      </c>
      <c r="C66" s="550">
        <f>Activity!$C65*Activity!$D65*Activity!E65</f>
        <v>0</v>
      </c>
      <c r="D66" s="551">
        <f>Activity!$C65*Activity!$D65*Activity!F65</f>
        <v>0</v>
      </c>
      <c r="E66" s="549">
        <f>Activity!$C65*Activity!$D65*Activity!G65</f>
        <v>0</v>
      </c>
      <c r="F66" s="551">
        <f>Activity!$C65*Activity!$D65*Activity!H65</f>
        <v>0</v>
      </c>
      <c r="G66" s="551">
        <f>Activity!$C65*Activity!$D65*Activity!I65</f>
        <v>0</v>
      </c>
      <c r="H66" s="551">
        <f>Activity!$C65*Activity!$D65*Activity!J65</f>
        <v>0</v>
      </c>
      <c r="I66" s="551">
        <f>Activity!$C65*Activity!$D65*Activity!K65</f>
        <v>0</v>
      </c>
      <c r="J66" s="552">
        <f>Activity!$C65*Activity!$D65*Activity!L65</f>
        <v>0</v>
      </c>
      <c r="K66" s="551">
        <f>Activity!$C65*Activity!$D65*Activity!M65</f>
        <v>0</v>
      </c>
      <c r="L66" s="551">
        <f>Activity!$C65*Activity!$D65*Activity!N65</f>
        <v>0</v>
      </c>
      <c r="M66" s="549">
        <f>Activity!$C65*Activity!$D65*Activity!O65</f>
        <v>0</v>
      </c>
      <c r="N66" s="413">
        <v>0</v>
      </c>
      <c r="O66" s="551">
        <f>Activity!C65*Activity!D65</f>
        <v>0</v>
      </c>
      <c r="P66" s="558">
        <f>Activity!X65</f>
        <v>0</v>
      </c>
    </row>
    <row r="67" spans="2:16">
      <c r="B67" s="7">
        <f t="shared" si="1"/>
        <v>2053</v>
      </c>
      <c r="C67" s="550">
        <f>Activity!$C66*Activity!$D66*Activity!E66</f>
        <v>0</v>
      </c>
      <c r="D67" s="551">
        <f>Activity!$C66*Activity!$D66*Activity!F66</f>
        <v>0</v>
      </c>
      <c r="E67" s="549">
        <f>Activity!$C66*Activity!$D66*Activity!G66</f>
        <v>0</v>
      </c>
      <c r="F67" s="551">
        <f>Activity!$C66*Activity!$D66*Activity!H66</f>
        <v>0</v>
      </c>
      <c r="G67" s="551">
        <f>Activity!$C66*Activity!$D66*Activity!I66</f>
        <v>0</v>
      </c>
      <c r="H67" s="551">
        <f>Activity!$C66*Activity!$D66*Activity!J66</f>
        <v>0</v>
      </c>
      <c r="I67" s="551">
        <f>Activity!$C66*Activity!$D66*Activity!K66</f>
        <v>0</v>
      </c>
      <c r="J67" s="552">
        <f>Activity!$C66*Activity!$D66*Activity!L66</f>
        <v>0</v>
      </c>
      <c r="K67" s="551">
        <f>Activity!$C66*Activity!$D66*Activity!M66</f>
        <v>0</v>
      </c>
      <c r="L67" s="551">
        <f>Activity!$C66*Activity!$D66*Activity!N66</f>
        <v>0</v>
      </c>
      <c r="M67" s="549">
        <f>Activity!$C66*Activity!$D66*Activity!O66</f>
        <v>0</v>
      </c>
      <c r="N67" s="413">
        <v>0</v>
      </c>
      <c r="O67" s="551">
        <f>Activity!C66*Activity!D66</f>
        <v>0</v>
      </c>
      <c r="P67" s="558">
        <f>Activity!X66</f>
        <v>0</v>
      </c>
    </row>
    <row r="68" spans="2:16">
      <c r="B68" s="7">
        <f t="shared" si="1"/>
        <v>2054</v>
      </c>
      <c r="C68" s="550">
        <f>Activity!$C67*Activity!$D67*Activity!E67</f>
        <v>0</v>
      </c>
      <c r="D68" s="551">
        <f>Activity!$C67*Activity!$D67*Activity!F67</f>
        <v>0</v>
      </c>
      <c r="E68" s="549">
        <f>Activity!$C67*Activity!$D67*Activity!G67</f>
        <v>0</v>
      </c>
      <c r="F68" s="551">
        <f>Activity!$C67*Activity!$D67*Activity!H67</f>
        <v>0</v>
      </c>
      <c r="G68" s="551">
        <f>Activity!$C67*Activity!$D67*Activity!I67</f>
        <v>0</v>
      </c>
      <c r="H68" s="551">
        <f>Activity!$C67*Activity!$D67*Activity!J67</f>
        <v>0</v>
      </c>
      <c r="I68" s="551">
        <f>Activity!$C67*Activity!$D67*Activity!K67</f>
        <v>0</v>
      </c>
      <c r="J68" s="552">
        <f>Activity!$C67*Activity!$D67*Activity!L67</f>
        <v>0</v>
      </c>
      <c r="K68" s="551">
        <f>Activity!$C67*Activity!$D67*Activity!M67</f>
        <v>0</v>
      </c>
      <c r="L68" s="551">
        <f>Activity!$C67*Activity!$D67*Activity!N67</f>
        <v>0</v>
      </c>
      <c r="M68" s="549">
        <f>Activity!$C67*Activity!$D67*Activity!O67</f>
        <v>0</v>
      </c>
      <c r="N68" s="413">
        <v>0</v>
      </c>
      <c r="O68" s="551">
        <f>Activity!C67*Activity!D67</f>
        <v>0</v>
      </c>
      <c r="P68" s="558">
        <f>Activity!X67</f>
        <v>0</v>
      </c>
    </row>
    <row r="69" spans="2:16">
      <c r="B69" s="7">
        <f t="shared" si="1"/>
        <v>2055</v>
      </c>
      <c r="C69" s="550">
        <f>Activity!$C68*Activity!$D68*Activity!E68</f>
        <v>0</v>
      </c>
      <c r="D69" s="551">
        <f>Activity!$C68*Activity!$D68*Activity!F68</f>
        <v>0</v>
      </c>
      <c r="E69" s="549">
        <f>Activity!$C68*Activity!$D68*Activity!G68</f>
        <v>0</v>
      </c>
      <c r="F69" s="551">
        <f>Activity!$C68*Activity!$D68*Activity!H68</f>
        <v>0</v>
      </c>
      <c r="G69" s="551">
        <f>Activity!$C68*Activity!$D68*Activity!I68</f>
        <v>0</v>
      </c>
      <c r="H69" s="551">
        <f>Activity!$C68*Activity!$D68*Activity!J68</f>
        <v>0</v>
      </c>
      <c r="I69" s="551">
        <f>Activity!$C68*Activity!$D68*Activity!K68</f>
        <v>0</v>
      </c>
      <c r="J69" s="552">
        <f>Activity!$C68*Activity!$D68*Activity!L68</f>
        <v>0</v>
      </c>
      <c r="K69" s="551">
        <f>Activity!$C68*Activity!$D68*Activity!M68</f>
        <v>0</v>
      </c>
      <c r="L69" s="551">
        <f>Activity!$C68*Activity!$D68*Activity!N68</f>
        <v>0</v>
      </c>
      <c r="M69" s="549">
        <f>Activity!$C68*Activity!$D68*Activity!O68</f>
        <v>0</v>
      </c>
      <c r="N69" s="413">
        <v>0</v>
      </c>
      <c r="O69" s="551">
        <f>Activity!C68*Activity!D68</f>
        <v>0</v>
      </c>
      <c r="P69" s="558">
        <f>Activity!X68</f>
        <v>0</v>
      </c>
    </row>
    <row r="70" spans="2:16">
      <c r="B70" s="7">
        <f t="shared" si="1"/>
        <v>2056</v>
      </c>
      <c r="C70" s="550">
        <f>Activity!$C69*Activity!$D69*Activity!E69</f>
        <v>0</v>
      </c>
      <c r="D70" s="551">
        <f>Activity!$C69*Activity!$D69*Activity!F69</f>
        <v>0</v>
      </c>
      <c r="E70" s="549">
        <f>Activity!$C69*Activity!$D69*Activity!G69</f>
        <v>0</v>
      </c>
      <c r="F70" s="551">
        <f>Activity!$C69*Activity!$D69*Activity!H69</f>
        <v>0</v>
      </c>
      <c r="G70" s="551">
        <f>Activity!$C69*Activity!$D69*Activity!I69</f>
        <v>0</v>
      </c>
      <c r="H70" s="551">
        <f>Activity!$C69*Activity!$D69*Activity!J69</f>
        <v>0</v>
      </c>
      <c r="I70" s="551">
        <f>Activity!$C69*Activity!$D69*Activity!K69</f>
        <v>0</v>
      </c>
      <c r="J70" s="552">
        <f>Activity!$C69*Activity!$D69*Activity!L69</f>
        <v>0</v>
      </c>
      <c r="K70" s="551">
        <f>Activity!$C69*Activity!$D69*Activity!M69</f>
        <v>0</v>
      </c>
      <c r="L70" s="551">
        <f>Activity!$C69*Activity!$D69*Activity!N69</f>
        <v>0</v>
      </c>
      <c r="M70" s="549">
        <f>Activity!$C69*Activity!$D69*Activity!O69</f>
        <v>0</v>
      </c>
      <c r="N70" s="413">
        <v>0</v>
      </c>
      <c r="O70" s="551">
        <f>Activity!C69*Activity!D69</f>
        <v>0</v>
      </c>
      <c r="P70" s="558">
        <f>Activity!X69</f>
        <v>0</v>
      </c>
    </row>
    <row r="71" spans="2:16">
      <c r="B71" s="7">
        <f t="shared" si="1"/>
        <v>2057</v>
      </c>
      <c r="C71" s="550">
        <f>Activity!$C70*Activity!$D70*Activity!E70</f>
        <v>0</v>
      </c>
      <c r="D71" s="551">
        <f>Activity!$C70*Activity!$D70*Activity!F70</f>
        <v>0</v>
      </c>
      <c r="E71" s="549">
        <f>Activity!$C70*Activity!$D70*Activity!G70</f>
        <v>0</v>
      </c>
      <c r="F71" s="551">
        <f>Activity!$C70*Activity!$D70*Activity!H70</f>
        <v>0</v>
      </c>
      <c r="G71" s="551">
        <f>Activity!$C70*Activity!$D70*Activity!I70</f>
        <v>0</v>
      </c>
      <c r="H71" s="551">
        <f>Activity!$C70*Activity!$D70*Activity!J70</f>
        <v>0</v>
      </c>
      <c r="I71" s="551">
        <f>Activity!$C70*Activity!$D70*Activity!K70</f>
        <v>0</v>
      </c>
      <c r="J71" s="552">
        <f>Activity!$C70*Activity!$D70*Activity!L70</f>
        <v>0</v>
      </c>
      <c r="K71" s="551">
        <f>Activity!$C70*Activity!$D70*Activity!M70</f>
        <v>0</v>
      </c>
      <c r="L71" s="551">
        <f>Activity!$C70*Activity!$D70*Activity!N70</f>
        <v>0</v>
      </c>
      <c r="M71" s="549">
        <f>Activity!$C70*Activity!$D70*Activity!O70</f>
        <v>0</v>
      </c>
      <c r="N71" s="413">
        <v>0</v>
      </c>
      <c r="O71" s="551">
        <f>Activity!C70*Activity!D70</f>
        <v>0</v>
      </c>
      <c r="P71" s="558">
        <f>Activity!X70</f>
        <v>0</v>
      </c>
    </row>
    <row r="72" spans="2:16">
      <c r="B72" s="7">
        <f t="shared" si="1"/>
        <v>2058</v>
      </c>
      <c r="C72" s="550">
        <f>Activity!$C71*Activity!$D71*Activity!E71</f>
        <v>0</v>
      </c>
      <c r="D72" s="551">
        <f>Activity!$C71*Activity!$D71*Activity!F71</f>
        <v>0</v>
      </c>
      <c r="E72" s="549">
        <f>Activity!$C71*Activity!$D71*Activity!G71</f>
        <v>0</v>
      </c>
      <c r="F72" s="551">
        <f>Activity!$C71*Activity!$D71*Activity!H71</f>
        <v>0</v>
      </c>
      <c r="G72" s="551">
        <f>Activity!$C71*Activity!$D71*Activity!I71</f>
        <v>0</v>
      </c>
      <c r="H72" s="551">
        <f>Activity!$C71*Activity!$D71*Activity!J71</f>
        <v>0</v>
      </c>
      <c r="I72" s="551">
        <f>Activity!$C71*Activity!$D71*Activity!K71</f>
        <v>0</v>
      </c>
      <c r="J72" s="552">
        <f>Activity!$C71*Activity!$D71*Activity!L71</f>
        <v>0</v>
      </c>
      <c r="K72" s="551">
        <f>Activity!$C71*Activity!$D71*Activity!M71</f>
        <v>0</v>
      </c>
      <c r="L72" s="551">
        <f>Activity!$C71*Activity!$D71*Activity!N71</f>
        <v>0</v>
      </c>
      <c r="M72" s="549">
        <f>Activity!$C71*Activity!$D71*Activity!O71</f>
        <v>0</v>
      </c>
      <c r="N72" s="413">
        <v>0</v>
      </c>
      <c r="O72" s="551">
        <f>Activity!C71*Activity!D71</f>
        <v>0</v>
      </c>
      <c r="P72" s="558">
        <f>Activity!X71</f>
        <v>0</v>
      </c>
    </row>
    <row r="73" spans="2:16">
      <c r="B73" s="7">
        <f t="shared" si="1"/>
        <v>2059</v>
      </c>
      <c r="C73" s="550">
        <f>Activity!$C72*Activity!$D72*Activity!E72</f>
        <v>0</v>
      </c>
      <c r="D73" s="551">
        <f>Activity!$C72*Activity!$D72*Activity!F72</f>
        <v>0</v>
      </c>
      <c r="E73" s="549">
        <f>Activity!$C72*Activity!$D72*Activity!G72</f>
        <v>0</v>
      </c>
      <c r="F73" s="551">
        <f>Activity!$C72*Activity!$D72*Activity!H72</f>
        <v>0</v>
      </c>
      <c r="G73" s="551">
        <f>Activity!$C72*Activity!$D72*Activity!I72</f>
        <v>0</v>
      </c>
      <c r="H73" s="551">
        <f>Activity!$C72*Activity!$D72*Activity!J72</f>
        <v>0</v>
      </c>
      <c r="I73" s="551">
        <f>Activity!$C72*Activity!$D72*Activity!K72</f>
        <v>0</v>
      </c>
      <c r="J73" s="552">
        <f>Activity!$C72*Activity!$D72*Activity!L72</f>
        <v>0</v>
      </c>
      <c r="K73" s="551">
        <f>Activity!$C72*Activity!$D72*Activity!M72</f>
        <v>0</v>
      </c>
      <c r="L73" s="551">
        <f>Activity!$C72*Activity!$D72*Activity!N72</f>
        <v>0</v>
      </c>
      <c r="M73" s="549">
        <f>Activity!$C72*Activity!$D72*Activity!O72</f>
        <v>0</v>
      </c>
      <c r="N73" s="413">
        <v>0</v>
      </c>
      <c r="O73" s="551">
        <f>Activity!C72*Activity!D72</f>
        <v>0</v>
      </c>
      <c r="P73" s="558">
        <f>Activity!X72</f>
        <v>0</v>
      </c>
    </row>
    <row r="74" spans="2:16">
      <c r="B74" s="7">
        <f t="shared" si="1"/>
        <v>2060</v>
      </c>
      <c r="C74" s="550">
        <f>Activity!$C73*Activity!$D73*Activity!E73</f>
        <v>0</v>
      </c>
      <c r="D74" s="551">
        <f>Activity!$C73*Activity!$D73*Activity!F73</f>
        <v>0</v>
      </c>
      <c r="E74" s="549">
        <f>Activity!$C73*Activity!$D73*Activity!G73</f>
        <v>0</v>
      </c>
      <c r="F74" s="551">
        <f>Activity!$C73*Activity!$D73*Activity!H73</f>
        <v>0</v>
      </c>
      <c r="G74" s="551">
        <f>Activity!$C73*Activity!$D73*Activity!I73</f>
        <v>0</v>
      </c>
      <c r="H74" s="551">
        <f>Activity!$C73*Activity!$D73*Activity!J73</f>
        <v>0</v>
      </c>
      <c r="I74" s="551">
        <f>Activity!$C73*Activity!$D73*Activity!K73</f>
        <v>0</v>
      </c>
      <c r="J74" s="552">
        <f>Activity!$C73*Activity!$D73*Activity!L73</f>
        <v>0</v>
      </c>
      <c r="K74" s="551">
        <f>Activity!$C73*Activity!$D73*Activity!M73</f>
        <v>0</v>
      </c>
      <c r="L74" s="551">
        <f>Activity!$C73*Activity!$D73*Activity!N73</f>
        <v>0</v>
      </c>
      <c r="M74" s="549">
        <f>Activity!$C73*Activity!$D73*Activity!O73</f>
        <v>0</v>
      </c>
      <c r="N74" s="413">
        <v>0</v>
      </c>
      <c r="O74" s="551">
        <f>Activity!C73*Activity!D73</f>
        <v>0</v>
      </c>
      <c r="P74" s="558">
        <f>Activity!X73</f>
        <v>0</v>
      </c>
    </row>
    <row r="75" spans="2:16">
      <c r="B75" s="7">
        <f t="shared" si="1"/>
        <v>2061</v>
      </c>
      <c r="C75" s="550">
        <f>Activity!$C74*Activity!$D74*Activity!E74</f>
        <v>0</v>
      </c>
      <c r="D75" s="551">
        <f>Activity!$C74*Activity!$D74*Activity!F74</f>
        <v>0</v>
      </c>
      <c r="E75" s="549">
        <f>Activity!$C74*Activity!$D74*Activity!G74</f>
        <v>0</v>
      </c>
      <c r="F75" s="551">
        <f>Activity!$C74*Activity!$D74*Activity!H74</f>
        <v>0</v>
      </c>
      <c r="G75" s="551">
        <f>Activity!$C74*Activity!$D74*Activity!I74</f>
        <v>0</v>
      </c>
      <c r="H75" s="551">
        <f>Activity!$C74*Activity!$D74*Activity!J74</f>
        <v>0</v>
      </c>
      <c r="I75" s="551">
        <f>Activity!$C74*Activity!$D74*Activity!K74</f>
        <v>0</v>
      </c>
      <c r="J75" s="552">
        <f>Activity!$C74*Activity!$D74*Activity!L74</f>
        <v>0</v>
      </c>
      <c r="K75" s="551">
        <f>Activity!$C74*Activity!$D74*Activity!M74</f>
        <v>0</v>
      </c>
      <c r="L75" s="551">
        <f>Activity!$C74*Activity!$D74*Activity!N74</f>
        <v>0</v>
      </c>
      <c r="M75" s="549">
        <f>Activity!$C74*Activity!$D74*Activity!O74</f>
        <v>0</v>
      </c>
      <c r="N75" s="413">
        <v>0</v>
      </c>
      <c r="O75" s="551">
        <f>Activity!C74*Activity!D74</f>
        <v>0</v>
      </c>
      <c r="P75" s="558">
        <f>Activity!X74</f>
        <v>0</v>
      </c>
    </row>
    <row r="76" spans="2:16">
      <c r="B76" s="7">
        <f t="shared" si="1"/>
        <v>2062</v>
      </c>
      <c r="C76" s="550">
        <f>Activity!$C75*Activity!$D75*Activity!E75</f>
        <v>0</v>
      </c>
      <c r="D76" s="551">
        <f>Activity!$C75*Activity!$D75*Activity!F75</f>
        <v>0</v>
      </c>
      <c r="E76" s="549">
        <f>Activity!$C75*Activity!$D75*Activity!G75</f>
        <v>0</v>
      </c>
      <c r="F76" s="551">
        <f>Activity!$C75*Activity!$D75*Activity!H75</f>
        <v>0</v>
      </c>
      <c r="G76" s="551">
        <f>Activity!$C75*Activity!$D75*Activity!I75</f>
        <v>0</v>
      </c>
      <c r="H76" s="551">
        <f>Activity!$C75*Activity!$D75*Activity!J75</f>
        <v>0</v>
      </c>
      <c r="I76" s="551">
        <f>Activity!$C75*Activity!$D75*Activity!K75</f>
        <v>0</v>
      </c>
      <c r="J76" s="552">
        <f>Activity!$C75*Activity!$D75*Activity!L75</f>
        <v>0</v>
      </c>
      <c r="K76" s="551">
        <f>Activity!$C75*Activity!$D75*Activity!M75</f>
        <v>0</v>
      </c>
      <c r="L76" s="551">
        <f>Activity!$C75*Activity!$D75*Activity!N75</f>
        <v>0</v>
      </c>
      <c r="M76" s="549">
        <f>Activity!$C75*Activity!$D75*Activity!O75</f>
        <v>0</v>
      </c>
      <c r="N76" s="413">
        <v>0</v>
      </c>
      <c r="O76" s="551">
        <f>Activity!C75*Activity!D75</f>
        <v>0</v>
      </c>
      <c r="P76" s="558">
        <f>Activity!X75</f>
        <v>0</v>
      </c>
    </row>
    <row r="77" spans="2:16">
      <c r="B77" s="7">
        <f t="shared" si="1"/>
        <v>2063</v>
      </c>
      <c r="C77" s="550">
        <f>Activity!$C76*Activity!$D76*Activity!E76</f>
        <v>0</v>
      </c>
      <c r="D77" s="551">
        <f>Activity!$C76*Activity!$D76*Activity!F76</f>
        <v>0</v>
      </c>
      <c r="E77" s="549">
        <f>Activity!$C76*Activity!$D76*Activity!G76</f>
        <v>0</v>
      </c>
      <c r="F77" s="551">
        <f>Activity!$C76*Activity!$D76*Activity!H76</f>
        <v>0</v>
      </c>
      <c r="G77" s="551">
        <f>Activity!$C76*Activity!$D76*Activity!I76</f>
        <v>0</v>
      </c>
      <c r="H77" s="551">
        <f>Activity!$C76*Activity!$D76*Activity!J76</f>
        <v>0</v>
      </c>
      <c r="I77" s="551">
        <f>Activity!$C76*Activity!$D76*Activity!K76</f>
        <v>0</v>
      </c>
      <c r="J77" s="552">
        <f>Activity!$C76*Activity!$D76*Activity!L76</f>
        <v>0</v>
      </c>
      <c r="K77" s="551">
        <f>Activity!$C76*Activity!$D76*Activity!M76</f>
        <v>0</v>
      </c>
      <c r="L77" s="551">
        <f>Activity!$C76*Activity!$D76*Activity!N76</f>
        <v>0</v>
      </c>
      <c r="M77" s="549">
        <f>Activity!$C76*Activity!$D76*Activity!O76</f>
        <v>0</v>
      </c>
      <c r="N77" s="413">
        <v>0</v>
      </c>
      <c r="O77" s="551">
        <f>Activity!C76*Activity!D76</f>
        <v>0</v>
      </c>
      <c r="P77" s="558">
        <f>Activity!X76</f>
        <v>0</v>
      </c>
    </row>
    <row r="78" spans="2:16">
      <c r="B78" s="7">
        <f t="shared" si="1"/>
        <v>2064</v>
      </c>
      <c r="C78" s="550">
        <f>Activity!$C77*Activity!$D77*Activity!E77</f>
        <v>0</v>
      </c>
      <c r="D78" s="551">
        <f>Activity!$C77*Activity!$D77*Activity!F77</f>
        <v>0</v>
      </c>
      <c r="E78" s="549">
        <f>Activity!$C77*Activity!$D77*Activity!G77</f>
        <v>0</v>
      </c>
      <c r="F78" s="551">
        <f>Activity!$C77*Activity!$D77*Activity!H77</f>
        <v>0</v>
      </c>
      <c r="G78" s="551">
        <f>Activity!$C77*Activity!$D77*Activity!I77</f>
        <v>0</v>
      </c>
      <c r="H78" s="551">
        <f>Activity!$C77*Activity!$D77*Activity!J77</f>
        <v>0</v>
      </c>
      <c r="I78" s="551">
        <f>Activity!$C77*Activity!$D77*Activity!K77</f>
        <v>0</v>
      </c>
      <c r="J78" s="552">
        <f>Activity!$C77*Activity!$D77*Activity!L77</f>
        <v>0</v>
      </c>
      <c r="K78" s="551">
        <f>Activity!$C77*Activity!$D77*Activity!M77</f>
        <v>0</v>
      </c>
      <c r="L78" s="551">
        <f>Activity!$C77*Activity!$D77*Activity!N77</f>
        <v>0</v>
      </c>
      <c r="M78" s="549">
        <f>Activity!$C77*Activity!$D77*Activity!O77</f>
        <v>0</v>
      </c>
      <c r="N78" s="413">
        <v>0</v>
      </c>
      <c r="O78" s="551">
        <f>Activity!C77*Activity!D77</f>
        <v>0</v>
      </c>
      <c r="P78" s="558">
        <f>Activity!X77</f>
        <v>0</v>
      </c>
    </row>
    <row r="79" spans="2:16">
      <c r="B79" s="7">
        <f t="shared" si="1"/>
        <v>2065</v>
      </c>
      <c r="C79" s="550">
        <f>Activity!$C78*Activity!$D78*Activity!E78</f>
        <v>0</v>
      </c>
      <c r="D79" s="551">
        <f>Activity!$C78*Activity!$D78*Activity!F78</f>
        <v>0</v>
      </c>
      <c r="E79" s="549">
        <f>Activity!$C78*Activity!$D78*Activity!G78</f>
        <v>0</v>
      </c>
      <c r="F79" s="551">
        <f>Activity!$C78*Activity!$D78*Activity!H78</f>
        <v>0</v>
      </c>
      <c r="G79" s="551">
        <f>Activity!$C78*Activity!$D78*Activity!I78</f>
        <v>0</v>
      </c>
      <c r="H79" s="551">
        <f>Activity!$C78*Activity!$D78*Activity!J78</f>
        <v>0</v>
      </c>
      <c r="I79" s="551">
        <f>Activity!$C78*Activity!$D78*Activity!K78</f>
        <v>0</v>
      </c>
      <c r="J79" s="552">
        <f>Activity!$C78*Activity!$D78*Activity!L78</f>
        <v>0</v>
      </c>
      <c r="K79" s="551">
        <f>Activity!$C78*Activity!$D78*Activity!M78</f>
        <v>0</v>
      </c>
      <c r="L79" s="551">
        <f>Activity!$C78*Activity!$D78*Activity!N78</f>
        <v>0</v>
      </c>
      <c r="M79" s="549">
        <f>Activity!$C78*Activity!$D78*Activity!O78</f>
        <v>0</v>
      </c>
      <c r="N79" s="413">
        <v>0</v>
      </c>
      <c r="O79" s="551">
        <f>Activity!C78*Activity!D78</f>
        <v>0</v>
      </c>
      <c r="P79" s="558">
        <f>Activity!X78</f>
        <v>0</v>
      </c>
    </row>
    <row r="80" spans="2:16">
      <c r="B80" s="7">
        <f t="shared" si="1"/>
        <v>2066</v>
      </c>
      <c r="C80" s="550">
        <f>Activity!$C79*Activity!$D79*Activity!E79</f>
        <v>0</v>
      </c>
      <c r="D80" s="551">
        <f>Activity!$C79*Activity!$D79*Activity!F79</f>
        <v>0</v>
      </c>
      <c r="E80" s="549">
        <f>Activity!$C79*Activity!$D79*Activity!G79</f>
        <v>0</v>
      </c>
      <c r="F80" s="551">
        <f>Activity!$C79*Activity!$D79*Activity!H79</f>
        <v>0</v>
      </c>
      <c r="G80" s="551">
        <f>Activity!$C79*Activity!$D79*Activity!I79</f>
        <v>0</v>
      </c>
      <c r="H80" s="551">
        <f>Activity!$C79*Activity!$D79*Activity!J79</f>
        <v>0</v>
      </c>
      <c r="I80" s="551">
        <f>Activity!$C79*Activity!$D79*Activity!K79</f>
        <v>0</v>
      </c>
      <c r="J80" s="552">
        <f>Activity!$C79*Activity!$D79*Activity!L79</f>
        <v>0</v>
      </c>
      <c r="K80" s="551">
        <f>Activity!$C79*Activity!$D79*Activity!M79</f>
        <v>0</v>
      </c>
      <c r="L80" s="551">
        <f>Activity!$C79*Activity!$D79*Activity!N79</f>
        <v>0</v>
      </c>
      <c r="M80" s="549">
        <f>Activity!$C79*Activity!$D79*Activity!O79</f>
        <v>0</v>
      </c>
      <c r="N80" s="413">
        <v>0</v>
      </c>
      <c r="O80" s="551">
        <f>Activity!C79*Activity!D79</f>
        <v>0</v>
      </c>
      <c r="P80" s="558">
        <f>Activity!X79</f>
        <v>0</v>
      </c>
    </row>
    <row r="81" spans="2:16">
      <c r="B81" s="7">
        <f t="shared" si="1"/>
        <v>2067</v>
      </c>
      <c r="C81" s="550">
        <f>Activity!$C80*Activity!$D80*Activity!E80</f>
        <v>0</v>
      </c>
      <c r="D81" s="551">
        <f>Activity!$C80*Activity!$D80*Activity!F80</f>
        <v>0</v>
      </c>
      <c r="E81" s="549">
        <f>Activity!$C80*Activity!$D80*Activity!G80</f>
        <v>0</v>
      </c>
      <c r="F81" s="551">
        <f>Activity!$C80*Activity!$D80*Activity!H80</f>
        <v>0</v>
      </c>
      <c r="G81" s="551">
        <f>Activity!$C80*Activity!$D80*Activity!I80</f>
        <v>0</v>
      </c>
      <c r="H81" s="551">
        <f>Activity!$C80*Activity!$D80*Activity!J80</f>
        <v>0</v>
      </c>
      <c r="I81" s="551">
        <f>Activity!$C80*Activity!$D80*Activity!K80</f>
        <v>0</v>
      </c>
      <c r="J81" s="552">
        <f>Activity!$C80*Activity!$D80*Activity!L80</f>
        <v>0</v>
      </c>
      <c r="K81" s="551">
        <f>Activity!$C80*Activity!$D80*Activity!M80</f>
        <v>0</v>
      </c>
      <c r="L81" s="551">
        <f>Activity!$C80*Activity!$D80*Activity!N80</f>
        <v>0</v>
      </c>
      <c r="M81" s="549">
        <f>Activity!$C80*Activity!$D80*Activity!O80</f>
        <v>0</v>
      </c>
      <c r="N81" s="413">
        <v>0</v>
      </c>
      <c r="O81" s="551">
        <f>Activity!C80*Activity!D80</f>
        <v>0</v>
      </c>
      <c r="P81" s="558">
        <f>Activity!X80</f>
        <v>0</v>
      </c>
    </row>
    <row r="82" spans="2:16">
      <c r="B82" s="7">
        <f t="shared" si="1"/>
        <v>2068</v>
      </c>
      <c r="C82" s="550">
        <f>Activity!$C81*Activity!$D81*Activity!E81</f>
        <v>0</v>
      </c>
      <c r="D82" s="551">
        <f>Activity!$C81*Activity!$D81*Activity!F81</f>
        <v>0</v>
      </c>
      <c r="E82" s="549">
        <f>Activity!$C81*Activity!$D81*Activity!G81</f>
        <v>0</v>
      </c>
      <c r="F82" s="551">
        <f>Activity!$C81*Activity!$D81*Activity!H81</f>
        <v>0</v>
      </c>
      <c r="G82" s="551">
        <f>Activity!$C81*Activity!$D81*Activity!I81</f>
        <v>0</v>
      </c>
      <c r="H82" s="551">
        <f>Activity!$C81*Activity!$D81*Activity!J81</f>
        <v>0</v>
      </c>
      <c r="I82" s="551">
        <f>Activity!$C81*Activity!$D81*Activity!K81</f>
        <v>0</v>
      </c>
      <c r="J82" s="552">
        <f>Activity!$C81*Activity!$D81*Activity!L81</f>
        <v>0</v>
      </c>
      <c r="K82" s="551">
        <f>Activity!$C81*Activity!$D81*Activity!M81</f>
        <v>0</v>
      </c>
      <c r="L82" s="551">
        <f>Activity!$C81*Activity!$D81*Activity!N81</f>
        <v>0</v>
      </c>
      <c r="M82" s="549">
        <f>Activity!$C81*Activity!$D81*Activity!O81</f>
        <v>0</v>
      </c>
      <c r="N82" s="413">
        <v>0</v>
      </c>
      <c r="O82" s="551">
        <f>Activity!C81*Activity!D81</f>
        <v>0</v>
      </c>
      <c r="P82" s="558">
        <f>Activity!X81</f>
        <v>0</v>
      </c>
    </row>
    <row r="83" spans="2:16">
      <c r="B83" s="7">
        <f t="shared" si="1"/>
        <v>2069</v>
      </c>
      <c r="C83" s="550">
        <f>Activity!$C82*Activity!$D82*Activity!E82</f>
        <v>0</v>
      </c>
      <c r="D83" s="551">
        <f>Activity!$C82*Activity!$D82*Activity!F82</f>
        <v>0</v>
      </c>
      <c r="E83" s="549">
        <f>Activity!$C82*Activity!$D82*Activity!G82</f>
        <v>0</v>
      </c>
      <c r="F83" s="551">
        <f>Activity!$C82*Activity!$D82*Activity!H82</f>
        <v>0</v>
      </c>
      <c r="G83" s="551">
        <f>Activity!$C82*Activity!$D82*Activity!I82</f>
        <v>0</v>
      </c>
      <c r="H83" s="551">
        <f>Activity!$C82*Activity!$D82*Activity!J82</f>
        <v>0</v>
      </c>
      <c r="I83" s="551">
        <f>Activity!$C82*Activity!$D82*Activity!K82</f>
        <v>0</v>
      </c>
      <c r="J83" s="552">
        <f>Activity!$C82*Activity!$D82*Activity!L82</f>
        <v>0</v>
      </c>
      <c r="K83" s="551">
        <f>Activity!$C82*Activity!$D82*Activity!M82</f>
        <v>0</v>
      </c>
      <c r="L83" s="551">
        <f>Activity!$C82*Activity!$D82*Activity!N82</f>
        <v>0</v>
      </c>
      <c r="M83" s="549">
        <f>Activity!$C82*Activity!$D82*Activity!O82</f>
        <v>0</v>
      </c>
      <c r="N83" s="413">
        <v>0</v>
      </c>
      <c r="O83" s="551">
        <f>Activity!C82*Activity!D82</f>
        <v>0</v>
      </c>
      <c r="P83" s="558">
        <f>Activity!X82</f>
        <v>0</v>
      </c>
    </row>
    <row r="84" spans="2:16">
      <c r="B84" s="7">
        <f t="shared" si="1"/>
        <v>2070</v>
      </c>
      <c r="C84" s="550">
        <f>Activity!$C83*Activity!$D83*Activity!E83</f>
        <v>0</v>
      </c>
      <c r="D84" s="551">
        <f>Activity!$C83*Activity!$D83*Activity!F83</f>
        <v>0</v>
      </c>
      <c r="E84" s="549">
        <f>Activity!$C83*Activity!$D83*Activity!G83</f>
        <v>0</v>
      </c>
      <c r="F84" s="551">
        <f>Activity!$C83*Activity!$D83*Activity!H83</f>
        <v>0</v>
      </c>
      <c r="G84" s="551">
        <f>Activity!$C83*Activity!$D83*Activity!I83</f>
        <v>0</v>
      </c>
      <c r="H84" s="551">
        <f>Activity!$C83*Activity!$D83*Activity!J83</f>
        <v>0</v>
      </c>
      <c r="I84" s="551">
        <f>Activity!$C83*Activity!$D83*Activity!K83</f>
        <v>0</v>
      </c>
      <c r="J84" s="552">
        <f>Activity!$C83*Activity!$D83*Activity!L83</f>
        <v>0</v>
      </c>
      <c r="K84" s="551">
        <f>Activity!$C83*Activity!$D83*Activity!M83</f>
        <v>0</v>
      </c>
      <c r="L84" s="551">
        <f>Activity!$C83*Activity!$D83*Activity!N83</f>
        <v>0</v>
      </c>
      <c r="M84" s="549">
        <f>Activity!$C83*Activity!$D83*Activity!O83</f>
        <v>0</v>
      </c>
      <c r="N84" s="413">
        <v>0</v>
      </c>
      <c r="O84" s="551">
        <f>Activity!C83*Activity!D83</f>
        <v>0</v>
      </c>
      <c r="P84" s="558">
        <f>Activity!X83</f>
        <v>0</v>
      </c>
    </row>
    <row r="85" spans="2:16">
      <c r="B85" s="7">
        <f t="shared" si="1"/>
        <v>2071</v>
      </c>
      <c r="C85" s="550">
        <f>Activity!$C84*Activity!$D84*Activity!E84</f>
        <v>0</v>
      </c>
      <c r="D85" s="551">
        <f>Activity!$C84*Activity!$D84*Activity!F84</f>
        <v>0</v>
      </c>
      <c r="E85" s="549">
        <f>Activity!$C84*Activity!$D84*Activity!G84</f>
        <v>0</v>
      </c>
      <c r="F85" s="551">
        <f>Activity!$C84*Activity!$D84*Activity!H84</f>
        <v>0</v>
      </c>
      <c r="G85" s="551">
        <f>Activity!$C84*Activity!$D84*Activity!I84</f>
        <v>0</v>
      </c>
      <c r="H85" s="551">
        <f>Activity!$C84*Activity!$D84*Activity!J84</f>
        <v>0</v>
      </c>
      <c r="I85" s="551">
        <f>Activity!$C84*Activity!$D84*Activity!K84</f>
        <v>0</v>
      </c>
      <c r="J85" s="552">
        <f>Activity!$C84*Activity!$D84*Activity!L84</f>
        <v>0</v>
      </c>
      <c r="K85" s="551">
        <f>Activity!$C84*Activity!$D84*Activity!M84</f>
        <v>0</v>
      </c>
      <c r="L85" s="551">
        <f>Activity!$C84*Activity!$D84*Activity!N84</f>
        <v>0</v>
      </c>
      <c r="M85" s="549">
        <f>Activity!$C84*Activity!$D84*Activity!O84</f>
        <v>0</v>
      </c>
      <c r="N85" s="413">
        <v>0</v>
      </c>
      <c r="O85" s="551">
        <f>Activity!C84*Activity!D84</f>
        <v>0</v>
      </c>
      <c r="P85" s="558">
        <f>Activity!X84</f>
        <v>0</v>
      </c>
    </row>
    <row r="86" spans="2:16">
      <c r="B86" s="7">
        <f t="shared" ref="B86:B94" si="2">B85+1</f>
        <v>2072</v>
      </c>
      <c r="C86" s="550">
        <f>Activity!$C85*Activity!$D85*Activity!E85</f>
        <v>0</v>
      </c>
      <c r="D86" s="551">
        <f>Activity!$C85*Activity!$D85*Activity!F85</f>
        <v>0</v>
      </c>
      <c r="E86" s="549">
        <f>Activity!$C85*Activity!$D85*Activity!G85</f>
        <v>0</v>
      </c>
      <c r="F86" s="551">
        <f>Activity!$C85*Activity!$D85*Activity!H85</f>
        <v>0</v>
      </c>
      <c r="G86" s="551">
        <f>Activity!$C85*Activity!$D85*Activity!I85</f>
        <v>0</v>
      </c>
      <c r="H86" s="551">
        <f>Activity!$C85*Activity!$D85*Activity!J85</f>
        <v>0</v>
      </c>
      <c r="I86" s="551">
        <f>Activity!$C85*Activity!$D85*Activity!K85</f>
        <v>0</v>
      </c>
      <c r="J86" s="552">
        <f>Activity!$C85*Activity!$D85*Activity!L85</f>
        <v>0</v>
      </c>
      <c r="K86" s="551">
        <f>Activity!$C85*Activity!$D85*Activity!M85</f>
        <v>0</v>
      </c>
      <c r="L86" s="551">
        <f>Activity!$C85*Activity!$D85*Activity!N85</f>
        <v>0</v>
      </c>
      <c r="M86" s="549">
        <f>Activity!$C85*Activity!$D85*Activity!O85</f>
        <v>0</v>
      </c>
      <c r="N86" s="413">
        <v>0</v>
      </c>
      <c r="O86" s="551">
        <f>Activity!C85*Activity!D85</f>
        <v>0</v>
      </c>
      <c r="P86" s="558">
        <f>Activity!X85</f>
        <v>0</v>
      </c>
    </row>
    <row r="87" spans="2:16">
      <c r="B87" s="7">
        <f t="shared" si="2"/>
        <v>2073</v>
      </c>
      <c r="C87" s="550">
        <f>Activity!$C86*Activity!$D86*Activity!E86</f>
        <v>0</v>
      </c>
      <c r="D87" s="551">
        <f>Activity!$C86*Activity!$D86*Activity!F86</f>
        <v>0</v>
      </c>
      <c r="E87" s="549">
        <f>Activity!$C86*Activity!$D86*Activity!G86</f>
        <v>0</v>
      </c>
      <c r="F87" s="551">
        <f>Activity!$C86*Activity!$D86*Activity!H86</f>
        <v>0</v>
      </c>
      <c r="G87" s="551">
        <f>Activity!$C86*Activity!$D86*Activity!I86</f>
        <v>0</v>
      </c>
      <c r="H87" s="551">
        <f>Activity!$C86*Activity!$D86*Activity!J86</f>
        <v>0</v>
      </c>
      <c r="I87" s="551">
        <f>Activity!$C86*Activity!$D86*Activity!K86</f>
        <v>0</v>
      </c>
      <c r="J87" s="552">
        <f>Activity!$C86*Activity!$D86*Activity!L86</f>
        <v>0</v>
      </c>
      <c r="K87" s="551">
        <f>Activity!$C86*Activity!$D86*Activity!M86</f>
        <v>0</v>
      </c>
      <c r="L87" s="551">
        <f>Activity!$C86*Activity!$D86*Activity!N86</f>
        <v>0</v>
      </c>
      <c r="M87" s="549">
        <f>Activity!$C86*Activity!$D86*Activity!O86</f>
        <v>0</v>
      </c>
      <c r="N87" s="413">
        <v>0</v>
      </c>
      <c r="O87" s="551">
        <f>Activity!C86*Activity!D86</f>
        <v>0</v>
      </c>
      <c r="P87" s="558">
        <f>Activity!X86</f>
        <v>0</v>
      </c>
    </row>
    <row r="88" spans="2:16">
      <c r="B88" s="7">
        <f t="shared" si="2"/>
        <v>2074</v>
      </c>
      <c r="C88" s="550">
        <f>Activity!$C87*Activity!$D87*Activity!E87</f>
        <v>0</v>
      </c>
      <c r="D88" s="551">
        <f>Activity!$C87*Activity!$D87*Activity!F87</f>
        <v>0</v>
      </c>
      <c r="E88" s="549">
        <f>Activity!$C87*Activity!$D87*Activity!G87</f>
        <v>0</v>
      </c>
      <c r="F88" s="551">
        <f>Activity!$C87*Activity!$D87*Activity!H87</f>
        <v>0</v>
      </c>
      <c r="G88" s="551">
        <f>Activity!$C87*Activity!$D87*Activity!I87</f>
        <v>0</v>
      </c>
      <c r="H88" s="551">
        <f>Activity!$C87*Activity!$D87*Activity!J87</f>
        <v>0</v>
      </c>
      <c r="I88" s="551">
        <f>Activity!$C87*Activity!$D87*Activity!K87</f>
        <v>0</v>
      </c>
      <c r="J88" s="552">
        <f>Activity!$C87*Activity!$D87*Activity!L87</f>
        <v>0</v>
      </c>
      <c r="K88" s="551">
        <f>Activity!$C87*Activity!$D87*Activity!M87</f>
        <v>0</v>
      </c>
      <c r="L88" s="551">
        <f>Activity!$C87*Activity!$D87*Activity!N87</f>
        <v>0</v>
      </c>
      <c r="M88" s="549">
        <f>Activity!$C87*Activity!$D87*Activity!O87</f>
        <v>0</v>
      </c>
      <c r="N88" s="413">
        <v>0</v>
      </c>
      <c r="O88" s="551">
        <f>Activity!C87*Activity!D87</f>
        <v>0</v>
      </c>
      <c r="P88" s="558">
        <f>Activity!X87</f>
        <v>0</v>
      </c>
    </row>
    <row r="89" spans="2:16">
      <c r="B89" s="7">
        <f t="shared" si="2"/>
        <v>2075</v>
      </c>
      <c r="C89" s="550">
        <f>Activity!$C88*Activity!$D88*Activity!E88</f>
        <v>0</v>
      </c>
      <c r="D89" s="551">
        <f>Activity!$C88*Activity!$D88*Activity!F88</f>
        <v>0</v>
      </c>
      <c r="E89" s="549">
        <f>Activity!$C88*Activity!$D88*Activity!G88</f>
        <v>0</v>
      </c>
      <c r="F89" s="551">
        <f>Activity!$C88*Activity!$D88*Activity!H88</f>
        <v>0</v>
      </c>
      <c r="G89" s="551">
        <f>Activity!$C88*Activity!$D88*Activity!I88</f>
        <v>0</v>
      </c>
      <c r="H89" s="551">
        <f>Activity!$C88*Activity!$D88*Activity!J88</f>
        <v>0</v>
      </c>
      <c r="I89" s="551">
        <f>Activity!$C88*Activity!$D88*Activity!K88</f>
        <v>0</v>
      </c>
      <c r="J89" s="552">
        <f>Activity!$C88*Activity!$D88*Activity!L88</f>
        <v>0</v>
      </c>
      <c r="K89" s="551">
        <f>Activity!$C88*Activity!$D88*Activity!M88</f>
        <v>0</v>
      </c>
      <c r="L89" s="551">
        <f>Activity!$C88*Activity!$D88*Activity!N88</f>
        <v>0</v>
      </c>
      <c r="M89" s="549">
        <f>Activity!$C88*Activity!$D88*Activity!O88</f>
        <v>0</v>
      </c>
      <c r="N89" s="413">
        <v>0</v>
      </c>
      <c r="O89" s="551">
        <f>Activity!C88*Activity!D88</f>
        <v>0</v>
      </c>
      <c r="P89" s="558">
        <f>Activity!X88</f>
        <v>0</v>
      </c>
    </row>
    <row r="90" spans="2:16">
      <c r="B90" s="7">
        <f t="shared" si="2"/>
        <v>2076</v>
      </c>
      <c r="C90" s="550">
        <f>Activity!$C89*Activity!$D89*Activity!E89</f>
        <v>0</v>
      </c>
      <c r="D90" s="551">
        <f>Activity!$C89*Activity!$D89*Activity!F89</f>
        <v>0</v>
      </c>
      <c r="E90" s="549">
        <f>Activity!$C89*Activity!$D89*Activity!G89</f>
        <v>0</v>
      </c>
      <c r="F90" s="551">
        <f>Activity!$C89*Activity!$D89*Activity!H89</f>
        <v>0</v>
      </c>
      <c r="G90" s="551">
        <f>Activity!$C89*Activity!$D89*Activity!I89</f>
        <v>0</v>
      </c>
      <c r="H90" s="551">
        <f>Activity!$C89*Activity!$D89*Activity!J89</f>
        <v>0</v>
      </c>
      <c r="I90" s="551">
        <f>Activity!$C89*Activity!$D89*Activity!K89</f>
        <v>0</v>
      </c>
      <c r="J90" s="552">
        <f>Activity!$C89*Activity!$D89*Activity!L89</f>
        <v>0</v>
      </c>
      <c r="K90" s="551">
        <f>Activity!$C89*Activity!$D89*Activity!M89</f>
        <v>0</v>
      </c>
      <c r="L90" s="551">
        <f>Activity!$C89*Activity!$D89*Activity!N89</f>
        <v>0</v>
      </c>
      <c r="M90" s="549">
        <f>Activity!$C89*Activity!$D89*Activity!O89</f>
        <v>0</v>
      </c>
      <c r="N90" s="413">
        <v>0</v>
      </c>
      <c r="O90" s="551">
        <f>Activity!C89*Activity!D89</f>
        <v>0</v>
      </c>
      <c r="P90" s="558">
        <f>Activity!X89</f>
        <v>0</v>
      </c>
    </row>
    <row r="91" spans="2:16">
      <c r="B91" s="7">
        <f t="shared" si="2"/>
        <v>2077</v>
      </c>
      <c r="C91" s="550">
        <f>Activity!$C90*Activity!$D90*Activity!E90</f>
        <v>0</v>
      </c>
      <c r="D91" s="551">
        <f>Activity!$C90*Activity!$D90*Activity!F90</f>
        <v>0</v>
      </c>
      <c r="E91" s="549">
        <f>Activity!$C90*Activity!$D90*Activity!G90</f>
        <v>0</v>
      </c>
      <c r="F91" s="551">
        <f>Activity!$C90*Activity!$D90*Activity!H90</f>
        <v>0</v>
      </c>
      <c r="G91" s="551">
        <f>Activity!$C90*Activity!$D90*Activity!I90</f>
        <v>0</v>
      </c>
      <c r="H91" s="551">
        <f>Activity!$C90*Activity!$D90*Activity!J90</f>
        <v>0</v>
      </c>
      <c r="I91" s="551">
        <f>Activity!$C90*Activity!$D90*Activity!K90</f>
        <v>0</v>
      </c>
      <c r="J91" s="552">
        <f>Activity!$C90*Activity!$D90*Activity!L90</f>
        <v>0</v>
      </c>
      <c r="K91" s="551">
        <f>Activity!$C90*Activity!$D90*Activity!M90</f>
        <v>0</v>
      </c>
      <c r="L91" s="551">
        <f>Activity!$C90*Activity!$D90*Activity!N90</f>
        <v>0</v>
      </c>
      <c r="M91" s="549">
        <f>Activity!$C90*Activity!$D90*Activity!O90</f>
        <v>0</v>
      </c>
      <c r="N91" s="413">
        <v>0</v>
      </c>
      <c r="O91" s="551">
        <f>Activity!C90*Activity!D90</f>
        <v>0</v>
      </c>
      <c r="P91" s="558">
        <f>Activity!X90</f>
        <v>0</v>
      </c>
    </row>
    <row r="92" spans="2:16">
      <c r="B92" s="7">
        <f t="shared" si="2"/>
        <v>2078</v>
      </c>
      <c r="C92" s="550">
        <f>Activity!$C91*Activity!$D91*Activity!E91</f>
        <v>0</v>
      </c>
      <c r="D92" s="551">
        <f>Activity!$C91*Activity!$D91*Activity!F91</f>
        <v>0</v>
      </c>
      <c r="E92" s="549">
        <f>Activity!$C91*Activity!$D91*Activity!G91</f>
        <v>0</v>
      </c>
      <c r="F92" s="551">
        <f>Activity!$C91*Activity!$D91*Activity!H91</f>
        <v>0</v>
      </c>
      <c r="G92" s="551">
        <f>Activity!$C91*Activity!$D91*Activity!I91</f>
        <v>0</v>
      </c>
      <c r="H92" s="551">
        <f>Activity!$C91*Activity!$D91*Activity!J91</f>
        <v>0</v>
      </c>
      <c r="I92" s="551">
        <f>Activity!$C91*Activity!$D91*Activity!K91</f>
        <v>0</v>
      </c>
      <c r="J92" s="552">
        <f>Activity!$C91*Activity!$D91*Activity!L91</f>
        <v>0</v>
      </c>
      <c r="K92" s="551">
        <f>Activity!$C91*Activity!$D91*Activity!M91</f>
        <v>0</v>
      </c>
      <c r="L92" s="551">
        <f>Activity!$C91*Activity!$D91*Activity!N91</f>
        <v>0</v>
      </c>
      <c r="M92" s="549">
        <f>Activity!$C91*Activity!$D91*Activity!O91</f>
        <v>0</v>
      </c>
      <c r="N92" s="413">
        <v>0</v>
      </c>
      <c r="O92" s="551">
        <f>Activity!C91*Activity!D91</f>
        <v>0</v>
      </c>
      <c r="P92" s="558">
        <f>Activity!X91</f>
        <v>0</v>
      </c>
    </row>
    <row r="93" spans="2:16">
      <c r="B93" s="7">
        <f t="shared" si="2"/>
        <v>2079</v>
      </c>
      <c r="C93" s="550">
        <f>Activity!$C92*Activity!$D92*Activity!E92</f>
        <v>0</v>
      </c>
      <c r="D93" s="551">
        <f>Activity!$C92*Activity!$D92*Activity!F92</f>
        <v>0</v>
      </c>
      <c r="E93" s="549">
        <f>Activity!$C92*Activity!$D92*Activity!G92</f>
        <v>0</v>
      </c>
      <c r="F93" s="551">
        <f>Activity!$C92*Activity!$D92*Activity!H92</f>
        <v>0</v>
      </c>
      <c r="G93" s="551">
        <f>Activity!$C92*Activity!$D92*Activity!I92</f>
        <v>0</v>
      </c>
      <c r="H93" s="551">
        <f>Activity!$C92*Activity!$D92*Activity!J92</f>
        <v>0</v>
      </c>
      <c r="I93" s="551">
        <f>Activity!$C92*Activity!$D92*Activity!K92</f>
        <v>0</v>
      </c>
      <c r="J93" s="552">
        <f>Activity!$C92*Activity!$D92*Activity!L92</f>
        <v>0</v>
      </c>
      <c r="K93" s="551">
        <f>Activity!$C92*Activity!$D92*Activity!M92</f>
        <v>0</v>
      </c>
      <c r="L93" s="551">
        <f>Activity!$C92*Activity!$D92*Activity!N92</f>
        <v>0</v>
      </c>
      <c r="M93" s="549">
        <f>Activity!$C92*Activity!$D92*Activity!O92</f>
        <v>0</v>
      </c>
      <c r="N93" s="413">
        <v>0</v>
      </c>
      <c r="O93" s="551">
        <f>Activity!C92*Activity!D92</f>
        <v>0</v>
      </c>
      <c r="P93" s="558">
        <f>Activity!X92</f>
        <v>0</v>
      </c>
    </row>
    <row r="94" spans="2:16" ht="13.5" thickBot="1">
      <c r="B94" s="15">
        <f t="shared" si="2"/>
        <v>2080</v>
      </c>
      <c r="C94" s="553">
        <f>Activity!$C93*Activity!$D93*Activity!E93</f>
        <v>0</v>
      </c>
      <c r="D94" s="554">
        <f>Activity!$C93*Activity!$D93*Activity!F93</f>
        <v>0</v>
      </c>
      <c r="E94" s="554">
        <f>Activity!$C93*Activity!$D93*Activity!G93</f>
        <v>0</v>
      </c>
      <c r="F94" s="554">
        <f>Activity!$C93*Activity!$D93*Activity!H93</f>
        <v>0</v>
      </c>
      <c r="G94" s="554">
        <f>Activity!$C93*Activity!$D93*Activity!I93</f>
        <v>0</v>
      </c>
      <c r="H94" s="554">
        <f>Activity!$C93*Activity!$D93*Activity!J93</f>
        <v>0</v>
      </c>
      <c r="I94" s="554">
        <f>Activity!$C93*Activity!$D93*Activity!K93</f>
        <v>0</v>
      </c>
      <c r="J94" s="555">
        <f>Activity!$C93*Activity!$D93*Activity!L93</f>
        <v>0</v>
      </c>
      <c r="K94" s="554">
        <f>Activity!$C93*Activity!$D93*Activity!M93</f>
        <v>0</v>
      </c>
      <c r="L94" s="554">
        <f>Activity!$C93*Activity!$D93*Activity!N93</f>
        <v>0</v>
      </c>
      <c r="M94" s="554">
        <f>Activity!$C93*Activity!$D93*Activity!O93</f>
        <v>0</v>
      </c>
      <c r="N94" s="414">
        <v>0</v>
      </c>
      <c r="O94" s="554">
        <f>Activity!C93*Activity!D93</f>
        <v>0</v>
      </c>
      <c r="P94" s="559">
        <f>Activity!X93</f>
        <v>0</v>
      </c>
    </row>
  </sheetData>
  <customSheetViews>
    <customSheetView guid="{B400968E-E9A7-41C3-9739-36597C9C6BC6}" showGridLines="0" showRuler="0">
      <pane xSplit="2" ySplit="9" topLeftCell="C10" activePane="bottomRight" state="frozenSplit"/>
      <selection pane="bottomRight" activeCell="J7" sqref="J7"/>
      <pageMargins left="0.7" right="0.7" top="0.75" bottom="0.75" header="0.3" footer="0.3"/>
      <headerFooter alignWithMargins="0"/>
    </customSheetView>
  </customSheetViews>
  <mergeCells count="15">
    <mergeCell ref="I3:O3"/>
    <mergeCell ref="I2:O2"/>
    <mergeCell ref="J11:M11"/>
    <mergeCell ref="I11:I12"/>
    <mergeCell ref="E11:E12"/>
    <mergeCell ref="G11:G12"/>
    <mergeCell ref="I4:O4"/>
    <mergeCell ref="F11:F12"/>
    <mergeCell ref="H11:H12"/>
    <mergeCell ref="N11:N12"/>
    <mergeCell ref="O11:O12"/>
    <mergeCell ref="C10:P10"/>
    <mergeCell ref="P11:P12"/>
    <mergeCell ref="C11:C12"/>
    <mergeCell ref="D11:D12"/>
  </mergeCells>
  <phoneticPr fontId="16" type="noConversion"/>
  <dataValidations count="1">
    <dataValidation type="whole" allowBlank="1" showInputMessage="1" showErrorMessage="1" error="Please enter a year between 1900 and 2000" sqref="B14">
      <formula1>1900</formula1>
      <formula2>2000</formula2>
    </dataValidation>
  </dataValidations>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tabColor indexed="34"/>
  </sheetPr>
  <dimension ref="A2:G117"/>
  <sheetViews>
    <sheetView showGridLines="0" workbookViewId="0">
      <pane xSplit="2" ySplit="11" topLeftCell="C12" activePane="bottomRight" state="frozen"/>
      <selection activeCell="E19" sqref="E19"/>
      <selection pane="topRight" activeCell="E19" sqref="E19"/>
      <selection pane="bottomLeft" activeCell="E19" sqref="E19"/>
      <selection pane="bottomRight" activeCell="C13" sqref="C13"/>
    </sheetView>
  </sheetViews>
  <sheetFormatPr defaultColWidth="8.85546875" defaultRowHeight="12.75"/>
  <cols>
    <col min="1" max="1" width="3.42578125" style="307" customWidth="1"/>
    <col min="2" max="2" width="11.7109375" style="307" customWidth="1"/>
    <col min="3" max="3" width="12.7109375" style="307" customWidth="1"/>
    <col min="4" max="4" width="31.28515625" style="307" customWidth="1"/>
    <col min="5" max="5" width="10.42578125" style="309" customWidth="1"/>
    <col min="6" max="6" width="10.28515625" style="307" customWidth="1"/>
    <col min="7" max="7" width="38" style="307" customWidth="1"/>
    <col min="8" max="16384" width="8.85546875" style="307"/>
  </cols>
  <sheetData>
    <row r="2" spans="1:7" ht="15.75">
      <c r="C2" s="46" t="s">
        <v>197</v>
      </c>
      <c r="D2" s="46"/>
      <c r="E2" s="308"/>
    </row>
    <row r="4" spans="1:7">
      <c r="C4" s="307" t="s">
        <v>110</v>
      </c>
    </row>
    <row r="5" spans="1:7">
      <c r="C5" s="307" t="s">
        <v>111</v>
      </c>
    </row>
    <row r="6" spans="1:7" ht="13.5" thickBot="1"/>
    <row r="7" spans="1:7" ht="51.75" thickBot="1">
      <c r="A7" s="310"/>
      <c r="B7" s="311"/>
      <c r="C7" s="312" t="s">
        <v>108</v>
      </c>
      <c r="D7" s="313" t="s">
        <v>28</v>
      </c>
      <c r="E7" s="314" t="s">
        <v>203</v>
      </c>
      <c r="F7" s="315" t="s">
        <v>198</v>
      </c>
      <c r="G7" s="316" t="s">
        <v>199</v>
      </c>
    </row>
    <row r="8" spans="1:7" ht="13.5" thickBot="1">
      <c r="A8" s="317"/>
      <c r="B8" s="318"/>
      <c r="C8" s="319"/>
      <c r="D8" s="320"/>
      <c r="E8" s="321"/>
      <c r="F8" s="322"/>
      <c r="G8" s="323"/>
    </row>
    <row r="9" spans="1:7" ht="13.5" thickBot="1">
      <c r="A9" s="317"/>
      <c r="B9" s="324" t="s">
        <v>25</v>
      </c>
      <c r="C9" s="325">
        <v>0</v>
      </c>
      <c r="D9" s="326"/>
      <c r="E9" s="327"/>
      <c r="F9" s="328">
        <v>0</v>
      </c>
      <c r="G9" s="329"/>
    </row>
    <row r="10" spans="1:7">
      <c r="A10" s="317"/>
      <c r="B10" s="318"/>
      <c r="C10" s="319"/>
      <c r="D10" s="330"/>
      <c r="E10" s="331"/>
      <c r="F10" s="332"/>
      <c r="G10" s="333"/>
    </row>
    <row r="11" spans="1:7" ht="13.5" thickBot="1">
      <c r="A11" s="317"/>
      <c r="B11" s="55" t="s">
        <v>1</v>
      </c>
      <c r="C11" s="334" t="s">
        <v>15</v>
      </c>
      <c r="D11" s="335"/>
      <c r="E11" s="336"/>
      <c r="F11" s="337" t="s">
        <v>200</v>
      </c>
      <c r="G11" s="338"/>
    </row>
    <row r="12" spans="1:7">
      <c r="B12" s="339">
        <f>year</f>
        <v>2000</v>
      </c>
      <c r="C12" s="240">
        <v>0</v>
      </c>
      <c r="D12" s="44"/>
      <c r="E12" s="340">
        <f>IF(Results!L17&lt;=0,0,C12/Results!L17)</f>
        <v>0</v>
      </c>
      <c r="F12" s="341">
        <f t="shared" ref="F12:F43" si="0">ox</f>
        <v>0</v>
      </c>
      <c r="G12" s="342"/>
    </row>
    <row r="13" spans="1:7">
      <c r="B13" s="343">
        <f t="shared" ref="B13:B76" si="1">B12+1</f>
        <v>2001</v>
      </c>
      <c r="C13" s="241">
        <v>0</v>
      </c>
      <c r="D13" s="259"/>
      <c r="E13" s="340">
        <f>IF(Results!L18&lt;=0,0,C13/Results!L18)</f>
        <v>0</v>
      </c>
      <c r="F13" s="341">
        <f t="shared" si="0"/>
        <v>0</v>
      </c>
      <c r="G13" s="344"/>
    </row>
    <row r="14" spans="1:7">
      <c r="B14" s="343">
        <f t="shared" si="1"/>
        <v>2002</v>
      </c>
      <c r="C14" s="241">
        <v>0</v>
      </c>
      <c r="D14" s="259"/>
      <c r="E14" s="340">
        <f>IF(Results!L19&lt;=0,0,C14/Results!L19)</f>
        <v>0</v>
      </c>
      <c r="F14" s="341">
        <f t="shared" si="0"/>
        <v>0</v>
      </c>
      <c r="G14" s="344"/>
    </row>
    <row r="15" spans="1:7">
      <c r="B15" s="343">
        <f t="shared" si="1"/>
        <v>2003</v>
      </c>
      <c r="C15" s="241">
        <v>0</v>
      </c>
      <c r="D15" s="259"/>
      <c r="E15" s="340">
        <f>IF(Results!L20&lt;=0,0,C15/Results!L20)</f>
        <v>0</v>
      </c>
      <c r="F15" s="341">
        <f t="shared" si="0"/>
        <v>0</v>
      </c>
      <c r="G15" s="344"/>
    </row>
    <row r="16" spans="1:7">
      <c r="B16" s="343">
        <f t="shared" si="1"/>
        <v>2004</v>
      </c>
      <c r="C16" s="241">
        <v>0</v>
      </c>
      <c r="D16" s="259"/>
      <c r="E16" s="340">
        <f>IF(Results!L21&lt;=0,0,C16/Results!L21)</f>
        <v>0</v>
      </c>
      <c r="F16" s="341">
        <f t="shared" si="0"/>
        <v>0</v>
      </c>
      <c r="G16" s="344"/>
    </row>
    <row r="17" spans="2:7">
      <c r="B17" s="343">
        <f t="shared" si="1"/>
        <v>2005</v>
      </c>
      <c r="C17" s="241">
        <v>0</v>
      </c>
      <c r="D17" s="259"/>
      <c r="E17" s="340">
        <f>IF(Results!L22&lt;=0,0,C17/Results!L22)</f>
        <v>0</v>
      </c>
      <c r="F17" s="341">
        <f t="shared" si="0"/>
        <v>0</v>
      </c>
      <c r="G17" s="344"/>
    </row>
    <row r="18" spans="2:7">
      <c r="B18" s="343">
        <f t="shared" si="1"/>
        <v>2006</v>
      </c>
      <c r="C18" s="241">
        <v>0</v>
      </c>
      <c r="D18" s="259"/>
      <c r="E18" s="340">
        <f>IF(Results!L23&lt;=0,0,C18/Results!L23)</f>
        <v>0</v>
      </c>
      <c r="F18" s="341">
        <f t="shared" si="0"/>
        <v>0</v>
      </c>
      <c r="G18" s="344"/>
    </row>
    <row r="19" spans="2:7">
      <c r="B19" s="343">
        <f t="shared" si="1"/>
        <v>2007</v>
      </c>
      <c r="C19" s="241">
        <v>0</v>
      </c>
      <c r="D19" s="259"/>
      <c r="E19" s="340">
        <f>IF(Results!L24&lt;=0,0,C19/Results!L24)</f>
        <v>0</v>
      </c>
      <c r="F19" s="341">
        <f t="shared" si="0"/>
        <v>0</v>
      </c>
      <c r="G19" s="344"/>
    </row>
    <row r="20" spans="2:7">
      <c r="B20" s="343">
        <f t="shared" si="1"/>
        <v>2008</v>
      </c>
      <c r="C20" s="241">
        <v>0</v>
      </c>
      <c r="D20" s="259"/>
      <c r="E20" s="340">
        <f>IF(Results!L25&lt;=0,0,C20/Results!L25)</f>
        <v>0</v>
      </c>
      <c r="F20" s="341">
        <f t="shared" si="0"/>
        <v>0</v>
      </c>
      <c r="G20" s="344"/>
    </row>
    <row r="21" spans="2:7">
      <c r="B21" s="343">
        <f t="shared" si="1"/>
        <v>2009</v>
      </c>
      <c r="C21" s="241">
        <v>0</v>
      </c>
      <c r="D21" s="259"/>
      <c r="E21" s="340">
        <f>IF(Results!L26&lt;=0,0,C21/Results!L26)</f>
        <v>0</v>
      </c>
      <c r="F21" s="341">
        <f t="shared" si="0"/>
        <v>0</v>
      </c>
      <c r="G21" s="344"/>
    </row>
    <row r="22" spans="2:7">
      <c r="B22" s="343">
        <f t="shared" si="1"/>
        <v>2010</v>
      </c>
      <c r="C22" s="241">
        <v>0</v>
      </c>
      <c r="D22" s="259"/>
      <c r="E22" s="340">
        <f>IF(Results!L27&lt;=0,0,C22/Results!L27)</f>
        <v>0</v>
      </c>
      <c r="F22" s="341">
        <f t="shared" si="0"/>
        <v>0</v>
      </c>
      <c r="G22" s="344"/>
    </row>
    <row r="23" spans="2:7">
      <c r="B23" s="343">
        <f t="shared" si="1"/>
        <v>2011</v>
      </c>
      <c r="C23" s="241">
        <v>0</v>
      </c>
      <c r="D23" s="259"/>
      <c r="E23" s="340">
        <f>IF(Results!L28&lt;=0,0,C23/Results!L28)</f>
        <v>0</v>
      </c>
      <c r="F23" s="341">
        <f t="shared" si="0"/>
        <v>0</v>
      </c>
      <c r="G23" s="344"/>
    </row>
    <row r="24" spans="2:7">
      <c r="B24" s="343">
        <f t="shared" si="1"/>
        <v>2012</v>
      </c>
      <c r="C24" s="241">
        <v>0</v>
      </c>
      <c r="D24" s="259"/>
      <c r="E24" s="340">
        <f>IF(Results!L29&lt;=0,0,C24/Results!L29)</f>
        <v>0</v>
      </c>
      <c r="F24" s="341">
        <f t="shared" si="0"/>
        <v>0</v>
      </c>
      <c r="G24" s="344"/>
    </row>
    <row r="25" spans="2:7">
      <c r="B25" s="343">
        <f t="shared" si="1"/>
        <v>2013</v>
      </c>
      <c r="C25" s="241">
        <v>0</v>
      </c>
      <c r="D25" s="259"/>
      <c r="E25" s="340">
        <f>IF(Results!L30&lt;=0,0,C25/Results!L30)</f>
        <v>0</v>
      </c>
      <c r="F25" s="341">
        <f t="shared" si="0"/>
        <v>0</v>
      </c>
      <c r="G25" s="344"/>
    </row>
    <row r="26" spans="2:7">
      <c r="B26" s="343">
        <f t="shared" si="1"/>
        <v>2014</v>
      </c>
      <c r="C26" s="241">
        <v>0</v>
      </c>
      <c r="D26" s="259"/>
      <c r="E26" s="340">
        <f>IF(Results!L31&lt;=0,0,C26/Results!L31)</f>
        <v>0</v>
      </c>
      <c r="F26" s="341">
        <f t="shared" si="0"/>
        <v>0</v>
      </c>
      <c r="G26" s="344"/>
    </row>
    <row r="27" spans="2:7">
      <c r="B27" s="343">
        <f t="shared" si="1"/>
        <v>2015</v>
      </c>
      <c r="C27" s="241">
        <v>0</v>
      </c>
      <c r="D27" s="259"/>
      <c r="E27" s="340">
        <f>IF(Results!L32&lt;=0,0,C27/Results!L32)</f>
        <v>0</v>
      </c>
      <c r="F27" s="341">
        <f t="shared" si="0"/>
        <v>0</v>
      </c>
      <c r="G27" s="344"/>
    </row>
    <row r="28" spans="2:7">
      <c r="B28" s="343">
        <f t="shared" si="1"/>
        <v>2016</v>
      </c>
      <c r="C28" s="241">
        <v>0</v>
      </c>
      <c r="D28" s="259"/>
      <c r="E28" s="340">
        <f>IF(Results!L33&lt;=0,0,C28/Results!L33)</f>
        <v>0</v>
      </c>
      <c r="F28" s="341">
        <f t="shared" si="0"/>
        <v>0</v>
      </c>
      <c r="G28" s="344"/>
    </row>
    <row r="29" spans="2:7">
      <c r="B29" s="343">
        <f t="shared" si="1"/>
        <v>2017</v>
      </c>
      <c r="C29" s="241">
        <v>0</v>
      </c>
      <c r="D29" s="259"/>
      <c r="E29" s="340">
        <f>IF(Results!L34&lt;=0,0,C29/Results!L34)</f>
        <v>0</v>
      </c>
      <c r="F29" s="341">
        <f t="shared" si="0"/>
        <v>0</v>
      </c>
      <c r="G29" s="344"/>
    </row>
    <row r="30" spans="2:7">
      <c r="B30" s="343">
        <f t="shared" si="1"/>
        <v>2018</v>
      </c>
      <c r="C30" s="241">
        <v>0</v>
      </c>
      <c r="D30" s="259"/>
      <c r="E30" s="340">
        <f>IF(Results!L35&lt;=0,0,C30/Results!L35)</f>
        <v>0</v>
      </c>
      <c r="F30" s="341">
        <f t="shared" si="0"/>
        <v>0</v>
      </c>
      <c r="G30" s="344"/>
    </row>
    <row r="31" spans="2:7">
      <c r="B31" s="343">
        <f t="shared" si="1"/>
        <v>2019</v>
      </c>
      <c r="C31" s="241">
        <v>0</v>
      </c>
      <c r="D31" s="259"/>
      <c r="E31" s="340">
        <f>IF(Results!L36&lt;=0,0,C31/Results!L36)</f>
        <v>0</v>
      </c>
      <c r="F31" s="341">
        <f t="shared" si="0"/>
        <v>0</v>
      </c>
      <c r="G31" s="344"/>
    </row>
    <row r="32" spans="2:7">
      <c r="B32" s="343">
        <f t="shared" si="1"/>
        <v>2020</v>
      </c>
      <c r="C32" s="241">
        <v>0</v>
      </c>
      <c r="D32" s="259"/>
      <c r="E32" s="340">
        <f>IF(Results!L37&lt;=0,0,C32/Results!L37)</f>
        <v>0</v>
      </c>
      <c r="F32" s="341">
        <f t="shared" si="0"/>
        <v>0</v>
      </c>
      <c r="G32" s="344"/>
    </row>
    <row r="33" spans="2:7">
      <c r="B33" s="343">
        <f t="shared" si="1"/>
        <v>2021</v>
      </c>
      <c r="C33" s="241">
        <v>0</v>
      </c>
      <c r="D33" s="259"/>
      <c r="E33" s="340">
        <f>IF(Results!L38&lt;=0,0,C33/Results!L38)</f>
        <v>0</v>
      </c>
      <c r="F33" s="341">
        <f t="shared" si="0"/>
        <v>0</v>
      </c>
      <c r="G33" s="344"/>
    </row>
    <row r="34" spans="2:7">
      <c r="B34" s="343">
        <f t="shared" si="1"/>
        <v>2022</v>
      </c>
      <c r="C34" s="241">
        <v>0</v>
      </c>
      <c r="D34" s="259"/>
      <c r="E34" s="340">
        <f>IF(Results!L39&lt;=0,0,C34/Results!L39)</f>
        <v>0</v>
      </c>
      <c r="F34" s="341">
        <f t="shared" si="0"/>
        <v>0</v>
      </c>
      <c r="G34" s="344"/>
    </row>
    <row r="35" spans="2:7">
      <c r="B35" s="343">
        <f t="shared" si="1"/>
        <v>2023</v>
      </c>
      <c r="C35" s="241">
        <v>0</v>
      </c>
      <c r="D35" s="259"/>
      <c r="E35" s="340">
        <f>IF(Results!L40&lt;=0,0,C35/Results!L40)</f>
        <v>0</v>
      </c>
      <c r="F35" s="341">
        <f t="shared" si="0"/>
        <v>0</v>
      </c>
      <c r="G35" s="344"/>
    </row>
    <row r="36" spans="2:7">
      <c r="B36" s="343">
        <f t="shared" si="1"/>
        <v>2024</v>
      </c>
      <c r="C36" s="241">
        <v>0</v>
      </c>
      <c r="D36" s="259"/>
      <c r="E36" s="340">
        <f>IF(Results!L41&lt;=0,0,C36/Results!L41)</f>
        <v>0</v>
      </c>
      <c r="F36" s="341">
        <f t="shared" si="0"/>
        <v>0</v>
      </c>
      <c r="G36" s="344"/>
    </row>
    <row r="37" spans="2:7">
      <c r="B37" s="343">
        <f t="shared" si="1"/>
        <v>2025</v>
      </c>
      <c r="C37" s="241">
        <v>0</v>
      </c>
      <c r="D37" s="259"/>
      <c r="E37" s="340">
        <f>IF(Results!L42&lt;=0,0,C37/Results!L42)</f>
        <v>0</v>
      </c>
      <c r="F37" s="341">
        <f t="shared" si="0"/>
        <v>0</v>
      </c>
      <c r="G37" s="344"/>
    </row>
    <row r="38" spans="2:7">
      <c r="B38" s="343">
        <f t="shared" si="1"/>
        <v>2026</v>
      </c>
      <c r="C38" s="241">
        <v>0</v>
      </c>
      <c r="D38" s="259"/>
      <c r="E38" s="340">
        <f>IF(Results!L43&lt;=0,0,C38/Results!L43)</f>
        <v>0</v>
      </c>
      <c r="F38" s="341">
        <f t="shared" si="0"/>
        <v>0</v>
      </c>
      <c r="G38" s="344"/>
    </row>
    <row r="39" spans="2:7">
      <c r="B39" s="343">
        <f t="shared" si="1"/>
        <v>2027</v>
      </c>
      <c r="C39" s="241">
        <v>0</v>
      </c>
      <c r="D39" s="259"/>
      <c r="E39" s="340">
        <f>IF(Results!L44&lt;=0,0,C39/Results!L44)</f>
        <v>0</v>
      </c>
      <c r="F39" s="341">
        <f t="shared" si="0"/>
        <v>0</v>
      </c>
      <c r="G39" s="344"/>
    </row>
    <row r="40" spans="2:7">
      <c r="B40" s="343">
        <f t="shared" si="1"/>
        <v>2028</v>
      </c>
      <c r="C40" s="241">
        <v>0</v>
      </c>
      <c r="D40" s="259"/>
      <c r="E40" s="340">
        <f>IF(Results!L45&lt;=0,0,C40/Results!L45)</f>
        <v>0</v>
      </c>
      <c r="F40" s="341">
        <f t="shared" si="0"/>
        <v>0</v>
      </c>
      <c r="G40" s="344"/>
    </row>
    <row r="41" spans="2:7">
      <c r="B41" s="343">
        <f t="shared" si="1"/>
        <v>2029</v>
      </c>
      <c r="C41" s="241">
        <v>0</v>
      </c>
      <c r="D41" s="259"/>
      <c r="E41" s="340">
        <f>IF(Results!L46&lt;=0,0,C41/Results!L46)</f>
        <v>0</v>
      </c>
      <c r="F41" s="341">
        <f t="shared" si="0"/>
        <v>0</v>
      </c>
      <c r="G41" s="344"/>
    </row>
    <row r="42" spans="2:7">
      <c r="B42" s="343">
        <f t="shared" si="1"/>
        <v>2030</v>
      </c>
      <c r="C42" s="241">
        <v>0</v>
      </c>
      <c r="D42" s="259"/>
      <c r="E42" s="340">
        <f>IF(Results!L47&lt;=0,0,C42/Results!L47)</f>
        <v>0</v>
      </c>
      <c r="F42" s="341">
        <f t="shared" si="0"/>
        <v>0</v>
      </c>
      <c r="G42" s="344"/>
    </row>
    <row r="43" spans="2:7">
      <c r="B43" s="343">
        <f t="shared" si="1"/>
        <v>2031</v>
      </c>
      <c r="C43" s="241">
        <v>0</v>
      </c>
      <c r="D43" s="259"/>
      <c r="E43" s="340">
        <f>IF(Results!L48&lt;=0,0,C43/Results!L48)</f>
        <v>0</v>
      </c>
      <c r="F43" s="341">
        <f t="shared" si="0"/>
        <v>0</v>
      </c>
      <c r="G43" s="344"/>
    </row>
    <row r="44" spans="2:7">
      <c r="B44" s="343">
        <f t="shared" si="1"/>
        <v>2032</v>
      </c>
      <c r="C44" s="241">
        <v>0</v>
      </c>
      <c r="D44" s="259"/>
      <c r="E44" s="340">
        <f>IF(Results!L49&lt;=0,0,C44/Results!L49)</f>
        <v>0</v>
      </c>
      <c r="F44" s="341">
        <f t="shared" ref="F44:F75" si="2">ox</f>
        <v>0</v>
      </c>
      <c r="G44" s="344"/>
    </row>
    <row r="45" spans="2:7">
      <c r="B45" s="343">
        <f t="shared" si="1"/>
        <v>2033</v>
      </c>
      <c r="C45" s="241">
        <v>0</v>
      </c>
      <c r="D45" s="259"/>
      <c r="E45" s="340">
        <f>IF(Results!L50&lt;=0,0,C45/Results!L50)</f>
        <v>0</v>
      </c>
      <c r="F45" s="341">
        <f t="shared" si="2"/>
        <v>0</v>
      </c>
      <c r="G45" s="344"/>
    </row>
    <row r="46" spans="2:7">
      <c r="B46" s="343">
        <f t="shared" si="1"/>
        <v>2034</v>
      </c>
      <c r="C46" s="241">
        <v>0</v>
      </c>
      <c r="D46" s="259"/>
      <c r="E46" s="340">
        <f>IF(Results!L51&lt;=0,0,C46/Results!L51)</f>
        <v>0</v>
      </c>
      <c r="F46" s="341">
        <f t="shared" si="2"/>
        <v>0</v>
      </c>
      <c r="G46" s="344"/>
    </row>
    <row r="47" spans="2:7">
      <c r="B47" s="343">
        <f t="shared" si="1"/>
        <v>2035</v>
      </c>
      <c r="C47" s="241">
        <v>0</v>
      </c>
      <c r="D47" s="259"/>
      <c r="E47" s="340">
        <f>IF(Results!L52&lt;=0,0,C47/Results!L52)</f>
        <v>0</v>
      </c>
      <c r="F47" s="341">
        <f t="shared" si="2"/>
        <v>0</v>
      </c>
      <c r="G47" s="344"/>
    </row>
    <row r="48" spans="2:7">
      <c r="B48" s="343">
        <f t="shared" si="1"/>
        <v>2036</v>
      </c>
      <c r="C48" s="241">
        <v>0</v>
      </c>
      <c r="D48" s="259"/>
      <c r="E48" s="340">
        <f>IF(Results!L53&lt;=0,0,C48/Results!L53)</f>
        <v>0</v>
      </c>
      <c r="F48" s="341">
        <f t="shared" si="2"/>
        <v>0</v>
      </c>
      <c r="G48" s="344"/>
    </row>
    <row r="49" spans="2:7">
      <c r="B49" s="343">
        <f t="shared" si="1"/>
        <v>2037</v>
      </c>
      <c r="C49" s="241">
        <v>0</v>
      </c>
      <c r="D49" s="259"/>
      <c r="E49" s="340">
        <f>IF(Results!L54&lt;=0,0,C49/Results!L54)</f>
        <v>0</v>
      </c>
      <c r="F49" s="341">
        <f t="shared" si="2"/>
        <v>0</v>
      </c>
      <c r="G49" s="344"/>
    </row>
    <row r="50" spans="2:7">
      <c r="B50" s="343">
        <f t="shared" si="1"/>
        <v>2038</v>
      </c>
      <c r="C50" s="241">
        <v>0</v>
      </c>
      <c r="D50" s="259"/>
      <c r="E50" s="340">
        <f>IF(Results!L55&lt;=0,0,C50/Results!L55)</f>
        <v>0</v>
      </c>
      <c r="F50" s="341">
        <f t="shared" si="2"/>
        <v>0</v>
      </c>
      <c r="G50" s="344"/>
    </row>
    <row r="51" spans="2:7">
      <c r="B51" s="343">
        <f t="shared" si="1"/>
        <v>2039</v>
      </c>
      <c r="C51" s="241">
        <v>0</v>
      </c>
      <c r="D51" s="259"/>
      <c r="E51" s="340">
        <f>IF(Results!L56&lt;=0,0,C51/Results!L56)</f>
        <v>0</v>
      </c>
      <c r="F51" s="341">
        <f t="shared" si="2"/>
        <v>0</v>
      </c>
      <c r="G51" s="344"/>
    </row>
    <row r="52" spans="2:7">
      <c r="B52" s="343">
        <f t="shared" si="1"/>
        <v>2040</v>
      </c>
      <c r="C52" s="241">
        <v>0</v>
      </c>
      <c r="D52" s="259"/>
      <c r="E52" s="340">
        <f>IF(Results!L57&lt;=0,0,C52/Results!L57)</f>
        <v>0</v>
      </c>
      <c r="F52" s="341">
        <f t="shared" si="2"/>
        <v>0</v>
      </c>
      <c r="G52" s="344"/>
    </row>
    <row r="53" spans="2:7">
      <c r="B53" s="343">
        <f t="shared" si="1"/>
        <v>2041</v>
      </c>
      <c r="C53" s="241">
        <v>0</v>
      </c>
      <c r="D53" s="259"/>
      <c r="E53" s="340">
        <f>IF(Results!L58&lt;=0,0,C53/Results!L58)</f>
        <v>0</v>
      </c>
      <c r="F53" s="341">
        <f t="shared" si="2"/>
        <v>0</v>
      </c>
      <c r="G53" s="344"/>
    </row>
    <row r="54" spans="2:7">
      <c r="B54" s="343">
        <f t="shared" si="1"/>
        <v>2042</v>
      </c>
      <c r="C54" s="241">
        <v>0</v>
      </c>
      <c r="D54" s="259"/>
      <c r="E54" s="340">
        <f>IF(Results!L59&lt;=0,0,C54/Results!L59)</f>
        <v>0</v>
      </c>
      <c r="F54" s="341">
        <f t="shared" si="2"/>
        <v>0</v>
      </c>
      <c r="G54" s="344"/>
    </row>
    <row r="55" spans="2:7">
      <c r="B55" s="343">
        <f t="shared" si="1"/>
        <v>2043</v>
      </c>
      <c r="C55" s="241">
        <v>0</v>
      </c>
      <c r="D55" s="259"/>
      <c r="E55" s="340">
        <f>IF(Results!L60&lt;=0,0,C55/Results!L60)</f>
        <v>0</v>
      </c>
      <c r="F55" s="341">
        <f t="shared" si="2"/>
        <v>0</v>
      </c>
      <c r="G55" s="344"/>
    </row>
    <row r="56" spans="2:7">
      <c r="B56" s="343">
        <f t="shared" si="1"/>
        <v>2044</v>
      </c>
      <c r="C56" s="241">
        <v>0</v>
      </c>
      <c r="D56" s="259"/>
      <c r="E56" s="340">
        <f>IF(Results!L61&lt;=0,0,C56/Results!L61)</f>
        <v>0</v>
      </c>
      <c r="F56" s="341">
        <f t="shared" si="2"/>
        <v>0</v>
      </c>
      <c r="G56" s="344"/>
    </row>
    <row r="57" spans="2:7">
      <c r="B57" s="343">
        <f t="shared" si="1"/>
        <v>2045</v>
      </c>
      <c r="C57" s="241">
        <v>0</v>
      </c>
      <c r="D57" s="259"/>
      <c r="E57" s="340">
        <f>IF(Results!L62&lt;=0,0,C57/Results!L62)</f>
        <v>0</v>
      </c>
      <c r="F57" s="341">
        <f>ox</f>
        <v>0</v>
      </c>
      <c r="G57" s="344"/>
    </row>
    <row r="58" spans="2:7">
      <c r="B58" s="343">
        <f t="shared" si="1"/>
        <v>2046</v>
      </c>
      <c r="C58" s="241">
        <v>0</v>
      </c>
      <c r="D58" s="259"/>
      <c r="E58" s="340">
        <f>IF(Results!L63&lt;=0,0,C58/Results!L63)</f>
        <v>0</v>
      </c>
      <c r="F58" s="341">
        <f t="shared" si="2"/>
        <v>0</v>
      </c>
      <c r="G58" s="344"/>
    </row>
    <row r="59" spans="2:7">
      <c r="B59" s="343">
        <f t="shared" si="1"/>
        <v>2047</v>
      </c>
      <c r="C59" s="241">
        <v>0</v>
      </c>
      <c r="D59" s="259"/>
      <c r="E59" s="340">
        <f>IF(Results!L64&lt;=0,0,C59/Results!L64)</f>
        <v>0</v>
      </c>
      <c r="F59" s="341">
        <f t="shared" si="2"/>
        <v>0</v>
      </c>
      <c r="G59" s="344"/>
    </row>
    <row r="60" spans="2:7">
      <c r="B60" s="343">
        <f t="shared" si="1"/>
        <v>2048</v>
      </c>
      <c r="C60" s="241">
        <v>0</v>
      </c>
      <c r="D60" s="259"/>
      <c r="E60" s="340">
        <f>IF(Results!L65&lt;=0,0,C60/Results!L65)</f>
        <v>0</v>
      </c>
      <c r="F60" s="341">
        <f t="shared" si="2"/>
        <v>0</v>
      </c>
      <c r="G60" s="344"/>
    </row>
    <row r="61" spans="2:7">
      <c r="B61" s="343">
        <f t="shared" si="1"/>
        <v>2049</v>
      </c>
      <c r="C61" s="241">
        <v>0</v>
      </c>
      <c r="D61" s="259"/>
      <c r="E61" s="340">
        <f>IF(Results!L66&lt;=0,0,C61/Results!L66)</f>
        <v>0</v>
      </c>
      <c r="F61" s="341">
        <f>ox</f>
        <v>0</v>
      </c>
      <c r="G61" s="344"/>
    </row>
    <row r="62" spans="2:7">
      <c r="B62" s="343">
        <f t="shared" si="1"/>
        <v>2050</v>
      </c>
      <c r="C62" s="241">
        <v>0</v>
      </c>
      <c r="D62" s="259"/>
      <c r="E62" s="340">
        <f>IF(Results!L67&lt;=0,0,C62/Results!L67)</f>
        <v>0</v>
      </c>
      <c r="F62" s="341">
        <f t="shared" si="2"/>
        <v>0</v>
      </c>
      <c r="G62" s="344"/>
    </row>
    <row r="63" spans="2:7">
      <c r="B63" s="343">
        <f t="shared" si="1"/>
        <v>2051</v>
      </c>
      <c r="C63" s="241">
        <v>0</v>
      </c>
      <c r="D63" s="259"/>
      <c r="E63" s="340">
        <f>IF(Results!L68&lt;=0,0,C63/Results!L68)</f>
        <v>0</v>
      </c>
      <c r="F63" s="341">
        <f t="shared" si="2"/>
        <v>0</v>
      </c>
      <c r="G63" s="344"/>
    </row>
    <row r="64" spans="2:7">
      <c r="B64" s="343">
        <f t="shared" si="1"/>
        <v>2052</v>
      </c>
      <c r="C64" s="241">
        <v>0</v>
      </c>
      <c r="D64" s="259"/>
      <c r="E64" s="340">
        <f>IF(Results!L69&lt;=0,0,C64/Results!L69)</f>
        <v>0</v>
      </c>
      <c r="F64" s="341">
        <f t="shared" si="2"/>
        <v>0</v>
      </c>
      <c r="G64" s="344"/>
    </row>
    <row r="65" spans="2:7">
      <c r="B65" s="343">
        <f t="shared" si="1"/>
        <v>2053</v>
      </c>
      <c r="C65" s="241">
        <v>0</v>
      </c>
      <c r="D65" s="259"/>
      <c r="E65" s="340">
        <f>IF(Results!L70&lt;=0,0,C65/Results!L70)</f>
        <v>0</v>
      </c>
      <c r="F65" s="341">
        <f t="shared" si="2"/>
        <v>0</v>
      </c>
      <c r="G65" s="344"/>
    </row>
    <row r="66" spans="2:7">
      <c r="B66" s="343">
        <f t="shared" si="1"/>
        <v>2054</v>
      </c>
      <c r="C66" s="241">
        <v>0</v>
      </c>
      <c r="D66" s="259"/>
      <c r="E66" s="340">
        <f>IF(Results!L71&lt;=0,0,C66/Results!L71)</f>
        <v>0</v>
      </c>
      <c r="F66" s="341">
        <f t="shared" si="2"/>
        <v>0</v>
      </c>
      <c r="G66" s="344"/>
    </row>
    <row r="67" spans="2:7">
      <c r="B67" s="343">
        <f t="shared" si="1"/>
        <v>2055</v>
      </c>
      <c r="C67" s="241">
        <v>0</v>
      </c>
      <c r="D67" s="259"/>
      <c r="E67" s="340">
        <f>IF(Results!L72&lt;=0,0,C67/Results!L72)</f>
        <v>0</v>
      </c>
      <c r="F67" s="341">
        <f t="shared" si="2"/>
        <v>0</v>
      </c>
      <c r="G67" s="344"/>
    </row>
    <row r="68" spans="2:7">
      <c r="B68" s="343">
        <f t="shared" si="1"/>
        <v>2056</v>
      </c>
      <c r="C68" s="241">
        <v>0</v>
      </c>
      <c r="D68" s="259"/>
      <c r="E68" s="340">
        <f>IF(Results!L73&lt;=0,0,C68/Results!L73)</f>
        <v>0</v>
      </c>
      <c r="F68" s="341">
        <f t="shared" si="2"/>
        <v>0</v>
      </c>
      <c r="G68" s="344"/>
    </row>
    <row r="69" spans="2:7">
      <c r="B69" s="343">
        <f t="shared" si="1"/>
        <v>2057</v>
      </c>
      <c r="C69" s="241">
        <v>0</v>
      </c>
      <c r="D69" s="259"/>
      <c r="E69" s="340">
        <f>IF(Results!L74&lt;=0,0,C69/Results!L74)</f>
        <v>0</v>
      </c>
      <c r="F69" s="341">
        <f t="shared" si="2"/>
        <v>0</v>
      </c>
      <c r="G69" s="344"/>
    </row>
    <row r="70" spans="2:7">
      <c r="B70" s="343">
        <f t="shared" si="1"/>
        <v>2058</v>
      </c>
      <c r="C70" s="241">
        <v>0</v>
      </c>
      <c r="D70" s="259"/>
      <c r="E70" s="340">
        <f>IF(Results!L75&lt;=0,0,C70/Results!L75)</f>
        <v>0</v>
      </c>
      <c r="F70" s="341">
        <f t="shared" si="2"/>
        <v>0</v>
      </c>
      <c r="G70" s="344"/>
    </row>
    <row r="71" spans="2:7">
      <c r="B71" s="343">
        <f t="shared" si="1"/>
        <v>2059</v>
      </c>
      <c r="C71" s="241">
        <v>0</v>
      </c>
      <c r="D71" s="259"/>
      <c r="E71" s="340">
        <f>IF(Results!L76&lt;=0,0,C71/Results!L76)</f>
        <v>0</v>
      </c>
      <c r="F71" s="341">
        <f t="shared" si="2"/>
        <v>0</v>
      </c>
      <c r="G71" s="344"/>
    </row>
    <row r="72" spans="2:7">
      <c r="B72" s="343">
        <f t="shared" si="1"/>
        <v>2060</v>
      </c>
      <c r="C72" s="241">
        <v>0</v>
      </c>
      <c r="D72" s="259"/>
      <c r="E72" s="340">
        <f>IF(Results!L77&lt;=0,0,C72/Results!L77)</f>
        <v>0</v>
      </c>
      <c r="F72" s="341">
        <f t="shared" si="2"/>
        <v>0</v>
      </c>
      <c r="G72" s="344"/>
    </row>
    <row r="73" spans="2:7">
      <c r="B73" s="343">
        <f t="shared" si="1"/>
        <v>2061</v>
      </c>
      <c r="C73" s="241">
        <v>0</v>
      </c>
      <c r="D73" s="259"/>
      <c r="E73" s="340">
        <f>IF(Results!L78&lt;=0,0,C73/Results!L78)</f>
        <v>0</v>
      </c>
      <c r="F73" s="341">
        <f t="shared" si="2"/>
        <v>0</v>
      </c>
      <c r="G73" s="344"/>
    </row>
    <row r="74" spans="2:7">
      <c r="B74" s="343">
        <f t="shared" si="1"/>
        <v>2062</v>
      </c>
      <c r="C74" s="241">
        <v>0</v>
      </c>
      <c r="D74" s="259"/>
      <c r="E74" s="340">
        <f>IF(Results!L79&lt;=0,0,C74/Results!L79)</f>
        <v>0</v>
      </c>
      <c r="F74" s="341">
        <f t="shared" si="2"/>
        <v>0</v>
      </c>
      <c r="G74" s="344"/>
    </row>
    <row r="75" spans="2:7">
      <c r="B75" s="343">
        <f t="shared" si="1"/>
        <v>2063</v>
      </c>
      <c r="C75" s="241">
        <v>0</v>
      </c>
      <c r="D75" s="259"/>
      <c r="E75" s="340">
        <f>IF(Results!L80&lt;=0,0,C75/Results!L80)</f>
        <v>0</v>
      </c>
      <c r="F75" s="341">
        <f t="shared" si="2"/>
        <v>0</v>
      </c>
      <c r="G75" s="344"/>
    </row>
    <row r="76" spans="2:7">
      <c r="B76" s="343">
        <f t="shared" si="1"/>
        <v>2064</v>
      </c>
      <c r="C76" s="241">
        <v>0</v>
      </c>
      <c r="D76" s="259"/>
      <c r="E76" s="340">
        <f>IF(Results!L81&lt;=0,0,C76/Results!L81)</f>
        <v>0</v>
      </c>
      <c r="F76" s="341">
        <f t="shared" ref="F76:F92" si="3">ox</f>
        <v>0</v>
      </c>
      <c r="G76" s="344"/>
    </row>
    <row r="77" spans="2:7">
      <c r="B77" s="343">
        <f t="shared" ref="B77:B92" si="4">B76+1</f>
        <v>2065</v>
      </c>
      <c r="C77" s="241">
        <v>0</v>
      </c>
      <c r="D77" s="259"/>
      <c r="E77" s="340">
        <f>IF(Results!L82&lt;=0,0,C77/Results!L82)</f>
        <v>0</v>
      </c>
      <c r="F77" s="341">
        <f t="shared" si="3"/>
        <v>0</v>
      </c>
      <c r="G77" s="344"/>
    </row>
    <row r="78" spans="2:7">
      <c r="B78" s="343">
        <f t="shared" si="4"/>
        <v>2066</v>
      </c>
      <c r="C78" s="241">
        <v>0</v>
      </c>
      <c r="D78" s="259"/>
      <c r="E78" s="340">
        <f>IF(Results!L83&lt;=0,0,C78/Results!L83)</f>
        <v>0</v>
      </c>
      <c r="F78" s="341">
        <f t="shared" si="3"/>
        <v>0</v>
      </c>
      <c r="G78" s="344"/>
    </row>
    <row r="79" spans="2:7">
      <c r="B79" s="343">
        <f t="shared" si="4"/>
        <v>2067</v>
      </c>
      <c r="C79" s="241">
        <v>0</v>
      </c>
      <c r="D79" s="259"/>
      <c r="E79" s="340">
        <f>IF(Results!L84&lt;=0,0,C79/Results!L84)</f>
        <v>0</v>
      </c>
      <c r="F79" s="341">
        <f t="shared" si="3"/>
        <v>0</v>
      </c>
      <c r="G79" s="344"/>
    </row>
    <row r="80" spans="2:7">
      <c r="B80" s="343">
        <f t="shared" si="4"/>
        <v>2068</v>
      </c>
      <c r="C80" s="241">
        <v>0</v>
      </c>
      <c r="D80" s="259"/>
      <c r="E80" s="340">
        <f>IF(Results!L85&lt;=0,0,C80/Results!L85)</f>
        <v>0</v>
      </c>
      <c r="F80" s="341">
        <f t="shared" si="3"/>
        <v>0</v>
      </c>
      <c r="G80" s="344"/>
    </row>
    <row r="81" spans="2:7">
      <c r="B81" s="343">
        <f t="shared" si="4"/>
        <v>2069</v>
      </c>
      <c r="C81" s="241">
        <v>0</v>
      </c>
      <c r="D81" s="259"/>
      <c r="E81" s="340">
        <f>IF(Results!L86&lt;=0,0,C81/Results!L86)</f>
        <v>0</v>
      </c>
      <c r="F81" s="341">
        <f t="shared" si="3"/>
        <v>0</v>
      </c>
      <c r="G81" s="344"/>
    </row>
    <row r="82" spans="2:7">
      <c r="B82" s="343">
        <f t="shared" si="4"/>
        <v>2070</v>
      </c>
      <c r="C82" s="241">
        <v>0</v>
      </c>
      <c r="D82" s="259"/>
      <c r="E82" s="340">
        <f>IF(Results!L87&lt;=0,0,C82/Results!L87)</f>
        <v>0</v>
      </c>
      <c r="F82" s="341">
        <f t="shared" si="3"/>
        <v>0</v>
      </c>
      <c r="G82" s="344"/>
    </row>
    <row r="83" spans="2:7">
      <c r="B83" s="343">
        <f t="shared" si="4"/>
        <v>2071</v>
      </c>
      <c r="C83" s="241">
        <v>0</v>
      </c>
      <c r="D83" s="259"/>
      <c r="E83" s="340">
        <f>IF(Results!L88&lt;=0,0,C83/Results!L88)</f>
        <v>0</v>
      </c>
      <c r="F83" s="341">
        <f t="shared" si="3"/>
        <v>0</v>
      </c>
      <c r="G83" s="344"/>
    </row>
    <row r="84" spans="2:7">
      <c r="B84" s="343">
        <f t="shared" si="4"/>
        <v>2072</v>
      </c>
      <c r="C84" s="241">
        <v>0</v>
      </c>
      <c r="D84" s="259"/>
      <c r="E84" s="340">
        <f>IF(Results!L89&lt;=0,0,C84/Results!L89)</f>
        <v>0</v>
      </c>
      <c r="F84" s="341">
        <f t="shared" si="3"/>
        <v>0</v>
      </c>
      <c r="G84" s="344"/>
    </row>
    <row r="85" spans="2:7">
      <c r="B85" s="343">
        <f t="shared" si="4"/>
        <v>2073</v>
      </c>
      <c r="C85" s="241">
        <v>0</v>
      </c>
      <c r="D85" s="259"/>
      <c r="E85" s="340">
        <f>IF(Results!L90&lt;=0,0,C85/Results!L90)</f>
        <v>0</v>
      </c>
      <c r="F85" s="341">
        <f t="shared" si="3"/>
        <v>0</v>
      </c>
      <c r="G85" s="344"/>
    </row>
    <row r="86" spans="2:7">
      <c r="B86" s="343">
        <f t="shared" si="4"/>
        <v>2074</v>
      </c>
      <c r="C86" s="241">
        <v>0</v>
      </c>
      <c r="D86" s="259"/>
      <c r="E86" s="340">
        <f>IF(Results!L91&lt;=0,0,C86/Results!L91)</f>
        <v>0</v>
      </c>
      <c r="F86" s="341">
        <f t="shared" si="3"/>
        <v>0</v>
      </c>
      <c r="G86" s="344"/>
    </row>
    <row r="87" spans="2:7">
      <c r="B87" s="343">
        <f t="shared" si="4"/>
        <v>2075</v>
      </c>
      <c r="C87" s="241">
        <v>0</v>
      </c>
      <c r="D87" s="259"/>
      <c r="E87" s="340">
        <f>IF(Results!L92&lt;=0,0,C87/Results!L92)</f>
        <v>0</v>
      </c>
      <c r="F87" s="341">
        <f t="shared" si="3"/>
        <v>0</v>
      </c>
      <c r="G87" s="344"/>
    </row>
    <row r="88" spans="2:7">
      <c r="B88" s="343">
        <f t="shared" si="4"/>
        <v>2076</v>
      </c>
      <c r="C88" s="241">
        <v>0</v>
      </c>
      <c r="D88" s="259"/>
      <c r="E88" s="340">
        <f>IF(Results!L93&lt;=0,0,C88/Results!L93)</f>
        <v>0</v>
      </c>
      <c r="F88" s="341">
        <f t="shared" si="3"/>
        <v>0</v>
      </c>
      <c r="G88" s="344"/>
    </row>
    <row r="89" spans="2:7">
      <c r="B89" s="343">
        <f t="shared" si="4"/>
        <v>2077</v>
      </c>
      <c r="C89" s="241">
        <v>0</v>
      </c>
      <c r="D89" s="259"/>
      <c r="E89" s="340">
        <f>IF(Results!L94&lt;=0,0,C89/Results!L94)</f>
        <v>0</v>
      </c>
      <c r="F89" s="341">
        <f t="shared" si="3"/>
        <v>0</v>
      </c>
      <c r="G89" s="344"/>
    </row>
    <row r="90" spans="2:7">
      <c r="B90" s="343">
        <f t="shared" si="4"/>
        <v>2078</v>
      </c>
      <c r="C90" s="241">
        <v>0</v>
      </c>
      <c r="D90" s="259"/>
      <c r="E90" s="340">
        <f>IF(Results!L95&lt;=0,0,C90/Results!L95)</f>
        <v>0</v>
      </c>
      <c r="F90" s="341">
        <f t="shared" si="3"/>
        <v>0</v>
      </c>
      <c r="G90" s="344"/>
    </row>
    <row r="91" spans="2:7">
      <c r="B91" s="343">
        <f t="shared" si="4"/>
        <v>2079</v>
      </c>
      <c r="C91" s="241">
        <v>0</v>
      </c>
      <c r="D91" s="259"/>
      <c r="E91" s="340">
        <f>IF(Results!L96&lt;=0,0,C91/Results!L96)</f>
        <v>0</v>
      </c>
      <c r="F91" s="341">
        <f t="shared" si="3"/>
        <v>0</v>
      </c>
      <c r="G91" s="344"/>
    </row>
    <row r="92" spans="2:7" ht="13.5" thickBot="1">
      <c r="B92" s="345">
        <f t="shared" si="4"/>
        <v>2080</v>
      </c>
      <c r="C92" s="286">
        <v>0</v>
      </c>
      <c r="D92" s="260"/>
      <c r="E92" s="346">
        <f>IF(Results!L97&lt;=0,0,C92/Results!L97)</f>
        <v>0</v>
      </c>
      <c r="F92" s="347">
        <f t="shared" si="3"/>
        <v>0</v>
      </c>
      <c r="G92" s="348"/>
    </row>
    <row r="93" spans="2:7">
      <c r="F93" s="47"/>
    </row>
    <row r="94" spans="2:7">
      <c r="F94" s="47"/>
    </row>
    <row r="95" spans="2:7">
      <c r="F95" s="47"/>
    </row>
    <row r="96" spans="2:7">
      <c r="F96" s="47"/>
    </row>
    <row r="97" spans="6:6">
      <c r="F97" s="47"/>
    </row>
    <row r="98" spans="6:6">
      <c r="F98" s="47"/>
    </row>
    <row r="99" spans="6:6">
      <c r="F99" s="47"/>
    </row>
    <row r="100" spans="6:6">
      <c r="F100" s="47"/>
    </row>
    <row r="101" spans="6:6">
      <c r="F101" s="47"/>
    </row>
    <row r="102" spans="6:6">
      <c r="F102" s="47"/>
    </row>
    <row r="103" spans="6:6">
      <c r="F103" s="47"/>
    </row>
    <row r="104" spans="6:6">
      <c r="F104" s="47"/>
    </row>
    <row r="105" spans="6:6">
      <c r="F105" s="47"/>
    </row>
    <row r="106" spans="6:6">
      <c r="F106" s="47"/>
    </row>
    <row r="107" spans="6:6">
      <c r="F107" s="47"/>
    </row>
    <row r="108" spans="6:6">
      <c r="F108" s="47"/>
    </row>
    <row r="109" spans="6:6">
      <c r="F109" s="47"/>
    </row>
    <row r="110" spans="6:6">
      <c r="F110" s="47"/>
    </row>
    <row r="111" spans="6:6">
      <c r="F111" s="47"/>
    </row>
    <row r="112" spans="6:6">
      <c r="F112" s="47"/>
    </row>
    <row r="113" spans="6:6">
      <c r="F113" s="47"/>
    </row>
    <row r="114" spans="6:6">
      <c r="F114" s="47"/>
    </row>
    <row r="115" spans="6:6">
      <c r="F115" s="47"/>
    </row>
    <row r="116" spans="6:6">
      <c r="F116" s="47"/>
    </row>
    <row r="117" spans="6:6">
      <c r="F117" s="47"/>
    </row>
  </sheetData>
  <sheetProtection password="CF65" sheet="1" objects="1" scenarios="1"/>
  <phoneticPr fontId="16" type="noConversion"/>
  <pageMargins left="0.75" right="0.75" top="1" bottom="1" header="0.5" footer="0.5"/>
  <headerFooter alignWithMargins="0"/>
  <legacy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tabColor indexed="33"/>
  </sheetPr>
  <dimension ref="A1:AH97"/>
  <sheetViews>
    <sheetView topLeftCell="A13" zoomScale="85" zoomScaleNormal="85" workbookViewId="0">
      <selection activeCell="B28" sqref="B28"/>
    </sheetView>
  </sheetViews>
  <sheetFormatPr defaultColWidth="8.85546875" defaultRowHeight="12.75"/>
  <cols>
    <col min="1" max="1" width="8.85546875" style="641"/>
    <col min="2" max="2" width="7" style="637" customWidth="1"/>
    <col min="3" max="3" width="8.85546875" style="637"/>
    <col min="4" max="4" width="10.85546875" style="637" customWidth="1"/>
    <col min="5" max="10" width="8.85546875" style="637"/>
    <col min="11" max="11" width="10.42578125" style="637" customWidth="1"/>
    <col min="12" max="12" width="8.85546875" style="637"/>
    <col min="13" max="13" width="9.42578125" style="637" bestFit="1" customWidth="1"/>
    <col min="14" max="14" width="3" style="637" customWidth="1"/>
    <col min="15" max="15" width="14.85546875" style="638" customWidth="1"/>
    <col min="16" max="16" width="8.28515625" style="637" customWidth="1"/>
    <col min="17" max="17" width="2" style="640" customWidth="1"/>
    <col min="18" max="20" width="8.85546875" style="641"/>
    <col min="21" max="21" width="10.7109375" style="641" customWidth="1"/>
    <col min="22" max="27" width="8.85546875" style="641"/>
    <col min="28" max="28" width="8.85546875" style="637"/>
    <col min="29" max="29" width="8.85546875" style="641"/>
    <col min="30" max="30" width="10.7109375" style="641" customWidth="1"/>
    <col min="31" max="31" width="2.7109375" style="641" customWidth="1"/>
    <col min="32" max="32" width="15.42578125" style="641" customWidth="1"/>
    <col min="33" max="16384" width="8.85546875" style="641"/>
  </cols>
  <sheetData>
    <row r="1" spans="1:32">
      <c r="A1" s="636"/>
      <c r="P1" s="639"/>
    </row>
    <row r="2" spans="1:32" ht="15.75">
      <c r="A2" s="636"/>
      <c r="B2" s="642" t="s">
        <v>94</v>
      </c>
      <c r="D2" s="642"/>
      <c r="E2" s="642"/>
    </row>
    <row r="3" spans="1:32" ht="15.75">
      <c r="A3" s="636"/>
      <c r="B3" s="642"/>
      <c r="D3" s="642"/>
      <c r="E3" s="642"/>
      <c r="I3" s="643"/>
      <c r="J3" s="644"/>
      <c r="K3" s="644"/>
      <c r="L3" s="644"/>
      <c r="M3" s="644"/>
      <c r="N3" s="644"/>
      <c r="O3" s="645"/>
      <c r="AB3" s="644"/>
    </row>
    <row r="4" spans="1:32" ht="16.5" thickBot="1">
      <c r="A4" s="636"/>
      <c r="B4" s="643" t="s">
        <v>265</v>
      </c>
      <c r="D4" s="642"/>
      <c r="E4" s="643" t="s">
        <v>276</v>
      </c>
      <c r="H4" s="643" t="s">
        <v>30</v>
      </c>
      <c r="I4" s="643"/>
      <c r="J4" s="644"/>
      <c r="K4" s="644"/>
      <c r="L4" s="644"/>
      <c r="M4" s="644"/>
      <c r="N4" s="644"/>
      <c r="O4" s="645"/>
      <c r="AB4" s="644"/>
    </row>
    <row r="5" spans="1:32" ht="13.5" thickBot="1">
      <c r="A5" s="636"/>
      <c r="B5" s="646" t="str">
        <f>city</f>
        <v xml:space="preserve">Berau </v>
      </c>
      <c r="C5" s="647"/>
      <c r="D5" s="647"/>
      <c r="E5" s="646" t="str">
        <f>province</f>
        <v>Kalimantan Timur</v>
      </c>
      <c r="F5" s="647"/>
      <c r="G5" s="647"/>
      <c r="H5" s="646" t="str">
        <f>country</f>
        <v>Indonesia</v>
      </c>
      <c r="I5" s="647"/>
      <c r="J5" s="648"/>
      <c r="K5" s="644"/>
      <c r="L5" s="644"/>
      <c r="M5" s="644"/>
      <c r="N5" s="644"/>
      <c r="O5" s="645"/>
      <c r="AB5" s="644"/>
    </row>
    <row r="6" spans="1:32">
      <c r="A6" s="636"/>
      <c r="C6" s="643"/>
      <c r="D6" s="643"/>
      <c r="E6" s="643"/>
    </row>
    <row r="7" spans="1:32">
      <c r="A7" s="636"/>
      <c r="B7" s="637" t="s">
        <v>35</v>
      </c>
      <c r="P7" s="639"/>
    </row>
    <row r="8" spans="1:32">
      <c r="A8" s="636"/>
      <c r="B8" s="637" t="s">
        <v>37</v>
      </c>
      <c r="P8" s="639"/>
    </row>
    <row r="9" spans="1:32">
      <c r="B9" s="649"/>
      <c r="P9" s="639"/>
    </row>
    <row r="10" spans="1:32">
      <c r="P10" s="650"/>
    </row>
    <row r="11" spans="1:32" ht="13.5" thickBot="1">
      <c r="A11" s="651"/>
      <c r="P11" s="651"/>
      <c r="Q11" s="652"/>
    </row>
    <row r="12" spans="1:32" ht="13.5" thickBot="1">
      <c r="A12" s="653"/>
      <c r="B12" s="654"/>
      <c r="C12" s="835" t="s">
        <v>91</v>
      </c>
      <c r="D12" s="836"/>
      <c r="E12" s="836"/>
      <c r="F12" s="836"/>
      <c r="G12" s="836"/>
      <c r="H12" s="836"/>
      <c r="I12" s="836"/>
      <c r="J12" s="836"/>
      <c r="K12" s="836"/>
      <c r="L12" s="836"/>
      <c r="M12" s="837"/>
      <c r="N12" s="655"/>
      <c r="O12" s="656"/>
      <c r="P12" s="653"/>
      <c r="Q12" s="652"/>
      <c r="S12" s="654"/>
      <c r="T12" s="835" t="s">
        <v>91</v>
      </c>
      <c r="U12" s="836"/>
      <c r="V12" s="836"/>
      <c r="W12" s="836"/>
      <c r="X12" s="836"/>
      <c r="Y12" s="836"/>
      <c r="Z12" s="836"/>
      <c r="AA12" s="836"/>
      <c r="AB12" s="836"/>
      <c r="AC12" s="836"/>
      <c r="AD12" s="837"/>
      <c r="AE12" s="655"/>
      <c r="AF12" s="657"/>
    </row>
    <row r="13" spans="1:32" ht="39" thickBot="1">
      <c r="A13" s="658"/>
      <c r="B13" s="370" t="s">
        <v>1</v>
      </c>
      <c r="C13" s="371" t="s">
        <v>228</v>
      </c>
      <c r="D13" s="372" t="s">
        <v>268</v>
      </c>
      <c r="E13" s="372" t="s">
        <v>267</v>
      </c>
      <c r="F13" s="372" t="s">
        <v>272</v>
      </c>
      <c r="G13" s="372" t="s">
        <v>2</v>
      </c>
      <c r="H13" s="372" t="s">
        <v>3</v>
      </c>
      <c r="I13" s="373" t="s">
        <v>146</v>
      </c>
      <c r="J13" s="373" t="s">
        <v>95</v>
      </c>
      <c r="K13" s="373" t="s">
        <v>308</v>
      </c>
      <c r="L13" s="374" t="s">
        <v>27</v>
      </c>
      <c r="M13" s="373" t="s">
        <v>5</v>
      </c>
      <c r="N13" s="375"/>
      <c r="O13" s="585" t="s">
        <v>4</v>
      </c>
      <c r="P13" s="658"/>
      <c r="Q13" s="652"/>
      <c r="S13" s="370" t="s">
        <v>1</v>
      </c>
      <c r="T13" s="371" t="s">
        <v>228</v>
      </c>
      <c r="U13" s="372" t="s">
        <v>268</v>
      </c>
      <c r="V13" s="372" t="s">
        <v>267</v>
      </c>
      <c r="W13" s="372" t="s">
        <v>272</v>
      </c>
      <c r="X13" s="372" t="s">
        <v>2</v>
      </c>
      <c r="Y13" s="372" t="s">
        <v>3</v>
      </c>
      <c r="Z13" s="373" t="s">
        <v>146</v>
      </c>
      <c r="AA13" s="373" t="s">
        <v>95</v>
      </c>
      <c r="AB13" s="373" t="s">
        <v>308</v>
      </c>
      <c r="AC13" s="374" t="s">
        <v>27</v>
      </c>
      <c r="AD13" s="373" t="s">
        <v>5</v>
      </c>
      <c r="AE13" s="375"/>
      <c r="AF13" s="376" t="s">
        <v>4</v>
      </c>
    </row>
    <row r="14" spans="1:32" ht="13.5" thickBot="1">
      <c r="A14" s="658"/>
      <c r="B14" s="659"/>
      <c r="C14" s="660" t="s">
        <v>81</v>
      </c>
      <c r="D14" s="661" t="s">
        <v>87</v>
      </c>
      <c r="E14" s="661" t="s">
        <v>88</v>
      </c>
      <c r="F14" s="661" t="s">
        <v>275</v>
      </c>
      <c r="G14" s="661" t="s">
        <v>89</v>
      </c>
      <c r="H14" s="661" t="s">
        <v>82</v>
      </c>
      <c r="I14" s="662" t="s">
        <v>92</v>
      </c>
      <c r="J14" s="663" t="s">
        <v>93</v>
      </c>
      <c r="K14" s="663" t="s">
        <v>316</v>
      </c>
      <c r="L14" s="664" t="s">
        <v>194</v>
      </c>
      <c r="M14" s="663" t="s">
        <v>162</v>
      </c>
      <c r="N14" s="665"/>
      <c r="O14" s="666" t="s">
        <v>163</v>
      </c>
      <c r="P14" s="658"/>
      <c r="Q14" s="652"/>
      <c r="S14" s="659"/>
      <c r="T14" s="660" t="s">
        <v>81</v>
      </c>
      <c r="U14" s="661" t="s">
        <v>87</v>
      </c>
      <c r="V14" s="661" t="s">
        <v>88</v>
      </c>
      <c r="W14" s="661" t="s">
        <v>275</v>
      </c>
      <c r="X14" s="661" t="s">
        <v>89</v>
      </c>
      <c r="Y14" s="661" t="s">
        <v>82</v>
      </c>
      <c r="Z14" s="662" t="s">
        <v>92</v>
      </c>
      <c r="AA14" s="663" t="s">
        <v>93</v>
      </c>
      <c r="AB14" s="663" t="s">
        <v>316</v>
      </c>
      <c r="AC14" s="664" t="s">
        <v>194</v>
      </c>
      <c r="AD14" s="663" t="s">
        <v>162</v>
      </c>
      <c r="AE14" s="665"/>
      <c r="AF14" s="667" t="s">
        <v>163</v>
      </c>
    </row>
    <row r="15" spans="1:32" ht="13.5" thickBot="1">
      <c r="B15" s="668"/>
      <c r="C15" s="669" t="s">
        <v>15</v>
      </c>
      <c r="D15" s="670" t="s">
        <v>15</v>
      </c>
      <c r="E15" s="670" t="s">
        <v>15</v>
      </c>
      <c r="F15" s="670" t="s">
        <v>15</v>
      </c>
      <c r="G15" s="670" t="s">
        <v>15</v>
      </c>
      <c r="H15" s="670" t="s">
        <v>15</v>
      </c>
      <c r="I15" s="671" t="s">
        <v>15</v>
      </c>
      <c r="J15" s="671" t="s">
        <v>15</v>
      </c>
      <c r="K15" s="671" t="s">
        <v>15</v>
      </c>
      <c r="L15" s="672" t="s">
        <v>15</v>
      </c>
      <c r="M15" s="671" t="s">
        <v>15</v>
      </c>
      <c r="N15" s="673"/>
      <c r="O15" s="674" t="s">
        <v>15</v>
      </c>
      <c r="P15" s="641"/>
      <c r="Q15" s="652"/>
      <c r="S15" s="668"/>
      <c r="T15" s="669" t="s">
        <v>15</v>
      </c>
      <c r="U15" s="670" t="s">
        <v>15</v>
      </c>
      <c r="V15" s="670" t="s">
        <v>15</v>
      </c>
      <c r="W15" s="670" t="s">
        <v>15</v>
      </c>
      <c r="X15" s="670" t="s">
        <v>15</v>
      </c>
      <c r="Y15" s="670" t="s">
        <v>15</v>
      </c>
      <c r="Z15" s="671" t="s">
        <v>15</v>
      </c>
      <c r="AA15" s="671" t="s">
        <v>15</v>
      </c>
      <c r="AB15" s="671" t="s">
        <v>15</v>
      </c>
      <c r="AC15" s="672" t="s">
        <v>15</v>
      </c>
      <c r="AD15" s="671" t="s">
        <v>15</v>
      </c>
      <c r="AE15" s="673"/>
      <c r="AF15" s="675" t="s">
        <v>15</v>
      </c>
    </row>
    <row r="16" spans="1:32" ht="13.5" thickBot="1">
      <c r="B16" s="676"/>
      <c r="C16" s="677"/>
      <c r="D16" s="678"/>
      <c r="E16" s="678"/>
      <c r="F16" s="678"/>
      <c r="G16" s="678"/>
      <c r="H16" s="678"/>
      <c r="I16" s="679"/>
      <c r="J16" s="679"/>
      <c r="K16" s="680"/>
      <c r="L16" s="681"/>
      <c r="M16" s="680"/>
      <c r="N16" s="682"/>
      <c r="O16" s="683"/>
      <c r="P16" s="641"/>
      <c r="Q16" s="652"/>
      <c r="S16" s="676"/>
      <c r="T16" s="677"/>
      <c r="U16" s="678"/>
      <c r="V16" s="678"/>
      <c r="W16" s="678"/>
      <c r="X16" s="678"/>
      <c r="Y16" s="678"/>
      <c r="Z16" s="679"/>
      <c r="AA16" s="679"/>
      <c r="AB16" s="680"/>
      <c r="AC16" s="681"/>
      <c r="AD16" s="680"/>
      <c r="AE16" s="682"/>
      <c r="AF16" s="684"/>
    </row>
    <row r="17" spans="2:34">
      <c r="B17" s="685">
        <f>year</f>
        <v>2000</v>
      </c>
      <c r="C17" s="686">
        <f>IF(Select2=1,Food!$K19,"")</f>
        <v>0</v>
      </c>
      <c r="D17" s="687">
        <f>IF(Select2=1,Paper!$K19,"")</f>
        <v>0</v>
      </c>
      <c r="E17" s="687">
        <f>IF(Select2=1,Nappies!$K19,"")</f>
        <v>0</v>
      </c>
      <c r="F17" s="687">
        <f>IF(Select2=1,Garden!$K19,"")</f>
        <v>0</v>
      </c>
      <c r="G17" s="687">
        <f>IF(Select2=1,Wood!$K19,"")</f>
        <v>0</v>
      </c>
      <c r="H17" s="687">
        <f>IF(Select2=1,Textiles!$K19,"")</f>
        <v>0</v>
      </c>
      <c r="I17" s="688">
        <f>Sludge!K19</f>
        <v>0</v>
      </c>
      <c r="J17" s="689" t="str">
        <f>IF(Select2=2,MSW!$K19,"")</f>
        <v/>
      </c>
      <c r="K17" s="688">
        <f>Industry!$K19</f>
        <v>0</v>
      </c>
      <c r="L17" s="690">
        <f>SUM(C17:K17)</f>
        <v>0</v>
      </c>
      <c r="M17" s="691">
        <f>Recovery_OX!C12</f>
        <v>0</v>
      </c>
      <c r="N17" s="650"/>
      <c r="O17" s="692">
        <f>(L17-M17)*(1-Recovery_OX!F12)</f>
        <v>0</v>
      </c>
      <c r="P17" s="693"/>
      <c r="Q17" s="652"/>
      <c r="S17" s="685">
        <f>year</f>
        <v>2000</v>
      </c>
      <c r="T17" s="686">
        <f>IF(Select2=1,Food!$W19,"")</f>
        <v>0</v>
      </c>
      <c r="U17" s="687">
        <f>IF(Select2=1,Paper!$W19,"")</f>
        <v>0</v>
      </c>
      <c r="V17" s="687">
        <f>IF(Select2=1,Nappies!$W19,"")</f>
        <v>0</v>
      </c>
      <c r="W17" s="687">
        <f>IF(Select2=1,Garden!$W19,"")</f>
        <v>0</v>
      </c>
      <c r="X17" s="687">
        <f>IF(Select2=1,Wood!$W19,"")</f>
        <v>0</v>
      </c>
      <c r="Y17" s="687">
        <f>IF(Select2=1,Textiles!$W19,"")</f>
        <v>0</v>
      </c>
      <c r="Z17" s="688">
        <f>Sludge!W19</f>
        <v>0</v>
      </c>
      <c r="AA17" s="689" t="str">
        <f>IF(Select2=2,MSW!$W19,"")</f>
        <v/>
      </c>
      <c r="AB17" s="688">
        <f>Industry!$W19</f>
        <v>0</v>
      </c>
      <c r="AC17" s="690">
        <f t="shared" ref="AC17:AC48" si="0">SUM(T17:AA17)</f>
        <v>0</v>
      </c>
      <c r="AD17" s="691">
        <f>Recovery_OX!R12</f>
        <v>0</v>
      </c>
      <c r="AE17" s="650"/>
      <c r="AF17" s="694">
        <f>(AC17-AD17)*(1-Recovery_OX!U12)</f>
        <v>0</v>
      </c>
      <c r="AH17" s="637"/>
    </row>
    <row r="18" spans="2:34">
      <c r="B18" s="695">
        <f t="shared" ref="B18:B81" si="1">B17+1</f>
        <v>2001</v>
      </c>
      <c r="C18" s="696">
        <f>IF(Select2=1,Food!$K20,"")</f>
        <v>8.7543907978825053E-2</v>
      </c>
      <c r="D18" s="697">
        <f>IF(Select2=1,Paper!$K20,"")</f>
        <v>4.5971638704032595E-3</v>
      </c>
      <c r="E18" s="687">
        <f>IF(Select2=1,Nappies!$K20,"")</f>
        <v>1.4496357416440196E-2</v>
      </c>
      <c r="F18" s="697">
        <f>IF(Select2=1,Garden!$K20,"")</f>
        <v>0</v>
      </c>
      <c r="G18" s="687">
        <f>IF(Select2=1,Wood!$K20,"")</f>
        <v>0</v>
      </c>
      <c r="H18" s="697">
        <f>IF(Select2=1,Textiles!$K20,"")</f>
        <v>1.0884357568427857E-3</v>
      </c>
      <c r="I18" s="698">
        <f>Sludge!K20</f>
        <v>0</v>
      </c>
      <c r="J18" s="698" t="str">
        <f>IF(Select2=2,MSW!$K20,"")</f>
        <v/>
      </c>
      <c r="K18" s="698">
        <f>Industry!$K20</f>
        <v>0</v>
      </c>
      <c r="L18" s="699">
        <f>SUM(C18:K18)</f>
        <v>0.1077258650225113</v>
      </c>
      <c r="M18" s="700">
        <f>Recovery_OX!C13</f>
        <v>0</v>
      </c>
      <c r="N18" s="650"/>
      <c r="O18" s="701">
        <f>(L18-M18)*(1-Recovery_OX!F13)</f>
        <v>0.1077258650225113</v>
      </c>
      <c r="P18" s="693"/>
      <c r="Q18" s="652"/>
      <c r="S18" s="695">
        <f t="shared" ref="S18:S81" si="2">S17+1</f>
        <v>2001</v>
      </c>
      <c r="T18" s="696">
        <f>IF(Select2=1,Food!$W20,"")</f>
        <v>5.857085725612738E-2</v>
      </c>
      <c r="U18" s="697">
        <f>IF(Select2=1,Paper!$W20,"")</f>
        <v>9.4982724595108672E-3</v>
      </c>
      <c r="V18" s="687">
        <f>IF(Select2=1,Nappies!$W20,"")</f>
        <v>0</v>
      </c>
      <c r="W18" s="697">
        <f>IF(Select2=1,Garden!$W20,"")</f>
        <v>0</v>
      </c>
      <c r="X18" s="687">
        <f>IF(Select2=1,Wood!$W20,"")</f>
        <v>3.9865960453121067E-3</v>
      </c>
      <c r="Y18" s="697">
        <f>IF(Select2=1,Textiles!$W20,"")</f>
        <v>1.1928063088688062E-3</v>
      </c>
      <c r="Z18" s="689">
        <f>Sludge!W20</f>
        <v>0</v>
      </c>
      <c r="AA18" s="689" t="str">
        <f>IF(Select2=2,MSW!$W20,"")</f>
        <v/>
      </c>
      <c r="AB18" s="698">
        <f>Industry!$W20</f>
        <v>0</v>
      </c>
      <c r="AC18" s="699">
        <f t="shared" si="0"/>
        <v>7.3248532069819169E-2</v>
      </c>
      <c r="AD18" s="700">
        <f>Recovery_OX!R13</f>
        <v>0</v>
      </c>
      <c r="AE18" s="650"/>
      <c r="AF18" s="702">
        <f>(AC18-AD18)*(1-Recovery_OX!U13)</f>
        <v>7.3248532069819169E-2</v>
      </c>
      <c r="AH18" s="637"/>
    </row>
    <row r="19" spans="2:34">
      <c r="B19" s="695">
        <f t="shared" si="1"/>
        <v>2002</v>
      </c>
      <c r="C19" s="696">
        <f>IF(Select2=1,Food!$K21,"")</f>
        <v>0.15108285570630672</v>
      </c>
      <c r="D19" s="697">
        <f>IF(Select2=1,Paper!$K21,"")</f>
        <v>9.1385594009446569E-3</v>
      </c>
      <c r="E19" s="687">
        <f>IF(Select2=1,Nappies!$K21,"")</f>
        <v>2.7530611718806958E-2</v>
      </c>
      <c r="F19" s="697">
        <f>IF(Select2=1,Garden!$K21,"")</f>
        <v>0</v>
      </c>
      <c r="G19" s="687">
        <f>IF(Select2=1,Wood!$K21,"")</f>
        <v>0</v>
      </c>
      <c r="H19" s="697">
        <f>IF(Select2=1,Textiles!$K21,"")</f>
        <v>2.1636676652005949E-3</v>
      </c>
      <c r="I19" s="698">
        <f>Sludge!K21</f>
        <v>0</v>
      </c>
      <c r="J19" s="698" t="str">
        <f>IF(Select2=2,MSW!$K21,"")</f>
        <v/>
      </c>
      <c r="K19" s="698">
        <f>Industry!$K21</f>
        <v>0</v>
      </c>
      <c r="L19" s="699">
        <f t="shared" ref="L19:L82" si="3">SUM(C19:K19)</f>
        <v>0.18991569449125895</v>
      </c>
      <c r="M19" s="700">
        <f>Recovery_OX!C14</f>
        <v>0</v>
      </c>
      <c r="N19" s="650"/>
      <c r="O19" s="701">
        <f>(L19-M19)*(1-Recovery_OX!F14)</f>
        <v>0.18991569449125895</v>
      </c>
      <c r="P19" s="693"/>
      <c r="Q19" s="652"/>
      <c r="S19" s="695">
        <f t="shared" si="2"/>
        <v>2002</v>
      </c>
      <c r="T19" s="696">
        <f>IF(Select2=1,Food!$W21,"")</f>
        <v>0.10108130399619093</v>
      </c>
      <c r="U19" s="697">
        <f>IF(Select2=1,Paper!$W21,"")</f>
        <v>1.8881321076331933E-2</v>
      </c>
      <c r="V19" s="687">
        <f>IF(Select2=1,Nappies!$W21,"")</f>
        <v>0</v>
      </c>
      <c r="W19" s="697">
        <f>IF(Select2=1,Garden!$W21,"")</f>
        <v>0</v>
      </c>
      <c r="X19" s="687">
        <f>IF(Select2=1,Wood!$W21,"")</f>
        <v>8.057231786973788E-3</v>
      </c>
      <c r="Y19" s="697">
        <f>IF(Select2=1,Textiles!$W21,"")</f>
        <v>2.3711426467951727E-3</v>
      </c>
      <c r="Z19" s="689">
        <f>Sludge!W21</f>
        <v>0</v>
      </c>
      <c r="AA19" s="689" t="str">
        <f>IF(Select2=2,MSW!$W21,"")</f>
        <v/>
      </c>
      <c r="AB19" s="698">
        <f>Industry!$W21</f>
        <v>0</v>
      </c>
      <c r="AC19" s="699">
        <f t="shared" si="0"/>
        <v>0.13039099950629182</v>
      </c>
      <c r="AD19" s="700">
        <f>Recovery_OX!R14</f>
        <v>0</v>
      </c>
      <c r="AE19" s="650"/>
      <c r="AF19" s="702">
        <f>(AC19-AD19)*(1-Recovery_OX!U14)</f>
        <v>0.13039099950629182</v>
      </c>
      <c r="AH19" s="637"/>
    </row>
    <row r="20" spans="2:34">
      <c r="B20" s="695">
        <f t="shared" si="1"/>
        <v>2003</v>
      </c>
      <c r="C20" s="696">
        <f>IF(Select2=1,Food!$K22,"")</f>
        <v>0.19890196720541922</v>
      </c>
      <c r="D20" s="697">
        <f>IF(Select2=1,Paper!$K22,"")</f>
        <v>1.3647447992940695E-2</v>
      </c>
      <c r="E20" s="687">
        <f>IF(Select2=1,Nappies!$K22,"")</f>
        <v>3.9392802915730926E-2</v>
      </c>
      <c r="F20" s="697">
        <f>IF(Select2=1,Garden!$K22,"")</f>
        <v>0</v>
      </c>
      <c r="G20" s="687">
        <f>IF(Select2=1,Wood!$K22,"")</f>
        <v>0</v>
      </c>
      <c r="H20" s="697">
        <f>IF(Select2=1,Textiles!$K22,"")</f>
        <v>3.231203151317281E-3</v>
      </c>
      <c r="I20" s="698">
        <f>Sludge!K22</f>
        <v>0</v>
      </c>
      <c r="J20" s="698" t="str">
        <f>IF(Select2=2,MSW!$K22,"")</f>
        <v/>
      </c>
      <c r="K20" s="698">
        <f>Industry!$K22</f>
        <v>0</v>
      </c>
      <c r="L20" s="699">
        <f t="shared" si="3"/>
        <v>0.25517342126540815</v>
      </c>
      <c r="M20" s="700">
        <f>Recovery_OX!C15</f>
        <v>0</v>
      </c>
      <c r="N20" s="650"/>
      <c r="O20" s="701">
        <f>(L20-M20)*(1-Recovery_OX!F15)</f>
        <v>0.25517342126540815</v>
      </c>
      <c r="P20" s="693"/>
      <c r="Q20" s="652"/>
      <c r="S20" s="695">
        <f t="shared" si="2"/>
        <v>2003</v>
      </c>
      <c r="T20" s="696">
        <f>IF(Select2=1,Food!$W22,"")</f>
        <v>0.13307446512405388</v>
      </c>
      <c r="U20" s="697">
        <f>IF(Select2=1,Paper!$W22,"")</f>
        <v>2.8197206596984901E-2</v>
      </c>
      <c r="V20" s="687">
        <f>IF(Select2=1,Nappies!$W22,"")</f>
        <v>0</v>
      </c>
      <c r="W20" s="697">
        <f>IF(Select2=1,Garden!$W22,"")</f>
        <v>0</v>
      </c>
      <c r="X20" s="687">
        <f>IF(Select2=1,Wood!$W22,"")</f>
        <v>1.2225919137865235E-2</v>
      </c>
      <c r="Y20" s="697">
        <f>IF(Select2=1,Textiles!$W22,"")</f>
        <v>3.5410445493888011E-3</v>
      </c>
      <c r="Z20" s="689">
        <f>Sludge!W22</f>
        <v>0</v>
      </c>
      <c r="AA20" s="689" t="str">
        <f>IF(Select2=2,MSW!$W22,"")</f>
        <v/>
      </c>
      <c r="AB20" s="698">
        <f>Industry!$W22</f>
        <v>0</v>
      </c>
      <c r="AC20" s="699">
        <f t="shared" si="0"/>
        <v>0.17703863540829284</v>
      </c>
      <c r="AD20" s="700">
        <f>Recovery_OX!R15</f>
        <v>0</v>
      </c>
      <c r="AE20" s="650"/>
      <c r="AF20" s="702">
        <f>(AC20-AD20)*(1-Recovery_OX!U15)</f>
        <v>0.17703863540829284</v>
      </c>
      <c r="AH20" s="637"/>
    </row>
    <row r="21" spans="2:34">
      <c r="B21" s="695">
        <f t="shared" si="1"/>
        <v>2004</v>
      </c>
      <c r="C21" s="696">
        <f>IF(Select2=1,Food!$K23,"")</f>
        <v>0.23274335586159312</v>
      </c>
      <c r="D21" s="697">
        <f>IF(Select2=1,Paper!$K23,"")</f>
        <v>1.7945362666621747E-2</v>
      </c>
      <c r="E21" s="687">
        <f>IF(Select2=1,Nappies!$K23,"")</f>
        <v>4.9696471128982553E-2</v>
      </c>
      <c r="F21" s="697">
        <f>IF(Select2=1,Garden!$K23,"")</f>
        <v>0</v>
      </c>
      <c r="G21" s="687">
        <f>IF(Select2=1,Wood!$K23,"")</f>
        <v>0</v>
      </c>
      <c r="H21" s="697">
        <f>IF(Select2=1,Textiles!$K23,"")</f>
        <v>4.2487879367566136E-3</v>
      </c>
      <c r="I21" s="698">
        <f>Sludge!K23</f>
        <v>0</v>
      </c>
      <c r="J21" s="698" t="str">
        <f>IF(Select2=2,MSW!$K23,"")</f>
        <v/>
      </c>
      <c r="K21" s="698">
        <f>Industry!$K23</f>
        <v>0</v>
      </c>
      <c r="L21" s="699">
        <f t="shared" si="3"/>
        <v>0.304633977593954</v>
      </c>
      <c r="M21" s="700">
        <f>Recovery_OX!C16</f>
        <v>0</v>
      </c>
      <c r="N21" s="650"/>
      <c r="O21" s="701">
        <f>(L21-M21)*(1-Recovery_OX!F16)</f>
        <v>0.304633977593954</v>
      </c>
      <c r="P21" s="693"/>
      <c r="Q21" s="652"/>
      <c r="S21" s="695">
        <f t="shared" si="2"/>
        <v>2004</v>
      </c>
      <c r="T21" s="696">
        <f>IF(Select2=1,Food!$W23,"")</f>
        <v>0.1557158937521809</v>
      </c>
      <c r="U21" s="697">
        <f>IF(Select2=1,Paper!$W23,"")</f>
        <v>3.707719559219369E-2</v>
      </c>
      <c r="V21" s="687">
        <f>IF(Select2=1,Nappies!$W23,"")</f>
        <v>0</v>
      </c>
      <c r="W21" s="697">
        <f>IF(Select2=1,Garden!$W23,"")</f>
        <v>0</v>
      </c>
      <c r="X21" s="687">
        <f>IF(Select2=1,Wood!$W23,"")</f>
        <v>1.6332615802817474E-2</v>
      </c>
      <c r="Y21" s="697">
        <f>IF(Select2=1,Textiles!$W23,"")</f>
        <v>4.6562059580894394E-3</v>
      </c>
      <c r="Z21" s="689">
        <f>Sludge!W23</f>
        <v>0</v>
      </c>
      <c r="AA21" s="689" t="str">
        <f>IF(Select2=2,MSW!$W23,"")</f>
        <v/>
      </c>
      <c r="AB21" s="698">
        <f>Industry!$W23</f>
        <v>0</v>
      </c>
      <c r="AC21" s="699">
        <f t="shared" si="0"/>
        <v>0.2137819111052815</v>
      </c>
      <c r="AD21" s="700">
        <f>Recovery_OX!R16</f>
        <v>0</v>
      </c>
      <c r="AE21" s="650"/>
      <c r="AF21" s="702">
        <f>(AC21-AD21)*(1-Recovery_OX!U16)</f>
        <v>0.2137819111052815</v>
      </c>
    </row>
    <row r="22" spans="2:34">
      <c r="B22" s="695">
        <f t="shared" si="1"/>
        <v>2005</v>
      </c>
      <c r="C22" s="696">
        <f>IF(Select2=1,Food!$K24,"")</f>
        <v>0.26090229943086185</v>
      </c>
      <c r="D22" s="697">
        <f>IF(Select2=1,Paper!$K24,"")</f>
        <v>2.2240186151552366E-2</v>
      </c>
      <c r="E22" s="687">
        <f>IF(Select2=1,Nappies!$K24,"")</f>
        <v>5.9295814063220792E-2</v>
      </c>
      <c r="F22" s="697">
        <f>IF(Select2=1,Garden!$K24,"")</f>
        <v>0</v>
      </c>
      <c r="G22" s="687">
        <f>IF(Select2=1,Wood!$K24,"")</f>
        <v>0</v>
      </c>
      <c r="H22" s="697">
        <f>IF(Select2=1,Textiles!$K24,"")</f>
        <v>5.2656408447902311E-3</v>
      </c>
      <c r="I22" s="698">
        <f>Sludge!K24</f>
        <v>0</v>
      </c>
      <c r="J22" s="698" t="str">
        <f>IF(Select2=2,MSW!$K24,"")</f>
        <v/>
      </c>
      <c r="K22" s="698">
        <f>Industry!$K24</f>
        <v>0</v>
      </c>
      <c r="L22" s="699">
        <f t="shared" si="3"/>
        <v>0.34770394049042525</v>
      </c>
      <c r="M22" s="700">
        <f>Recovery_OX!C17</f>
        <v>0</v>
      </c>
      <c r="N22" s="650"/>
      <c r="O22" s="701">
        <f>(L22-M22)*(1-Recovery_OX!F17)</f>
        <v>0.34770394049042525</v>
      </c>
      <c r="P22" s="641"/>
      <c r="Q22" s="652"/>
      <c r="S22" s="695">
        <f t="shared" si="2"/>
        <v>2005</v>
      </c>
      <c r="T22" s="696">
        <f>IF(Select2=1,Food!$W24,"")</f>
        <v>0.17455550809379689</v>
      </c>
      <c r="U22" s="697">
        <f>IF(Select2=1,Paper!$W24,"")</f>
        <v>4.5950797833785889E-2</v>
      </c>
      <c r="V22" s="687">
        <f>IF(Select2=1,Nappies!$W24,"")</f>
        <v>0</v>
      </c>
      <c r="W22" s="697">
        <f>IF(Select2=1,Garden!$W24,"")</f>
        <v>0</v>
      </c>
      <c r="X22" s="687">
        <f>IF(Select2=1,Wood!$W24,"")</f>
        <v>2.0547358118113906E-2</v>
      </c>
      <c r="Y22" s="697">
        <f>IF(Select2=1,Textiles!$W24,"")</f>
        <v>5.7705653093591564E-3</v>
      </c>
      <c r="Z22" s="689">
        <f>Sludge!W24</f>
        <v>0</v>
      </c>
      <c r="AA22" s="689" t="str">
        <f>IF(Select2=2,MSW!$W24,"")</f>
        <v/>
      </c>
      <c r="AB22" s="698">
        <f>Industry!$W24</f>
        <v>0</v>
      </c>
      <c r="AC22" s="699">
        <f t="shared" si="0"/>
        <v>0.24682422935505582</v>
      </c>
      <c r="AD22" s="700">
        <f>Recovery_OX!R17</f>
        <v>0</v>
      </c>
      <c r="AE22" s="650"/>
      <c r="AF22" s="702">
        <f>(AC22-AD22)*(1-Recovery_OX!U17)</f>
        <v>0.24682422935505582</v>
      </c>
    </row>
    <row r="23" spans="2:34">
      <c r="B23" s="695">
        <f t="shared" si="1"/>
        <v>2006</v>
      </c>
      <c r="C23" s="696">
        <f>IF(Select2=1,Food!$K25,"")</f>
        <v>0.28732119710115162</v>
      </c>
      <c r="D23" s="697">
        <f>IF(Select2=1,Paper!$K25,"")</f>
        <v>2.6640776709271827E-2</v>
      </c>
      <c r="E23" s="687">
        <f>IF(Select2=1,Nappies!$K25,"")</f>
        <v>6.8643549158550143E-2</v>
      </c>
      <c r="F23" s="697">
        <f>IF(Select2=1,Garden!$K25,"")</f>
        <v>0</v>
      </c>
      <c r="G23" s="687">
        <f>IF(Select2=1,Wood!$K25,"")</f>
        <v>0</v>
      </c>
      <c r="H23" s="697">
        <f>IF(Select2=1,Textiles!$K25,"")</f>
        <v>6.307535423550688E-3</v>
      </c>
      <c r="I23" s="698">
        <f>Sludge!K25</f>
        <v>0</v>
      </c>
      <c r="J23" s="698" t="str">
        <f>IF(Select2=2,MSW!$K25,"")</f>
        <v/>
      </c>
      <c r="K23" s="698">
        <f>Industry!$K25</f>
        <v>0</v>
      </c>
      <c r="L23" s="699">
        <f t="shared" si="3"/>
        <v>0.38891305839252427</v>
      </c>
      <c r="M23" s="700">
        <f>Recovery_OX!C18</f>
        <v>0</v>
      </c>
      <c r="N23" s="650"/>
      <c r="O23" s="701">
        <f>(L23-M23)*(1-Recovery_OX!F18)</f>
        <v>0.38891305839252427</v>
      </c>
      <c r="P23" s="641"/>
      <c r="Q23" s="652"/>
      <c r="S23" s="695">
        <f t="shared" si="2"/>
        <v>2006</v>
      </c>
      <c r="T23" s="696">
        <f>IF(Select2=1,Food!$W25,"")</f>
        <v>0.19223095256544487</v>
      </c>
      <c r="U23" s="697">
        <f>IF(Select2=1,Paper!$W25,"")</f>
        <v>5.5042927085272371E-2</v>
      </c>
      <c r="V23" s="687">
        <f>IF(Select2=1,Nappies!$W25,"")</f>
        <v>0</v>
      </c>
      <c r="W23" s="697">
        <f>IF(Select2=1,Garden!$W25,"")</f>
        <v>0</v>
      </c>
      <c r="X23" s="687">
        <f>IF(Select2=1,Wood!$W25,"")</f>
        <v>2.4960649029013543E-2</v>
      </c>
      <c r="Y23" s="697">
        <f>IF(Select2=1,Textiles!$W25,"")</f>
        <v>6.9123675874528086E-3</v>
      </c>
      <c r="Z23" s="689">
        <f>Sludge!W25</f>
        <v>0</v>
      </c>
      <c r="AA23" s="689" t="str">
        <f>IF(Select2=2,MSW!$W25,"")</f>
        <v/>
      </c>
      <c r="AB23" s="698">
        <f>Industry!$W25</f>
        <v>0</v>
      </c>
      <c r="AC23" s="699">
        <f t="shared" si="0"/>
        <v>0.27914689626718353</v>
      </c>
      <c r="AD23" s="700">
        <f>Recovery_OX!R18</f>
        <v>0</v>
      </c>
      <c r="AE23" s="650"/>
      <c r="AF23" s="702">
        <f>(AC23-AD23)*(1-Recovery_OX!U18)</f>
        <v>0.27914689626718353</v>
      </c>
    </row>
    <row r="24" spans="2:34">
      <c r="B24" s="695">
        <f t="shared" si="1"/>
        <v>2007</v>
      </c>
      <c r="C24" s="696">
        <f>IF(Select2=1,Food!$K26,"")</f>
        <v>0.30960583910707062</v>
      </c>
      <c r="D24" s="697">
        <f>IF(Select2=1,Paper!$K26,"")</f>
        <v>3.0984133174480948E-2</v>
      </c>
      <c r="E24" s="687">
        <f>IF(Select2=1,Nappies!$K26,"")</f>
        <v>7.7287563606256021E-2</v>
      </c>
      <c r="F24" s="697">
        <f>IF(Select2=1,Garden!$K26,"")</f>
        <v>0</v>
      </c>
      <c r="G24" s="687">
        <f>IF(Select2=1,Wood!$K26,"")</f>
        <v>0</v>
      </c>
      <c r="H24" s="697">
        <f>IF(Select2=1,Textiles!$K26,"")</f>
        <v>7.3358791186457269E-3</v>
      </c>
      <c r="I24" s="698">
        <f>Sludge!K26</f>
        <v>0</v>
      </c>
      <c r="J24" s="698" t="str">
        <f>IF(Select2=2,MSW!$K26,"")</f>
        <v/>
      </c>
      <c r="K24" s="698">
        <f>Industry!$K26</f>
        <v>0</v>
      </c>
      <c r="L24" s="699">
        <f t="shared" si="3"/>
        <v>0.42521341500645338</v>
      </c>
      <c r="M24" s="700">
        <f>Recovery_OX!C19</f>
        <v>0</v>
      </c>
      <c r="N24" s="650"/>
      <c r="O24" s="701">
        <f>(L24-M24)*(1-Recovery_OX!F19)</f>
        <v>0.42521341500645338</v>
      </c>
      <c r="P24" s="641"/>
      <c r="Q24" s="652"/>
      <c r="S24" s="695">
        <f t="shared" si="2"/>
        <v>2007</v>
      </c>
      <c r="T24" s="696">
        <f>IF(Select2=1,Food!$W26,"")</f>
        <v>0.20714039190928007</v>
      </c>
      <c r="U24" s="697">
        <f>IF(Select2=1,Paper!$W26,"")</f>
        <v>6.4016804079506107E-2</v>
      </c>
      <c r="V24" s="687">
        <f>IF(Select2=1,Nappies!$W26,"")</f>
        <v>0</v>
      </c>
      <c r="W24" s="697">
        <f>IF(Select2=1,Garden!$W26,"")</f>
        <v>0</v>
      </c>
      <c r="X24" s="687">
        <f>IF(Select2=1,Wood!$W26,"")</f>
        <v>2.9430508034404047E-2</v>
      </c>
      <c r="Y24" s="697">
        <f>IF(Select2=1,Textiles!$W26,"")</f>
        <v>8.0393195820775091E-3</v>
      </c>
      <c r="Z24" s="689">
        <f>Sludge!W26</f>
        <v>0</v>
      </c>
      <c r="AA24" s="689" t="str">
        <f>IF(Select2=2,MSW!$W26,"")</f>
        <v/>
      </c>
      <c r="AB24" s="698">
        <f>Industry!$W26</f>
        <v>0</v>
      </c>
      <c r="AC24" s="699">
        <f t="shared" si="0"/>
        <v>0.30862702360526773</v>
      </c>
      <c r="AD24" s="700">
        <f>Recovery_OX!R19</f>
        <v>0</v>
      </c>
      <c r="AE24" s="650"/>
      <c r="AF24" s="702">
        <f>(AC24-AD24)*(1-Recovery_OX!U19)</f>
        <v>0.30862702360526773</v>
      </c>
    </row>
    <row r="25" spans="2:34">
      <c r="B25" s="695">
        <f t="shared" si="1"/>
        <v>2008</v>
      </c>
      <c r="C25" s="696">
        <f>IF(Select2=1,Food!$K27,"")</f>
        <v>0.32925261911552217</v>
      </c>
      <c r="D25" s="697">
        <f>IF(Select2=1,Paper!$K27,"")</f>
        <v>3.5281130768764379E-2</v>
      </c>
      <c r="E25" s="687">
        <f>IF(Select2=1,Nappies!$K27,"")</f>
        <v>8.5359965412035332E-2</v>
      </c>
      <c r="F25" s="697">
        <f>IF(Select2=1,Garden!$K27,"")</f>
        <v>0</v>
      </c>
      <c r="G25" s="687">
        <f>IF(Select2=1,Wood!$K27,"")</f>
        <v>0</v>
      </c>
      <c r="H25" s="697">
        <f>IF(Select2=1,Textiles!$K27,"")</f>
        <v>8.3532467741248562E-3</v>
      </c>
      <c r="I25" s="698">
        <f>Sludge!K27</f>
        <v>0</v>
      </c>
      <c r="J25" s="698" t="str">
        <f>IF(Select2=2,MSW!$K27,"")</f>
        <v/>
      </c>
      <c r="K25" s="698">
        <f>Industry!$K27</f>
        <v>0</v>
      </c>
      <c r="L25" s="699">
        <f t="shared" si="3"/>
        <v>0.45824696207044674</v>
      </c>
      <c r="M25" s="700">
        <f>Recovery_OX!C20</f>
        <v>0</v>
      </c>
      <c r="N25" s="650"/>
      <c r="O25" s="701">
        <f>(L25-M25)*(1-Recovery_OX!F20)</f>
        <v>0.45824696207044674</v>
      </c>
      <c r="P25" s="641"/>
      <c r="Q25" s="652"/>
      <c r="S25" s="695">
        <f t="shared" si="2"/>
        <v>2008</v>
      </c>
      <c r="T25" s="696">
        <f>IF(Select2=1,Food!$W27,"")</f>
        <v>0.22028498156703086</v>
      </c>
      <c r="U25" s="697">
        <f>IF(Select2=1,Paper!$W27,"")</f>
        <v>7.2894898282571063E-2</v>
      </c>
      <c r="V25" s="687">
        <f>IF(Select2=1,Nappies!$W27,"")</f>
        <v>0</v>
      </c>
      <c r="W25" s="697">
        <f>IF(Select2=1,Garden!$W27,"")</f>
        <v>0</v>
      </c>
      <c r="X25" s="687">
        <f>IF(Select2=1,Wood!$W27,"")</f>
        <v>3.3961064867223237E-2</v>
      </c>
      <c r="Y25" s="697">
        <f>IF(Select2=1,Textiles!$W27,"")</f>
        <v>9.154243040136829E-3</v>
      </c>
      <c r="Z25" s="689">
        <f>Sludge!W27</f>
        <v>0</v>
      </c>
      <c r="AA25" s="689" t="str">
        <f>IF(Select2=2,MSW!$W27,"")</f>
        <v/>
      </c>
      <c r="AB25" s="698">
        <f>Industry!$W27</f>
        <v>0</v>
      </c>
      <c r="AC25" s="699">
        <f t="shared" si="0"/>
        <v>0.33629518775696199</v>
      </c>
      <c r="AD25" s="700">
        <f>Recovery_OX!R20</f>
        <v>0</v>
      </c>
      <c r="AE25" s="650"/>
      <c r="AF25" s="702">
        <f>(AC25-AD25)*(1-Recovery_OX!U20)</f>
        <v>0.33629518775696199</v>
      </c>
    </row>
    <row r="26" spans="2:34">
      <c r="B26" s="695">
        <f t="shared" si="1"/>
        <v>2009</v>
      </c>
      <c r="C26" s="696">
        <f>IF(Select2=1,Food!$K28,"")</f>
        <v>0.34725491062586067</v>
      </c>
      <c r="D26" s="697">
        <f>IF(Select2=1,Paper!$K28,"")</f>
        <v>3.954140067726164E-2</v>
      </c>
      <c r="E26" s="687">
        <f>IF(Select2=1,Nappies!$K28,"")</f>
        <v>9.2970605026478484E-2</v>
      </c>
      <c r="F26" s="697">
        <f>IF(Select2=1,Garden!$K28,"")</f>
        <v>0</v>
      </c>
      <c r="G26" s="687">
        <f>IF(Select2=1,Wood!$K28,"")</f>
        <v>0</v>
      </c>
      <c r="H26" s="697">
        <f>IF(Select2=1,Textiles!$K28,"")</f>
        <v>9.3619186929274813E-3</v>
      </c>
      <c r="I26" s="698">
        <f>Sludge!K28</f>
        <v>0</v>
      </c>
      <c r="J26" s="698" t="str">
        <f>IF(Select2=2,MSW!$K28,"")</f>
        <v/>
      </c>
      <c r="K26" s="698">
        <f>Industry!$K28</f>
        <v>0</v>
      </c>
      <c r="L26" s="699">
        <f t="shared" si="3"/>
        <v>0.48912883502252824</v>
      </c>
      <c r="M26" s="700">
        <f>Recovery_OX!C21</f>
        <v>0</v>
      </c>
      <c r="N26" s="650"/>
      <c r="O26" s="701">
        <f>(L26-M26)*(1-Recovery_OX!F21)</f>
        <v>0.48912883502252824</v>
      </c>
      <c r="P26" s="641"/>
      <c r="Q26" s="652"/>
      <c r="S26" s="695">
        <f t="shared" si="2"/>
        <v>2009</v>
      </c>
      <c r="T26" s="696">
        <f>IF(Select2=1,Food!$W28,"")</f>
        <v>0.23232933360338581</v>
      </c>
      <c r="U26" s="697">
        <f>IF(Select2=1,Paper!$W28,"")</f>
        <v>8.169710883731747E-2</v>
      </c>
      <c r="V26" s="687">
        <f>IF(Select2=1,Nappies!$W28,"")</f>
        <v>0</v>
      </c>
      <c r="W26" s="697">
        <f>IF(Select2=1,Garden!$W28,"")</f>
        <v>0</v>
      </c>
      <c r="X26" s="687">
        <f>IF(Select2=1,Wood!$W28,"")</f>
        <v>3.8555865992047286E-2</v>
      </c>
      <c r="Y26" s="697">
        <f>IF(Select2=1,Textiles!$W28,"")</f>
        <v>1.0259636923756144E-2</v>
      </c>
      <c r="Z26" s="689">
        <f>Sludge!W28</f>
        <v>0</v>
      </c>
      <c r="AA26" s="689" t="str">
        <f>IF(Select2=2,MSW!$W28,"")</f>
        <v/>
      </c>
      <c r="AB26" s="698">
        <f>Industry!$W28</f>
        <v>0</v>
      </c>
      <c r="AC26" s="699">
        <f t="shared" si="0"/>
        <v>0.36284194535650671</v>
      </c>
      <c r="AD26" s="700">
        <f>Recovery_OX!R21</f>
        <v>0</v>
      </c>
      <c r="AE26" s="650"/>
      <c r="AF26" s="702">
        <f>(AC26-AD26)*(1-Recovery_OX!U21)</f>
        <v>0.36284194535650671</v>
      </c>
    </row>
    <row r="27" spans="2:34">
      <c r="B27" s="695">
        <f t="shared" si="1"/>
        <v>2010</v>
      </c>
      <c r="C27" s="696">
        <f>IF(Select2=1,Food!$K29,"")</f>
        <v>0.36426294006798365</v>
      </c>
      <c r="D27" s="697">
        <f>IF(Select2=1,Paper!$K29,"")</f>
        <v>4.3773101042907603E-2</v>
      </c>
      <c r="E27" s="687">
        <f>IF(Select2=1,Nappies!$K29,"")</f>
        <v>0.10020956764507102</v>
      </c>
      <c r="F27" s="697">
        <f>IF(Select2=1,Garden!$K29,"")</f>
        <v>0</v>
      </c>
      <c r="G27" s="687">
        <f>IF(Select2=1,Wood!$K29,"")</f>
        <v>0</v>
      </c>
      <c r="H27" s="697">
        <f>IF(Select2=1,Textiles!$K29,"")</f>
        <v>1.0363826416919431E-2</v>
      </c>
      <c r="I27" s="698">
        <f>Sludge!K29</f>
        <v>0</v>
      </c>
      <c r="J27" s="698" t="str">
        <f>IF(Select2=2,MSW!$K29,"")</f>
        <v/>
      </c>
      <c r="K27" s="698">
        <f>Industry!$K29</f>
        <v>0</v>
      </c>
      <c r="L27" s="699">
        <f t="shared" si="3"/>
        <v>0.51860943517288172</v>
      </c>
      <c r="M27" s="700">
        <f>Recovery_OX!C22</f>
        <v>0</v>
      </c>
      <c r="N27" s="650"/>
      <c r="O27" s="701">
        <f>(L27-M27)*(1-Recovery_OX!F22)</f>
        <v>0.51860943517288172</v>
      </c>
      <c r="P27" s="641"/>
      <c r="Q27" s="652"/>
      <c r="S27" s="695">
        <f t="shared" si="2"/>
        <v>2010</v>
      </c>
      <c r="T27" s="696">
        <f>IF(Select2=1,Food!$W29,"")</f>
        <v>0.24370847908205867</v>
      </c>
      <c r="U27" s="697">
        <f>IF(Select2=1,Paper!$W29,"")</f>
        <v>9.0440291410966128E-2</v>
      </c>
      <c r="V27" s="687">
        <f>IF(Select2=1,Nappies!$W29,"")</f>
        <v>0</v>
      </c>
      <c r="W27" s="697">
        <f>IF(Select2=1,Garden!$W29,"")</f>
        <v>0</v>
      </c>
      <c r="X27" s="687">
        <f>IF(Select2=1,Wood!$W29,"")</f>
        <v>4.3217623141491718E-2</v>
      </c>
      <c r="Y27" s="697">
        <f>IF(Select2=1,Textiles!$W29,"")</f>
        <v>1.1357617991144583E-2</v>
      </c>
      <c r="Z27" s="689">
        <f>Sludge!W29</f>
        <v>0</v>
      </c>
      <c r="AA27" s="689" t="str">
        <f>IF(Select2=2,MSW!$W29,"")</f>
        <v/>
      </c>
      <c r="AB27" s="698">
        <f>Industry!$W29</f>
        <v>0</v>
      </c>
      <c r="AC27" s="699">
        <f t="shared" si="0"/>
        <v>0.38872401162566111</v>
      </c>
      <c r="AD27" s="700">
        <f>Recovery_OX!R22</f>
        <v>0</v>
      </c>
      <c r="AE27" s="650"/>
      <c r="AF27" s="702">
        <f>(AC27-AD27)*(1-Recovery_OX!U22)</f>
        <v>0.38872401162566111</v>
      </c>
    </row>
    <row r="28" spans="2:34">
      <c r="B28" s="695">
        <f t="shared" si="1"/>
        <v>2011</v>
      </c>
      <c r="C28" s="696">
        <f>IF(Select2=1,Food!$K30,"")</f>
        <v>0.37764408090699175</v>
      </c>
      <c r="D28" s="697">
        <f>IF(Select2=1,Paper!$K30,"")</f>
        <v>4.7822704073722591E-2</v>
      </c>
      <c r="E28" s="687">
        <f>IF(Select2=1,Nappies!$K30,"")</f>
        <v>0.10664474566646755</v>
      </c>
      <c r="F28" s="697">
        <f>IF(Select2=1,Garden!$K30,"")</f>
        <v>0</v>
      </c>
      <c r="G28" s="687">
        <f>IF(Select2=1,Wood!$K30,"")</f>
        <v>0</v>
      </c>
      <c r="H28" s="697">
        <f>IF(Select2=1,Textiles!$K30,"")</f>
        <v>1.1322620330735542E-2</v>
      </c>
      <c r="I28" s="698">
        <f>Sludge!K30</f>
        <v>0</v>
      </c>
      <c r="J28" s="698" t="str">
        <f>IF(Select2=2,MSW!$K30,"")</f>
        <v/>
      </c>
      <c r="K28" s="698">
        <f>Industry!$K30</f>
        <v>0</v>
      </c>
      <c r="L28" s="699">
        <f t="shared" si="3"/>
        <v>0.54343415097791736</v>
      </c>
      <c r="M28" s="700">
        <f>Recovery_OX!C23</f>
        <v>0</v>
      </c>
      <c r="N28" s="650"/>
      <c r="O28" s="701">
        <f>(L28-M28)*(1-Recovery_OX!F23)</f>
        <v>0.54343415097791736</v>
      </c>
      <c r="P28" s="641"/>
      <c r="Q28" s="652"/>
      <c r="S28" s="695">
        <f t="shared" si="2"/>
        <v>2011</v>
      </c>
      <c r="T28" s="696">
        <f>IF(Select2=1,Food!$W30,"")</f>
        <v>0.25266107107961089</v>
      </c>
      <c r="U28" s="697">
        <f>IF(Select2=1,Paper!$W30,"")</f>
        <v>9.8807239821740944E-2</v>
      </c>
      <c r="V28" s="687">
        <f>IF(Select2=1,Nappies!$W30,"")</f>
        <v>0</v>
      </c>
      <c r="W28" s="697">
        <f>IF(Select2=1,Garden!$W30,"")</f>
        <v>0</v>
      </c>
      <c r="X28" s="687">
        <f>IF(Select2=1,Wood!$W30,"")</f>
        <v>4.7809221292236151E-2</v>
      </c>
      <c r="Y28" s="697">
        <f>IF(Select2=1,Textiles!$W30,"")</f>
        <v>1.2408351047381416E-2</v>
      </c>
      <c r="Z28" s="689">
        <f>Sludge!W30</f>
        <v>0</v>
      </c>
      <c r="AA28" s="689" t="str">
        <f>IF(Select2=2,MSW!$W30,"")</f>
        <v/>
      </c>
      <c r="AB28" s="698">
        <f>Industry!$W30</f>
        <v>0</v>
      </c>
      <c r="AC28" s="699">
        <f t="shared" si="0"/>
        <v>0.41168588324096939</v>
      </c>
      <c r="AD28" s="700">
        <f>Recovery_OX!R23</f>
        <v>0</v>
      </c>
      <c r="AE28" s="650"/>
      <c r="AF28" s="702">
        <f>(AC28-AD28)*(1-Recovery_OX!U23)</f>
        <v>0.41168588324096939</v>
      </c>
    </row>
    <row r="29" spans="2:34">
      <c r="B29" s="695">
        <f t="shared" si="1"/>
        <v>2012</v>
      </c>
      <c r="C29" s="696">
        <f>IF(Select2=1,Food!$K31,"")</f>
        <v>0.37915990855631232</v>
      </c>
      <c r="D29" s="697">
        <f>IF(Select2=1,Paper!$K31,"")</f>
        <v>5.1207109000758991E-2</v>
      </c>
      <c r="E29" s="687">
        <f>IF(Select2=1,Nappies!$K31,"")</f>
        <v>0.11083960427627677</v>
      </c>
      <c r="F29" s="697">
        <f>IF(Select2=1,Garden!$K31,"")</f>
        <v>0</v>
      </c>
      <c r="G29" s="687">
        <f>IF(Select2=1,Wood!$K31,"")</f>
        <v>0</v>
      </c>
      <c r="H29" s="697">
        <f>IF(Select2=1,Textiles!$K31,"")</f>
        <v>1.2123920315262344E-2</v>
      </c>
      <c r="I29" s="698">
        <f>Sludge!K31</f>
        <v>0</v>
      </c>
      <c r="J29" s="698" t="str">
        <f>IF(Select2=2,MSW!$K31,"")</f>
        <v/>
      </c>
      <c r="K29" s="698">
        <f>Industry!$K31</f>
        <v>0</v>
      </c>
      <c r="L29" s="699">
        <f>SUM(C29:K29)</f>
        <v>0.55333054214861044</v>
      </c>
      <c r="M29" s="700">
        <f>Recovery_OX!C24</f>
        <v>0</v>
      </c>
      <c r="N29" s="650"/>
      <c r="O29" s="701">
        <f>(L29-M29)*(1-Recovery_OX!F24)</f>
        <v>0.55333054214861044</v>
      </c>
      <c r="P29" s="641"/>
      <c r="Q29" s="652"/>
      <c r="S29" s="695">
        <f t="shared" si="2"/>
        <v>2012</v>
      </c>
      <c r="T29" s="696">
        <f>IF(Select2=1,Food!$W31,"")</f>
        <v>0.25367522873972725</v>
      </c>
      <c r="U29" s="697">
        <f>IF(Select2=1,Paper!$W31,"")</f>
        <v>0.10579981198503927</v>
      </c>
      <c r="V29" s="687">
        <f>IF(Select2=1,Nappies!$W31,"")</f>
        <v>0</v>
      </c>
      <c r="W29" s="697">
        <f>IF(Select2=1,Garden!$W31,"")</f>
        <v>0</v>
      </c>
      <c r="X29" s="687">
        <f>IF(Select2=1,Wood!$W31,"")</f>
        <v>5.1903459476846825E-2</v>
      </c>
      <c r="Y29" s="697">
        <f>IF(Select2=1,Textiles!$W31,"")</f>
        <v>1.3286488016725858E-2</v>
      </c>
      <c r="Z29" s="689">
        <f>Sludge!W31</f>
        <v>0</v>
      </c>
      <c r="AA29" s="689" t="str">
        <f>IF(Select2=2,MSW!$W31,"")</f>
        <v/>
      </c>
      <c r="AB29" s="698">
        <f>Industry!$W31</f>
        <v>0</v>
      </c>
      <c r="AC29" s="699">
        <f t="shared" si="0"/>
        <v>0.42466498821833926</v>
      </c>
      <c r="AD29" s="700">
        <f>Recovery_OX!R24</f>
        <v>0</v>
      </c>
      <c r="AE29" s="650"/>
      <c r="AF29" s="702">
        <f>(AC29-AD29)*(1-Recovery_OX!U24)</f>
        <v>0.42466498821833926</v>
      </c>
    </row>
    <row r="30" spans="2:34">
      <c r="B30" s="695">
        <f t="shared" si="1"/>
        <v>2013</v>
      </c>
      <c r="C30" s="696">
        <f>IF(Select2=1,Food!$K32,"")</f>
        <v>0.38396358376379319</v>
      </c>
      <c r="D30" s="697">
        <f>IF(Select2=1,Paper!$K32,"")</f>
        <v>5.4561603447997181E-2</v>
      </c>
      <c r="E30" s="687">
        <f>IF(Select2=1,Nappies!$K32,"")</f>
        <v>0.11500584352953189</v>
      </c>
      <c r="F30" s="697">
        <f>IF(Select2=1,Garden!$K32,"")</f>
        <v>0</v>
      </c>
      <c r="G30" s="687">
        <f>IF(Select2=1,Wood!$K32,"")</f>
        <v>0</v>
      </c>
      <c r="H30" s="697">
        <f>IF(Select2=1,Textiles!$K32,"")</f>
        <v>1.2918138621468678E-2</v>
      </c>
      <c r="I30" s="698">
        <f>Sludge!K32</f>
        <v>0</v>
      </c>
      <c r="J30" s="698" t="str">
        <f>IF(Select2=2,MSW!$K32,"")</f>
        <v/>
      </c>
      <c r="K30" s="698">
        <f>Industry!$K32</f>
        <v>0</v>
      </c>
      <c r="L30" s="699">
        <f t="shared" si="3"/>
        <v>0.56644916936279088</v>
      </c>
      <c r="M30" s="700">
        <f>Recovery_OX!C25</f>
        <v>0</v>
      </c>
      <c r="N30" s="650"/>
      <c r="O30" s="701">
        <f>(L30-M30)*(1-Recovery_OX!F25)</f>
        <v>0.56644916936279088</v>
      </c>
      <c r="P30" s="641"/>
      <c r="Q30" s="652"/>
      <c r="S30" s="695">
        <f t="shared" si="2"/>
        <v>2013</v>
      </c>
      <c r="T30" s="696">
        <f>IF(Select2=1,Food!$W32,"")</f>
        <v>0.25688910599718545</v>
      </c>
      <c r="U30" s="697">
        <f>IF(Select2=1,Paper!$W32,"")</f>
        <v>0.11273058563635782</v>
      </c>
      <c r="V30" s="687">
        <f>IF(Select2=1,Nappies!$W32,"")</f>
        <v>0</v>
      </c>
      <c r="W30" s="697">
        <f>IF(Select2=1,Garden!$W32,"")</f>
        <v>0</v>
      </c>
      <c r="X30" s="687">
        <f>IF(Select2=1,Wood!$W32,"")</f>
        <v>5.6029358046987644E-2</v>
      </c>
      <c r="Y30" s="697">
        <f>IF(Select2=1,Textiles!$W32,"")</f>
        <v>1.4156864242705397E-2</v>
      </c>
      <c r="Z30" s="689">
        <f>Sludge!W32</f>
        <v>0</v>
      </c>
      <c r="AA30" s="689" t="str">
        <f>IF(Select2=2,MSW!$W32,"")</f>
        <v/>
      </c>
      <c r="AB30" s="698">
        <f>Industry!$W32</f>
        <v>0</v>
      </c>
      <c r="AC30" s="699">
        <f t="shared" si="0"/>
        <v>0.43980591392323631</v>
      </c>
      <c r="AD30" s="700">
        <f>Recovery_OX!R25</f>
        <v>0</v>
      </c>
      <c r="AE30" s="650"/>
      <c r="AF30" s="702">
        <f>(AC30-AD30)*(1-Recovery_OX!U25)</f>
        <v>0.43980591392323631</v>
      </c>
    </row>
    <row r="31" spans="2:34">
      <c r="B31" s="695">
        <f t="shared" si="1"/>
        <v>2014</v>
      </c>
      <c r="C31" s="696">
        <f>IF(Select2=1,Food!$K33,"")</f>
        <v>0.39112158841653244</v>
      </c>
      <c r="D31" s="697">
        <f>IF(Select2=1,Paper!$K33,"")</f>
        <v>5.7896108467941972E-2</v>
      </c>
      <c r="E31" s="687">
        <f>IF(Select2=1,Nappies!$K33,"")</f>
        <v>0.11917284550775697</v>
      </c>
      <c r="F31" s="697">
        <f>IF(Select2=1,Garden!$K33,"")</f>
        <v>0</v>
      </c>
      <c r="G31" s="687">
        <f>IF(Select2=1,Wood!$K33,"")</f>
        <v>0</v>
      </c>
      <c r="H31" s="697">
        <f>IF(Select2=1,Textiles!$K33,"")</f>
        <v>1.3707624182000002E-2</v>
      </c>
      <c r="I31" s="698">
        <f>Sludge!K33</f>
        <v>0</v>
      </c>
      <c r="J31" s="698" t="str">
        <f>IF(Select2=2,MSW!$K33,"")</f>
        <v/>
      </c>
      <c r="K31" s="698">
        <f>Industry!$K33</f>
        <v>0</v>
      </c>
      <c r="L31" s="699">
        <f t="shared" si="3"/>
        <v>0.58189816657423132</v>
      </c>
      <c r="M31" s="700">
        <f>Recovery_OX!C26</f>
        <v>0</v>
      </c>
      <c r="N31" s="650"/>
      <c r="O31" s="701">
        <f>(L31-M31)*(1-Recovery_OX!F26)</f>
        <v>0.58189816657423132</v>
      </c>
      <c r="P31" s="641"/>
      <c r="Q31" s="652"/>
      <c r="S31" s="695">
        <f t="shared" si="2"/>
        <v>2014</v>
      </c>
      <c r="T31" s="696">
        <f>IF(Select2=1,Food!$W33,"")</f>
        <v>0.26167813676396012</v>
      </c>
      <c r="U31" s="697">
        <f>IF(Select2=1,Paper!$W33,"")</f>
        <v>0.11962005881806193</v>
      </c>
      <c r="V31" s="687">
        <f>IF(Select2=1,Nappies!$W33,"")</f>
        <v>0</v>
      </c>
      <c r="W31" s="697">
        <f>IF(Select2=1,Garden!$W33,"")</f>
        <v>0</v>
      </c>
      <c r="X31" s="687">
        <f>IF(Select2=1,Wood!$W33,"")</f>
        <v>6.0192677888863996E-2</v>
      </c>
      <c r="Y31" s="697">
        <f>IF(Select2=1,Textiles!$W33,"")</f>
        <v>1.5022053898082194E-2</v>
      </c>
      <c r="Z31" s="689">
        <f>Sludge!W33</f>
        <v>0</v>
      </c>
      <c r="AA31" s="689" t="str">
        <f>IF(Select2=2,MSW!$W33,"")</f>
        <v/>
      </c>
      <c r="AB31" s="698">
        <f>Industry!$W33</f>
        <v>0</v>
      </c>
      <c r="AC31" s="699">
        <f t="shared" si="0"/>
        <v>0.45651292736896826</v>
      </c>
      <c r="AD31" s="700">
        <f>Recovery_OX!R26</f>
        <v>0</v>
      </c>
      <c r="AE31" s="650"/>
      <c r="AF31" s="702">
        <f>(AC31-AD31)*(1-Recovery_OX!U26)</f>
        <v>0.45651292736896826</v>
      </c>
    </row>
    <row r="32" spans="2:34">
      <c r="B32" s="695">
        <f t="shared" si="1"/>
        <v>2015</v>
      </c>
      <c r="C32" s="696">
        <f>IF(Select2=1,Food!$K34,"")</f>
        <v>0.39987333127487062</v>
      </c>
      <c r="D32" s="697">
        <f>IF(Select2=1,Paper!$K34,"")</f>
        <v>6.1212793825910786E-2</v>
      </c>
      <c r="E32" s="687">
        <f>IF(Select2=1,Nappies!$K34,"")</f>
        <v>0.1233430715152079</v>
      </c>
      <c r="F32" s="697">
        <f>IF(Select2=1,Garden!$K34,"")</f>
        <v>0</v>
      </c>
      <c r="G32" s="687">
        <f>IF(Select2=1,Wood!$K34,"")</f>
        <v>0</v>
      </c>
      <c r="H32" s="697">
        <f>IF(Select2=1,Textiles!$K34,"")</f>
        <v>1.4492890715797397E-2</v>
      </c>
      <c r="I32" s="698">
        <f>Sludge!K34</f>
        <v>0</v>
      </c>
      <c r="J32" s="698" t="str">
        <f>IF(Select2=2,MSW!$K34,"")</f>
        <v/>
      </c>
      <c r="K32" s="698">
        <f>Industry!$K34</f>
        <v>0</v>
      </c>
      <c r="L32" s="699">
        <f t="shared" si="3"/>
        <v>0.59892208733178676</v>
      </c>
      <c r="M32" s="700">
        <f>Recovery_OX!C27</f>
        <v>0</v>
      </c>
      <c r="N32" s="650"/>
      <c r="O32" s="701">
        <f>(L32-M32)*(1-Recovery_OX!F27)</f>
        <v>0.59892208733178676</v>
      </c>
      <c r="P32" s="641"/>
      <c r="Q32" s="652"/>
      <c r="S32" s="695">
        <f t="shared" si="2"/>
        <v>2015</v>
      </c>
      <c r="T32" s="696">
        <f>IF(Select2=1,Food!$W34,"")</f>
        <v>0.26753345089754954</v>
      </c>
      <c r="U32" s="697">
        <f>IF(Select2=1,Paper!$W34,"")</f>
        <v>0.12647271451634459</v>
      </c>
      <c r="V32" s="687">
        <f>IF(Select2=1,Nappies!$W34,"")</f>
        <v>0</v>
      </c>
      <c r="W32" s="697">
        <f>IF(Select2=1,Garden!$W34,"")</f>
        <v>0</v>
      </c>
      <c r="X32" s="687">
        <f>IF(Select2=1,Wood!$W34,"")</f>
        <v>6.439284158068935E-2</v>
      </c>
      <c r="Y32" s="697">
        <f>IF(Select2=1,Textiles!$W34,"")</f>
        <v>1.5882619962517691E-2</v>
      </c>
      <c r="Z32" s="689">
        <f>Sludge!W34</f>
        <v>0</v>
      </c>
      <c r="AA32" s="689" t="str">
        <f>IF(Select2=2,MSW!$W34,"")</f>
        <v/>
      </c>
      <c r="AB32" s="698">
        <f>Industry!$W34</f>
        <v>0</v>
      </c>
      <c r="AC32" s="699">
        <f t="shared" si="0"/>
        <v>0.47428162695710119</v>
      </c>
      <c r="AD32" s="700">
        <f>Recovery_OX!R27</f>
        <v>0</v>
      </c>
      <c r="AE32" s="650"/>
      <c r="AF32" s="702">
        <f>(AC32-AD32)*(1-Recovery_OX!U27)</f>
        <v>0.47428162695710119</v>
      </c>
    </row>
    <row r="33" spans="2:32">
      <c r="B33" s="695">
        <f t="shared" si="1"/>
        <v>2016</v>
      </c>
      <c r="C33" s="696">
        <f>IF(Select2=1,Food!$K35,"")</f>
        <v>0.40958159065826721</v>
      </c>
      <c r="D33" s="697">
        <f>IF(Select2=1,Paper!$K35,"")</f>
        <v>6.4506993422840567E-2</v>
      </c>
      <c r="E33" s="687">
        <f>IF(Select2=1,Nappies!$K35,"")</f>
        <v>0.12749750491722139</v>
      </c>
      <c r="F33" s="697">
        <f>IF(Select2=1,Garden!$K35,"")</f>
        <v>0</v>
      </c>
      <c r="G33" s="687">
        <f>IF(Select2=1,Wood!$K35,"")</f>
        <v>0</v>
      </c>
      <c r="H33" s="697">
        <f>IF(Select2=1,Textiles!$K35,"")</f>
        <v>1.5272833465839266E-2</v>
      </c>
      <c r="I33" s="698">
        <f>Sludge!K35</f>
        <v>0</v>
      </c>
      <c r="J33" s="698" t="str">
        <f>IF(Select2=2,MSW!$K35,"")</f>
        <v/>
      </c>
      <c r="K33" s="698">
        <f>Industry!$K35</f>
        <v>0</v>
      </c>
      <c r="L33" s="699">
        <f t="shared" si="3"/>
        <v>0.6168589224641684</v>
      </c>
      <c r="M33" s="700">
        <f>Recovery_OX!C28</f>
        <v>0</v>
      </c>
      <c r="N33" s="650"/>
      <c r="O33" s="701">
        <f>(L33-M33)*(1-Recovery_OX!F28)</f>
        <v>0.6168589224641684</v>
      </c>
      <c r="P33" s="641"/>
      <c r="Q33" s="652"/>
      <c r="S33" s="695">
        <f t="shared" si="2"/>
        <v>2016</v>
      </c>
      <c r="T33" s="696">
        <f>IF(Select2=1,Food!$W35,"")</f>
        <v>0.27402871810321183</v>
      </c>
      <c r="U33" s="697">
        <f>IF(Select2=1,Paper!$W35,"")</f>
        <v>0.13327891203066228</v>
      </c>
      <c r="V33" s="687">
        <f>IF(Select2=1,Nappies!$W35,"")</f>
        <v>0</v>
      </c>
      <c r="W33" s="697">
        <f>IF(Select2=1,Garden!$W35,"")</f>
        <v>0</v>
      </c>
      <c r="X33" s="687">
        <f>IF(Select2=1,Wood!$W35,"")</f>
        <v>6.8623490802239659E-2</v>
      </c>
      <c r="Y33" s="697">
        <f>IF(Select2=1,Textiles!$W35,"")</f>
        <v>1.6737351743385497E-2</v>
      </c>
      <c r="Z33" s="689">
        <f>Sludge!W35</f>
        <v>0</v>
      </c>
      <c r="AA33" s="689" t="str">
        <f>IF(Select2=2,MSW!$W35,"")</f>
        <v/>
      </c>
      <c r="AB33" s="698">
        <f>Industry!$W35</f>
        <v>0</v>
      </c>
      <c r="AC33" s="699">
        <f t="shared" si="0"/>
        <v>0.49266847267949926</v>
      </c>
      <c r="AD33" s="700">
        <f>Recovery_OX!R28</f>
        <v>0</v>
      </c>
      <c r="AE33" s="650"/>
      <c r="AF33" s="702">
        <f>(AC33-AD33)*(1-Recovery_OX!U28)</f>
        <v>0.49266847267949926</v>
      </c>
    </row>
    <row r="34" spans="2:32">
      <c r="B34" s="695">
        <f t="shared" si="1"/>
        <v>2017</v>
      </c>
      <c r="C34" s="696">
        <f>IF(Select2=1,Food!$K36,"")</f>
        <v>0.42011057683493364</v>
      </c>
      <c r="D34" s="697">
        <f>IF(Select2=1,Paper!$K36,"")</f>
        <v>6.7789656325202591E-2</v>
      </c>
      <c r="E34" s="687">
        <f>IF(Select2=1,Nappies!$K36,"")</f>
        <v>0.13166834702001451</v>
      </c>
      <c r="F34" s="697">
        <f>IF(Select2=1,Garden!$K36,"")</f>
        <v>0</v>
      </c>
      <c r="G34" s="687">
        <f>IF(Select2=1,Wood!$K36,"")</f>
        <v>0</v>
      </c>
      <c r="H34" s="697">
        <f>IF(Select2=1,Textiles!$K36,"")</f>
        <v>1.6050044759871027E-2</v>
      </c>
      <c r="I34" s="698">
        <f>Sludge!K36</f>
        <v>0</v>
      </c>
      <c r="J34" s="698" t="str">
        <f>IF(Select2=2,MSW!$K36,"")</f>
        <v/>
      </c>
      <c r="K34" s="698">
        <f>Industry!$K36</f>
        <v>0</v>
      </c>
      <c r="L34" s="699">
        <f t="shared" si="3"/>
        <v>0.63561862494002175</v>
      </c>
      <c r="M34" s="700">
        <f>Recovery_OX!C29</f>
        <v>0</v>
      </c>
      <c r="N34" s="650"/>
      <c r="O34" s="701">
        <f>(L34-M34)*(1-Recovery_OX!F29)</f>
        <v>0.63561862494002175</v>
      </c>
      <c r="P34" s="641"/>
      <c r="Q34" s="652"/>
      <c r="S34" s="695">
        <f t="shared" si="2"/>
        <v>2017</v>
      </c>
      <c r="T34" s="696">
        <f>IF(Select2=1,Food!$W36,"")</f>
        <v>0.28107308887261401</v>
      </c>
      <c r="U34" s="697">
        <f>IF(Select2=1,Paper!$W36,"")</f>
        <v>0.1400612733991789</v>
      </c>
      <c r="V34" s="687">
        <f>IF(Select2=1,Nappies!$W36,"")</f>
        <v>0</v>
      </c>
      <c r="W34" s="697">
        <f>IF(Select2=1,Garden!$W36,"")</f>
        <v>0</v>
      </c>
      <c r="X34" s="687">
        <f>IF(Select2=1,Wood!$W36,"")</f>
        <v>7.289175361765543E-2</v>
      </c>
      <c r="Y34" s="697">
        <f>IF(Select2=1,Textiles!$W36,"")</f>
        <v>1.7589090147803861E-2</v>
      </c>
      <c r="Z34" s="689">
        <f>Sludge!W36</f>
        <v>0</v>
      </c>
      <c r="AA34" s="689" t="str">
        <f>IF(Select2=2,MSW!$W36,"")</f>
        <v/>
      </c>
      <c r="AB34" s="698">
        <f>Industry!$W36</f>
        <v>0</v>
      </c>
      <c r="AC34" s="699">
        <f t="shared" si="0"/>
        <v>0.51161520603725219</v>
      </c>
      <c r="AD34" s="700">
        <f>Recovery_OX!R29</f>
        <v>0</v>
      </c>
      <c r="AE34" s="650"/>
      <c r="AF34" s="702">
        <f>(AC34-AD34)*(1-Recovery_OX!U29)</f>
        <v>0.51161520603725219</v>
      </c>
    </row>
    <row r="35" spans="2:32">
      <c r="B35" s="695">
        <f t="shared" si="1"/>
        <v>2018</v>
      </c>
      <c r="C35" s="696">
        <f>IF(Select2=1,Food!$K37,"")</f>
        <v>0.43223058721637053</v>
      </c>
      <c r="D35" s="697">
        <f>IF(Select2=1,Paper!$K37,"")</f>
        <v>7.1116221582627273E-2</v>
      </c>
      <c r="E35" s="687">
        <f>IF(Select2=1,Nappies!$K37,"")</f>
        <v>0.13602539053308188</v>
      </c>
      <c r="F35" s="697">
        <f>IF(Select2=1,Garden!$K37,"")</f>
        <v>0</v>
      </c>
      <c r="G35" s="687">
        <f>IF(Select2=1,Wood!$K37,"")</f>
        <v>0</v>
      </c>
      <c r="H35" s="697">
        <f>IF(Select2=1,Textiles!$K37,"")</f>
        <v>1.6837650482817407E-2</v>
      </c>
      <c r="I35" s="698">
        <f>Sludge!K37</f>
        <v>0</v>
      </c>
      <c r="J35" s="698" t="str">
        <f>IF(Select2=2,MSW!$K37,"")</f>
        <v/>
      </c>
      <c r="K35" s="698">
        <f>Industry!$K37</f>
        <v>0</v>
      </c>
      <c r="L35" s="699">
        <f t="shared" si="3"/>
        <v>0.65620984981489716</v>
      </c>
      <c r="M35" s="700">
        <f>Recovery_OX!C30</f>
        <v>0</v>
      </c>
      <c r="N35" s="650"/>
      <c r="O35" s="701">
        <f>(L35-M35)*(1-Recovery_OX!F30)</f>
        <v>0.65620984981489716</v>
      </c>
      <c r="P35" s="641"/>
      <c r="Q35" s="652"/>
      <c r="S35" s="695">
        <f t="shared" si="2"/>
        <v>2018</v>
      </c>
      <c r="T35" s="696">
        <f>IF(Select2=1,Food!$W37,"")</f>
        <v>0.28918192721880276</v>
      </c>
      <c r="U35" s="697">
        <f>IF(Select2=1,Paper!$W37,"")</f>
        <v>0.14693434211286624</v>
      </c>
      <c r="V35" s="687">
        <f>IF(Select2=1,Nappies!$W37,"")</f>
        <v>0</v>
      </c>
      <c r="W35" s="697">
        <f>IF(Select2=1,Garden!$W37,"")</f>
        <v>0</v>
      </c>
      <c r="X35" s="687">
        <f>IF(Select2=1,Wood!$W37,"")</f>
        <v>7.7243735926177448E-2</v>
      </c>
      <c r="Y35" s="697">
        <f>IF(Select2=1,Textiles!$W37,"")</f>
        <v>1.8452219707197157E-2</v>
      </c>
      <c r="Z35" s="689">
        <f>Sludge!W37</f>
        <v>0</v>
      </c>
      <c r="AA35" s="689" t="str">
        <f>IF(Select2=2,MSW!$W37,"")</f>
        <v/>
      </c>
      <c r="AB35" s="698">
        <f>Industry!$W37</f>
        <v>0</v>
      </c>
      <c r="AC35" s="699">
        <f t="shared" si="0"/>
        <v>0.53181222496504355</v>
      </c>
      <c r="AD35" s="700">
        <f>Recovery_OX!R30</f>
        <v>0</v>
      </c>
      <c r="AE35" s="650"/>
      <c r="AF35" s="702">
        <f>(AC35-AD35)*(1-Recovery_OX!U30)</f>
        <v>0.53181222496504355</v>
      </c>
    </row>
    <row r="36" spans="2:32">
      <c r="B36" s="695">
        <f t="shared" si="1"/>
        <v>2019</v>
      </c>
      <c r="C36" s="696">
        <f>IF(Select2=1,Food!$K38,"")</f>
        <v>0.44449065907690244</v>
      </c>
      <c r="D36" s="697">
        <f>IF(Select2=1,Paper!$K38,"")</f>
        <v>7.4435071609948888E-2</v>
      </c>
      <c r="E36" s="687">
        <f>IF(Select2=1,Nappies!$K38,"")</f>
        <v>0.14038611783419533</v>
      </c>
      <c r="F36" s="697">
        <f>IF(Select2=1,Garden!$K38,"")</f>
        <v>0</v>
      </c>
      <c r="G36" s="687">
        <f>IF(Select2=1,Wood!$K38,"")</f>
        <v>0</v>
      </c>
      <c r="H36" s="697">
        <f>IF(Select2=1,Textiles!$K38,"")</f>
        <v>1.7623429529022825E-2</v>
      </c>
      <c r="I36" s="698">
        <f>Sludge!K38</f>
        <v>0</v>
      </c>
      <c r="J36" s="698" t="str">
        <f>IF(Select2=2,MSW!$K38,"")</f>
        <v/>
      </c>
      <c r="K36" s="698">
        <f>Industry!$K38</f>
        <v>0</v>
      </c>
      <c r="L36" s="699">
        <f t="shared" si="3"/>
        <v>0.67693527805006948</v>
      </c>
      <c r="M36" s="700">
        <f>Recovery_OX!C31</f>
        <v>0</v>
      </c>
      <c r="N36" s="650"/>
      <c r="O36" s="701">
        <f>(L36-M36)*(1-Recovery_OX!F31)</f>
        <v>0.67693527805006948</v>
      </c>
      <c r="P36" s="641"/>
      <c r="Q36" s="652"/>
      <c r="S36" s="695">
        <f t="shared" si="2"/>
        <v>2019</v>
      </c>
      <c r="T36" s="696">
        <f>IF(Select2=1,Food!$W38,"")</f>
        <v>0.29738447306661625</v>
      </c>
      <c r="U36" s="697">
        <f>IF(Select2=1,Paper!$W38,"")</f>
        <v>0.15379147026848941</v>
      </c>
      <c r="V36" s="687">
        <f>IF(Select2=1,Nappies!$W38,"")</f>
        <v>0</v>
      </c>
      <c r="W36" s="697">
        <f>IF(Select2=1,Garden!$W38,"")</f>
        <v>0</v>
      </c>
      <c r="X36" s="687">
        <f>IF(Select2=1,Wood!$W38,"")</f>
        <v>8.1634370053772137E-2</v>
      </c>
      <c r="Y36" s="697">
        <f>IF(Select2=1,Textiles!$W38,"")</f>
        <v>1.9313347429066114E-2</v>
      </c>
      <c r="Z36" s="689">
        <f>Sludge!W38</f>
        <v>0</v>
      </c>
      <c r="AA36" s="689" t="str">
        <f>IF(Select2=2,MSW!$W38,"")</f>
        <v/>
      </c>
      <c r="AB36" s="698">
        <f>Industry!$W38</f>
        <v>0</v>
      </c>
      <c r="AC36" s="699">
        <f t="shared" si="0"/>
        <v>0.55212366081794395</v>
      </c>
      <c r="AD36" s="700">
        <f>Recovery_OX!R31</f>
        <v>0</v>
      </c>
      <c r="AE36" s="650"/>
      <c r="AF36" s="702">
        <f>(AC36-AD36)*(1-Recovery_OX!U31)</f>
        <v>0.55212366081794395</v>
      </c>
    </row>
    <row r="37" spans="2:32">
      <c r="B37" s="695">
        <f t="shared" si="1"/>
        <v>2020</v>
      </c>
      <c r="C37" s="696">
        <f>IF(Select2=1,Food!$K39,"")</f>
        <v>0.45684461695454925</v>
      </c>
      <c r="D37" s="697">
        <f>IF(Select2=1,Paper!$K39,"")</f>
        <v>7.7746728004403257E-2</v>
      </c>
      <c r="E37" s="687">
        <f>IF(Select2=1,Nappies!$K39,"")</f>
        <v>0.14474995301767513</v>
      </c>
      <c r="F37" s="697">
        <f>IF(Select2=1,Garden!$K39,"")</f>
        <v>0</v>
      </c>
      <c r="G37" s="687">
        <f>IF(Select2=1,Wood!$K39,"")</f>
        <v>0</v>
      </c>
      <c r="H37" s="697">
        <f>IF(Select2=1,Textiles!$K39,"")</f>
        <v>1.8407505393124014E-2</v>
      </c>
      <c r="I37" s="698">
        <f>Sludge!K39</f>
        <v>0</v>
      </c>
      <c r="J37" s="698" t="str">
        <f>IF(Select2=2,MSW!$K39,"")</f>
        <v/>
      </c>
      <c r="K37" s="698">
        <f>Industry!$K39</f>
        <v>0</v>
      </c>
      <c r="L37" s="699">
        <f t="shared" si="3"/>
        <v>0.69774880336975165</v>
      </c>
      <c r="M37" s="700">
        <f>Recovery_OX!C32</f>
        <v>0</v>
      </c>
      <c r="N37" s="650"/>
      <c r="O37" s="701">
        <f>(L37-M37)*(1-Recovery_OX!F32)</f>
        <v>0.69774880336975165</v>
      </c>
      <c r="P37" s="641"/>
      <c r="Q37" s="652"/>
      <c r="S37" s="695">
        <f t="shared" si="2"/>
        <v>2020</v>
      </c>
      <c r="T37" s="696">
        <f>IF(Select2=1,Food!$W39,"")</f>
        <v>0.30564983293123271</v>
      </c>
      <c r="U37" s="697">
        <f>IF(Select2=1,Paper!$W39,"")</f>
        <v>0.16063373554628771</v>
      </c>
      <c r="V37" s="687">
        <f>IF(Select2=1,Nappies!$W39,"")</f>
        <v>0</v>
      </c>
      <c r="W37" s="697">
        <f>IF(Select2=1,Garden!$W39,"")</f>
        <v>0</v>
      </c>
      <c r="X37" s="687">
        <f>IF(Select2=1,Wood!$W39,"")</f>
        <v>8.6062326587211607E-2</v>
      </c>
      <c r="Y37" s="697">
        <f>IF(Select2=1,Textiles!$W39,"")</f>
        <v>2.0172608649998924E-2</v>
      </c>
      <c r="Z37" s="689">
        <f>Sludge!W39</f>
        <v>0</v>
      </c>
      <c r="AA37" s="689" t="str">
        <f>IF(Select2=2,MSW!$W39,"")</f>
        <v/>
      </c>
      <c r="AB37" s="698">
        <f>Industry!$W39</f>
        <v>0</v>
      </c>
      <c r="AC37" s="699">
        <f t="shared" si="0"/>
        <v>0.5725185037147309</v>
      </c>
      <c r="AD37" s="700">
        <f>Recovery_OX!R32</f>
        <v>0</v>
      </c>
      <c r="AE37" s="650"/>
      <c r="AF37" s="702">
        <f>(AC37-AD37)*(1-Recovery_OX!U32)</f>
        <v>0.5725185037147309</v>
      </c>
    </row>
    <row r="38" spans="2:32">
      <c r="B38" s="695">
        <f t="shared" si="1"/>
        <v>2021</v>
      </c>
      <c r="C38" s="696">
        <f>IF(Select2=1,Food!$K40,"")</f>
        <v>0.46926150851151049</v>
      </c>
      <c r="D38" s="697">
        <f>IF(Select2=1,Paper!$K40,"")</f>
        <v>8.1051677100029529E-2</v>
      </c>
      <c r="E38" s="687">
        <f>IF(Select2=1,Nappies!$K40,"")</f>
        <v>0.14911641021216149</v>
      </c>
      <c r="F38" s="697">
        <f>IF(Select2=1,Garden!$K40,"")</f>
        <v>0</v>
      </c>
      <c r="G38" s="687">
        <f>IF(Select2=1,Wood!$K40,"")</f>
        <v>0</v>
      </c>
      <c r="H38" s="697">
        <f>IF(Select2=1,Textiles!$K40,"")</f>
        <v>1.918999322075704E-2</v>
      </c>
      <c r="I38" s="698">
        <f>Sludge!K40</f>
        <v>0</v>
      </c>
      <c r="J38" s="698" t="str">
        <f>IF(Select2=2,MSW!$K40,"")</f>
        <v/>
      </c>
      <c r="K38" s="698">
        <f>Industry!$K40</f>
        <v>0</v>
      </c>
      <c r="L38" s="699">
        <f t="shared" si="3"/>
        <v>0.71861958904445844</v>
      </c>
      <c r="M38" s="700">
        <f>Recovery_OX!C33</f>
        <v>0</v>
      </c>
      <c r="N38" s="650"/>
      <c r="O38" s="701">
        <f>(L38-M38)*(1-Recovery_OX!F33)</f>
        <v>0.71861958904445844</v>
      </c>
      <c r="P38" s="641"/>
      <c r="Q38" s="652"/>
      <c r="S38" s="695">
        <f t="shared" si="2"/>
        <v>2021</v>
      </c>
      <c r="T38" s="696">
        <f>IF(Select2=1,Food!$W40,"")</f>
        <v>0.3139572982904843</v>
      </c>
      <c r="U38" s="697">
        <f>IF(Select2=1,Paper!$W40,"")</f>
        <v>0.16746214276865606</v>
      </c>
      <c r="V38" s="687">
        <f>IF(Select2=1,Nappies!$W40,"")</f>
        <v>0</v>
      </c>
      <c r="W38" s="697">
        <f>IF(Select2=1,Garden!$W40,"")</f>
        <v>0</v>
      </c>
      <c r="X38" s="687">
        <f>IF(Select2=1,Wood!$W40,"")</f>
        <v>9.052632183788259E-2</v>
      </c>
      <c r="Y38" s="697">
        <f>IF(Select2=1,Textiles!$W40,"")</f>
        <v>2.1030129556994018E-2</v>
      </c>
      <c r="Z38" s="689">
        <f>Sludge!W40</f>
        <v>0</v>
      </c>
      <c r="AA38" s="689" t="str">
        <f>IF(Select2=2,MSW!$W40,"")</f>
        <v/>
      </c>
      <c r="AB38" s="698">
        <f>Industry!$W40</f>
        <v>0</v>
      </c>
      <c r="AC38" s="699">
        <f t="shared" si="0"/>
        <v>0.59297589245401694</v>
      </c>
      <c r="AD38" s="700">
        <f>Recovery_OX!R33</f>
        <v>0</v>
      </c>
      <c r="AE38" s="650"/>
      <c r="AF38" s="702">
        <f>(AC38-AD38)*(1-Recovery_OX!U33)</f>
        <v>0.59297589245401694</v>
      </c>
    </row>
    <row r="39" spans="2:32">
      <c r="B39" s="695">
        <f t="shared" si="1"/>
        <v>2022</v>
      </c>
      <c r="C39" s="696">
        <f>IF(Select2=1,Food!$K41,"")</f>
        <v>0.48172058577528709</v>
      </c>
      <c r="D39" s="697">
        <f>IF(Select2=1,Paper!$K41,"")</f>
        <v>8.435037235168022E-2</v>
      </c>
      <c r="E39" s="687">
        <f>IF(Select2=1,Nappies!$K41,"")</f>
        <v>0.15348507950508278</v>
      </c>
      <c r="F39" s="697">
        <f>IF(Select2=1,Garden!$K41,"")</f>
        <v>0</v>
      </c>
      <c r="G39" s="687">
        <f>IF(Select2=1,Wood!$K41,"")</f>
        <v>0</v>
      </c>
      <c r="H39" s="697">
        <f>IF(Select2=1,Textiles!$K41,"")</f>
        <v>1.9971000373001365E-2</v>
      </c>
      <c r="I39" s="698">
        <f>Sludge!K41</f>
        <v>0</v>
      </c>
      <c r="J39" s="698" t="str">
        <f>IF(Select2=2,MSW!$K41,"")</f>
        <v/>
      </c>
      <c r="K39" s="698">
        <f>Industry!$K41</f>
        <v>0</v>
      </c>
      <c r="L39" s="699">
        <f t="shared" si="3"/>
        <v>0.73952703800505137</v>
      </c>
      <c r="M39" s="700">
        <f>Recovery_OX!C34</f>
        <v>0</v>
      </c>
      <c r="N39" s="650"/>
      <c r="O39" s="701">
        <f>(L39-M39)*(1-Recovery_OX!F34)</f>
        <v>0.73952703800505137</v>
      </c>
      <c r="P39" s="641"/>
      <c r="Q39" s="652"/>
      <c r="S39" s="695">
        <f t="shared" si="2"/>
        <v>2022</v>
      </c>
      <c r="T39" s="696">
        <f>IF(Select2=1,Food!$W41,"")</f>
        <v>0.32229298780683791</v>
      </c>
      <c r="U39" s="697">
        <f>IF(Select2=1,Paper!$W41,"")</f>
        <v>0.17427762882578562</v>
      </c>
      <c r="V39" s="687">
        <f>IF(Select2=1,Nappies!$W41,"")</f>
        <v>0</v>
      </c>
      <c r="W39" s="697">
        <f>IF(Select2=1,Garden!$W41,"")</f>
        <v>0</v>
      </c>
      <c r="X39" s="687">
        <f>IF(Select2=1,Wood!$W41,"")</f>
        <v>9.5025116269107271E-2</v>
      </c>
      <c r="Y39" s="697">
        <f>IF(Select2=1,Textiles!$W41,"")</f>
        <v>2.1886027806028892E-2</v>
      </c>
      <c r="Z39" s="689">
        <f>Sludge!W41</f>
        <v>0</v>
      </c>
      <c r="AA39" s="689" t="str">
        <f>IF(Select2=2,MSW!$W41,"")</f>
        <v/>
      </c>
      <c r="AB39" s="698">
        <f>Industry!$W41</f>
        <v>0</v>
      </c>
      <c r="AC39" s="699">
        <f t="shared" si="0"/>
        <v>0.61348176070775973</v>
      </c>
      <c r="AD39" s="700">
        <f>Recovery_OX!R34</f>
        <v>0</v>
      </c>
      <c r="AE39" s="650"/>
      <c r="AF39" s="702">
        <f>(AC39-AD39)*(1-Recovery_OX!U34)</f>
        <v>0.61348176070775973</v>
      </c>
    </row>
    <row r="40" spans="2:32">
      <c r="B40" s="695">
        <f t="shared" si="1"/>
        <v>2023</v>
      </c>
      <c r="C40" s="696">
        <f>IF(Select2=1,Food!$K42,"")</f>
        <v>0.49420794096399817</v>
      </c>
      <c r="D40" s="697">
        <f>IF(Select2=1,Paper!$K42,"")</f>
        <v>8.7643236557857454E-2</v>
      </c>
      <c r="E40" s="687">
        <f>IF(Select2=1,Nappies!$K42,"")</f>
        <v>0.15785561506762452</v>
      </c>
      <c r="F40" s="697">
        <f>IF(Select2=1,Garden!$K42,"")</f>
        <v>0</v>
      </c>
      <c r="G40" s="687">
        <f>IF(Select2=1,Wood!$K42,"")</f>
        <v>0</v>
      </c>
      <c r="H40" s="697">
        <f>IF(Select2=1,Textiles!$K42,"")</f>
        <v>2.0750626952663977E-2</v>
      </c>
      <c r="I40" s="698">
        <f>Sludge!K42</f>
        <v>0</v>
      </c>
      <c r="J40" s="698" t="str">
        <f>IF(Select2=2,MSW!$K42,"")</f>
        <v/>
      </c>
      <c r="K40" s="698">
        <f>Industry!$K42</f>
        <v>0</v>
      </c>
      <c r="L40" s="699">
        <f t="shared" si="3"/>
        <v>0.76045741954214419</v>
      </c>
      <c r="M40" s="700">
        <f>Recovery_OX!C35</f>
        <v>0</v>
      </c>
      <c r="N40" s="650"/>
      <c r="O40" s="701">
        <f>(L40-M40)*(1-Recovery_OX!F35)</f>
        <v>0.76045741954214419</v>
      </c>
      <c r="P40" s="641"/>
      <c r="Q40" s="652"/>
      <c r="S40" s="695">
        <f t="shared" si="2"/>
        <v>2023</v>
      </c>
      <c r="T40" s="696">
        <f>IF(Select2=1,Food!$W42,"")</f>
        <v>0.33064759654147957</v>
      </c>
      <c r="U40" s="697">
        <f>IF(Select2=1,Paper!$W42,"")</f>
        <v>0.18108106726830056</v>
      </c>
      <c r="V40" s="687">
        <f>IF(Select2=1,Nappies!$W42,"")</f>
        <v>0</v>
      </c>
      <c r="W40" s="697">
        <f>IF(Select2=1,Garden!$W42,"")</f>
        <v>0</v>
      </c>
      <c r="X40" s="687">
        <f>IF(Select2=1,Wood!$W42,"")</f>
        <v>9.955751297755594E-2</v>
      </c>
      <c r="Y40" s="697">
        <f>IF(Select2=1,Textiles!$W42,"")</f>
        <v>2.2740413098809836E-2</v>
      </c>
      <c r="Z40" s="689">
        <f>Sludge!W42</f>
        <v>0</v>
      </c>
      <c r="AA40" s="689" t="str">
        <f>IF(Select2=2,MSW!$W42,"")</f>
        <v/>
      </c>
      <c r="AB40" s="698">
        <f>Industry!$W42</f>
        <v>0</v>
      </c>
      <c r="AC40" s="699">
        <f t="shared" si="0"/>
        <v>0.63402658988614591</v>
      </c>
      <c r="AD40" s="700">
        <f>Recovery_OX!R35</f>
        <v>0</v>
      </c>
      <c r="AE40" s="650"/>
      <c r="AF40" s="702">
        <f>(AC40-AD40)*(1-Recovery_OX!U35)</f>
        <v>0.63402658988614591</v>
      </c>
    </row>
    <row r="41" spans="2:32">
      <c r="B41" s="695">
        <f t="shared" si="1"/>
        <v>2024</v>
      </c>
      <c r="C41" s="696">
        <f>IF(Select2=1,Food!$K43,"")</f>
        <v>0.50671425141265303</v>
      </c>
      <c r="D41" s="697">
        <f>IF(Select2=1,Paper!$K43,"")</f>
        <v>9.0930663933271608E-2</v>
      </c>
      <c r="E41" s="687">
        <f>IF(Select2=1,Nappies!$K43,"")</f>
        <v>0.16222772513618333</v>
      </c>
      <c r="F41" s="697">
        <f>IF(Select2=1,Garden!$K43,"")</f>
        <v>0</v>
      </c>
      <c r="G41" s="687">
        <f>IF(Select2=1,Wood!$K43,"")</f>
        <v>0</v>
      </c>
      <c r="H41" s="697">
        <f>IF(Select2=1,Textiles!$K43,"")</f>
        <v>2.1528966294983468E-2</v>
      </c>
      <c r="I41" s="698">
        <f>Sludge!K43</f>
        <v>0</v>
      </c>
      <c r="J41" s="698" t="str">
        <f>IF(Select2=2,MSW!$K43,"")</f>
        <v/>
      </c>
      <c r="K41" s="698">
        <f>Industry!$K43</f>
        <v>0</v>
      </c>
      <c r="L41" s="699">
        <f t="shared" si="3"/>
        <v>0.78140160677709147</v>
      </c>
      <c r="M41" s="700">
        <f>Recovery_OX!C36</f>
        <v>0</v>
      </c>
      <c r="N41" s="650"/>
      <c r="O41" s="701">
        <f>(L41-M41)*(1-Recovery_OX!F36)</f>
        <v>0.78140160677709147</v>
      </c>
      <c r="P41" s="641"/>
      <c r="Q41" s="652"/>
      <c r="S41" s="695">
        <f t="shared" si="2"/>
        <v>2024</v>
      </c>
      <c r="T41" s="696">
        <f>IF(Select2=1,Food!$W43,"")</f>
        <v>0.33901488720739503</v>
      </c>
      <c r="U41" s="697">
        <f>IF(Select2=1,Paper!$W43,"")</f>
        <v>0.18787327258940423</v>
      </c>
      <c r="V41" s="687">
        <f>IF(Select2=1,Nappies!$W43,"")</f>
        <v>0</v>
      </c>
      <c r="W41" s="697">
        <f>IF(Select2=1,Garden!$W43,"")</f>
        <v>0</v>
      </c>
      <c r="X41" s="687">
        <f>IF(Select2=1,Wood!$W43,"")</f>
        <v>0.10412235622689067</v>
      </c>
      <c r="Y41" s="697">
        <f>IF(Select2=1,Textiles!$W43,"")</f>
        <v>2.3593387720529827E-2</v>
      </c>
      <c r="Z41" s="689">
        <f>Sludge!W43</f>
        <v>0</v>
      </c>
      <c r="AA41" s="689" t="str">
        <f>IF(Select2=2,MSW!$W43,"")</f>
        <v/>
      </c>
      <c r="AB41" s="698">
        <f>Industry!$W43</f>
        <v>0</v>
      </c>
      <c r="AC41" s="699">
        <f t="shared" si="0"/>
        <v>0.65460390374421984</v>
      </c>
      <c r="AD41" s="700">
        <f>Recovery_OX!R36</f>
        <v>0</v>
      </c>
      <c r="AE41" s="650"/>
      <c r="AF41" s="702">
        <f>(AC41-AD41)*(1-Recovery_OX!U36)</f>
        <v>0.65460390374421984</v>
      </c>
    </row>
    <row r="42" spans="2:32">
      <c r="B42" s="695">
        <f t="shared" si="1"/>
        <v>2025</v>
      </c>
      <c r="C42" s="696">
        <f>IF(Select2=1,Food!$K44,"")</f>
        <v>0.51923326795202618</v>
      </c>
      <c r="D42" s="697">
        <f>IF(Select2=1,Paper!$K44,"")</f>
        <v>9.4213022041282415E-2</v>
      </c>
      <c r="E42" s="687">
        <f>IF(Select2=1,Nappies!$K44,"")</f>
        <v>0.16660116356007221</v>
      </c>
      <c r="F42" s="697">
        <f>IF(Select2=1,Garden!$K44,"")</f>
        <v>0</v>
      </c>
      <c r="G42" s="687">
        <f>IF(Select2=1,Wood!$K44,"")</f>
        <v>0</v>
      </c>
      <c r="H42" s="697">
        <f>IF(Select2=1,Textiles!$K44,"")</f>
        <v>2.2306105425159484E-2</v>
      </c>
      <c r="I42" s="698">
        <f>Sludge!K44</f>
        <v>0</v>
      </c>
      <c r="J42" s="698" t="str">
        <f>IF(Select2=2,MSW!$K44,"")</f>
        <v/>
      </c>
      <c r="K42" s="698">
        <f>Industry!$K44</f>
        <v>0</v>
      </c>
      <c r="L42" s="699">
        <f t="shared" si="3"/>
        <v>0.80235355897854022</v>
      </c>
      <c r="M42" s="700">
        <f>Recovery_OX!C37</f>
        <v>0</v>
      </c>
      <c r="N42" s="650"/>
      <c r="O42" s="701">
        <f>(L42-M42)*(1-Recovery_OX!F37)</f>
        <v>0.80235355897854022</v>
      </c>
      <c r="P42" s="641"/>
      <c r="Q42" s="652"/>
      <c r="S42" s="695">
        <f t="shared" si="2"/>
        <v>2025</v>
      </c>
      <c r="T42" s="696">
        <f>IF(Select2=1,Food!$W44,"")</f>
        <v>0.34739067882606578</v>
      </c>
      <c r="U42" s="697">
        <f>IF(Select2=1,Paper!$W44,"")</f>
        <v>0.19465500421752571</v>
      </c>
      <c r="V42" s="687">
        <f>IF(Select2=1,Nappies!$W44,"")</f>
        <v>0</v>
      </c>
      <c r="W42" s="697">
        <f>IF(Select2=1,Garden!$W44,"")</f>
        <v>0</v>
      </c>
      <c r="X42" s="687">
        <f>IF(Select2=1,Wood!$W44,"")</f>
        <v>0.10871853003184381</v>
      </c>
      <c r="Y42" s="697">
        <f>IF(Select2=1,Textiles!$W44,"")</f>
        <v>2.4445047041270665E-2</v>
      </c>
      <c r="Z42" s="689">
        <f>Sludge!W44</f>
        <v>0</v>
      </c>
      <c r="AA42" s="689" t="str">
        <f>IF(Select2=2,MSW!$W44,"")</f>
        <v/>
      </c>
      <c r="AB42" s="698">
        <f>Industry!$W44</f>
        <v>0</v>
      </c>
      <c r="AC42" s="699">
        <f t="shared" si="0"/>
        <v>0.67520926011670601</v>
      </c>
      <c r="AD42" s="700">
        <f>Recovery_OX!R37</f>
        <v>0</v>
      </c>
      <c r="AE42" s="650"/>
      <c r="AF42" s="702">
        <f>(AC42-AD42)*(1-Recovery_OX!U37)</f>
        <v>0.67520926011670601</v>
      </c>
    </row>
    <row r="43" spans="2:32">
      <c r="B43" s="695">
        <f t="shared" si="1"/>
        <v>2026</v>
      </c>
      <c r="C43" s="696">
        <f>IF(Select2=1,Food!$K45,"")</f>
        <v>0.53176080163871453</v>
      </c>
      <c r="D43" s="697">
        <f>IF(Select2=1,Paper!$K45,"")</f>
        <v>9.7490653595694865E-2</v>
      </c>
      <c r="E43" s="687">
        <f>IF(Select2=1,Nappies!$K45,"")</f>
        <v>0.17097572267061706</v>
      </c>
      <c r="F43" s="697">
        <f>IF(Select2=1,Garden!$K45,"")</f>
        <v>0</v>
      </c>
      <c r="G43" s="687">
        <f>IF(Select2=1,Wood!$K45,"")</f>
        <v>0</v>
      </c>
      <c r="H43" s="697">
        <f>IF(Select2=1,Textiles!$K45,"")</f>
        <v>2.3082125484950342E-2</v>
      </c>
      <c r="I43" s="698">
        <f>Sludge!K45</f>
        <v>0</v>
      </c>
      <c r="J43" s="698" t="str">
        <f>IF(Select2=2,MSW!$K45,"")</f>
        <v/>
      </c>
      <c r="K43" s="698">
        <f>Industry!$K45</f>
        <v>0</v>
      </c>
      <c r="L43" s="699">
        <f t="shared" si="3"/>
        <v>0.82330930338997688</v>
      </c>
      <c r="M43" s="700">
        <f>Recovery_OX!C38</f>
        <v>0</v>
      </c>
      <c r="N43" s="650"/>
      <c r="O43" s="701">
        <f>(L43-M43)*(1-Recovery_OX!F38)</f>
        <v>0.82330930338997688</v>
      </c>
      <c r="P43" s="641"/>
      <c r="Q43" s="652"/>
      <c r="S43" s="695">
        <f t="shared" si="2"/>
        <v>2026</v>
      </c>
      <c r="T43" s="696">
        <f>IF(Select2=1,Food!$W45,"")</f>
        <v>0.35577216880377882</v>
      </c>
      <c r="U43" s="697">
        <f>IF(Select2=1,Paper!$W45,"")</f>
        <v>0.2014269702390391</v>
      </c>
      <c r="V43" s="687">
        <f>IF(Select2=1,Nappies!$W45,"")</f>
        <v>0</v>
      </c>
      <c r="W43" s="697">
        <f>IF(Select2=1,Garden!$W45,"")</f>
        <v>0</v>
      </c>
      <c r="X43" s="687">
        <f>IF(Select2=1,Wood!$W45,"")</f>
        <v>0.11334495679099643</v>
      </c>
      <c r="Y43" s="697">
        <f>IF(Select2=1,Textiles!$W45,"")</f>
        <v>2.529547998350723E-2</v>
      </c>
      <c r="Z43" s="689">
        <f>Sludge!W45</f>
        <v>0</v>
      </c>
      <c r="AA43" s="689" t="str">
        <f>IF(Select2=2,MSW!$W45,"")</f>
        <v/>
      </c>
      <c r="AB43" s="698">
        <f>Industry!$W45</f>
        <v>0</v>
      </c>
      <c r="AC43" s="699">
        <f t="shared" si="0"/>
        <v>0.69583957581732159</v>
      </c>
      <c r="AD43" s="700">
        <f>Recovery_OX!R38</f>
        <v>0</v>
      </c>
      <c r="AE43" s="650"/>
      <c r="AF43" s="702">
        <f>(AC43-AD43)*(1-Recovery_OX!U38)</f>
        <v>0.69583957581732159</v>
      </c>
    </row>
    <row r="44" spans="2:32">
      <c r="B44" s="695">
        <f t="shared" si="1"/>
        <v>2027</v>
      </c>
      <c r="C44" s="696">
        <f>IF(Select2=1,Food!$K46,"")</f>
        <v>0.54429404453998331</v>
      </c>
      <c r="D44" s="697">
        <f>IF(Select2=1,Paper!$K46,"")</f>
        <v>0.10076387814074278</v>
      </c>
      <c r="E44" s="687">
        <f>IF(Select2=1,Nappies!$K46,"")</f>
        <v>0.17535122726506394</v>
      </c>
      <c r="F44" s="697">
        <f>IF(Select2=1,Garden!$K46,"")</f>
        <v>0</v>
      </c>
      <c r="G44" s="687">
        <f>IF(Select2=1,Wood!$K46,"")</f>
        <v>0</v>
      </c>
      <c r="H44" s="697">
        <f>IF(Select2=1,Textiles!$K46,"")</f>
        <v>2.385710213043005E-2</v>
      </c>
      <c r="I44" s="698">
        <f>Sludge!K46</f>
        <v>0</v>
      </c>
      <c r="J44" s="698" t="str">
        <f>IF(Select2=2,MSW!$K46,"")</f>
        <v/>
      </c>
      <c r="K44" s="698">
        <f>Industry!$K46</f>
        <v>0</v>
      </c>
      <c r="L44" s="699">
        <f t="shared" si="3"/>
        <v>0.84426625207621997</v>
      </c>
      <c r="M44" s="700">
        <f>Recovery_OX!C39</f>
        <v>0</v>
      </c>
      <c r="N44" s="650"/>
      <c r="O44" s="701">
        <f>(L44-M44)*(1-Recovery_OX!F39)</f>
        <v>0.84426625207621997</v>
      </c>
      <c r="P44" s="641"/>
      <c r="Q44" s="652"/>
      <c r="S44" s="695">
        <f t="shared" si="2"/>
        <v>2027</v>
      </c>
      <c r="T44" s="696">
        <f>IF(Select2=1,Food!$W46,"")</f>
        <v>0.36415747850578728</v>
      </c>
      <c r="U44" s="697">
        <f>IF(Select2=1,Paper!$W46,"")</f>
        <v>0.20818983086930337</v>
      </c>
      <c r="V44" s="687">
        <f>IF(Select2=1,Nappies!$W46,"")</f>
        <v>0</v>
      </c>
      <c r="W44" s="697">
        <f>IF(Select2=1,Garden!$W46,"")</f>
        <v>0</v>
      </c>
      <c r="X44" s="687">
        <f>IF(Select2=1,Wood!$W46,"")</f>
        <v>0.11800059596658188</v>
      </c>
      <c r="Y44" s="697">
        <f>IF(Select2=1,Textiles!$W46,"")</f>
        <v>2.6144769458005538E-2</v>
      </c>
      <c r="Z44" s="689">
        <f>Sludge!W46</f>
        <v>0</v>
      </c>
      <c r="AA44" s="689" t="str">
        <f>IF(Select2=2,MSW!$W46,"")</f>
        <v/>
      </c>
      <c r="AB44" s="698">
        <f>Industry!$W46</f>
        <v>0</v>
      </c>
      <c r="AC44" s="699">
        <f t="shared" si="0"/>
        <v>0.71649267479967804</v>
      </c>
      <c r="AD44" s="700">
        <f>Recovery_OX!R39</f>
        <v>0</v>
      </c>
      <c r="AE44" s="650"/>
      <c r="AF44" s="702">
        <f>(AC44-AD44)*(1-Recovery_OX!U39)</f>
        <v>0.71649267479967804</v>
      </c>
    </row>
    <row r="45" spans="2:32">
      <c r="B45" s="695">
        <f t="shared" si="1"/>
        <v>2028</v>
      </c>
      <c r="C45" s="696">
        <f>IF(Select2=1,Food!$K47,"")</f>
        <v>0.55683111444223243</v>
      </c>
      <c r="D45" s="697">
        <f>IF(Select2=1,Paper!$K47,"")</f>
        <v>0.10403299361749493</v>
      </c>
      <c r="E45" s="687">
        <f>IF(Select2=1,Nappies!$K47,"")</f>
        <v>0.17972752953101362</v>
      </c>
      <c r="F45" s="697">
        <f>IF(Select2=1,Garden!$K47,"")</f>
        <v>0</v>
      </c>
      <c r="G45" s="687">
        <f>IF(Select2=1,Wood!$K47,"")</f>
        <v>0</v>
      </c>
      <c r="H45" s="697">
        <f>IF(Select2=1,Textiles!$K47,"")</f>
        <v>2.463110590285443E-2</v>
      </c>
      <c r="I45" s="698">
        <f>Sludge!K47</f>
        <v>0</v>
      </c>
      <c r="J45" s="698" t="str">
        <f>IF(Select2=2,MSW!$K47,"")</f>
        <v/>
      </c>
      <c r="K45" s="698">
        <f>Industry!$K47</f>
        <v>0</v>
      </c>
      <c r="L45" s="699">
        <f t="shared" si="3"/>
        <v>0.8652227434935954</v>
      </c>
      <c r="M45" s="700">
        <f>Recovery_OX!C40</f>
        <v>0</v>
      </c>
      <c r="N45" s="650"/>
      <c r="O45" s="701">
        <f>(L45-M45)*(1-Recovery_OX!F40)</f>
        <v>0.8652227434935954</v>
      </c>
      <c r="P45" s="641"/>
      <c r="Q45" s="652"/>
      <c r="S45" s="695">
        <f t="shared" si="2"/>
        <v>2028</v>
      </c>
      <c r="T45" s="696">
        <f>IF(Select2=1,Food!$W47,"")</f>
        <v>0.37254534864556133</v>
      </c>
      <c r="U45" s="697">
        <f>IF(Select2=1,Paper!$W47,"")</f>
        <v>0.21494420168903919</v>
      </c>
      <c r="V45" s="687">
        <f>IF(Select2=1,Nappies!$W47,"")</f>
        <v>0</v>
      </c>
      <c r="W45" s="697">
        <f>IF(Select2=1,Garden!$W47,"")</f>
        <v>0</v>
      </c>
      <c r="X45" s="687">
        <f>IF(Select2=1,Wood!$W47,"")</f>
        <v>0.12268444280969683</v>
      </c>
      <c r="Y45" s="697">
        <f>IF(Select2=1,Textiles!$W47,"")</f>
        <v>2.6992992770251429E-2</v>
      </c>
      <c r="Z45" s="689">
        <f>Sludge!W47</f>
        <v>0</v>
      </c>
      <c r="AA45" s="689" t="str">
        <f>IF(Select2=2,MSW!$W47,"")</f>
        <v/>
      </c>
      <c r="AB45" s="698">
        <f>Industry!$W47</f>
        <v>0</v>
      </c>
      <c r="AC45" s="699">
        <f t="shared" si="0"/>
        <v>0.73716698591454877</v>
      </c>
      <c r="AD45" s="700">
        <f>Recovery_OX!R40</f>
        <v>0</v>
      </c>
      <c r="AE45" s="650"/>
      <c r="AF45" s="702">
        <f>(AC45-AD45)*(1-Recovery_OX!U40)</f>
        <v>0.73716698591454877</v>
      </c>
    </row>
    <row r="46" spans="2:32">
      <c r="B46" s="695">
        <f t="shared" si="1"/>
        <v>2029</v>
      </c>
      <c r="C46" s="696">
        <f>IF(Select2=1,Food!$K48,"")</f>
        <v>0.56937074965995482</v>
      </c>
      <c r="D46" s="697">
        <f>IF(Select2=1,Paper!$K48,"")</f>
        <v>0.10729827782436253</v>
      </c>
      <c r="E46" s="687">
        <f>IF(Select2=1,Nappies!$K48,"")</f>
        <v>0.18410450476434548</v>
      </c>
      <c r="F46" s="697">
        <f>IF(Select2=1,Garden!$K48,"")</f>
        <v>0</v>
      </c>
      <c r="G46" s="687">
        <f>IF(Select2=1,Wood!$K48,"")</f>
        <v>0</v>
      </c>
      <c r="H46" s="697">
        <f>IF(Select2=1,Textiles!$K48,"")</f>
        <v>2.5404202574454474E-2</v>
      </c>
      <c r="I46" s="698">
        <f>Sludge!K48</f>
        <v>0</v>
      </c>
      <c r="J46" s="698" t="str">
        <f>IF(Select2=2,MSW!$K48,"")</f>
        <v/>
      </c>
      <c r="K46" s="698">
        <f>Industry!$K48</f>
        <v>0</v>
      </c>
      <c r="L46" s="699">
        <f t="shared" si="3"/>
        <v>0.88617773482311735</v>
      </c>
      <c r="M46" s="700">
        <f>Recovery_OX!C41</f>
        <v>0</v>
      </c>
      <c r="N46" s="650"/>
      <c r="O46" s="701">
        <f>(L46-M46)*(1-Recovery_OX!F41)</f>
        <v>0.88617773482311735</v>
      </c>
      <c r="P46" s="641"/>
      <c r="Q46" s="652"/>
      <c r="S46" s="695">
        <f t="shared" si="2"/>
        <v>2029</v>
      </c>
      <c r="T46" s="696">
        <f>IF(Select2=1,Food!$W48,"")</f>
        <v>0.38093493509809645</v>
      </c>
      <c r="U46" s="697">
        <f>IF(Select2=1,Paper!$W48,"")</f>
        <v>0.22169065666190613</v>
      </c>
      <c r="V46" s="687">
        <f>IF(Select2=1,Nappies!$W48,"")</f>
        <v>0</v>
      </c>
      <c r="W46" s="697">
        <f>IF(Select2=1,Garden!$W48,"")</f>
        <v>0</v>
      </c>
      <c r="X46" s="687">
        <f>IF(Select2=1,Wood!$W48,"")</f>
        <v>0.12739552712935825</v>
      </c>
      <c r="Y46" s="697">
        <f>IF(Select2=1,Textiles!$W48,"")</f>
        <v>2.784022199940216E-2</v>
      </c>
      <c r="Z46" s="689">
        <f>Sludge!W48</f>
        <v>0</v>
      </c>
      <c r="AA46" s="689" t="str">
        <f>IF(Select2=2,MSW!$W48,"")</f>
        <v/>
      </c>
      <c r="AB46" s="698">
        <f>Industry!$W48</f>
        <v>0</v>
      </c>
      <c r="AC46" s="699">
        <f t="shared" si="0"/>
        <v>0.757861340888763</v>
      </c>
      <c r="AD46" s="700">
        <f>Recovery_OX!R41</f>
        <v>0</v>
      </c>
      <c r="AE46" s="650"/>
      <c r="AF46" s="702">
        <f>(AC46-AD46)*(1-Recovery_OX!U41)</f>
        <v>0.757861340888763</v>
      </c>
    </row>
    <row r="47" spans="2:32">
      <c r="B47" s="695">
        <f t="shared" si="1"/>
        <v>2030</v>
      </c>
      <c r="C47" s="696">
        <f>IF(Select2=1,Food!$K49,"")</f>
        <v>0.58191210446006347</v>
      </c>
      <c r="D47" s="697">
        <f>IF(Select2=1,Paper!$K49,"")</f>
        <v>0.11055998977886741</v>
      </c>
      <c r="E47" s="687">
        <f>IF(Select2=1,Nappies!$K49,"")</f>
        <v>0.18848204775658034</v>
      </c>
      <c r="F47" s="697">
        <f>IF(Select2=1,Garden!$K49,"")</f>
        <v>0</v>
      </c>
      <c r="G47" s="687">
        <f>IF(Select2=1,Wood!$K49,"")</f>
        <v>0</v>
      </c>
      <c r="H47" s="697">
        <f>IF(Select2=1,Textiles!$K49,"")</f>
        <v>2.6176453470851877E-2</v>
      </c>
      <c r="I47" s="698">
        <f>Sludge!K49</f>
        <v>0</v>
      </c>
      <c r="J47" s="698" t="str">
        <f>IF(Select2=2,MSW!$K49,"")</f>
        <v/>
      </c>
      <c r="K47" s="698">
        <f>Industry!$K49</f>
        <v>0</v>
      </c>
      <c r="L47" s="699">
        <f t="shared" si="3"/>
        <v>0.90713059546636299</v>
      </c>
      <c r="M47" s="700">
        <f>Recovery_OX!C42</f>
        <v>0</v>
      </c>
      <c r="N47" s="650"/>
      <c r="O47" s="701">
        <f>(L47-M47)*(1-Recovery_OX!F42)</f>
        <v>0.90713059546636299</v>
      </c>
      <c r="P47" s="641"/>
      <c r="Q47" s="652"/>
      <c r="S47" s="695">
        <f t="shared" si="2"/>
        <v>2030</v>
      </c>
      <c r="T47" s="696">
        <f>IF(Select2=1,Food!$W49,"")</f>
        <v>0.38932567202948043</v>
      </c>
      <c r="U47" s="697">
        <f>IF(Select2=1,Paper!$W49,"")</f>
        <v>0.2284297309480732</v>
      </c>
      <c r="V47" s="687">
        <f>IF(Select2=1,Nappies!$W49,"")</f>
        <v>0</v>
      </c>
      <c r="W47" s="697">
        <f>IF(Select2=1,Garden!$W49,"")</f>
        <v>0</v>
      </c>
      <c r="X47" s="687">
        <f>IF(Select2=1,Wood!$W49,"")</f>
        <v>0.13213291210389816</v>
      </c>
      <c r="Y47" s="697">
        <f>IF(Select2=1,Textiles!$W49,"")</f>
        <v>2.8686524351618493E-2</v>
      </c>
      <c r="Z47" s="689">
        <f>Sludge!W49</f>
        <v>0</v>
      </c>
      <c r="AA47" s="689" t="str">
        <f>IF(Select2=2,MSW!$W49,"")</f>
        <v/>
      </c>
      <c r="AB47" s="698">
        <f>Industry!$W49</f>
        <v>0</v>
      </c>
      <c r="AC47" s="699">
        <f t="shared" si="0"/>
        <v>0.77857483943307015</v>
      </c>
      <c r="AD47" s="700">
        <f>Recovery_OX!R42</f>
        <v>0</v>
      </c>
      <c r="AE47" s="650"/>
      <c r="AF47" s="702">
        <f>(AC47-AD47)*(1-Recovery_OX!U42)</f>
        <v>0.77857483943307015</v>
      </c>
    </row>
    <row r="48" spans="2:32">
      <c r="B48" s="695">
        <f t="shared" si="1"/>
        <v>2031</v>
      </c>
      <c r="C48" s="696">
        <f>IF(Select2=1,Food!$K50,"")</f>
        <v>0.59445461193071636</v>
      </c>
      <c r="D48" s="697">
        <f>IF(Select2=1,Paper!$K50,"")</f>
        <v>0.11381837098734611</v>
      </c>
      <c r="E48" s="687">
        <f>IF(Select2=1,Nappies!$K50,"")</f>
        <v>0.19286006974702596</v>
      </c>
      <c r="F48" s="697">
        <f>IF(Select2=1,Garden!$K50,"")</f>
        <v>0</v>
      </c>
      <c r="G48" s="687">
        <f>IF(Select2=1,Wood!$K50,"")</f>
        <v>0</v>
      </c>
      <c r="H48" s="697">
        <f>IF(Select2=1,Textiles!$K50,"")</f>
        <v>2.6947915771677301E-2</v>
      </c>
      <c r="I48" s="698">
        <f>Sludge!K50</f>
        <v>0</v>
      </c>
      <c r="J48" s="698" t="str">
        <f>IF(Select2=2,MSW!$K50,"")</f>
        <v/>
      </c>
      <c r="K48" s="698">
        <f>Industry!$K50</f>
        <v>0</v>
      </c>
      <c r="L48" s="699">
        <f t="shared" si="3"/>
        <v>0.9280809684367658</v>
      </c>
      <c r="M48" s="700">
        <f>Recovery_OX!C43</f>
        <v>0</v>
      </c>
      <c r="N48" s="650"/>
      <c r="O48" s="701">
        <f>(L48-M48)*(1-Recovery_OX!F43)</f>
        <v>0.9280809684367658</v>
      </c>
      <c r="P48" s="641"/>
      <c r="Q48" s="652"/>
      <c r="S48" s="695">
        <f t="shared" si="2"/>
        <v>2031</v>
      </c>
      <c r="T48" s="696">
        <f>IF(Select2=1,Food!$W50,"")</f>
        <v>0.39771718014989937</v>
      </c>
      <c r="U48" s="697">
        <f>IF(Select2=1,Paper!$W50,"")</f>
        <v>0.23516192352757462</v>
      </c>
      <c r="V48" s="687">
        <f>IF(Select2=1,Nappies!$W50,"")</f>
        <v>0</v>
      </c>
      <c r="W48" s="697">
        <f>IF(Select2=1,Garden!$W50,"")</f>
        <v>0</v>
      </c>
      <c r="X48" s="687">
        <f>IF(Select2=1,Wood!$W50,"")</f>
        <v>0.13689569313323985</v>
      </c>
      <c r="Y48" s="697">
        <f>IF(Select2=1,Textiles!$W50,"")</f>
        <v>2.9531962489509372E-2</v>
      </c>
      <c r="Z48" s="689">
        <f>Sludge!W50</f>
        <v>0</v>
      </c>
      <c r="AA48" s="689" t="str">
        <f>IF(Select2=2,MSW!$W50,"")</f>
        <v/>
      </c>
      <c r="AB48" s="698">
        <f>Industry!$W50</f>
        <v>0</v>
      </c>
      <c r="AC48" s="699">
        <f t="shared" si="0"/>
        <v>0.79930675930022321</v>
      </c>
      <c r="AD48" s="700">
        <f>Recovery_OX!R43</f>
        <v>0</v>
      </c>
      <c r="AE48" s="650"/>
      <c r="AF48" s="702">
        <f>(AC48-AD48)*(1-Recovery_OX!U43)</f>
        <v>0.79930675930022321</v>
      </c>
    </row>
    <row r="49" spans="2:32">
      <c r="B49" s="695">
        <f t="shared" si="1"/>
        <v>2032</v>
      </c>
      <c r="C49" s="696">
        <f>IF(Select2=1,Food!$K51,"")</f>
        <v>0.39847484283549589</v>
      </c>
      <c r="D49" s="697">
        <f>IF(Select2=1,Paper!$K51,"")</f>
        <v>0.10612354570036399</v>
      </c>
      <c r="E49" s="687">
        <f>IF(Select2=1,Nappies!$K51,"")</f>
        <v>0.16270925537189043</v>
      </c>
      <c r="F49" s="697">
        <f>IF(Select2=1,Garden!$K51,"")</f>
        <v>0</v>
      </c>
      <c r="G49" s="687">
        <f>IF(Select2=1,Wood!$K51,"")</f>
        <v>0</v>
      </c>
      <c r="H49" s="697">
        <f>IF(Select2=1,Textiles!$K51,"")</f>
        <v>2.5126070124857951E-2</v>
      </c>
      <c r="I49" s="698">
        <f>Sludge!K51</f>
        <v>0</v>
      </c>
      <c r="J49" s="698" t="str">
        <f>IF(Select2=2,MSW!$K51,"")</f>
        <v/>
      </c>
      <c r="K49" s="698">
        <f>Industry!$K51</f>
        <v>0</v>
      </c>
      <c r="L49" s="699">
        <f t="shared" si="3"/>
        <v>0.69243371403260823</v>
      </c>
      <c r="M49" s="700">
        <f>Recovery_OX!C44</f>
        <v>0</v>
      </c>
      <c r="N49" s="650"/>
      <c r="O49" s="701">
        <f>(L49-M49)*(1-Recovery_OX!F44)</f>
        <v>0.69243371403260823</v>
      </c>
      <c r="P49" s="641"/>
      <c r="Q49" s="652"/>
      <c r="S49" s="695">
        <f t="shared" si="2"/>
        <v>2032</v>
      </c>
      <c r="T49" s="696">
        <f>IF(Select2=1,Food!$W51,"")</f>
        <v>0.26659779850724519</v>
      </c>
      <c r="U49" s="697">
        <f>IF(Select2=1,Paper!$W51,"")</f>
        <v>0.21926352417430578</v>
      </c>
      <c r="V49" s="687">
        <f>IF(Select2=1,Nappies!$W51,"")</f>
        <v>0</v>
      </c>
      <c r="W49" s="697">
        <f>IF(Select2=1,Garden!$W51,"")</f>
        <v>0</v>
      </c>
      <c r="X49" s="687">
        <f>IF(Select2=1,Wood!$W51,"")</f>
        <v>0.13218722275179015</v>
      </c>
      <c r="Y49" s="697">
        <f>IF(Select2=1,Textiles!$W51,"")</f>
        <v>2.7535419314912817E-2</v>
      </c>
      <c r="Z49" s="689">
        <f>Sludge!W51</f>
        <v>0</v>
      </c>
      <c r="AA49" s="689" t="str">
        <f>IF(Select2=2,MSW!$W51,"")</f>
        <v/>
      </c>
      <c r="AB49" s="698">
        <f>Industry!$W51</f>
        <v>0</v>
      </c>
      <c r="AC49" s="699">
        <f t="shared" ref="AC49:AC80" si="4">SUM(T49:AA49)</f>
        <v>0.64558396474825386</v>
      </c>
      <c r="AD49" s="700">
        <f>Recovery_OX!R44</f>
        <v>0</v>
      </c>
      <c r="AE49" s="650"/>
      <c r="AF49" s="702">
        <f>(AC49-AD49)*(1-Recovery_OX!U44)</f>
        <v>0.64558396474825386</v>
      </c>
    </row>
    <row r="50" spans="2:32">
      <c r="B50" s="695">
        <f t="shared" si="1"/>
        <v>2033</v>
      </c>
      <c r="C50" s="696">
        <f>IF(Select2=1,Food!$K52,"")</f>
        <v>0.26710567499353377</v>
      </c>
      <c r="D50" s="697">
        <f>IF(Select2=1,Paper!$K52,"")</f>
        <v>9.894893815752584E-2</v>
      </c>
      <c r="E50" s="687">
        <f>IF(Select2=1,Nappies!$K52,"")</f>
        <v>0.1372720740918601</v>
      </c>
      <c r="F50" s="697">
        <f>IF(Select2=1,Garden!$K52,"")</f>
        <v>0</v>
      </c>
      <c r="G50" s="687">
        <f>IF(Select2=1,Wood!$K52,"")</f>
        <v>0</v>
      </c>
      <c r="H50" s="697">
        <f>IF(Select2=1,Textiles!$K52,"")</f>
        <v>2.3427392502941031E-2</v>
      </c>
      <c r="I50" s="698">
        <f>Sludge!K52</f>
        <v>0</v>
      </c>
      <c r="J50" s="698" t="str">
        <f>IF(Select2=2,MSW!$K52,"")</f>
        <v/>
      </c>
      <c r="K50" s="698">
        <f>Industry!$K52</f>
        <v>0</v>
      </c>
      <c r="L50" s="699">
        <f t="shared" si="3"/>
        <v>0.52675407974586064</v>
      </c>
      <c r="M50" s="700">
        <f>Recovery_OX!C45</f>
        <v>0</v>
      </c>
      <c r="N50" s="650"/>
      <c r="O50" s="701">
        <f>(L50-M50)*(1-Recovery_OX!F45)</f>
        <v>0.52675407974586064</v>
      </c>
      <c r="P50" s="641"/>
      <c r="Q50" s="652"/>
      <c r="S50" s="695">
        <f t="shared" si="2"/>
        <v>2033</v>
      </c>
      <c r="T50" s="696">
        <f>IF(Select2=1,Food!$W52,"")</f>
        <v>0.17870584856837671</v>
      </c>
      <c r="U50" s="697">
        <f>IF(Select2=1,Paper!$W52,"")</f>
        <v>0.2044399548709212</v>
      </c>
      <c r="V50" s="687">
        <f>IF(Select2=1,Nappies!$W52,"")</f>
        <v>0</v>
      </c>
      <c r="W50" s="697">
        <f>IF(Select2=1,Garden!$W52,"")</f>
        <v>0</v>
      </c>
      <c r="X50" s="687">
        <f>IF(Select2=1,Wood!$W52,"")</f>
        <v>0.12764069824917398</v>
      </c>
      <c r="Y50" s="697">
        <f>IF(Select2=1,Textiles!$W52,"")</f>
        <v>2.5673854797743593E-2</v>
      </c>
      <c r="Z50" s="689">
        <f>Sludge!W52</f>
        <v>0</v>
      </c>
      <c r="AA50" s="689" t="str">
        <f>IF(Select2=2,MSW!$W52,"")</f>
        <v/>
      </c>
      <c r="AB50" s="698">
        <f>Industry!$W52</f>
        <v>0</v>
      </c>
      <c r="AC50" s="699">
        <f t="shared" si="4"/>
        <v>0.53646035648621559</v>
      </c>
      <c r="AD50" s="700">
        <f>Recovery_OX!R45</f>
        <v>0</v>
      </c>
      <c r="AE50" s="650"/>
      <c r="AF50" s="702">
        <f>(AC50-AD50)*(1-Recovery_OX!U45)</f>
        <v>0.53646035648621559</v>
      </c>
    </row>
    <row r="51" spans="2:32">
      <c r="B51" s="695">
        <f t="shared" si="1"/>
        <v>2034</v>
      </c>
      <c r="C51" s="696">
        <f>IF(Select2=1,Food!$K53,"")</f>
        <v>0.17904628835804606</v>
      </c>
      <c r="D51" s="697">
        <f>IF(Select2=1,Paper!$K53,"")</f>
        <v>9.2259378424332975E-2</v>
      </c>
      <c r="E51" s="687">
        <f>IF(Select2=1,Nappies!$K53,"")</f>
        <v>0.11581161921251434</v>
      </c>
      <c r="F51" s="697">
        <f>IF(Select2=1,Garden!$K53,"")</f>
        <v>0</v>
      </c>
      <c r="G51" s="687">
        <f>IF(Select2=1,Wood!$K53,"")</f>
        <v>0</v>
      </c>
      <c r="H51" s="697">
        <f>IF(Select2=1,Textiles!$K53,"")</f>
        <v>2.1843555986253163E-2</v>
      </c>
      <c r="I51" s="698">
        <f>Sludge!K53</f>
        <v>0</v>
      </c>
      <c r="J51" s="698" t="str">
        <f>IF(Select2=2,MSW!$K53,"")</f>
        <v/>
      </c>
      <c r="K51" s="698">
        <f>Industry!$K53</f>
        <v>0</v>
      </c>
      <c r="L51" s="699">
        <f t="shared" si="3"/>
        <v>0.40896084198114652</v>
      </c>
      <c r="M51" s="700">
        <f>Recovery_OX!C46</f>
        <v>0</v>
      </c>
      <c r="N51" s="650"/>
      <c r="O51" s="701">
        <f>(L51-M51)*(1-Recovery_OX!F46)</f>
        <v>0.40896084198114652</v>
      </c>
      <c r="P51" s="641"/>
      <c r="Q51" s="652"/>
      <c r="S51" s="695">
        <f t="shared" si="2"/>
        <v>2034</v>
      </c>
      <c r="T51" s="696">
        <f>IF(Select2=1,Food!$W53,"")</f>
        <v>0.11979011263919227</v>
      </c>
      <c r="U51" s="697">
        <f>IF(Select2=1,Paper!$W53,"")</f>
        <v>0.1906185504634979</v>
      </c>
      <c r="V51" s="687">
        <f>IF(Select2=1,Nappies!$W53,"")</f>
        <v>0</v>
      </c>
      <c r="W51" s="697">
        <f>IF(Select2=1,Garden!$W53,"")</f>
        <v>0</v>
      </c>
      <c r="X51" s="687">
        <f>IF(Select2=1,Wood!$W53,"")</f>
        <v>0.12325054956430009</v>
      </c>
      <c r="Y51" s="697">
        <f>IF(Select2=1,Textiles!$W53,"")</f>
        <v>2.3938143546578805E-2</v>
      </c>
      <c r="Z51" s="689">
        <f>Sludge!W53</f>
        <v>0</v>
      </c>
      <c r="AA51" s="689" t="str">
        <f>IF(Select2=2,MSW!$W53,"")</f>
        <v/>
      </c>
      <c r="AB51" s="698">
        <f>Industry!$W53</f>
        <v>0</v>
      </c>
      <c r="AC51" s="699">
        <f t="shared" si="4"/>
        <v>0.45759735621356906</v>
      </c>
      <c r="AD51" s="700">
        <f>Recovery_OX!R46</f>
        <v>0</v>
      </c>
      <c r="AE51" s="650"/>
      <c r="AF51" s="702">
        <f>(AC51-AD51)*(1-Recovery_OX!U46)</f>
        <v>0.45759735621356906</v>
      </c>
    </row>
    <row r="52" spans="2:32">
      <c r="B52" s="695">
        <f t="shared" si="1"/>
        <v>2035</v>
      </c>
      <c r="C52" s="696">
        <f>IF(Select2=1,Food!$K54,"")</f>
        <v>0.12001831625467579</v>
      </c>
      <c r="D52" s="697">
        <f>IF(Select2=1,Paper!$K54,"")</f>
        <v>8.6022074271212237E-2</v>
      </c>
      <c r="E52" s="687">
        <f>IF(Select2=1,Nappies!$K54,"")</f>
        <v>9.7706188482656164E-2</v>
      </c>
      <c r="F52" s="697">
        <f>IF(Select2=1,Garden!$K54,"")</f>
        <v>0</v>
      </c>
      <c r="G52" s="687">
        <f>IF(Select2=1,Wood!$K54,"")</f>
        <v>0</v>
      </c>
      <c r="H52" s="697">
        <f>IF(Select2=1,Textiles!$K54,"")</f>
        <v>2.0366796606352031E-2</v>
      </c>
      <c r="I52" s="698">
        <f>Sludge!K54</f>
        <v>0</v>
      </c>
      <c r="J52" s="698" t="str">
        <f>IF(Select2=2,MSW!$K54,"")</f>
        <v/>
      </c>
      <c r="K52" s="698">
        <f>Industry!$K54</f>
        <v>0</v>
      </c>
      <c r="L52" s="699">
        <f t="shared" si="3"/>
        <v>0.32411337561489623</v>
      </c>
      <c r="M52" s="700">
        <f>Recovery_OX!C47</f>
        <v>0</v>
      </c>
      <c r="N52" s="650"/>
      <c r="O52" s="701">
        <f>(L52-M52)*(1-Recovery_OX!F47)</f>
        <v>0.32411337561489623</v>
      </c>
      <c r="P52" s="641"/>
      <c r="Q52" s="652"/>
      <c r="S52" s="695">
        <f t="shared" si="2"/>
        <v>2035</v>
      </c>
      <c r="T52" s="696">
        <f>IF(Select2=1,Food!$W54,"")</f>
        <v>8.0297713818917787E-2</v>
      </c>
      <c r="U52" s="697">
        <f>IF(Select2=1,Paper!$W54,"")</f>
        <v>0.17773155841159555</v>
      </c>
      <c r="V52" s="687">
        <f>IF(Select2=1,Nappies!$W54,"")</f>
        <v>0</v>
      </c>
      <c r="W52" s="697">
        <f>IF(Select2=1,Garden!$W54,"")</f>
        <v>0</v>
      </c>
      <c r="X52" s="687">
        <f>IF(Select2=1,Wood!$W54,"")</f>
        <v>0.11901139821600978</v>
      </c>
      <c r="Y52" s="697">
        <f>IF(Select2=1,Textiles!$W54,"")</f>
        <v>2.2319777102851535E-2</v>
      </c>
      <c r="Z52" s="689">
        <f>Sludge!W54</f>
        <v>0</v>
      </c>
      <c r="AA52" s="689" t="str">
        <f>IF(Select2=2,MSW!$W54,"")</f>
        <v/>
      </c>
      <c r="AB52" s="698">
        <f>Industry!$W54</f>
        <v>0</v>
      </c>
      <c r="AC52" s="699">
        <f t="shared" si="4"/>
        <v>0.39936044754937466</v>
      </c>
      <c r="AD52" s="700">
        <f>Recovery_OX!R47</f>
        <v>0</v>
      </c>
      <c r="AE52" s="650"/>
      <c r="AF52" s="702">
        <f>(AC52-AD52)*(1-Recovery_OX!U47)</f>
        <v>0.39936044754937466</v>
      </c>
    </row>
    <row r="53" spans="2:32">
      <c r="B53" s="695">
        <f t="shared" si="1"/>
        <v>2036</v>
      </c>
      <c r="C53" s="696">
        <f>IF(Select2=1,Food!$K55,"")</f>
        <v>8.0450683276954205E-2</v>
      </c>
      <c r="D53" s="697">
        <f>IF(Select2=1,Paper!$K55,"")</f>
        <v>8.0206450425968773E-2</v>
      </c>
      <c r="E53" s="687">
        <f>IF(Select2=1,Nappies!$K55,"")</f>
        <v>8.2431273586551806E-2</v>
      </c>
      <c r="F53" s="697">
        <f>IF(Select2=1,Garden!$K55,"")</f>
        <v>0</v>
      </c>
      <c r="G53" s="687">
        <f>IF(Select2=1,Wood!$K55,"")</f>
        <v>0</v>
      </c>
      <c r="H53" s="697">
        <f>IF(Select2=1,Textiles!$K55,"")</f>
        <v>1.8989875287044072E-2</v>
      </c>
      <c r="I53" s="698">
        <f>Sludge!K55</f>
        <v>0</v>
      </c>
      <c r="J53" s="698" t="str">
        <f>IF(Select2=2,MSW!$K55,"")</f>
        <v/>
      </c>
      <c r="K53" s="698">
        <f>Industry!$K55</f>
        <v>0</v>
      </c>
      <c r="L53" s="699">
        <f t="shared" si="3"/>
        <v>0.26207828257651888</v>
      </c>
      <c r="M53" s="700">
        <f>Recovery_OX!C48</f>
        <v>0</v>
      </c>
      <c r="N53" s="650"/>
      <c r="O53" s="701">
        <f>(L53-M53)*(1-Recovery_OX!F48)</f>
        <v>0.26207828257651888</v>
      </c>
      <c r="P53" s="641"/>
      <c r="Q53" s="652"/>
      <c r="S53" s="695">
        <f t="shared" si="2"/>
        <v>2036</v>
      </c>
      <c r="T53" s="696">
        <f>IF(Select2=1,Food!$W55,"")</f>
        <v>5.3825167223653561E-2</v>
      </c>
      <c r="U53" s="697">
        <f>IF(Select2=1,Paper!$W55,"")</f>
        <v>0.16571580666522476</v>
      </c>
      <c r="V53" s="687">
        <f>IF(Select2=1,Nappies!$W55,"")</f>
        <v>0</v>
      </c>
      <c r="W53" s="697">
        <f>IF(Select2=1,Garden!$W55,"")</f>
        <v>0</v>
      </c>
      <c r="X53" s="687">
        <f>IF(Select2=1,Wood!$W55,"")</f>
        <v>0.11491805071376512</v>
      </c>
      <c r="Y53" s="697">
        <f>IF(Select2=1,Textiles!$W55,"")</f>
        <v>2.0810822232377062E-2</v>
      </c>
      <c r="Z53" s="689">
        <f>Sludge!W55</f>
        <v>0</v>
      </c>
      <c r="AA53" s="689" t="str">
        <f>IF(Select2=2,MSW!$W55,"")</f>
        <v/>
      </c>
      <c r="AB53" s="698">
        <f>Industry!$W55</f>
        <v>0</v>
      </c>
      <c r="AC53" s="699">
        <f t="shared" si="4"/>
        <v>0.3552698468350205</v>
      </c>
      <c r="AD53" s="700">
        <f>Recovery_OX!R48</f>
        <v>0</v>
      </c>
      <c r="AE53" s="650"/>
      <c r="AF53" s="702">
        <f>(AC53-AD53)*(1-Recovery_OX!U48)</f>
        <v>0.3552698468350205</v>
      </c>
    </row>
    <row r="54" spans="2:32">
      <c r="B54" s="695">
        <f t="shared" si="1"/>
        <v>2037</v>
      </c>
      <c r="C54" s="696">
        <f>IF(Select2=1,Food!$K56,"")</f>
        <v>5.3927705717806571E-2</v>
      </c>
      <c r="D54" s="697">
        <f>IF(Select2=1,Paper!$K56,"")</f>
        <v>7.4783998693766091E-2</v>
      </c>
      <c r="E54" s="687">
        <f>IF(Select2=1,Nappies!$K56,"")</f>
        <v>6.9544365312204565E-2</v>
      </c>
      <c r="F54" s="697">
        <f>IF(Select2=1,Garden!$K56,"")</f>
        <v>0</v>
      </c>
      <c r="G54" s="687">
        <f>IF(Select2=1,Wood!$K56,"")</f>
        <v>0</v>
      </c>
      <c r="H54" s="697">
        <f>IF(Select2=1,Textiles!$K56,"")</f>
        <v>1.7706042358424587E-2</v>
      </c>
      <c r="I54" s="698">
        <f>Sludge!K56</f>
        <v>0</v>
      </c>
      <c r="J54" s="698" t="str">
        <f>IF(Select2=2,MSW!$K56,"")</f>
        <v/>
      </c>
      <c r="K54" s="698">
        <f>Industry!$K56</f>
        <v>0</v>
      </c>
      <c r="L54" s="699">
        <f t="shared" si="3"/>
        <v>0.21596211208220178</v>
      </c>
      <c r="M54" s="700">
        <f>Recovery_OX!C49</f>
        <v>0</v>
      </c>
      <c r="N54" s="650"/>
      <c r="O54" s="701">
        <f>(L54-M54)*(1-Recovery_OX!F49)</f>
        <v>0.21596211208220178</v>
      </c>
      <c r="P54" s="641"/>
      <c r="Q54" s="652"/>
      <c r="S54" s="695">
        <f t="shared" si="2"/>
        <v>2037</v>
      </c>
      <c r="T54" s="696">
        <f>IF(Select2=1,Food!$W56,"")</f>
        <v>3.6080088571235444E-2</v>
      </c>
      <c r="U54" s="697">
        <f>IF(Select2=1,Paper!$W56,"")</f>
        <v>0.15451239399538452</v>
      </c>
      <c r="V54" s="687">
        <f>IF(Select2=1,Nappies!$W56,"")</f>
        <v>0</v>
      </c>
      <c r="W54" s="697">
        <f>IF(Select2=1,Garden!$W56,"")</f>
        <v>0</v>
      </c>
      <c r="X54" s="687">
        <f>IF(Select2=1,Wood!$W56,"")</f>
        <v>0.11096549219497333</v>
      </c>
      <c r="Y54" s="697">
        <f>IF(Select2=1,Textiles!$W56,"")</f>
        <v>1.9403882036629683E-2</v>
      </c>
      <c r="Z54" s="689">
        <f>Sludge!W56</f>
        <v>0</v>
      </c>
      <c r="AA54" s="689" t="str">
        <f>IF(Select2=2,MSW!$W56,"")</f>
        <v/>
      </c>
      <c r="AB54" s="698">
        <f>Industry!$W56</f>
        <v>0</v>
      </c>
      <c r="AC54" s="699">
        <f t="shared" si="4"/>
        <v>0.32096185679822298</v>
      </c>
      <c r="AD54" s="700">
        <f>Recovery_OX!R49</f>
        <v>0</v>
      </c>
      <c r="AE54" s="650"/>
      <c r="AF54" s="702">
        <f>(AC54-AD54)*(1-Recovery_OX!U49)</f>
        <v>0.32096185679822298</v>
      </c>
    </row>
    <row r="55" spans="2:32">
      <c r="B55" s="695">
        <f t="shared" si="1"/>
        <v>2038</v>
      </c>
      <c r="C55" s="696">
        <f>IF(Select2=1,Food!$K57,"")</f>
        <v>3.6148822179356513E-2</v>
      </c>
      <c r="D55" s="697">
        <f>IF(Select2=1,Paper!$K57,"")</f>
        <v>6.9728138209922019E-2</v>
      </c>
      <c r="E55" s="687">
        <f>IF(Select2=1,Nappies!$K57,"")</f>
        <v>5.8672134206432976E-2</v>
      </c>
      <c r="F55" s="697">
        <f>IF(Select2=1,Garden!$K57,"")</f>
        <v>0</v>
      </c>
      <c r="G55" s="687">
        <f>IF(Select2=1,Wood!$K57,"")</f>
        <v>0</v>
      </c>
      <c r="H55" s="697">
        <f>IF(Select2=1,Textiles!$K57,"")</f>
        <v>1.6509004469988028E-2</v>
      </c>
      <c r="I55" s="698">
        <f>Sludge!K57</f>
        <v>0</v>
      </c>
      <c r="J55" s="698" t="str">
        <f>IF(Select2=2,MSW!$K57,"")</f>
        <v/>
      </c>
      <c r="K55" s="698">
        <f>Industry!$K57</f>
        <v>0</v>
      </c>
      <c r="L55" s="699">
        <f t="shared" si="3"/>
        <v>0.18105809906569953</v>
      </c>
      <c r="M55" s="700">
        <f>Recovery_OX!C50</f>
        <v>0</v>
      </c>
      <c r="N55" s="650"/>
      <c r="O55" s="701">
        <f>(L55-M55)*(1-Recovery_OX!F50)</f>
        <v>0.18105809906569953</v>
      </c>
      <c r="P55" s="641"/>
      <c r="Q55" s="652"/>
      <c r="S55" s="695">
        <f t="shared" si="2"/>
        <v>2038</v>
      </c>
      <c r="T55" s="696">
        <f>IF(Select2=1,Food!$W57,"")</f>
        <v>2.418520663204049E-2</v>
      </c>
      <c r="U55" s="697">
        <f>IF(Select2=1,Paper!$W57,"")</f>
        <v>0.14406640126016945</v>
      </c>
      <c r="V55" s="687">
        <f>IF(Select2=1,Nappies!$W57,"")</f>
        <v>0</v>
      </c>
      <c r="W55" s="697">
        <f>IF(Select2=1,Garden!$W57,"")</f>
        <v>0</v>
      </c>
      <c r="X55" s="687">
        <f>IF(Select2=1,Wood!$W57,"")</f>
        <v>0.10714888028115295</v>
      </c>
      <c r="Y55" s="697">
        <f>IF(Select2=1,Textiles!$W57,"")</f>
        <v>1.8092059693137562E-2</v>
      </c>
      <c r="Z55" s="689">
        <f>Sludge!W57</f>
        <v>0</v>
      </c>
      <c r="AA55" s="689" t="str">
        <f>IF(Select2=2,MSW!$W57,"")</f>
        <v/>
      </c>
      <c r="AB55" s="698">
        <f>Industry!$W57</f>
        <v>0</v>
      </c>
      <c r="AC55" s="699">
        <f t="shared" si="4"/>
        <v>0.29349254786650042</v>
      </c>
      <c r="AD55" s="700">
        <f>Recovery_OX!R50</f>
        <v>0</v>
      </c>
      <c r="AE55" s="650"/>
      <c r="AF55" s="702">
        <f>(AC55-AD55)*(1-Recovery_OX!U50)</f>
        <v>0.29349254786650042</v>
      </c>
    </row>
    <row r="56" spans="2:32">
      <c r="B56" s="695">
        <f t="shared" si="1"/>
        <v>2039</v>
      </c>
      <c r="C56" s="696">
        <f>IF(Select2=1,Food!$K58,"")</f>
        <v>2.4231280147400395E-2</v>
      </c>
      <c r="D56" s="697">
        <f>IF(Select2=1,Paper!$K58,"")</f>
        <v>6.50140851404791E-2</v>
      </c>
      <c r="E56" s="687">
        <f>IF(Select2=1,Nappies!$K58,"")</f>
        <v>4.9499615344588688E-2</v>
      </c>
      <c r="F56" s="697">
        <f>IF(Select2=1,Garden!$K58,"")</f>
        <v>0</v>
      </c>
      <c r="G56" s="687">
        <f>IF(Select2=1,Wood!$K58,"")</f>
        <v>0</v>
      </c>
      <c r="H56" s="697">
        <f>IF(Select2=1,Textiles!$K58,"")</f>
        <v>1.5392893740616512E-2</v>
      </c>
      <c r="I56" s="698">
        <f>Sludge!K58</f>
        <v>0</v>
      </c>
      <c r="J56" s="698" t="str">
        <f>IF(Select2=2,MSW!$K58,"")</f>
        <v/>
      </c>
      <c r="K56" s="698">
        <f>Industry!$K58</f>
        <v>0</v>
      </c>
      <c r="L56" s="699">
        <f t="shared" si="3"/>
        <v>0.15413787437308468</v>
      </c>
      <c r="M56" s="700">
        <f>Recovery_OX!C51</f>
        <v>0</v>
      </c>
      <c r="N56" s="650"/>
      <c r="O56" s="701">
        <f>(L56-M56)*(1-Recovery_OX!F51)</f>
        <v>0.15413787437308468</v>
      </c>
      <c r="P56" s="641"/>
      <c r="Q56" s="652"/>
      <c r="S56" s="695">
        <f t="shared" si="2"/>
        <v>2039</v>
      </c>
      <c r="T56" s="696">
        <f>IF(Select2=1,Food!$W58,"")</f>
        <v>1.6211828822970828E-2</v>
      </c>
      <c r="U56" s="697">
        <f>IF(Select2=1,Paper!$W58,"")</f>
        <v>0.1343266221910725</v>
      </c>
      <c r="V56" s="687">
        <f>IF(Select2=1,Nappies!$W58,"")</f>
        <v>0</v>
      </c>
      <c r="W56" s="697">
        <f>IF(Select2=1,Garden!$W58,"")</f>
        <v>0</v>
      </c>
      <c r="X56" s="687">
        <f>IF(Select2=1,Wood!$W58,"")</f>
        <v>0.10346353914541485</v>
      </c>
      <c r="Y56" s="697">
        <f>IF(Select2=1,Textiles!$W58,"")</f>
        <v>1.6868924647250969E-2</v>
      </c>
      <c r="Z56" s="689">
        <f>Sludge!W58</f>
        <v>0</v>
      </c>
      <c r="AA56" s="689" t="str">
        <f>IF(Select2=2,MSW!$W58,"")</f>
        <v/>
      </c>
      <c r="AB56" s="698">
        <f>Industry!$W58</f>
        <v>0</v>
      </c>
      <c r="AC56" s="699">
        <f t="shared" si="4"/>
        <v>0.27087091480670916</v>
      </c>
      <c r="AD56" s="700">
        <f>Recovery_OX!R51</f>
        <v>0</v>
      </c>
      <c r="AE56" s="650"/>
      <c r="AF56" s="702">
        <f>(AC56-AD56)*(1-Recovery_OX!U51)</f>
        <v>0.27087091480670916</v>
      </c>
    </row>
    <row r="57" spans="2:32">
      <c r="B57" s="695">
        <f t="shared" si="1"/>
        <v>2040</v>
      </c>
      <c r="C57" s="696">
        <f>IF(Select2=1,Food!$K59,"")</f>
        <v>1.6242712823907907E-2</v>
      </c>
      <c r="D57" s="697">
        <f>IF(Select2=1,Paper!$K59,"")</f>
        <v>6.0618731191821859E-2</v>
      </c>
      <c r="E57" s="687">
        <f>IF(Select2=1,Nappies!$K59,"")</f>
        <v>4.1761083901283955E-2</v>
      </c>
      <c r="F57" s="697">
        <f>IF(Select2=1,Garden!$K59,"")</f>
        <v>0</v>
      </c>
      <c r="G57" s="687">
        <f>IF(Select2=1,Wood!$K59,"")</f>
        <v>0</v>
      </c>
      <c r="H57" s="697">
        <f>IF(Select2=1,Textiles!$K59,"")</f>
        <v>1.435223899421979E-2</v>
      </c>
      <c r="I57" s="698">
        <f>Sludge!K59</f>
        <v>0</v>
      </c>
      <c r="J57" s="698" t="str">
        <f>IF(Select2=2,MSW!$K59,"")</f>
        <v/>
      </c>
      <c r="K57" s="698">
        <f>Industry!$K59</f>
        <v>0</v>
      </c>
      <c r="L57" s="699">
        <f t="shared" si="3"/>
        <v>0.1329747669112335</v>
      </c>
      <c r="M57" s="700">
        <f>Recovery_OX!C52</f>
        <v>0</v>
      </c>
      <c r="N57" s="650"/>
      <c r="O57" s="701">
        <f>(L57-M57)*(1-Recovery_OX!F52)</f>
        <v>0.1329747669112335</v>
      </c>
      <c r="P57" s="641"/>
      <c r="Q57" s="652"/>
      <c r="S57" s="695">
        <f t="shared" si="2"/>
        <v>2040</v>
      </c>
      <c r="T57" s="696">
        <f>IF(Select2=1,Food!$W59,"")</f>
        <v>1.0867113842935712E-2</v>
      </c>
      <c r="U57" s="697">
        <f>IF(Select2=1,Paper!$W59,"")</f>
        <v>0.12524531237979722</v>
      </c>
      <c r="V57" s="687">
        <f>IF(Select2=1,Nappies!$W59,"")</f>
        <v>0</v>
      </c>
      <c r="W57" s="697">
        <f>IF(Select2=1,Garden!$W59,"")</f>
        <v>0</v>
      </c>
      <c r="X57" s="687">
        <f>IF(Select2=1,Wood!$W59,"")</f>
        <v>9.9904953783989336E-2</v>
      </c>
      <c r="Y57" s="697">
        <f>IF(Select2=1,Textiles!$W59,"")</f>
        <v>1.5728481089555928E-2</v>
      </c>
      <c r="Z57" s="689">
        <f>Sludge!W59</f>
        <v>0</v>
      </c>
      <c r="AA57" s="689" t="str">
        <f>IF(Select2=2,MSW!$W59,"")</f>
        <v/>
      </c>
      <c r="AB57" s="698">
        <f>Industry!$W59</f>
        <v>0</v>
      </c>
      <c r="AC57" s="699">
        <f t="shared" si="4"/>
        <v>0.25174586109627817</v>
      </c>
      <c r="AD57" s="700">
        <f>Recovery_OX!R52</f>
        <v>0</v>
      </c>
      <c r="AE57" s="650"/>
      <c r="AF57" s="702">
        <f>(AC57-AD57)*(1-Recovery_OX!U52)</f>
        <v>0.25174586109627817</v>
      </c>
    </row>
    <row r="58" spans="2:32">
      <c r="B58" s="695">
        <f t="shared" si="1"/>
        <v>2041</v>
      </c>
      <c r="C58" s="696">
        <f>IF(Select2=1,Food!$K60,"")</f>
        <v>1.0887816007865616E-2</v>
      </c>
      <c r="D58" s="697">
        <f>IF(Select2=1,Paper!$K60,"")</f>
        <v>5.652053033379463E-2</v>
      </c>
      <c r="E58" s="687">
        <f>IF(Select2=1,Nappies!$K60,"")</f>
        <v>3.5232357190442917E-2</v>
      </c>
      <c r="F58" s="697">
        <f>IF(Select2=1,Garden!$K60,"")</f>
        <v>0</v>
      </c>
      <c r="G58" s="687">
        <f>IF(Select2=1,Wood!$K60,"")</f>
        <v>0</v>
      </c>
      <c r="H58" s="697">
        <f>IF(Select2=1,Textiles!$K60,"")</f>
        <v>1.3381938940023696E-2</v>
      </c>
      <c r="I58" s="698">
        <f>Sludge!K60</f>
        <v>0</v>
      </c>
      <c r="J58" s="698" t="str">
        <f>IF(Select2=2,MSW!$K60,"")</f>
        <v/>
      </c>
      <c r="K58" s="698">
        <f>Industry!$K60</f>
        <v>0</v>
      </c>
      <c r="L58" s="699">
        <f t="shared" si="3"/>
        <v>0.11602264247212686</v>
      </c>
      <c r="M58" s="700">
        <f>Recovery_OX!C53</f>
        <v>0</v>
      </c>
      <c r="N58" s="650"/>
      <c r="O58" s="701">
        <f>(L58-M58)*(1-Recovery_OX!F53)</f>
        <v>0.11602264247212686</v>
      </c>
      <c r="P58" s="641"/>
      <c r="Q58" s="652"/>
      <c r="S58" s="695">
        <f t="shared" si="2"/>
        <v>2041</v>
      </c>
      <c r="T58" s="696">
        <f>IF(Select2=1,Food!$W60,"")</f>
        <v>7.2844442514711999E-3</v>
      </c>
      <c r="U58" s="697">
        <f>IF(Select2=1,Paper!$W60,"")</f>
        <v>0.11677795523511288</v>
      </c>
      <c r="V58" s="687">
        <f>IF(Select2=1,Nappies!$W60,"")</f>
        <v>0</v>
      </c>
      <c r="W58" s="697">
        <f>IF(Select2=1,Garden!$W60,"")</f>
        <v>0</v>
      </c>
      <c r="X58" s="687">
        <f>IF(Select2=1,Wood!$W60,"")</f>
        <v>9.6468764484781977E-2</v>
      </c>
      <c r="Y58" s="697">
        <f>IF(Select2=1,Textiles!$W60,"")</f>
        <v>1.4665138564409524E-2</v>
      </c>
      <c r="Z58" s="689">
        <f>Sludge!W60</f>
        <v>0</v>
      </c>
      <c r="AA58" s="689" t="str">
        <f>IF(Select2=2,MSW!$W60,"")</f>
        <v/>
      </c>
      <c r="AB58" s="698">
        <f>Industry!$W60</f>
        <v>0</v>
      </c>
      <c r="AC58" s="699">
        <f t="shared" si="4"/>
        <v>0.23519630253577559</v>
      </c>
      <c r="AD58" s="700">
        <f>Recovery_OX!R53</f>
        <v>0</v>
      </c>
      <c r="AE58" s="650"/>
      <c r="AF58" s="702">
        <f>(AC58-AD58)*(1-Recovery_OX!U53)</f>
        <v>0.23519630253577559</v>
      </c>
    </row>
    <row r="59" spans="2:32">
      <c r="B59" s="695">
        <f t="shared" si="1"/>
        <v>2042</v>
      </c>
      <c r="C59" s="696">
        <f>IF(Select2=1,Food!$K61,"")</f>
        <v>7.2983213276200509E-3</v>
      </c>
      <c r="D59" s="697">
        <f>IF(Select2=1,Paper!$K61,"")</f>
        <v>5.2699393181036794E-2</v>
      </c>
      <c r="E59" s="687">
        <f>IF(Select2=1,Nappies!$K61,"")</f>
        <v>2.9724300167333302E-2</v>
      </c>
      <c r="F59" s="697">
        <f>IF(Select2=1,Garden!$K61,"")</f>
        <v>0</v>
      </c>
      <c r="G59" s="687">
        <f>IF(Select2=1,Wood!$K61,"")</f>
        <v>0</v>
      </c>
      <c r="H59" s="697">
        <f>IF(Select2=1,Textiles!$K61,"")</f>
        <v>1.247723716603685E-2</v>
      </c>
      <c r="I59" s="698">
        <f>Sludge!K61</f>
        <v>0</v>
      </c>
      <c r="J59" s="698" t="str">
        <f>IF(Select2=2,MSW!$K61,"")</f>
        <v/>
      </c>
      <c r="K59" s="698">
        <f>Industry!$K61</f>
        <v>0</v>
      </c>
      <c r="L59" s="699">
        <f t="shared" si="3"/>
        <v>0.10219925184202699</v>
      </c>
      <c r="M59" s="700">
        <f>Recovery_OX!C54</f>
        <v>0</v>
      </c>
      <c r="N59" s="650"/>
      <c r="O59" s="701">
        <f>(L59-M59)*(1-Recovery_OX!F54)</f>
        <v>0.10219925184202699</v>
      </c>
      <c r="P59" s="641"/>
      <c r="Q59" s="652"/>
      <c r="S59" s="695">
        <f t="shared" si="2"/>
        <v>2042</v>
      </c>
      <c r="T59" s="696">
        <f>IF(Select2=1,Food!$W61,"")</f>
        <v>4.8829090059902226E-3</v>
      </c>
      <c r="U59" s="697">
        <f>IF(Select2=1,Paper!$W61,"")</f>
        <v>0.10888304376247274</v>
      </c>
      <c r="V59" s="687">
        <f>IF(Select2=1,Nappies!$W61,"")</f>
        <v>0</v>
      </c>
      <c r="W59" s="697">
        <f>IF(Select2=1,Garden!$W61,"")</f>
        <v>0</v>
      </c>
      <c r="X59" s="687">
        <f>IF(Select2=1,Wood!$W61,"")</f>
        <v>9.3150761486181025E-2</v>
      </c>
      <c r="Y59" s="697">
        <f>IF(Select2=1,Textiles!$W61,"")</f>
        <v>1.3673684565519831E-2</v>
      </c>
      <c r="Z59" s="689">
        <f>Sludge!W61</f>
        <v>0</v>
      </c>
      <c r="AA59" s="689" t="str">
        <f>IF(Select2=2,MSW!$W61,"")</f>
        <v/>
      </c>
      <c r="AB59" s="698">
        <f>Industry!$W61</f>
        <v>0</v>
      </c>
      <c r="AC59" s="699">
        <f t="shared" si="4"/>
        <v>0.22059039882016379</v>
      </c>
      <c r="AD59" s="700">
        <f>Recovery_OX!R54</f>
        <v>0</v>
      </c>
      <c r="AE59" s="650"/>
      <c r="AF59" s="702">
        <f>(AC59-AD59)*(1-Recovery_OX!U54)</f>
        <v>0.22059039882016379</v>
      </c>
    </row>
    <row r="60" spans="2:32">
      <c r="B60" s="695">
        <f t="shared" si="1"/>
        <v>2043</v>
      </c>
      <c r="C60" s="696">
        <f>IF(Select2=1,Food!$K62,"")</f>
        <v>4.8922110883131611E-3</v>
      </c>
      <c r="D60" s="697">
        <f>IF(Select2=1,Paper!$K62,"")</f>
        <v>4.9136588514792384E-2</v>
      </c>
      <c r="E60" s="687">
        <f>IF(Select2=1,Nappies!$K62,"")</f>
        <v>2.507734624912911E-2</v>
      </c>
      <c r="F60" s="697">
        <f>IF(Select2=1,Garden!$K62,"")</f>
        <v>0</v>
      </c>
      <c r="G60" s="687">
        <f>IF(Select2=1,Wood!$K62,"")</f>
        <v>0</v>
      </c>
      <c r="H60" s="697">
        <f>IF(Select2=1,Textiles!$K62,"")</f>
        <v>1.1633698823113568E-2</v>
      </c>
      <c r="I60" s="698">
        <f>Sludge!K62</f>
        <v>0</v>
      </c>
      <c r="J60" s="698" t="str">
        <f>IF(Select2=2,MSW!$K62,"")</f>
        <v/>
      </c>
      <c r="K60" s="698">
        <f>Industry!$K62</f>
        <v>0</v>
      </c>
      <c r="L60" s="699">
        <f t="shared" si="3"/>
        <v>9.0739844675348236E-2</v>
      </c>
      <c r="M60" s="700">
        <f>Recovery_OX!C55</f>
        <v>0</v>
      </c>
      <c r="N60" s="650"/>
      <c r="O60" s="701">
        <f>(L60-M60)*(1-Recovery_OX!F55)</f>
        <v>9.0739844675348236E-2</v>
      </c>
      <c r="P60" s="641"/>
      <c r="Q60" s="652"/>
      <c r="S60" s="695">
        <f t="shared" si="2"/>
        <v>2043</v>
      </c>
      <c r="T60" s="696">
        <f>IF(Select2=1,Food!$W62,"")</f>
        <v>3.2731117896832038E-3</v>
      </c>
      <c r="U60" s="697">
        <f>IF(Select2=1,Paper!$W62,"")</f>
        <v>0.1015218770966785</v>
      </c>
      <c r="V60" s="687">
        <f>IF(Select2=1,Nappies!$W62,"")</f>
        <v>0</v>
      </c>
      <c r="W60" s="697">
        <f>IF(Select2=1,Garden!$W62,"")</f>
        <v>0</v>
      </c>
      <c r="X60" s="687">
        <f>IF(Select2=1,Wood!$W62,"")</f>
        <v>8.9946879819573125E-2</v>
      </c>
      <c r="Y60" s="697">
        <f>IF(Select2=1,Textiles!$W62,"")</f>
        <v>1.2749258984234041E-2</v>
      </c>
      <c r="Z60" s="689">
        <f>Sludge!W62</f>
        <v>0</v>
      </c>
      <c r="AA60" s="689" t="str">
        <f>IF(Select2=2,MSW!$W62,"")</f>
        <v/>
      </c>
      <c r="AB60" s="698">
        <f>Industry!$W62</f>
        <v>0</v>
      </c>
      <c r="AC60" s="699">
        <f t="shared" si="4"/>
        <v>0.20749112769016886</v>
      </c>
      <c r="AD60" s="700">
        <f>Recovery_OX!R55</f>
        <v>0</v>
      </c>
      <c r="AE60" s="650"/>
      <c r="AF60" s="702">
        <f>(AC60-AD60)*(1-Recovery_OX!U55)</f>
        <v>0.20749112769016886</v>
      </c>
    </row>
    <row r="61" spans="2:32">
      <c r="B61" s="695">
        <f t="shared" si="1"/>
        <v>2044</v>
      </c>
      <c r="C61" s="696">
        <f>IF(Select2=1,Food!$K63,"")</f>
        <v>3.2793471619341433E-3</v>
      </c>
      <c r="D61" s="697">
        <f>IF(Select2=1,Paper!$K63,"")</f>
        <v>4.581465146245401E-2</v>
      </c>
      <c r="E61" s="687">
        <f>IF(Select2=1,Nappies!$K63,"")</f>
        <v>2.1156874723995522E-2</v>
      </c>
      <c r="F61" s="697">
        <f>IF(Select2=1,Garden!$K63,"")</f>
        <v>0</v>
      </c>
      <c r="G61" s="687">
        <f>IF(Select2=1,Wood!$K63,"")</f>
        <v>0</v>
      </c>
      <c r="H61" s="697">
        <f>IF(Select2=1,Textiles!$K63,"")</f>
        <v>1.0847188885318194E-2</v>
      </c>
      <c r="I61" s="698">
        <f>Sludge!K63</f>
        <v>0</v>
      </c>
      <c r="J61" s="698" t="str">
        <f>IF(Select2=2,MSW!$K63,"")</f>
        <v/>
      </c>
      <c r="K61" s="698">
        <f>Industry!$K63</f>
        <v>0</v>
      </c>
      <c r="L61" s="699">
        <f t="shared" si="3"/>
        <v>8.1098062233701862E-2</v>
      </c>
      <c r="M61" s="700">
        <f>Recovery_OX!C56</f>
        <v>0</v>
      </c>
      <c r="N61" s="650"/>
      <c r="O61" s="701">
        <f>(L61-M61)*(1-Recovery_OX!F56)</f>
        <v>8.1098062233701862E-2</v>
      </c>
      <c r="P61" s="641"/>
      <c r="Q61" s="652"/>
      <c r="S61" s="695">
        <f t="shared" si="2"/>
        <v>2044</v>
      </c>
      <c r="T61" s="696">
        <f>IF(Select2=1,Food!$W63,"")</f>
        <v>2.1940324455402391E-3</v>
      </c>
      <c r="U61" s="697">
        <f>IF(Select2=1,Paper!$W63,"")</f>
        <v>9.4658370790194249E-2</v>
      </c>
      <c r="V61" s="687">
        <f>IF(Select2=1,Nappies!$W63,"")</f>
        <v>0</v>
      </c>
      <c r="W61" s="697">
        <f>IF(Select2=1,Garden!$W63,"")</f>
        <v>0</v>
      </c>
      <c r="X61" s="687">
        <f>IF(Select2=1,Wood!$W63,"")</f>
        <v>8.6853194329248221E-2</v>
      </c>
      <c r="Y61" s="697">
        <f>IF(Select2=1,Textiles!$W63,"")</f>
        <v>1.1887330285280207E-2</v>
      </c>
      <c r="Z61" s="689">
        <f>Sludge!W63</f>
        <v>0</v>
      </c>
      <c r="AA61" s="689" t="str">
        <f>IF(Select2=2,MSW!$W63,"")</f>
        <v/>
      </c>
      <c r="AB61" s="698">
        <f>Industry!$W63</f>
        <v>0</v>
      </c>
      <c r="AC61" s="699">
        <f t="shared" si="4"/>
        <v>0.19559292785026294</v>
      </c>
      <c r="AD61" s="700">
        <f>Recovery_OX!R56</f>
        <v>0</v>
      </c>
      <c r="AE61" s="650"/>
      <c r="AF61" s="702">
        <f>(AC61-AD61)*(1-Recovery_OX!U56)</f>
        <v>0.19559292785026294</v>
      </c>
    </row>
    <row r="62" spans="2:32">
      <c r="B62" s="695">
        <f t="shared" si="1"/>
        <v>2045</v>
      </c>
      <c r="C62" s="696">
        <f>IF(Select2=1,Food!$K64,"")</f>
        <v>2.1982121405545378E-3</v>
      </c>
      <c r="D62" s="697">
        <f>IF(Select2=1,Paper!$K64,"")</f>
        <v>4.2717297884737132E-2</v>
      </c>
      <c r="E62" s="687">
        <f>IF(Select2=1,Nappies!$K64,"")</f>
        <v>1.7849310833772346E-2</v>
      </c>
      <c r="F62" s="697">
        <f>IF(Select2=1,Garden!$K64,"")</f>
        <v>0</v>
      </c>
      <c r="G62" s="687">
        <f>IF(Select2=1,Wood!$K64,"")</f>
        <v>0</v>
      </c>
      <c r="H62" s="697">
        <f>IF(Select2=1,Textiles!$K64,"")</f>
        <v>1.0113851880023176E-2</v>
      </c>
      <c r="I62" s="698">
        <f>Sludge!K64</f>
        <v>0</v>
      </c>
      <c r="J62" s="698" t="str">
        <f>IF(Select2=2,MSW!$K64,"")</f>
        <v/>
      </c>
      <c r="K62" s="698">
        <f>Industry!$K64</f>
        <v>0</v>
      </c>
      <c r="L62" s="699">
        <f t="shared" si="3"/>
        <v>7.2878672739087186E-2</v>
      </c>
      <c r="M62" s="700">
        <f>Recovery_OX!C57</f>
        <v>0</v>
      </c>
      <c r="N62" s="650"/>
      <c r="O62" s="701">
        <f>(L62-M62)*(1-Recovery_OX!F57)</f>
        <v>7.2878672739087186E-2</v>
      </c>
      <c r="P62" s="641"/>
      <c r="Q62" s="652"/>
      <c r="S62" s="695">
        <f t="shared" si="2"/>
        <v>2045</v>
      </c>
      <c r="T62" s="696">
        <f>IF(Select2=1,Food!$W64,"")</f>
        <v>1.4707039298982195E-3</v>
      </c>
      <c r="U62" s="697">
        <f>IF(Select2=1,Paper!$W64,"")</f>
        <v>8.8258879927142847E-2</v>
      </c>
      <c r="V62" s="687">
        <f>IF(Select2=1,Nappies!$W64,"")</f>
        <v>0</v>
      </c>
      <c r="W62" s="697">
        <f>IF(Select2=1,Garden!$W64,"")</f>
        <v>0</v>
      </c>
      <c r="X62" s="687">
        <f>IF(Select2=1,Wood!$W64,"")</f>
        <v>8.386591486359303E-2</v>
      </c>
      <c r="Y62" s="697">
        <f>IF(Select2=1,Textiles!$W64,"")</f>
        <v>1.1083673293176078E-2</v>
      </c>
      <c r="Z62" s="689">
        <f>Sludge!W64</f>
        <v>0</v>
      </c>
      <c r="AA62" s="689" t="str">
        <f>IF(Select2=2,MSW!$W64,"")</f>
        <v/>
      </c>
      <c r="AB62" s="698">
        <f>Industry!$W64</f>
        <v>0</v>
      </c>
      <c r="AC62" s="699">
        <f t="shared" si="4"/>
        <v>0.18467917201381018</v>
      </c>
      <c r="AD62" s="700">
        <f>Recovery_OX!R57</f>
        <v>0</v>
      </c>
      <c r="AE62" s="650"/>
      <c r="AF62" s="702">
        <f>(AC62-AD62)*(1-Recovery_OX!U57)</f>
        <v>0.18467917201381018</v>
      </c>
    </row>
    <row r="63" spans="2:32">
      <c r="B63" s="695">
        <f t="shared" si="1"/>
        <v>2046</v>
      </c>
      <c r="C63" s="696">
        <f>IF(Select2=1,Food!$K65,"")</f>
        <v>1.473505663252619E-3</v>
      </c>
      <c r="D63" s="697">
        <f>IF(Select2=1,Paper!$K65,"")</f>
        <v>3.9829344550810337E-2</v>
      </c>
      <c r="E63" s="687">
        <f>IF(Select2=1,Nappies!$K65,"")</f>
        <v>1.5058835550946392E-2</v>
      </c>
      <c r="F63" s="697">
        <f>IF(Select2=1,Garden!$K65,"")</f>
        <v>0</v>
      </c>
      <c r="G63" s="687">
        <f>IF(Select2=1,Wood!$K65,"")</f>
        <v>0</v>
      </c>
      <c r="H63" s="697">
        <f>IF(Select2=1,Textiles!$K65,"")</f>
        <v>9.4300929883777661E-3</v>
      </c>
      <c r="I63" s="698">
        <f>Sludge!K65</f>
        <v>0</v>
      </c>
      <c r="J63" s="698" t="str">
        <f>IF(Select2=2,MSW!$K65,"")</f>
        <v/>
      </c>
      <c r="K63" s="698">
        <f>Industry!$K65</f>
        <v>0</v>
      </c>
      <c r="L63" s="699">
        <f t="shared" si="3"/>
        <v>6.5791778753387112E-2</v>
      </c>
      <c r="M63" s="700">
        <f>Recovery_OX!C58</f>
        <v>0</v>
      </c>
      <c r="N63" s="650"/>
      <c r="O63" s="701">
        <f>(L63-M63)*(1-Recovery_OX!F58)</f>
        <v>6.5791778753387112E-2</v>
      </c>
      <c r="P63" s="641"/>
      <c r="Q63" s="652"/>
      <c r="S63" s="695">
        <f t="shared" si="2"/>
        <v>2046</v>
      </c>
      <c r="T63" s="696">
        <f>IF(Select2=1,Food!$W65,"")</f>
        <v>9.8584232599417004E-4</v>
      </c>
      <c r="U63" s="697">
        <f>IF(Select2=1,Paper!$W65,"")</f>
        <v>8.2292034195889152E-2</v>
      </c>
      <c r="V63" s="687">
        <f>IF(Select2=1,Nappies!$W65,"")</f>
        <v>0</v>
      </c>
      <c r="W63" s="697">
        <f>IF(Select2=1,Garden!$W65,"")</f>
        <v>0</v>
      </c>
      <c r="X63" s="687">
        <f>IF(Select2=1,Wood!$W65,"")</f>
        <v>8.0981381631681379E-2</v>
      </c>
      <c r="Y63" s="697">
        <f>IF(Select2=1,Textiles!$W65,"")</f>
        <v>1.0334348480413985E-2</v>
      </c>
      <c r="Z63" s="689">
        <f>Sludge!W65</f>
        <v>0</v>
      </c>
      <c r="AA63" s="689" t="str">
        <f>IF(Select2=2,MSW!$W65,"")</f>
        <v/>
      </c>
      <c r="AB63" s="698">
        <f>Industry!$W65</f>
        <v>0</v>
      </c>
      <c r="AC63" s="699">
        <f t="shared" si="4"/>
        <v>0.17459360663397869</v>
      </c>
      <c r="AD63" s="700">
        <f>Recovery_OX!R58</f>
        <v>0</v>
      </c>
      <c r="AE63" s="650"/>
      <c r="AF63" s="702">
        <f>(AC63-AD63)*(1-Recovery_OX!U58)</f>
        <v>0.17459360663397869</v>
      </c>
    </row>
    <row r="64" spans="2:32">
      <c r="B64" s="695">
        <f t="shared" si="1"/>
        <v>2047</v>
      </c>
      <c r="C64" s="696">
        <f>IF(Select2=1,Food!$K66,"")</f>
        <v>9.8772038402527088E-4</v>
      </c>
      <c r="D64" s="697">
        <f>IF(Select2=1,Paper!$K66,"")</f>
        <v>3.7136634710080219E-2</v>
      </c>
      <c r="E64" s="687">
        <f>IF(Select2=1,Nappies!$K66,"")</f>
        <v>1.270460973324429E-2</v>
      </c>
      <c r="F64" s="697">
        <f>IF(Select2=1,Garden!$K66,"")</f>
        <v>0</v>
      </c>
      <c r="G64" s="687">
        <f>IF(Select2=1,Wood!$K66,"")</f>
        <v>0</v>
      </c>
      <c r="H64" s="697">
        <f>IF(Select2=1,Textiles!$K66,"")</f>
        <v>8.7925604235018426E-3</v>
      </c>
      <c r="I64" s="698">
        <f>Sludge!K66</f>
        <v>0</v>
      </c>
      <c r="J64" s="698" t="str">
        <f>IF(Select2=2,MSW!$K66,"")</f>
        <v/>
      </c>
      <c r="K64" s="698">
        <f>Industry!$K66</f>
        <v>0</v>
      </c>
      <c r="L64" s="699">
        <f t="shared" si="3"/>
        <v>5.9621525250851619E-2</v>
      </c>
      <c r="M64" s="700">
        <f>Recovery_OX!C59</f>
        <v>0</v>
      </c>
      <c r="N64" s="650"/>
      <c r="O64" s="701">
        <f>(L64-M64)*(1-Recovery_OX!F59)</f>
        <v>5.9621525250851619E-2</v>
      </c>
      <c r="P64" s="641"/>
      <c r="Q64" s="652"/>
      <c r="S64" s="695">
        <f t="shared" si="2"/>
        <v>2047</v>
      </c>
      <c r="T64" s="696">
        <f>IF(Select2=1,Food!$W66,"")</f>
        <v>6.6082987334429395E-4</v>
      </c>
      <c r="U64" s="697">
        <f>IF(Select2=1,Paper!$W66,"")</f>
        <v>7.6728584111735998E-2</v>
      </c>
      <c r="V64" s="687">
        <f>IF(Select2=1,Nappies!$W66,"")</f>
        <v>0</v>
      </c>
      <c r="W64" s="697">
        <f>IF(Select2=1,Garden!$W66,"")</f>
        <v>0</v>
      </c>
      <c r="X64" s="687">
        <f>IF(Select2=1,Wood!$W66,"")</f>
        <v>7.8196060719572552E-2</v>
      </c>
      <c r="Y64" s="697">
        <f>IF(Select2=1,Textiles!$W66,"")</f>
        <v>9.6356826558924285E-3</v>
      </c>
      <c r="Z64" s="689">
        <f>Sludge!W66</f>
        <v>0</v>
      </c>
      <c r="AA64" s="689" t="str">
        <f>IF(Select2=2,MSW!$W66,"")</f>
        <v/>
      </c>
      <c r="AB64" s="698">
        <f>Industry!$W66</f>
        <v>0</v>
      </c>
      <c r="AC64" s="699">
        <f t="shared" si="4"/>
        <v>0.16522115736054527</v>
      </c>
      <c r="AD64" s="700">
        <f>Recovery_OX!R59</f>
        <v>0</v>
      </c>
      <c r="AE64" s="650"/>
      <c r="AF64" s="702">
        <f>(AC64-AD64)*(1-Recovery_OX!U59)</f>
        <v>0.16522115736054527</v>
      </c>
    </row>
    <row r="65" spans="2:32">
      <c r="B65" s="695">
        <f t="shared" si="1"/>
        <v>2048</v>
      </c>
      <c r="C65" s="696">
        <f>IF(Select2=1,Food!$K67,"")</f>
        <v>6.6208877329015892E-4</v>
      </c>
      <c r="D65" s="697">
        <f>IF(Select2=1,Paper!$K67,"")</f>
        <v>3.4625968695783521E-2</v>
      </c>
      <c r="E65" s="687">
        <f>IF(Select2=1,Nappies!$K67,"")</f>
        <v>1.0718432240526175E-2</v>
      </c>
      <c r="F65" s="697">
        <f>IF(Select2=1,Garden!$K67,"")</f>
        <v>0</v>
      </c>
      <c r="G65" s="687">
        <f>IF(Select2=1,Wood!$K67,"")</f>
        <v>0</v>
      </c>
      <c r="H65" s="697">
        <f>IF(Select2=1,Textiles!$K67,"")</f>
        <v>8.1981290000227459E-3</v>
      </c>
      <c r="I65" s="698">
        <f>Sludge!K67</f>
        <v>0</v>
      </c>
      <c r="J65" s="698" t="str">
        <f>IF(Select2=2,MSW!$K67,"")</f>
        <v/>
      </c>
      <c r="K65" s="698">
        <f>Industry!$K67</f>
        <v>0</v>
      </c>
      <c r="L65" s="699">
        <f t="shared" si="3"/>
        <v>5.42046187096226E-2</v>
      </c>
      <c r="M65" s="700">
        <f>Recovery_OX!C60</f>
        <v>0</v>
      </c>
      <c r="N65" s="650"/>
      <c r="O65" s="701">
        <f>(L65-M65)*(1-Recovery_OX!F60)</f>
        <v>5.42046187096226E-2</v>
      </c>
      <c r="P65" s="641"/>
      <c r="Q65" s="652"/>
      <c r="S65" s="695">
        <f t="shared" si="2"/>
        <v>2048</v>
      </c>
      <c r="T65" s="696">
        <f>IF(Select2=1,Food!$W67,"")</f>
        <v>4.429675111218728E-4</v>
      </c>
      <c r="U65" s="697">
        <f>IF(Select2=1,Paper!$W67,"")</f>
        <v>7.1541257635916372E-2</v>
      </c>
      <c r="V65" s="687">
        <f>IF(Select2=1,Nappies!$W67,"")</f>
        <v>0</v>
      </c>
      <c r="W65" s="697">
        <f>IF(Select2=1,Garden!$W67,"")</f>
        <v>0</v>
      </c>
      <c r="X65" s="687">
        <f>IF(Select2=1,Wood!$W67,"")</f>
        <v>7.550653976082479E-2</v>
      </c>
      <c r="Y65" s="697">
        <f>IF(Select2=1,Textiles!$W67,"")</f>
        <v>8.9842509589290326E-3</v>
      </c>
      <c r="Z65" s="689">
        <f>Sludge!W67</f>
        <v>0</v>
      </c>
      <c r="AA65" s="689" t="str">
        <f>IF(Select2=2,MSW!$W67,"")</f>
        <v/>
      </c>
      <c r="AB65" s="698">
        <f>Industry!$W67</f>
        <v>0</v>
      </c>
      <c r="AC65" s="699">
        <f t="shared" si="4"/>
        <v>0.15647501586679208</v>
      </c>
      <c r="AD65" s="700">
        <f>Recovery_OX!R60</f>
        <v>0</v>
      </c>
      <c r="AE65" s="650"/>
      <c r="AF65" s="702">
        <f>(AC65-AD65)*(1-Recovery_OX!U60)</f>
        <v>0.15647501586679208</v>
      </c>
    </row>
    <row r="66" spans="2:32">
      <c r="B66" s="695">
        <f t="shared" si="1"/>
        <v>2049</v>
      </c>
      <c r="C66" s="696">
        <f>IF(Select2=1,Food!$K68,"")</f>
        <v>4.4381137699153934E-4</v>
      </c>
      <c r="D66" s="697">
        <f>IF(Select2=1,Paper!$K68,"")</f>
        <v>3.2285039220205383E-2</v>
      </c>
      <c r="E66" s="687">
        <f>IF(Select2=1,Nappies!$K68,"")</f>
        <v>9.0427641704042827E-3</v>
      </c>
      <c r="F66" s="697">
        <f>IF(Select2=1,Garden!$K68,"")</f>
        <v>0</v>
      </c>
      <c r="G66" s="687">
        <f>IF(Select2=1,Wood!$K68,"")</f>
        <v>0</v>
      </c>
      <c r="H66" s="697">
        <f>IF(Select2=1,Textiles!$K68,"")</f>
        <v>7.6438848144129408E-3</v>
      </c>
      <c r="I66" s="698">
        <f>Sludge!K68</f>
        <v>0</v>
      </c>
      <c r="J66" s="698" t="str">
        <f>IF(Select2=2,MSW!$K68,"")</f>
        <v/>
      </c>
      <c r="K66" s="698">
        <f>Industry!$K68</f>
        <v>0</v>
      </c>
      <c r="L66" s="699">
        <f t="shared" si="3"/>
        <v>4.9415499582014147E-2</v>
      </c>
      <c r="M66" s="700">
        <f>Recovery_OX!C61</f>
        <v>0</v>
      </c>
      <c r="N66" s="650"/>
      <c r="O66" s="701">
        <f>(L66-M66)*(1-Recovery_OX!F61)</f>
        <v>4.9415499582014147E-2</v>
      </c>
      <c r="P66" s="641"/>
      <c r="Q66" s="652"/>
      <c r="S66" s="695">
        <f t="shared" si="2"/>
        <v>2049</v>
      </c>
      <c r="T66" s="696">
        <f>IF(Select2=1,Food!$W68,"")</f>
        <v>2.9693000244750633E-4</v>
      </c>
      <c r="U66" s="697">
        <f>IF(Select2=1,Paper!$W68,"")</f>
        <v>6.6704626488027663E-2</v>
      </c>
      <c r="V66" s="687">
        <f>IF(Select2=1,Nappies!$W68,"")</f>
        <v>0</v>
      </c>
      <c r="W66" s="697">
        <f>IF(Select2=1,Garden!$W68,"")</f>
        <v>0</v>
      </c>
      <c r="X66" s="687">
        <f>IF(Select2=1,Wood!$W68,"")</f>
        <v>7.2909523755919706E-2</v>
      </c>
      <c r="Y66" s="697">
        <f>IF(Select2=1,Textiles!$W68,"")</f>
        <v>8.3768600705895202E-3</v>
      </c>
      <c r="Z66" s="689">
        <f>Sludge!W68</f>
        <v>0</v>
      </c>
      <c r="AA66" s="689" t="str">
        <f>IF(Select2=2,MSW!$W68,"")</f>
        <v/>
      </c>
      <c r="AB66" s="698">
        <f>Industry!$W68</f>
        <v>0</v>
      </c>
      <c r="AC66" s="699">
        <f t="shared" si="4"/>
        <v>0.14828794031698439</v>
      </c>
      <c r="AD66" s="700">
        <f>Recovery_OX!R61</f>
        <v>0</v>
      </c>
      <c r="AE66" s="650"/>
      <c r="AF66" s="702">
        <f>(AC66-AD66)*(1-Recovery_OX!U61)</f>
        <v>0.14828794031698439</v>
      </c>
    </row>
    <row r="67" spans="2:32">
      <c r="B67" s="695">
        <f t="shared" si="1"/>
        <v>2050</v>
      </c>
      <c r="C67" s="696">
        <f>IF(Select2=1,Food!$K69,"")</f>
        <v>2.9749566265610918E-4</v>
      </c>
      <c r="D67" s="697">
        <f>IF(Select2=1,Paper!$K69,"")</f>
        <v>3.0102371044340662E-2</v>
      </c>
      <c r="E67" s="687">
        <f>IF(Select2=1,Nappies!$K69,"")</f>
        <v>7.6290619753484785E-3</v>
      </c>
      <c r="F67" s="697">
        <f>IF(Select2=1,Garden!$K69,"")</f>
        <v>0</v>
      </c>
      <c r="G67" s="687">
        <f>IF(Select2=1,Wood!$K69,"")</f>
        <v>0</v>
      </c>
      <c r="H67" s="697">
        <f>IF(Select2=1,Textiles!$K69,"")</f>
        <v>7.1271109610315528E-3</v>
      </c>
      <c r="I67" s="698">
        <f>Sludge!K69</f>
        <v>0</v>
      </c>
      <c r="J67" s="698" t="str">
        <f>IF(Select2=2,MSW!$K69,"")</f>
        <v/>
      </c>
      <c r="K67" s="698">
        <f>Industry!$K69</f>
        <v>0</v>
      </c>
      <c r="L67" s="699">
        <f t="shared" si="3"/>
        <v>4.5156039643376805E-2</v>
      </c>
      <c r="M67" s="700">
        <f>Recovery_OX!C62</f>
        <v>0</v>
      </c>
      <c r="N67" s="650"/>
      <c r="O67" s="701">
        <f>(L67-M67)*(1-Recovery_OX!F62)</f>
        <v>4.5156039643376805E-2</v>
      </c>
      <c r="P67" s="641"/>
      <c r="Q67" s="652"/>
      <c r="S67" s="695">
        <f t="shared" si="2"/>
        <v>2050</v>
      </c>
      <c r="T67" s="696">
        <f>IF(Select2=1,Food!$W69,"")</f>
        <v>1.9903813290997495E-4</v>
      </c>
      <c r="U67" s="697">
        <f>IF(Select2=1,Paper!$W69,"")</f>
        <v>6.2194981496571614E-2</v>
      </c>
      <c r="V67" s="687">
        <f>IF(Select2=1,Nappies!$W69,"")</f>
        <v>0</v>
      </c>
      <c r="W67" s="697">
        <f>IF(Select2=1,Garden!$W69,"")</f>
        <v>0</v>
      </c>
      <c r="X67" s="687">
        <f>IF(Select2=1,Wood!$W69,"")</f>
        <v>7.0401831035475787E-2</v>
      </c>
      <c r="Y67" s="697">
        <f>IF(Select2=1,Textiles!$W69,"")</f>
        <v>7.8105325600345745E-3</v>
      </c>
      <c r="Z67" s="689">
        <f>Sludge!W69</f>
        <v>0</v>
      </c>
      <c r="AA67" s="689" t="str">
        <f>IF(Select2=2,MSW!$W69,"")</f>
        <v/>
      </c>
      <c r="AB67" s="698">
        <f>Industry!$W69</f>
        <v>0</v>
      </c>
      <c r="AC67" s="699">
        <f t="shared" si="4"/>
        <v>0.14060638322499194</v>
      </c>
      <c r="AD67" s="700">
        <f>Recovery_OX!R62</f>
        <v>0</v>
      </c>
      <c r="AE67" s="650"/>
      <c r="AF67" s="702">
        <f>(AC67-AD67)*(1-Recovery_OX!U62)</f>
        <v>0.14060638322499194</v>
      </c>
    </row>
    <row r="68" spans="2:32">
      <c r="B68" s="695">
        <f t="shared" si="1"/>
        <v>2051</v>
      </c>
      <c r="C68" s="696">
        <f>IF(Select2=1,Food!$K70,"")</f>
        <v>1.9941730628704612E-4</v>
      </c>
      <c r="D68" s="697">
        <f>IF(Select2=1,Paper!$K70,"")</f>
        <v>2.8067264726258999E-2</v>
      </c>
      <c r="E68" s="687">
        <f>IF(Select2=1,Nappies!$K70,"")</f>
        <v>6.4363711722348182E-3</v>
      </c>
      <c r="F68" s="697">
        <f>IF(Select2=1,Garden!$K70,"")</f>
        <v>0</v>
      </c>
      <c r="G68" s="687">
        <f>IF(Select2=1,Wood!$K70,"")</f>
        <v>0</v>
      </c>
      <c r="H68" s="697">
        <f>IF(Select2=1,Textiles!$K70,"")</f>
        <v>6.6452742138497622E-3</v>
      </c>
      <c r="I68" s="698">
        <f>Sludge!K70</f>
        <v>0</v>
      </c>
      <c r="J68" s="698" t="str">
        <f>IF(Select2=2,MSW!$K70,"")</f>
        <v/>
      </c>
      <c r="K68" s="698">
        <f>Industry!$K70</f>
        <v>0</v>
      </c>
      <c r="L68" s="699">
        <f t="shared" si="3"/>
        <v>4.1348327418630627E-2</v>
      </c>
      <c r="M68" s="700">
        <f>Recovery_OX!C63</f>
        <v>0</v>
      </c>
      <c r="N68" s="650"/>
      <c r="O68" s="701">
        <f>(L68-M68)*(1-Recovery_OX!F63)</f>
        <v>4.1348327418630627E-2</v>
      </c>
      <c r="P68" s="641"/>
      <c r="Q68" s="652"/>
      <c r="S68" s="695">
        <f t="shared" si="2"/>
        <v>2051</v>
      </c>
      <c r="T68" s="696">
        <f>IF(Select2=1,Food!$W70,"")</f>
        <v>1.334192504150621E-4</v>
      </c>
      <c r="U68" s="697">
        <f>IF(Select2=1,Paper!$W70,"")</f>
        <v>5.7990216376568177E-2</v>
      </c>
      <c r="V68" s="687">
        <f>IF(Select2=1,Nappies!$W70,"")</f>
        <v>0</v>
      </c>
      <c r="W68" s="697">
        <f>IF(Select2=1,Garden!$W70,"")</f>
        <v>0</v>
      </c>
      <c r="X68" s="687">
        <f>IF(Select2=1,Wood!$W70,"")</f>
        <v>6.7980389362305452E-2</v>
      </c>
      <c r="Y68" s="697">
        <f>IF(Select2=1,Textiles!$W70,"")</f>
        <v>7.2824922891504221E-3</v>
      </c>
      <c r="Z68" s="689">
        <f>Sludge!W70</f>
        <v>0</v>
      </c>
      <c r="AA68" s="689" t="str">
        <f>IF(Select2=2,MSW!$W70,"")</f>
        <v/>
      </c>
      <c r="AB68" s="698">
        <f>Industry!$W70</f>
        <v>0</v>
      </c>
      <c r="AC68" s="699">
        <f t="shared" si="4"/>
        <v>0.13338651727843912</v>
      </c>
      <c r="AD68" s="700">
        <f>Recovery_OX!R63</f>
        <v>0</v>
      </c>
      <c r="AE68" s="650"/>
      <c r="AF68" s="702">
        <f>(AC68-AD68)*(1-Recovery_OX!U63)</f>
        <v>0.13338651727843912</v>
      </c>
    </row>
    <row r="69" spans="2:32">
      <c r="B69" s="695">
        <f t="shared" si="1"/>
        <v>2052</v>
      </c>
      <c r="C69" s="696">
        <f>IF(Select2=1,Food!$K71,"")</f>
        <v>1.3367341793063596E-4</v>
      </c>
      <c r="D69" s="697">
        <f>IF(Select2=1,Paper!$K71,"")</f>
        <v>2.6169744172428108E-2</v>
      </c>
      <c r="E69" s="687">
        <f>IF(Select2=1,Nappies!$K71,"")</f>
        <v>5.4301399045697399E-3</v>
      </c>
      <c r="F69" s="697">
        <f>IF(Select2=1,Garden!$K71,"")</f>
        <v>0</v>
      </c>
      <c r="G69" s="687">
        <f>IF(Select2=1,Wood!$K71,"")</f>
        <v>0</v>
      </c>
      <c r="H69" s="697">
        <f>IF(Select2=1,Textiles!$K71,"")</f>
        <v>6.1960126085738769E-3</v>
      </c>
      <c r="I69" s="698">
        <f>Sludge!K71</f>
        <v>0</v>
      </c>
      <c r="J69" s="698" t="str">
        <f>IF(Select2=2,MSW!$K71,"")</f>
        <v/>
      </c>
      <c r="K69" s="698">
        <f>Industry!$K71</f>
        <v>0</v>
      </c>
      <c r="L69" s="699">
        <f t="shared" si="3"/>
        <v>3.7929570103502362E-2</v>
      </c>
      <c r="M69" s="700">
        <f>Recovery_OX!C64</f>
        <v>0</v>
      </c>
      <c r="N69" s="650"/>
      <c r="O69" s="701">
        <f>(L69-M69)*(1-Recovery_OX!F64)</f>
        <v>3.7929570103502362E-2</v>
      </c>
      <c r="P69" s="641"/>
      <c r="Q69" s="652"/>
      <c r="S69" s="695">
        <f t="shared" si="2"/>
        <v>2052</v>
      </c>
      <c r="T69" s="696">
        <f>IF(Select2=1,Food!$W71,"")</f>
        <v>8.9433598080264928E-5</v>
      </c>
      <c r="U69" s="697">
        <f>IF(Select2=1,Paper!$W71,"")</f>
        <v>5.4069719364520888E-2</v>
      </c>
      <c r="V69" s="687">
        <f>IF(Select2=1,Nappies!$W71,"")</f>
        <v>0</v>
      </c>
      <c r="W69" s="697">
        <f>IF(Select2=1,Garden!$W71,"")</f>
        <v>0</v>
      </c>
      <c r="X69" s="687">
        <f>IF(Select2=1,Wood!$W71,"")</f>
        <v>6.5642232167540407E-2</v>
      </c>
      <c r="Y69" s="697">
        <f>IF(Select2=1,Textiles!$W71,"")</f>
        <v>6.7901508039165757E-3</v>
      </c>
      <c r="Z69" s="689">
        <f>Sludge!W71</f>
        <v>0</v>
      </c>
      <c r="AA69" s="689" t="str">
        <f>IF(Select2=2,MSW!$W71,"")</f>
        <v/>
      </c>
      <c r="AB69" s="698">
        <f>Industry!$W71</f>
        <v>0</v>
      </c>
      <c r="AC69" s="699">
        <f t="shared" si="4"/>
        <v>0.12659153593405814</v>
      </c>
      <c r="AD69" s="700">
        <f>Recovery_OX!R64</f>
        <v>0</v>
      </c>
      <c r="AE69" s="650"/>
      <c r="AF69" s="702">
        <f>(AC69-AD69)*(1-Recovery_OX!U64)</f>
        <v>0.12659153593405814</v>
      </c>
    </row>
    <row r="70" spans="2:32">
      <c r="B70" s="695">
        <f t="shared" si="1"/>
        <v>2053</v>
      </c>
      <c r="C70" s="696">
        <f>IF(Select2=1,Food!$K72,"")</f>
        <v>8.9603971661005144E-5</v>
      </c>
      <c r="D70" s="697">
        <f>IF(Select2=1,Paper!$K72,"")</f>
        <v>2.4400507734891677E-2</v>
      </c>
      <c r="E70" s="687">
        <f>IF(Select2=1,Nappies!$K72,"")</f>
        <v>4.5812179866815336E-3</v>
      </c>
      <c r="F70" s="697">
        <f>IF(Select2=1,Garden!$K72,"")</f>
        <v>0</v>
      </c>
      <c r="G70" s="687">
        <f>IF(Select2=1,Wood!$K72,"")</f>
        <v>0</v>
      </c>
      <c r="H70" s="697">
        <f>IF(Select2=1,Textiles!$K72,"")</f>
        <v>5.7771238642936162E-3</v>
      </c>
      <c r="I70" s="698">
        <f>Sludge!K72</f>
        <v>0</v>
      </c>
      <c r="J70" s="698" t="str">
        <f>IF(Select2=2,MSW!$K72,"")</f>
        <v/>
      </c>
      <c r="K70" s="698">
        <f>Industry!$K72</f>
        <v>0</v>
      </c>
      <c r="L70" s="699">
        <f t="shared" si="3"/>
        <v>3.4848453557527831E-2</v>
      </c>
      <c r="M70" s="700">
        <f>Recovery_OX!C65</f>
        <v>0</v>
      </c>
      <c r="N70" s="650"/>
      <c r="O70" s="701">
        <f>(L70-M70)*(1-Recovery_OX!F65)</f>
        <v>3.4848453557527831E-2</v>
      </c>
      <c r="P70" s="641"/>
      <c r="Q70" s="652"/>
      <c r="S70" s="695">
        <f t="shared" si="2"/>
        <v>2053</v>
      </c>
      <c r="T70" s="696">
        <f>IF(Select2=1,Food!$W72,"")</f>
        <v>5.9949133582296054E-5</v>
      </c>
      <c r="U70" s="697">
        <f>IF(Select2=1,Paper!$W72,"")</f>
        <v>5.0414272179528249E-2</v>
      </c>
      <c r="V70" s="687">
        <f>IF(Select2=1,Nappies!$W72,"")</f>
        <v>0</v>
      </c>
      <c r="W70" s="697">
        <f>IF(Select2=1,Garden!$W72,"")</f>
        <v>0</v>
      </c>
      <c r="X70" s="687">
        <f>IF(Select2=1,Wood!$W72,"")</f>
        <v>6.3384494916213674E-2</v>
      </c>
      <c r="Y70" s="697">
        <f>IF(Select2=1,Textiles!$W72,"")</f>
        <v>6.3310946458012222E-3</v>
      </c>
      <c r="Z70" s="689">
        <f>Sludge!W72</f>
        <v>0</v>
      </c>
      <c r="AA70" s="689" t="str">
        <f>IF(Select2=2,MSW!$W72,"")</f>
        <v/>
      </c>
      <c r="AB70" s="698">
        <f>Industry!$W72</f>
        <v>0</v>
      </c>
      <c r="AC70" s="699">
        <f t="shared" si="4"/>
        <v>0.12018981087512545</v>
      </c>
      <c r="AD70" s="700">
        <f>Recovery_OX!R65</f>
        <v>0</v>
      </c>
      <c r="AE70" s="650"/>
      <c r="AF70" s="702">
        <f>(AC70-AD70)*(1-Recovery_OX!U65)</f>
        <v>0.12018981087512545</v>
      </c>
    </row>
    <row r="71" spans="2:32">
      <c r="B71" s="695">
        <f t="shared" si="1"/>
        <v>2054</v>
      </c>
      <c r="C71" s="696">
        <f>IF(Select2=1,Food!$K73,"")</f>
        <v>6.0063338408781097E-5</v>
      </c>
      <c r="D71" s="697">
        <f>IF(Select2=1,Paper!$K73,"")</f>
        <v>2.2750882614580289E-2</v>
      </c>
      <c r="E71" s="687">
        <f>IF(Select2=1,Nappies!$K73,"")</f>
        <v>3.8650124325217304E-3</v>
      </c>
      <c r="F71" s="697">
        <f>IF(Select2=1,Garden!$K73,"")</f>
        <v>0</v>
      </c>
      <c r="G71" s="687">
        <f>IF(Select2=1,Wood!$K73,"")</f>
        <v>0</v>
      </c>
      <c r="H71" s="697">
        <f>IF(Select2=1,Textiles!$K73,"")</f>
        <v>5.386554587898538E-3</v>
      </c>
      <c r="I71" s="698">
        <f>Sludge!K73</f>
        <v>0</v>
      </c>
      <c r="J71" s="698" t="str">
        <f>IF(Select2=2,MSW!$K73,"")</f>
        <v/>
      </c>
      <c r="K71" s="698">
        <f>Industry!$K73</f>
        <v>0</v>
      </c>
      <c r="L71" s="699">
        <f t="shared" si="3"/>
        <v>3.2062512973409341E-2</v>
      </c>
      <c r="M71" s="700">
        <f>Recovery_OX!C66</f>
        <v>0</v>
      </c>
      <c r="N71" s="650"/>
      <c r="O71" s="701">
        <f>(L71-M71)*(1-Recovery_OX!F66)</f>
        <v>3.2062512973409341E-2</v>
      </c>
      <c r="P71" s="641"/>
      <c r="Q71" s="652"/>
      <c r="S71" s="695">
        <f t="shared" si="2"/>
        <v>2054</v>
      </c>
      <c r="T71" s="696">
        <f>IF(Select2=1,Food!$W73,"")</f>
        <v>4.018510598268138E-5</v>
      </c>
      <c r="U71" s="697">
        <f>IF(Select2=1,Paper!$W73,"")</f>
        <v>4.700595581524853E-2</v>
      </c>
      <c r="V71" s="687">
        <f>IF(Select2=1,Nappies!$W73,"")</f>
        <v>0</v>
      </c>
      <c r="W71" s="697">
        <f>IF(Select2=1,Garden!$W73,"")</f>
        <v>0</v>
      </c>
      <c r="X71" s="687">
        <f>IF(Select2=1,Wood!$W73,"")</f>
        <v>6.1204411597846106E-2</v>
      </c>
      <c r="Y71" s="697">
        <f>IF(Select2=1,Textiles!$W73,"")</f>
        <v>5.9030735209846981E-3</v>
      </c>
      <c r="Z71" s="689">
        <f>Sludge!W73</f>
        <v>0</v>
      </c>
      <c r="AA71" s="689" t="str">
        <f>IF(Select2=2,MSW!$W73,"")</f>
        <v/>
      </c>
      <c r="AB71" s="698">
        <f>Industry!$W73</f>
        <v>0</v>
      </c>
      <c r="AC71" s="699">
        <f t="shared" si="4"/>
        <v>0.114153626040062</v>
      </c>
      <c r="AD71" s="700">
        <f>Recovery_OX!R66</f>
        <v>0</v>
      </c>
      <c r="AE71" s="650"/>
      <c r="AF71" s="702">
        <f>(AC71-AD71)*(1-Recovery_OX!U66)</f>
        <v>0.114153626040062</v>
      </c>
    </row>
    <row r="72" spans="2:32">
      <c r="B72" s="695">
        <f t="shared" si="1"/>
        <v>2055</v>
      </c>
      <c r="C72" s="696">
        <f>IF(Select2=1,Food!$K74,"")</f>
        <v>4.0261659767228324E-5</v>
      </c>
      <c r="D72" s="697">
        <f>IF(Select2=1,Paper!$K74,"")</f>
        <v>2.121278234724034E-2</v>
      </c>
      <c r="E72" s="687">
        <f>IF(Select2=1,Nappies!$K74,"")</f>
        <v>3.2607750050261883E-3</v>
      </c>
      <c r="F72" s="697">
        <f>IF(Select2=1,Garden!$K74,"")</f>
        <v>0</v>
      </c>
      <c r="G72" s="687">
        <f>IF(Select2=1,Wood!$K74,"")</f>
        <v>0</v>
      </c>
      <c r="H72" s="697">
        <f>IF(Select2=1,Textiles!$K74,"")</f>
        <v>5.0223902083426286E-3</v>
      </c>
      <c r="I72" s="698">
        <f>Sludge!K74</f>
        <v>0</v>
      </c>
      <c r="J72" s="698" t="str">
        <f>IF(Select2=2,MSW!$K74,"")</f>
        <v/>
      </c>
      <c r="K72" s="698">
        <f>Industry!$K74</f>
        <v>0</v>
      </c>
      <c r="L72" s="699">
        <f t="shared" si="3"/>
        <v>2.9536209220376385E-2</v>
      </c>
      <c r="M72" s="700">
        <f>Recovery_OX!C67</f>
        <v>0</v>
      </c>
      <c r="N72" s="650"/>
      <c r="O72" s="701">
        <f>(L72-M72)*(1-Recovery_OX!F67)</f>
        <v>2.9536209220376385E-2</v>
      </c>
      <c r="P72" s="641"/>
      <c r="Q72" s="652"/>
      <c r="S72" s="695">
        <f t="shared" si="2"/>
        <v>2055</v>
      </c>
      <c r="T72" s="696">
        <f>IF(Select2=1,Food!$W74,"")</f>
        <v>2.6936882092258029E-5</v>
      </c>
      <c r="U72" s="697">
        <f>IF(Select2=1,Paper!$W74,"")</f>
        <v>4.3828062700909803E-2</v>
      </c>
      <c r="V72" s="687">
        <f>IF(Select2=1,Nappies!$W74,"")</f>
        <v>0</v>
      </c>
      <c r="W72" s="697">
        <f>IF(Select2=1,Garden!$W74,"")</f>
        <v>0</v>
      </c>
      <c r="X72" s="687">
        <f>IF(Select2=1,Wood!$W74,"")</f>
        <v>5.9099311337737617E-2</v>
      </c>
      <c r="Y72" s="697">
        <f>IF(Select2=1,Textiles!$W74,"")</f>
        <v>5.5039892694165775E-3</v>
      </c>
      <c r="Z72" s="689">
        <f>Sludge!W74</f>
        <v>0</v>
      </c>
      <c r="AA72" s="689" t="str">
        <f>IF(Select2=2,MSW!$W74,"")</f>
        <v/>
      </c>
      <c r="AB72" s="698">
        <f>Industry!$W74</f>
        <v>0</v>
      </c>
      <c r="AC72" s="699">
        <f t="shared" si="4"/>
        <v>0.10845830019015625</v>
      </c>
      <c r="AD72" s="700">
        <f>Recovery_OX!R67</f>
        <v>0</v>
      </c>
      <c r="AE72" s="650"/>
      <c r="AF72" s="702">
        <f>(AC72-AD72)*(1-Recovery_OX!U67)</f>
        <v>0.10845830019015625</v>
      </c>
    </row>
    <row r="73" spans="2:32">
      <c r="B73" s="695">
        <f t="shared" si="1"/>
        <v>2056</v>
      </c>
      <c r="C73" s="696">
        <f>IF(Select2=1,Food!$K75,"")</f>
        <v>2.6988197628639741E-5</v>
      </c>
      <c r="D73" s="697">
        <f>IF(Select2=1,Paper!$K75,"")</f>
        <v>1.9778667163576888E-2</v>
      </c>
      <c r="E73" s="687">
        <f>IF(Select2=1,Nappies!$K75,"")</f>
        <v>2.7510011465774913E-3</v>
      </c>
      <c r="F73" s="697">
        <f>IF(Select2=1,Garden!$K75,"")</f>
        <v>0</v>
      </c>
      <c r="G73" s="687">
        <f>IF(Select2=1,Wood!$K75,"")</f>
        <v>0</v>
      </c>
      <c r="H73" s="697">
        <f>IF(Select2=1,Textiles!$K75,"")</f>
        <v>4.6828455914148144E-3</v>
      </c>
      <c r="I73" s="698">
        <f>Sludge!K75</f>
        <v>0</v>
      </c>
      <c r="J73" s="698" t="str">
        <f>IF(Select2=2,MSW!$K75,"")</f>
        <v/>
      </c>
      <c r="K73" s="698">
        <f>Industry!$K75</f>
        <v>0</v>
      </c>
      <c r="L73" s="699">
        <f t="shared" si="3"/>
        <v>2.7239502099197836E-2</v>
      </c>
      <c r="M73" s="700">
        <f>Recovery_OX!C68</f>
        <v>0</v>
      </c>
      <c r="N73" s="650"/>
      <c r="O73" s="701">
        <f>(L73-M73)*(1-Recovery_OX!F68)</f>
        <v>2.7239502099197836E-2</v>
      </c>
      <c r="P73" s="641"/>
      <c r="Q73" s="652"/>
      <c r="S73" s="695">
        <f t="shared" si="2"/>
        <v>2056</v>
      </c>
      <c r="T73" s="696">
        <f>IF(Select2=1,Food!$W75,"")</f>
        <v>1.8056332044138988E-5</v>
      </c>
      <c r="U73" s="697">
        <f>IF(Select2=1,Paper!$W75,"")</f>
        <v>4.0865014800778698E-2</v>
      </c>
      <c r="V73" s="687">
        <f>IF(Select2=1,Nappies!$W75,"")</f>
        <v>0</v>
      </c>
      <c r="W73" s="697">
        <f>IF(Select2=1,Garden!$W75,"")</f>
        <v>0</v>
      </c>
      <c r="X73" s="687">
        <f>IF(Select2=1,Wood!$W75,"")</f>
        <v>5.7066615124811655E-2</v>
      </c>
      <c r="Y73" s="697">
        <f>IF(Select2=1,Textiles!$W75,"")</f>
        <v>5.1318855796326727E-3</v>
      </c>
      <c r="Z73" s="689">
        <f>Sludge!W75</f>
        <v>0</v>
      </c>
      <c r="AA73" s="689" t="str">
        <f>IF(Select2=2,MSW!$W75,"")</f>
        <v/>
      </c>
      <c r="AB73" s="698">
        <f>Industry!$W75</f>
        <v>0</v>
      </c>
      <c r="AC73" s="699">
        <f t="shared" si="4"/>
        <v>0.10308157183726717</v>
      </c>
      <c r="AD73" s="700">
        <f>Recovery_OX!R68</f>
        <v>0</v>
      </c>
      <c r="AE73" s="650"/>
      <c r="AF73" s="702">
        <f>(AC73-AD73)*(1-Recovery_OX!U68)</f>
        <v>0.10308157183726717</v>
      </c>
    </row>
    <row r="74" spans="2:32">
      <c r="B74" s="695">
        <f t="shared" si="1"/>
        <v>2057</v>
      </c>
      <c r="C74" s="696">
        <f>IF(Select2=1,Food!$K76,"")</f>
        <v>1.8090729876848723E-5</v>
      </c>
      <c r="D74" s="697">
        <f>IF(Select2=1,Paper!$K76,"")</f>
        <v>1.8441507029295805E-2</v>
      </c>
      <c r="E74" s="687">
        <f>IF(Select2=1,Nappies!$K76,"")</f>
        <v>2.3209228777837402E-3</v>
      </c>
      <c r="F74" s="697">
        <f>IF(Select2=1,Garden!$K76,"")</f>
        <v>0</v>
      </c>
      <c r="G74" s="687">
        <f>IF(Select2=1,Wood!$K76,"")</f>
        <v>0</v>
      </c>
      <c r="H74" s="697">
        <f>IF(Select2=1,Textiles!$K76,"")</f>
        <v>4.3662562890089893E-3</v>
      </c>
      <c r="I74" s="698">
        <f>Sludge!K76</f>
        <v>0</v>
      </c>
      <c r="J74" s="698" t="str">
        <f>IF(Select2=2,MSW!$K76,"")</f>
        <v/>
      </c>
      <c r="K74" s="698">
        <f>Industry!$K76</f>
        <v>0</v>
      </c>
      <c r="L74" s="699">
        <f t="shared" si="3"/>
        <v>2.5146776925965383E-2</v>
      </c>
      <c r="M74" s="700">
        <f>Recovery_OX!C69</f>
        <v>0</v>
      </c>
      <c r="N74" s="650"/>
      <c r="O74" s="701">
        <f>(L74-M74)*(1-Recovery_OX!F69)</f>
        <v>2.5146776925965383E-2</v>
      </c>
      <c r="P74" s="641"/>
      <c r="Q74" s="652"/>
      <c r="S74" s="695">
        <f t="shared" si="2"/>
        <v>2057</v>
      </c>
      <c r="T74" s="696">
        <f>IF(Select2=1,Food!$W76,"")</f>
        <v>1.2103521327062036E-5</v>
      </c>
      <c r="U74" s="697">
        <f>IF(Select2=1,Paper!$W76,"")</f>
        <v>3.8102287250611169E-2</v>
      </c>
      <c r="V74" s="687">
        <f>IF(Select2=1,Nappies!$W76,"")</f>
        <v>0</v>
      </c>
      <c r="W74" s="697">
        <f>IF(Select2=1,Garden!$W76,"")</f>
        <v>0</v>
      </c>
      <c r="X74" s="687">
        <f>IF(Select2=1,Wood!$W76,"")</f>
        <v>5.5103832652004088E-2</v>
      </c>
      <c r="Y74" s="697">
        <f>IF(Select2=1,Textiles!$W76,"")</f>
        <v>4.7849383989139599E-3</v>
      </c>
      <c r="Z74" s="689">
        <f>Sludge!W76</f>
        <v>0</v>
      </c>
      <c r="AA74" s="689" t="str">
        <f>IF(Select2=2,MSW!$W76,"")</f>
        <v/>
      </c>
      <c r="AB74" s="698">
        <f>Industry!$W76</f>
        <v>0</v>
      </c>
      <c r="AC74" s="699">
        <f t="shared" si="4"/>
        <v>9.8003161822856275E-2</v>
      </c>
      <c r="AD74" s="700">
        <f>Recovery_OX!R69</f>
        <v>0</v>
      </c>
      <c r="AE74" s="650"/>
      <c r="AF74" s="702">
        <f>(AC74-AD74)*(1-Recovery_OX!U69)</f>
        <v>9.8003161822856275E-2</v>
      </c>
    </row>
    <row r="75" spans="2:32">
      <c r="B75" s="695">
        <f t="shared" si="1"/>
        <v>2058</v>
      </c>
      <c r="C75" s="696">
        <f>IF(Select2=1,Food!$K77,"")</f>
        <v>1.2126578883867552E-5</v>
      </c>
      <c r="D75" s="697">
        <f>IF(Select2=1,Paper!$K77,"")</f>
        <v>1.7194747183867508E-2</v>
      </c>
      <c r="E75" s="687">
        <f>IF(Select2=1,Nappies!$K77,"")</f>
        <v>1.9580809740197703E-3</v>
      </c>
      <c r="F75" s="697">
        <f>IF(Select2=1,Garden!$K77,"")</f>
        <v>0</v>
      </c>
      <c r="G75" s="687">
        <f>IF(Select2=1,Wood!$K77,"")</f>
        <v>0</v>
      </c>
      <c r="H75" s="697">
        <f>IF(Select2=1,Textiles!$K77,"")</f>
        <v>4.071070379997461E-3</v>
      </c>
      <c r="I75" s="698">
        <f>Sludge!K77</f>
        <v>0</v>
      </c>
      <c r="J75" s="698" t="str">
        <f>IF(Select2=2,MSW!$K77,"")</f>
        <v/>
      </c>
      <c r="K75" s="698">
        <f>Industry!$K77</f>
        <v>0</v>
      </c>
      <c r="L75" s="699">
        <f t="shared" si="3"/>
        <v>2.3236025116768609E-2</v>
      </c>
      <c r="M75" s="700">
        <f>Recovery_OX!C70</f>
        <v>0</v>
      </c>
      <c r="N75" s="650"/>
      <c r="O75" s="701">
        <f>(L75-M75)*(1-Recovery_OX!F70)</f>
        <v>2.3236025116768609E-2</v>
      </c>
      <c r="P75" s="641"/>
      <c r="Q75" s="652"/>
      <c r="S75" s="695">
        <f t="shared" si="2"/>
        <v>2058</v>
      </c>
      <c r="T75" s="696">
        <f>IF(Select2=1,Food!$W77,"")</f>
        <v>8.1132329731495663E-6</v>
      </c>
      <c r="U75" s="697">
        <f>IF(Select2=1,Paper!$W77,"")</f>
        <v>3.5526337156751062E-2</v>
      </c>
      <c r="V75" s="687">
        <f>IF(Select2=1,Nappies!$W77,"")</f>
        <v>0</v>
      </c>
      <c r="W75" s="697">
        <f>IF(Select2=1,Garden!$W77,"")</f>
        <v>0</v>
      </c>
      <c r="X75" s="687">
        <f>IF(Select2=1,Wood!$W77,"")</f>
        <v>5.3208559265325694E-2</v>
      </c>
      <c r="Y75" s="697">
        <f>IF(Select2=1,Textiles!$W77,"")</f>
        <v>4.461446991778039E-3</v>
      </c>
      <c r="Z75" s="689">
        <f>Sludge!W77</f>
        <v>0</v>
      </c>
      <c r="AA75" s="689" t="str">
        <f>IF(Select2=2,MSW!$W77,"")</f>
        <v/>
      </c>
      <c r="AB75" s="698">
        <f>Industry!$W77</f>
        <v>0</v>
      </c>
      <c r="AC75" s="699">
        <f t="shared" si="4"/>
        <v>9.3204456646827957E-2</v>
      </c>
      <c r="AD75" s="700">
        <f>Recovery_OX!R70</f>
        <v>0</v>
      </c>
      <c r="AE75" s="650"/>
      <c r="AF75" s="702">
        <f>(AC75-AD75)*(1-Recovery_OX!U70)</f>
        <v>9.3204456646827957E-2</v>
      </c>
    </row>
    <row r="76" spans="2:32">
      <c r="B76" s="695">
        <f t="shared" si="1"/>
        <v>2059</v>
      </c>
      <c r="C76" s="696">
        <f>IF(Select2=1,Food!$K78,"")</f>
        <v>8.1286889156889092E-6</v>
      </c>
      <c r="D76" s="697">
        <f>IF(Select2=1,Paper!$K78,"")</f>
        <v>1.6032276009083274E-2</v>
      </c>
      <c r="E76" s="687">
        <f>IF(Select2=1,Nappies!$K78,"")</f>
        <v>1.651964025827258E-3</v>
      </c>
      <c r="F76" s="697">
        <f>IF(Select2=1,Garden!$K78,"")</f>
        <v>0</v>
      </c>
      <c r="G76" s="687">
        <f>IF(Select2=1,Wood!$K78,"")</f>
        <v>0</v>
      </c>
      <c r="H76" s="697">
        <f>IF(Select2=1,Textiles!$K78,"")</f>
        <v>3.7958408627117935E-3</v>
      </c>
      <c r="I76" s="698">
        <f>Sludge!K78</f>
        <v>0</v>
      </c>
      <c r="J76" s="698" t="str">
        <f>IF(Select2=2,MSW!$K78,"")</f>
        <v/>
      </c>
      <c r="K76" s="698">
        <f>Industry!$K78</f>
        <v>0</v>
      </c>
      <c r="L76" s="699">
        <f t="shared" si="3"/>
        <v>2.1488209586538014E-2</v>
      </c>
      <c r="M76" s="700">
        <f>Recovery_OX!C71</f>
        <v>0</v>
      </c>
      <c r="N76" s="650"/>
      <c r="O76" s="701">
        <f>(L76-M76)*(1-Recovery_OX!F71)</f>
        <v>2.1488209586538014E-2</v>
      </c>
      <c r="P76" s="641"/>
      <c r="Q76" s="652"/>
      <c r="S76" s="695">
        <f t="shared" si="2"/>
        <v>2059</v>
      </c>
      <c r="T76" s="696">
        <f>IF(Select2=1,Food!$W78,"")</f>
        <v>5.4384627000594832E-6</v>
      </c>
      <c r="U76" s="697">
        <f>IF(Select2=1,Paper!$W78,"")</f>
        <v>3.3124537208849746E-2</v>
      </c>
      <c r="V76" s="687">
        <f>IF(Select2=1,Nappies!$W78,"")</f>
        <v>0</v>
      </c>
      <c r="W76" s="697">
        <f>IF(Select2=1,Garden!$W78,"")</f>
        <v>0</v>
      </c>
      <c r="X76" s="687">
        <f>IF(Select2=1,Wood!$W78,"")</f>
        <v>5.1378473017860207E-2</v>
      </c>
      <c r="Y76" s="697">
        <f>IF(Select2=1,Textiles!$W78,"")</f>
        <v>4.1598256029718277E-3</v>
      </c>
      <c r="Z76" s="689">
        <f>Sludge!W78</f>
        <v>0</v>
      </c>
      <c r="AA76" s="689" t="str">
        <f>IF(Select2=2,MSW!$W78,"")</f>
        <v/>
      </c>
      <c r="AB76" s="698">
        <f>Industry!$W78</f>
        <v>0</v>
      </c>
      <c r="AC76" s="699">
        <f t="shared" si="4"/>
        <v>8.8668274292381846E-2</v>
      </c>
      <c r="AD76" s="700">
        <f>Recovery_OX!R71</f>
        <v>0</v>
      </c>
      <c r="AE76" s="650"/>
      <c r="AF76" s="702">
        <f>(AC76-AD76)*(1-Recovery_OX!U71)</f>
        <v>8.8668274292381846E-2</v>
      </c>
    </row>
    <row r="77" spans="2:32">
      <c r="B77" s="695">
        <f t="shared" si="1"/>
        <v>2060</v>
      </c>
      <c r="C77" s="696">
        <f>IF(Select2=1,Food!$K79,"")</f>
        <v>5.4488231281739817E-6</v>
      </c>
      <c r="D77" s="697">
        <f>IF(Select2=1,Paper!$K79,"")</f>
        <v>1.4948395069895645E-2</v>
      </c>
      <c r="E77" s="687">
        <f>IF(Select2=1,Nappies!$K79,"")</f>
        <v>1.3937039268733774E-3</v>
      </c>
      <c r="F77" s="697">
        <f>IF(Select2=1,Garden!$K79,"")</f>
        <v>0</v>
      </c>
      <c r="G77" s="687">
        <f>IF(Select2=1,Wood!$K79,"")</f>
        <v>0</v>
      </c>
      <c r="H77" s="697">
        <f>IF(Select2=1,Textiles!$K79,"")</f>
        <v>3.539218561738939E-3</v>
      </c>
      <c r="I77" s="698">
        <f>Sludge!K79</f>
        <v>0</v>
      </c>
      <c r="J77" s="698" t="str">
        <f>IF(Select2=2,MSW!$K79,"")</f>
        <v/>
      </c>
      <c r="K77" s="698">
        <f>Industry!$K79</f>
        <v>0</v>
      </c>
      <c r="L77" s="699">
        <f t="shared" si="3"/>
        <v>1.9886766381636136E-2</v>
      </c>
      <c r="M77" s="700">
        <f>Recovery_OX!C72</f>
        <v>0</v>
      </c>
      <c r="N77" s="650"/>
      <c r="O77" s="701">
        <f>(L77-M77)*(1-Recovery_OX!F72)</f>
        <v>1.9886766381636136E-2</v>
      </c>
      <c r="P77" s="641"/>
      <c r="Q77" s="652"/>
      <c r="S77" s="695">
        <f t="shared" si="2"/>
        <v>2060</v>
      </c>
      <c r="T77" s="696">
        <f>IF(Select2=1,Food!$W79,"")</f>
        <v>3.6455105674669803E-6</v>
      </c>
      <c r="U77" s="697">
        <f>IF(Select2=1,Paper!$W79,"")</f>
        <v>3.088511378077613E-2</v>
      </c>
      <c r="V77" s="687">
        <f>IF(Select2=1,Nappies!$W79,"")</f>
        <v>0</v>
      </c>
      <c r="W77" s="697">
        <f>IF(Select2=1,Garden!$W79,"")</f>
        <v>0</v>
      </c>
      <c r="X77" s="687">
        <f>IF(Select2=1,Wood!$W79,"")</f>
        <v>4.9611331825089061E-2</v>
      </c>
      <c r="Y77" s="697">
        <f>IF(Select2=1,Textiles!$W79,"")</f>
        <v>3.8785956840974669E-3</v>
      </c>
      <c r="Z77" s="689">
        <f>Sludge!W79</f>
        <v>0</v>
      </c>
      <c r="AA77" s="689" t="str">
        <f>IF(Select2=2,MSW!$W79,"")</f>
        <v/>
      </c>
      <c r="AB77" s="698">
        <f>Industry!$W79</f>
        <v>0</v>
      </c>
      <c r="AC77" s="699">
        <f t="shared" si="4"/>
        <v>8.4378686800530137E-2</v>
      </c>
      <c r="AD77" s="700">
        <f>Recovery_OX!R72</f>
        <v>0</v>
      </c>
      <c r="AE77" s="650"/>
      <c r="AF77" s="702">
        <f>(AC77-AD77)*(1-Recovery_OX!U72)</f>
        <v>8.4378686800530137E-2</v>
      </c>
    </row>
    <row r="78" spans="2:32">
      <c r="B78" s="695">
        <f t="shared" si="1"/>
        <v>2061</v>
      </c>
      <c r="C78" s="696">
        <f>IF(Select2=1,Food!$K80,"")</f>
        <v>3.6524553701176396E-6</v>
      </c>
      <c r="D78" s="697">
        <f>IF(Select2=1,Paper!$K80,"")</f>
        <v>1.3937791180683246E-2</v>
      </c>
      <c r="E78" s="687">
        <f>IF(Select2=1,Nappies!$K80,"")</f>
        <v>1.1758189678552876E-3</v>
      </c>
      <c r="F78" s="697">
        <f>IF(Select2=1,Garden!$K80,"")</f>
        <v>0</v>
      </c>
      <c r="G78" s="687">
        <f>IF(Select2=1,Wood!$K80,"")</f>
        <v>0</v>
      </c>
      <c r="H78" s="697">
        <f>IF(Select2=1,Textiles!$K80,"")</f>
        <v>3.2999455142618053E-3</v>
      </c>
      <c r="I78" s="698">
        <f>Sludge!K80</f>
        <v>0</v>
      </c>
      <c r="J78" s="698" t="str">
        <f>IF(Select2=2,MSW!$K80,"")</f>
        <v/>
      </c>
      <c r="K78" s="698">
        <f>Industry!$K80</f>
        <v>0</v>
      </c>
      <c r="L78" s="699">
        <f t="shared" si="3"/>
        <v>1.8417208118170457E-2</v>
      </c>
      <c r="M78" s="700">
        <f>Recovery_OX!C73</f>
        <v>0</v>
      </c>
      <c r="N78" s="650"/>
      <c r="O78" s="701">
        <f>(L78-M78)*(1-Recovery_OX!F73)</f>
        <v>1.8417208118170457E-2</v>
      </c>
      <c r="P78" s="641"/>
      <c r="Q78" s="652"/>
      <c r="S78" s="695">
        <f t="shared" si="2"/>
        <v>2061</v>
      </c>
      <c r="T78" s="696">
        <f>IF(Select2=1,Food!$W80,"")</f>
        <v>2.4436588114078758E-6</v>
      </c>
      <c r="U78" s="697">
        <f>IF(Select2=1,Paper!$W80,"")</f>
        <v>2.8797089216287701E-2</v>
      </c>
      <c r="V78" s="687">
        <f>IF(Select2=1,Nappies!$W80,"")</f>
        <v>0</v>
      </c>
      <c r="W78" s="697">
        <f>IF(Select2=1,Garden!$W80,"")</f>
        <v>0</v>
      </c>
      <c r="X78" s="687">
        <f>IF(Select2=1,Wood!$W80,"")</f>
        <v>4.7904970718057369E-2</v>
      </c>
      <c r="Y78" s="697">
        <f>IF(Select2=1,Textiles!$W80,"")</f>
        <v>3.6163786457663622E-3</v>
      </c>
      <c r="Z78" s="689">
        <f>Sludge!W80</f>
        <v>0</v>
      </c>
      <c r="AA78" s="689" t="str">
        <f>IF(Select2=2,MSW!$W80,"")</f>
        <v/>
      </c>
      <c r="AB78" s="698">
        <f>Industry!$W80</f>
        <v>0</v>
      </c>
      <c r="AC78" s="699">
        <f t="shared" si="4"/>
        <v>8.0320882238922836E-2</v>
      </c>
      <c r="AD78" s="700">
        <f>Recovery_OX!R73</f>
        <v>0</v>
      </c>
      <c r="AE78" s="650"/>
      <c r="AF78" s="702">
        <f>(AC78-AD78)*(1-Recovery_OX!U73)</f>
        <v>8.0320882238922836E-2</v>
      </c>
    </row>
    <row r="79" spans="2:32">
      <c r="B79" s="695">
        <f t="shared" si="1"/>
        <v>2062</v>
      </c>
      <c r="C79" s="696">
        <f>IF(Select2=1,Food!$K81,"")</f>
        <v>2.4483140518403742E-6</v>
      </c>
      <c r="D79" s="697">
        <f>IF(Select2=1,Paper!$K81,"")</f>
        <v>1.2995510360008688E-2</v>
      </c>
      <c r="E79" s="687">
        <f>IF(Select2=1,Nappies!$K81,"")</f>
        <v>9.9199709386618034E-4</v>
      </c>
      <c r="F79" s="697">
        <f>IF(Select2=1,Garden!$K81,"")</f>
        <v>0</v>
      </c>
      <c r="G79" s="687">
        <f>IF(Select2=1,Wood!$K81,"")</f>
        <v>0</v>
      </c>
      <c r="H79" s="697">
        <f>IF(Select2=1,Textiles!$K81,"")</f>
        <v>3.0768488035240638E-3</v>
      </c>
      <c r="I79" s="698">
        <f>Sludge!K81</f>
        <v>0</v>
      </c>
      <c r="J79" s="698" t="str">
        <f>IF(Select2=2,MSW!$K81,"")</f>
        <v/>
      </c>
      <c r="K79" s="698">
        <f>Industry!$K81</f>
        <v>0</v>
      </c>
      <c r="L79" s="699">
        <f t="shared" si="3"/>
        <v>1.7066804571450774E-2</v>
      </c>
      <c r="M79" s="700">
        <f>Recovery_OX!C74</f>
        <v>0</v>
      </c>
      <c r="N79" s="650"/>
      <c r="O79" s="701">
        <f>(L79-M79)*(1-Recovery_OX!F74)</f>
        <v>1.7066804571450774E-2</v>
      </c>
      <c r="P79" s="641"/>
      <c r="Q79" s="652"/>
      <c r="S79" s="695">
        <f t="shared" si="2"/>
        <v>2062</v>
      </c>
      <c r="T79" s="696">
        <f>IF(Select2=1,Food!$W81,"")</f>
        <v>1.6380334869583229E-6</v>
      </c>
      <c r="U79" s="697">
        <f>IF(Select2=1,Paper!$W81,"")</f>
        <v>2.6850228016546879E-2</v>
      </c>
      <c r="V79" s="687">
        <f>IF(Select2=1,Nappies!$W81,"")</f>
        <v>0</v>
      </c>
      <c r="W79" s="697">
        <f>IF(Select2=1,Garden!$W81,"")</f>
        <v>0</v>
      </c>
      <c r="X79" s="687">
        <f>IF(Select2=1,Wood!$W81,"")</f>
        <v>4.6257299191016323E-2</v>
      </c>
      <c r="Y79" s="697">
        <f>IF(Select2=1,Textiles!$W81,"")</f>
        <v>3.3718890997523985E-3</v>
      </c>
      <c r="Z79" s="689">
        <f>Sludge!W81</f>
        <v>0</v>
      </c>
      <c r="AA79" s="689" t="str">
        <f>IF(Select2=2,MSW!$W81,"")</f>
        <v/>
      </c>
      <c r="AB79" s="698">
        <f>Industry!$W81</f>
        <v>0</v>
      </c>
      <c r="AC79" s="699">
        <f t="shared" si="4"/>
        <v>7.6481054340802559E-2</v>
      </c>
      <c r="AD79" s="700">
        <f>Recovery_OX!R74</f>
        <v>0</v>
      </c>
      <c r="AE79" s="650"/>
      <c r="AF79" s="702">
        <f>(AC79-AD79)*(1-Recovery_OX!U74)</f>
        <v>7.6481054340802559E-2</v>
      </c>
    </row>
    <row r="80" spans="2:32">
      <c r="B80" s="695">
        <f t="shared" si="1"/>
        <v>2063</v>
      </c>
      <c r="C80" s="696">
        <f>IF(Select2=1,Food!$K82,"")</f>
        <v>1.6411539879393423E-6</v>
      </c>
      <c r="D80" s="697">
        <f>IF(Select2=1,Paper!$K82,"")</f>
        <v>1.2116933546195825E-2</v>
      </c>
      <c r="E80" s="687">
        <f>IF(Select2=1,Nappies!$K82,"")</f>
        <v>8.3691304626075684E-4</v>
      </c>
      <c r="F80" s="697">
        <f>IF(Select2=1,Garden!$K82,"")</f>
        <v>0</v>
      </c>
      <c r="G80" s="687">
        <f>IF(Select2=1,Wood!$K82,"")</f>
        <v>0</v>
      </c>
      <c r="H80" s="697">
        <f>IF(Select2=1,Textiles!$K82,"")</f>
        <v>2.8688348091908478E-3</v>
      </c>
      <c r="I80" s="698">
        <f>Sludge!K82</f>
        <v>0</v>
      </c>
      <c r="J80" s="698" t="str">
        <f>IF(Select2=2,MSW!$K82,"")</f>
        <v/>
      </c>
      <c r="K80" s="698">
        <f>Industry!$K82</f>
        <v>0</v>
      </c>
      <c r="L80" s="699">
        <f t="shared" si="3"/>
        <v>1.5824322555635369E-2</v>
      </c>
      <c r="M80" s="700">
        <f>Recovery_OX!C75</f>
        <v>0</v>
      </c>
      <c r="N80" s="650"/>
      <c r="O80" s="701">
        <f>(L80-M80)*(1-Recovery_OX!F75)</f>
        <v>1.5824322555635369E-2</v>
      </c>
      <c r="P80" s="641"/>
      <c r="Q80" s="652"/>
      <c r="S80" s="695">
        <f t="shared" si="2"/>
        <v>2063</v>
      </c>
      <c r="T80" s="696">
        <f>IF(Select2=1,Food!$W82,"")</f>
        <v>1.0980066823858216E-6</v>
      </c>
      <c r="U80" s="697">
        <f>IF(Select2=1,Paper!$W82,"")</f>
        <v>2.503498666569386E-2</v>
      </c>
      <c r="V80" s="687">
        <f>IF(Select2=1,Nappies!$W82,"")</f>
        <v>0</v>
      </c>
      <c r="W80" s="697">
        <f>IF(Select2=1,Garden!$W82,"")</f>
        <v>0</v>
      </c>
      <c r="X80" s="687">
        <f>IF(Select2=1,Wood!$W82,"")</f>
        <v>4.4666298640292118E-2</v>
      </c>
      <c r="Y80" s="697">
        <f>IF(Select2=1,Textiles!$W82,"")</f>
        <v>3.1439285580173678E-3</v>
      </c>
      <c r="Z80" s="689">
        <f>Sludge!W82</f>
        <v>0</v>
      </c>
      <c r="AA80" s="689" t="str">
        <f>IF(Select2=2,MSW!$W82,"")</f>
        <v/>
      </c>
      <c r="AB80" s="698">
        <f>Industry!$W82</f>
        <v>0</v>
      </c>
      <c r="AC80" s="699">
        <f t="shared" si="4"/>
        <v>7.2846311870685743E-2</v>
      </c>
      <c r="AD80" s="700">
        <f>Recovery_OX!R75</f>
        <v>0</v>
      </c>
      <c r="AE80" s="650"/>
      <c r="AF80" s="702">
        <f>(AC80-AD80)*(1-Recovery_OX!U75)</f>
        <v>7.2846311870685743E-2</v>
      </c>
    </row>
    <row r="81" spans="2:32">
      <c r="B81" s="695">
        <f t="shared" si="1"/>
        <v>2064</v>
      </c>
      <c r="C81" s="696">
        <f>IF(Select2=1,Food!$K83,"")</f>
        <v>1.1000984167470729E-6</v>
      </c>
      <c r="D81" s="697">
        <f>IF(Select2=1,Paper!$K83,"")</f>
        <v>1.1297753954684051E-2</v>
      </c>
      <c r="E81" s="687">
        <f>IF(Select2=1,Nappies!$K83,"")</f>
        <v>7.060740916807022E-4</v>
      </c>
      <c r="F81" s="697">
        <f>IF(Select2=1,Garden!$K83,"")</f>
        <v>0</v>
      </c>
      <c r="G81" s="687">
        <f>IF(Select2=1,Wood!$K83,"")</f>
        <v>0</v>
      </c>
      <c r="H81" s="697">
        <f>IF(Select2=1,Textiles!$K83,"")</f>
        <v>2.6748838464206071E-3</v>
      </c>
      <c r="I81" s="698">
        <f>Sludge!K83</f>
        <v>0</v>
      </c>
      <c r="J81" s="698" t="str">
        <f>IF(Select2=2,MSW!$K83,"")</f>
        <v/>
      </c>
      <c r="K81" s="698">
        <f>Industry!$K83</f>
        <v>0</v>
      </c>
      <c r="L81" s="699">
        <f t="shared" si="3"/>
        <v>1.4679811991202107E-2</v>
      </c>
      <c r="M81" s="700">
        <f>Recovery_OX!C76</f>
        <v>0</v>
      </c>
      <c r="N81" s="650"/>
      <c r="O81" s="701">
        <f>(L81-M81)*(1-Recovery_OX!F76)</f>
        <v>1.4679811991202107E-2</v>
      </c>
      <c r="P81" s="641"/>
      <c r="Q81" s="652"/>
      <c r="S81" s="695">
        <f t="shared" si="2"/>
        <v>2064</v>
      </c>
      <c r="T81" s="696">
        <f>IF(Select2=1,Food!$W83,"")</f>
        <v>7.3601588988430363E-7</v>
      </c>
      <c r="U81" s="697">
        <f>IF(Select2=1,Paper!$W83,"")</f>
        <v>2.3342466848520774E-2</v>
      </c>
      <c r="V81" s="687">
        <f>IF(Select2=1,Nappies!$W83,"")</f>
        <v>0</v>
      </c>
      <c r="W81" s="697">
        <f>IF(Select2=1,Garden!$W83,"")</f>
        <v>0</v>
      </c>
      <c r="X81" s="687">
        <f>IF(Select2=1,Wood!$W83,"")</f>
        <v>4.3130019891244042E-2</v>
      </c>
      <c r="Y81" s="697">
        <f>IF(Select2=1,Textiles!$W83,"")</f>
        <v>2.931379557721213E-3</v>
      </c>
      <c r="Z81" s="689">
        <f>Sludge!W83</f>
        <v>0</v>
      </c>
      <c r="AA81" s="689" t="str">
        <f>IF(Select2=2,MSW!$W83,"")</f>
        <v/>
      </c>
      <c r="AB81" s="698">
        <f>Industry!$W83</f>
        <v>0</v>
      </c>
      <c r="AC81" s="699">
        <f t="shared" ref="AC81:AC97" si="5">SUM(T81:AA81)</f>
        <v>6.9404602313375918E-2</v>
      </c>
      <c r="AD81" s="700">
        <f>Recovery_OX!R76</f>
        <v>0</v>
      </c>
      <c r="AE81" s="650"/>
      <c r="AF81" s="702">
        <f>(AC81-AD81)*(1-Recovery_OX!U76)</f>
        <v>6.9404602313375918E-2</v>
      </c>
    </row>
    <row r="82" spans="2:32">
      <c r="B82" s="695">
        <f t="shared" ref="B82:B97" si="6">B81+1</f>
        <v>2065</v>
      </c>
      <c r="C82" s="696">
        <f>IF(Select2=1,Food!$K84,"")</f>
        <v>7.3741802135763188E-7</v>
      </c>
      <c r="D82" s="697">
        <f>IF(Select2=1,Paper!$K84,"")</f>
        <v>1.0533955966165397E-2</v>
      </c>
      <c r="E82" s="687">
        <f>IF(Select2=1,Nappies!$K84,"")</f>
        <v>5.9568986906125779E-4</v>
      </c>
      <c r="F82" s="697">
        <f>IF(Select2=1,Garden!$K84,"")</f>
        <v>0</v>
      </c>
      <c r="G82" s="687">
        <f>IF(Select2=1,Wood!$K84,"")</f>
        <v>0</v>
      </c>
      <c r="H82" s="697">
        <f>IF(Select2=1,Textiles!$K84,"")</f>
        <v>2.4940451673688257E-3</v>
      </c>
      <c r="I82" s="698">
        <f>Sludge!K84</f>
        <v>0</v>
      </c>
      <c r="J82" s="698" t="str">
        <f>IF(Select2=2,MSW!$K84,"")</f>
        <v/>
      </c>
      <c r="K82" s="698">
        <f>Industry!$K84</f>
        <v>0</v>
      </c>
      <c r="L82" s="699">
        <f t="shared" si="3"/>
        <v>1.3624428420616839E-2</v>
      </c>
      <c r="M82" s="700">
        <f>Recovery_OX!C77</f>
        <v>0</v>
      </c>
      <c r="N82" s="650"/>
      <c r="O82" s="701">
        <f>(L82-M82)*(1-Recovery_OX!F77)</f>
        <v>1.3624428420616839E-2</v>
      </c>
      <c r="P82" s="641"/>
      <c r="Q82" s="652"/>
      <c r="S82" s="695">
        <f t="shared" ref="S82:S97" si="7">S81+1</f>
        <v>2065</v>
      </c>
      <c r="T82" s="696">
        <f>IF(Select2=1,Food!$W84,"")</f>
        <v>4.9336620519020848E-7</v>
      </c>
      <c r="U82" s="697">
        <f>IF(Select2=1,Paper!$W84,"")</f>
        <v>2.1764371830920243E-2</v>
      </c>
      <c r="V82" s="687">
        <f>IF(Select2=1,Nappies!$W84,"")</f>
        <v>0</v>
      </c>
      <c r="W82" s="697">
        <f>IF(Select2=1,Garden!$W84,"")</f>
        <v>0</v>
      </c>
      <c r="X82" s="687">
        <f>IF(Select2=1,Wood!$W84,"")</f>
        <v>4.1646580810281823E-2</v>
      </c>
      <c r="Y82" s="697">
        <f>IF(Select2=1,Textiles!$W84,"")</f>
        <v>2.733200183417891E-3</v>
      </c>
      <c r="Z82" s="689">
        <f>Sludge!W84</f>
        <v>0</v>
      </c>
      <c r="AA82" s="689" t="str">
        <f>IF(Select2=2,MSW!$W84,"")</f>
        <v/>
      </c>
      <c r="AB82" s="698">
        <f>Industry!$W84</f>
        <v>0</v>
      </c>
      <c r="AC82" s="699">
        <f t="shared" si="5"/>
        <v>6.6144646190825149E-2</v>
      </c>
      <c r="AD82" s="700">
        <f>Recovery_OX!R77</f>
        <v>0</v>
      </c>
      <c r="AE82" s="650"/>
      <c r="AF82" s="702">
        <f>(AC82-AD82)*(1-Recovery_OX!U77)</f>
        <v>6.6144646190825149E-2</v>
      </c>
    </row>
    <row r="83" spans="2:32">
      <c r="B83" s="695">
        <f t="shared" si="6"/>
        <v>2066</v>
      </c>
      <c r="C83" s="696">
        <f>IF(Select2=1,Food!$K85,"")</f>
        <v>4.9430608202395781E-7</v>
      </c>
      <c r="D83" s="697">
        <f>IF(Select2=1,Paper!$K85,"")</f>
        <v>9.8217954420140099E-3</v>
      </c>
      <c r="E83" s="687">
        <f>IF(Select2=1,Nappies!$K85,"")</f>
        <v>5.0256258412988987E-4</v>
      </c>
      <c r="F83" s="697">
        <f>IF(Select2=1,Garden!$K85,"")</f>
        <v>0</v>
      </c>
      <c r="G83" s="687">
        <f>IF(Select2=1,Wood!$K85,"")</f>
        <v>0</v>
      </c>
      <c r="H83" s="697">
        <f>IF(Select2=1,Textiles!$K85,"")</f>
        <v>2.3254323006209891E-3</v>
      </c>
      <c r="I83" s="698">
        <f>Sludge!K85</f>
        <v>0</v>
      </c>
      <c r="J83" s="698" t="str">
        <f>IF(Select2=2,MSW!$K85,"")</f>
        <v/>
      </c>
      <c r="K83" s="698">
        <f>Industry!$K85</f>
        <v>0</v>
      </c>
      <c r="L83" s="699">
        <f t="shared" ref="L83:L97" si="8">SUM(C83:K83)</f>
        <v>1.2650284632846913E-2</v>
      </c>
      <c r="M83" s="700">
        <f>Recovery_OX!C78</f>
        <v>0</v>
      </c>
      <c r="N83" s="650"/>
      <c r="O83" s="701">
        <f>(L83-M83)*(1-Recovery_OX!F78)</f>
        <v>1.2650284632846913E-2</v>
      </c>
      <c r="P83" s="641"/>
      <c r="Q83" s="652"/>
      <c r="S83" s="695">
        <f t="shared" si="7"/>
        <v>2066</v>
      </c>
      <c r="T83" s="696">
        <f>IF(Select2=1,Food!$W85,"")</f>
        <v>3.3071325737552918E-7</v>
      </c>
      <c r="U83" s="697">
        <f>IF(Select2=1,Paper!$W85,"")</f>
        <v>2.0292965789285144E-2</v>
      </c>
      <c r="V83" s="687">
        <f>IF(Select2=1,Nappies!$W85,"")</f>
        <v>0</v>
      </c>
      <c r="W83" s="697">
        <f>IF(Select2=1,Garden!$W85,"")</f>
        <v>0</v>
      </c>
      <c r="X83" s="687">
        <f>IF(Select2=1,Wood!$W85,"")</f>
        <v>4.0214163999016561E-2</v>
      </c>
      <c r="Y83" s="697">
        <f>IF(Select2=1,Textiles!$W85,"")</f>
        <v>2.5484189595846455E-3</v>
      </c>
      <c r="Z83" s="689">
        <f>Sludge!W85</f>
        <v>0</v>
      </c>
      <c r="AA83" s="689" t="str">
        <f>IF(Select2=2,MSW!$W85,"")</f>
        <v/>
      </c>
      <c r="AB83" s="698">
        <f>Industry!$W85</f>
        <v>0</v>
      </c>
      <c r="AC83" s="699">
        <f t="shared" si="5"/>
        <v>6.305587946114373E-2</v>
      </c>
      <c r="AD83" s="700">
        <f>Recovery_OX!R78</f>
        <v>0</v>
      </c>
      <c r="AE83" s="650"/>
      <c r="AF83" s="702">
        <f>(AC83-AD83)*(1-Recovery_OX!U78)</f>
        <v>6.305587946114373E-2</v>
      </c>
    </row>
    <row r="84" spans="2:32">
      <c r="B84" s="695">
        <f t="shared" si="6"/>
        <v>2067</v>
      </c>
      <c r="C84" s="696">
        <f>IF(Select2=1,Food!$K86,"")</f>
        <v>3.3134327565799592E-7</v>
      </c>
      <c r="D84" s="697">
        <f>IF(Select2=1,Paper!$K86,"")</f>
        <v>9.157781370514274E-3</v>
      </c>
      <c r="E84" s="687">
        <f>IF(Select2=1,Nappies!$K86,"")</f>
        <v>4.2399437036814817E-4</v>
      </c>
      <c r="F84" s="697">
        <f>IF(Select2=1,Garden!$K86,"")</f>
        <v>0</v>
      </c>
      <c r="G84" s="687">
        <f>IF(Select2=1,Wood!$K86,"")</f>
        <v>0</v>
      </c>
      <c r="H84" s="697">
        <f>IF(Select2=1,Textiles!$K86,"")</f>
        <v>2.1682187057086816E-3</v>
      </c>
      <c r="I84" s="698">
        <f>Sludge!K86</f>
        <v>0</v>
      </c>
      <c r="J84" s="698" t="str">
        <f>IF(Select2=2,MSW!$K86,"")</f>
        <v/>
      </c>
      <c r="K84" s="698">
        <f>Industry!$K86</f>
        <v>0</v>
      </c>
      <c r="L84" s="699">
        <f t="shared" si="8"/>
        <v>1.1750325789866761E-2</v>
      </c>
      <c r="M84" s="700">
        <f>Recovery_OX!C79</f>
        <v>0</v>
      </c>
      <c r="N84" s="650"/>
      <c r="O84" s="701">
        <f>(L84-M84)*(1-Recovery_OX!F79)</f>
        <v>1.1750325789866761E-2</v>
      </c>
      <c r="P84" s="641"/>
      <c r="Q84" s="652"/>
      <c r="S84" s="695">
        <f t="shared" si="7"/>
        <v>2067</v>
      </c>
      <c r="T84" s="696">
        <f>IF(Select2=1,Food!$W86,"")</f>
        <v>2.2168372590856099E-7</v>
      </c>
      <c r="U84" s="697">
        <f>IF(Select2=1,Paper!$W86,"")</f>
        <v>1.8921035889492302E-2</v>
      </c>
      <c r="V84" s="687">
        <f>IF(Select2=1,Nappies!$W86,"")</f>
        <v>0</v>
      </c>
      <c r="W84" s="697">
        <f>IF(Select2=1,Garden!$W86,"")</f>
        <v>0</v>
      </c>
      <c r="X84" s="687">
        <f>IF(Select2=1,Wood!$W86,"")</f>
        <v>3.8831014567720423E-2</v>
      </c>
      <c r="Y84" s="697">
        <f>IF(Select2=1,Textiles!$W86,"")</f>
        <v>2.3761300884478703E-3</v>
      </c>
      <c r="Z84" s="689">
        <f>Sludge!W86</f>
        <v>0</v>
      </c>
      <c r="AA84" s="689" t="str">
        <f>IF(Select2=2,MSW!$W86,"")</f>
        <v/>
      </c>
      <c r="AB84" s="698">
        <f>Industry!$W86</f>
        <v>0</v>
      </c>
      <c r="AC84" s="699">
        <f t="shared" si="5"/>
        <v>6.01284022293865E-2</v>
      </c>
      <c r="AD84" s="700">
        <f>Recovery_OX!R79</f>
        <v>0</v>
      </c>
      <c r="AE84" s="650"/>
      <c r="AF84" s="702">
        <f>(AC84-AD84)*(1-Recovery_OX!U79)</f>
        <v>6.01284022293865E-2</v>
      </c>
    </row>
    <row r="85" spans="2:32">
      <c r="B85" s="695">
        <f t="shared" si="6"/>
        <v>2068</v>
      </c>
      <c r="C85" s="696">
        <f>IF(Select2=1,Food!$K87,"")</f>
        <v>2.2210603979266735E-7</v>
      </c>
      <c r="D85" s="697">
        <f>IF(Select2=1,Paper!$K87,"")</f>
        <v>8.5386587539173341E-3</v>
      </c>
      <c r="E85" s="687">
        <f>IF(Select2=1,Nappies!$K87,"")</f>
        <v>3.5770913271454291E-4</v>
      </c>
      <c r="F85" s="697">
        <f>IF(Select2=1,Garden!$K87,"")</f>
        <v>0</v>
      </c>
      <c r="G85" s="687">
        <f>IF(Select2=1,Wood!$K87,"")</f>
        <v>0</v>
      </c>
      <c r="H85" s="697">
        <f>IF(Select2=1,Textiles!$K87,"")</f>
        <v>2.0216337214072487E-3</v>
      </c>
      <c r="I85" s="698">
        <f>Sludge!K87</f>
        <v>0</v>
      </c>
      <c r="J85" s="698" t="str">
        <f>IF(Select2=2,MSW!$K87,"")</f>
        <v/>
      </c>
      <c r="K85" s="698">
        <f>Industry!$K87</f>
        <v>0</v>
      </c>
      <c r="L85" s="699">
        <f t="shared" si="8"/>
        <v>1.0918223714078919E-2</v>
      </c>
      <c r="M85" s="700">
        <f>Recovery_OX!C80</f>
        <v>0</v>
      </c>
      <c r="N85" s="650"/>
      <c r="O85" s="701">
        <f>(L85-M85)*(1-Recovery_OX!F80)</f>
        <v>1.0918223714078919E-2</v>
      </c>
      <c r="P85" s="641"/>
      <c r="Q85" s="652"/>
      <c r="S85" s="695">
        <f t="shared" si="7"/>
        <v>2068</v>
      </c>
      <c r="T85" s="696">
        <f>IF(Select2=1,Food!$W87,"")</f>
        <v>1.4859904535637865E-7</v>
      </c>
      <c r="U85" s="697">
        <f>IF(Select2=1,Paper!$W87,"")</f>
        <v>1.764185692958127E-2</v>
      </c>
      <c r="V85" s="687">
        <f>IF(Select2=1,Nappies!$W87,"")</f>
        <v>0</v>
      </c>
      <c r="W85" s="697">
        <f>IF(Select2=1,Garden!$W87,"")</f>
        <v>0</v>
      </c>
      <c r="X85" s="687">
        <f>IF(Select2=1,Wood!$W87,"")</f>
        <v>3.7495437985367308E-2</v>
      </c>
      <c r="Y85" s="697">
        <f>IF(Select2=1,Textiles!$W87,"")</f>
        <v>2.2154890097613685E-3</v>
      </c>
      <c r="Z85" s="689">
        <f>Sludge!W87</f>
        <v>0</v>
      </c>
      <c r="AA85" s="689" t="str">
        <f>IF(Select2=2,MSW!$W87,"")</f>
        <v/>
      </c>
      <c r="AB85" s="698">
        <f>Industry!$W87</f>
        <v>0</v>
      </c>
      <c r="AC85" s="699">
        <f t="shared" si="5"/>
        <v>5.7352932523755305E-2</v>
      </c>
      <c r="AD85" s="700">
        <f>Recovery_OX!R80</f>
        <v>0</v>
      </c>
      <c r="AE85" s="650"/>
      <c r="AF85" s="702">
        <f>(AC85-AD85)*(1-Recovery_OX!U80)</f>
        <v>5.7352932523755305E-2</v>
      </c>
    </row>
    <row r="86" spans="2:32">
      <c r="B86" s="695">
        <f t="shared" si="6"/>
        <v>2069</v>
      </c>
      <c r="C86" s="696">
        <f>IF(Select2=1,Food!$K88,"")</f>
        <v>1.4888213081861432E-7</v>
      </c>
      <c r="D86" s="697">
        <f>IF(Select2=1,Paper!$K88,"")</f>
        <v>7.9613926524383476E-3</v>
      </c>
      <c r="E86" s="687">
        <f>IF(Select2=1,Nappies!$K88,"")</f>
        <v>3.0178660984646636E-4</v>
      </c>
      <c r="F86" s="697">
        <f>IF(Select2=1,Garden!$K88,"")</f>
        <v>0</v>
      </c>
      <c r="G86" s="687">
        <f>IF(Select2=1,Wood!$K88,"")</f>
        <v>0</v>
      </c>
      <c r="H86" s="697">
        <f>IF(Select2=1,Textiles!$K88,"")</f>
        <v>1.8849587879535825E-3</v>
      </c>
      <c r="I86" s="698">
        <f>Sludge!K88</f>
        <v>0</v>
      </c>
      <c r="J86" s="698" t="str">
        <f>IF(Select2=2,MSW!$K88,"")</f>
        <v/>
      </c>
      <c r="K86" s="698">
        <f>Industry!$K88</f>
        <v>0</v>
      </c>
      <c r="L86" s="699">
        <f t="shared" si="8"/>
        <v>1.0148286932369216E-2</v>
      </c>
      <c r="M86" s="700">
        <f>Recovery_OX!C81</f>
        <v>0</v>
      </c>
      <c r="N86" s="650"/>
      <c r="O86" s="701">
        <f>(L86-M86)*(1-Recovery_OX!F81)</f>
        <v>1.0148286932369216E-2</v>
      </c>
      <c r="P86" s="641"/>
      <c r="Q86" s="652"/>
      <c r="S86" s="695">
        <f t="shared" si="7"/>
        <v>2069</v>
      </c>
      <c r="T86" s="696">
        <f>IF(Select2=1,Food!$W88,"")</f>
        <v>9.9608918924139782E-8</v>
      </c>
      <c r="U86" s="697">
        <f>IF(Select2=1,Paper!$W88,"")</f>
        <v>1.6449158372806503E-2</v>
      </c>
      <c r="V86" s="687">
        <f>IF(Select2=1,Nappies!$W88,"")</f>
        <v>0</v>
      </c>
      <c r="W86" s="697">
        <f>IF(Select2=1,Garden!$W88,"")</f>
        <v>0</v>
      </c>
      <c r="X86" s="687">
        <f>IF(Select2=1,Wood!$W88,"")</f>
        <v>3.6205798003620365E-2</v>
      </c>
      <c r="Y86" s="697">
        <f>IF(Select2=1,Textiles!$W88,"")</f>
        <v>2.0657082607710492E-3</v>
      </c>
      <c r="Z86" s="689">
        <f>Sludge!W88</f>
        <v>0</v>
      </c>
      <c r="AA86" s="689" t="str">
        <f>IF(Select2=2,MSW!$W88,"")</f>
        <v/>
      </c>
      <c r="AB86" s="698">
        <f>Industry!$W88</f>
        <v>0</v>
      </c>
      <c r="AC86" s="699">
        <f t="shared" si="5"/>
        <v>5.4720764246116847E-2</v>
      </c>
      <c r="AD86" s="700">
        <f>Recovery_OX!R81</f>
        <v>0</v>
      </c>
      <c r="AE86" s="650"/>
      <c r="AF86" s="702">
        <f>(AC86-AD86)*(1-Recovery_OX!U81)</f>
        <v>5.4720764246116847E-2</v>
      </c>
    </row>
    <row r="87" spans="2:32">
      <c r="B87" s="695">
        <f t="shared" si="6"/>
        <v>2070</v>
      </c>
      <c r="C87" s="696">
        <f>IF(Select2=1,Food!$K89,"")</f>
        <v>9.9798676784217628E-8</v>
      </c>
      <c r="D87" s="697">
        <f>IF(Select2=1,Paper!$K89,"")</f>
        <v>7.42315330697814E-3</v>
      </c>
      <c r="E87" s="687">
        <f>IF(Select2=1,Nappies!$K89,"")</f>
        <v>2.5460674484736347E-4</v>
      </c>
      <c r="F87" s="697">
        <f>IF(Select2=1,Garden!$K89,"")</f>
        <v>0</v>
      </c>
      <c r="G87" s="687">
        <f>IF(Select2=1,Wood!$K89,"")</f>
        <v>0</v>
      </c>
      <c r="H87" s="697">
        <f>IF(Select2=1,Textiles!$K89,"")</f>
        <v>1.7575239246653269E-3</v>
      </c>
      <c r="I87" s="698">
        <f>Sludge!K89</f>
        <v>0</v>
      </c>
      <c r="J87" s="698" t="str">
        <f>IF(Select2=2,MSW!$K89,"")</f>
        <v/>
      </c>
      <c r="K87" s="698">
        <f>Industry!$K89</f>
        <v>0</v>
      </c>
      <c r="L87" s="699">
        <f t="shared" si="8"/>
        <v>9.4353837751676144E-3</v>
      </c>
      <c r="M87" s="700">
        <f>Recovery_OX!C82</f>
        <v>0</v>
      </c>
      <c r="N87" s="650"/>
      <c r="O87" s="701">
        <f>(L87-M87)*(1-Recovery_OX!F82)</f>
        <v>9.4353837751676144E-3</v>
      </c>
      <c r="P87" s="641"/>
      <c r="Q87" s="652"/>
      <c r="S87" s="695">
        <f t="shared" si="7"/>
        <v>2070</v>
      </c>
      <c r="T87" s="696">
        <f>IF(Select2=1,Food!$W89,"")</f>
        <v>6.6769855118789646E-8</v>
      </c>
      <c r="U87" s="697">
        <f>IF(Select2=1,Paper!$W89,"")</f>
        <v>1.5337093609458967E-2</v>
      </c>
      <c r="V87" s="687">
        <f>IF(Select2=1,Nappies!$W89,"")</f>
        <v>0</v>
      </c>
      <c r="W87" s="697">
        <f>IF(Select2=1,Garden!$W89,"")</f>
        <v>0</v>
      </c>
      <c r="X87" s="687">
        <f>IF(Select2=1,Wood!$W89,"")</f>
        <v>3.4960514652223218E-2</v>
      </c>
      <c r="Y87" s="697">
        <f>IF(Select2=1,Textiles!$W89,"")</f>
        <v>1.9260536160715914E-3</v>
      </c>
      <c r="Z87" s="689">
        <f>Sludge!W89</f>
        <v>0</v>
      </c>
      <c r="AA87" s="689" t="str">
        <f>IF(Select2=2,MSW!$W89,"")</f>
        <v/>
      </c>
      <c r="AB87" s="698">
        <f>Industry!$W89</f>
        <v>0</v>
      </c>
      <c r="AC87" s="699">
        <f t="shared" si="5"/>
        <v>5.2223728647608894E-2</v>
      </c>
      <c r="AD87" s="700">
        <f>Recovery_OX!R82</f>
        <v>0</v>
      </c>
      <c r="AE87" s="650"/>
      <c r="AF87" s="702">
        <f>(AC87-AD87)*(1-Recovery_OX!U82)</f>
        <v>5.2223728647608894E-2</v>
      </c>
    </row>
    <row r="88" spans="2:32">
      <c r="B88" s="695">
        <f t="shared" si="6"/>
        <v>2071</v>
      </c>
      <c r="C88" s="696">
        <f>IF(Select2=1,Food!$K90,"")</f>
        <v>6.689705361629265E-8</v>
      </c>
      <c r="D88" s="697">
        <f>IF(Select2=1,Paper!$K90,"")</f>
        <v>6.9213022676408208E-3</v>
      </c>
      <c r="E88" s="687">
        <f>IF(Select2=1,Nappies!$K90,"")</f>
        <v>2.1480275269585312E-4</v>
      </c>
      <c r="F88" s="697">
        <f>IF(Select2=1,Garden!$K90,"")</f>
        <v>0</v>
      </c>
      <c r="G88" s="687">
        <f>IF(Select2=1,Wood!$K90,"")</f>
        <v>0</v>
      </c>
      <c r="H88" s="697">
        <f>IF(Select2=1,Textiles!$K90,"")</f>
        <v>1.6387044456947983E-3</v>
      </c>
      <c r="I88" s="698">
        <f>Sludge!K90</f>
        <v>0</v>
      </c>
      <c r="J88" s="698" t="str">
        <f>IF(Select2=2,MSW!$K90,"")</f>
        <v/>
      </c>
      <c r="K88" s="698">
        <f>Industry!$K90</f>
        <v>0</v>
      </c>
      <c r="L88" s="699">
        <f t="shared" si="8"/>
        <v>8.7748763630850872E-3</v>
      </c>
      <c r="M88" s="700">
        <f>Recovery_OX!C83</f>
        <v>0</v>
      </c>
      <c r="N88" s="650"/>
      <c r="O88" s="701">
        <f>(L88-M88)*(1-Recovery_OX!F83)</f>
        <v>8.7748763630850872E-3</v>
      </c>
      <c r="P88" s="641"/>
      <c r="Q88" s="652"/>
      <c r="S88" s="695">
        <f t="shared" si="7"/>
        <v>2071</v>
      </c>
      <c r="T88" s="696">
        <f>IF(Select2=1,Food!$W90,"")</f>
        <v>4.4757172357020043E-8</v>
      </c>
      <c r="U88" s="697">
        <f>IF(Select2=1,Paper!$W90,"")</f>
        <v>1.4300211296778555E-2</v>
      </c>
      <c r="V88" s="687">
        <f>IF(Select2=1,Nappies!$W90,"")</f>
        <v>0</v>
      </c>
      <c r="W88" s="697">
        <f>IF(Select2=1,Garden!$W90,"")</f>
        <v>0</v>
      </c>
      <c r="X88" s="687">
        <f>IF(Select2=1,Wood!$W90,"")</f>
        <v>3.3758062303338748E-2</v>
      </c>
      <c r="Y88" s="697">
        <f>IF(Select2=1,Textiles!$W90,"")</f>
        <v>1.7958404884326558E-3</v>
      </c>
      <c r="Z88" s="689">
        <f>Sludge!W90</f>
        <v>0</v>
      </c>
      <c r="AA88" s="689" t="str">
        <f>IF(Select2=2,MSW!$W90,"")</f>
        <v/>
      </c>
      <c r="AB88" s="698">
        <f>Industry!$W90</f>
        <v>0</v>
      </c>
      <c r="AC88" s="699">
        <f t="shared" si="5"/>
        <v>4.9854158845722314E-2</v>
      </c>
      <c r="AD88" s="700">
        <f>Recovery_OX!R83</f>
        <v>0</v>
      </c>
      <c r="AE88" s="650"/>
      <c r="AF88" s="702">
        <f>(AC88-AD88)*(1-Recovery_OX!U83)</f>
        <v>4.9854158845722314E-2</v>
      </c>
    </row>
    <row r="89" spans="2:32">
      <c r="B89" s="695">
        <f t="shared" si="6"/>
        <v>2072</v>
      </c>
      <c r="C89" s="696">
        <f>IF(Select2=1,Food!$K91,"")</f>
        <v>4.4842436059721929E-8</v>
      </c>
      <c r="D89" s="697">
        <f>IF(Select2=1,Paper!$K91,"")</f>
        <v>6.4533794600493272E-3</v>
      </c>
      <c r="E89" s="687">
        <f>IF(Select2=1,Nappies!$K91,"")</f>
        <v>1.8122152495754531E-4</v>
      </c>
      <c r="F89" s="697">
        <f>IF(Select2=1,Garden!$K91,"")</f>
        <v>0</v>
      </c>
      <c r="G89" s="687">
        <f>IF(Select2=1,Wood!$K91,"")</f>
        <v>0</v>
      </c>
      <c r="H89" s="697">
        <f>IF(Select2=1,Textiles!$K91,"")</f>
        <v>1.5279178978182325E-3</v>
      </c>
      <c r="I89" s="698">
        <f>Sludge!K91</f>
        <v>0</v>
      </c>
      <c r="J89" s="698" t="str">
        <f>IF(Select2=2,MSW!$K91,"")</f>
        <v/>
      </c>
      <c r="K89" s="698">
        <f>Industry!$K91</f>
        <v>0</v>
      </c>
      <c r="L89" s="699">
        <f t="shared" si="8"/>
        <v>8.1625637252611648E-3</v>
      </c>
      <c r="M89" s="700">
        <f>Recovery_OX!C84</f>
        <v>0</v>
      </c>
      <c r="N89" s="650"/>
      <c r="O89" s="701">
        <f>(L89-M89)*(1-Recovery_OX!F84)</f>
        <v>8.1625637252611648E-3</v>
      </c>
      <c r="P89" s="641"/>
      <c r="Q89" s="652"/>
      <c r="S89" s="695">
        <f t="shared" si="7"/>
        <v>2072</v>
      </c>
      <c r="T89" s="696">
        <f>IF(Select2=1,Food!$W91,"")</f>
        <v>3.0001629834782717E-8</v>
      </c>
      <c r="U89" s="697">
        <f>IF(Select2=1,Paper!$W91,"")</f>
        <v>1.333342863646555E-2</v>
      </c>
      <c r="V89" s="687">
        <f>IF(Select2=1,Nappies!$W91,"")</f>
        <v>0</v>
      </c>
      <c r="W89" s="697">
        <f>IF(Select2=1,Garden!$W91,"")</f>
        <v>0</v>
      </c>
      <c r="X89" s="687">
        <f>IF(Select2=1,Wood!$W91,"")</f>
        <v>3.2596967802464273E-2</v>
      </c>
      <c r="Y89" s="697">
        <f>IF(Select2=1,Textiles!$W91,"")</f>
        <v>1.6744305729514877E-3</v>
      </c>
      <c r="Z89" s="689">
        <f>Sludge!W91</f>
        <v>0</v>
      </c>
      <c r="AA89" s="689" t="str">
        <f>IF(Select2=2,MSW!$W91,"")</f>
        <v/>
      </c>
      <c r="AB89" s="698">
        <f>Industry!$W91</f>
        <v>0</v>
      </c>
      <c r="AC89" s="699">
        <f t="shared" si="5"/>
        <v>4.7604857013511144E-2</v>
      </c>
      <c r="AD89" s="700">
        <f>Recovery_OX!R84</f>
        <v>0</v>
      </c>
      <c r="AE89" s="650"/>
      <c r="AF89" s="702">
        <f>(AC89-AD89)*(1-Recovery_OX!U84)</f>
        <v>4.7604857013511144E-2</v>
      </c>
    </row>
    <row r="90" spans="2:32">
      <c r="B90" s="695">
        <f t="shared" si="6"/>
        <v>2073</v>
      </c>
      <c r="C90" s="696">
        <f>IF(Select2=1,Food!$K92,"")</f>
        <v>3.0058783803903014E-8</v>
      </c>
      <c r="D90" s="697">
        <f>IF(Select2=1,Paper!$K92,"")</f>
        <v>6.017091126057977E-3</v>
      </c>
      <c r="E90" s="687">
        <f>IF(Select2=1,Nappies!$K92,"")</f>
        <v>1.5289022461662444E-4</v>
      </c>
      <c r="F90" s="697">
        <f>IF(Select2=1,Garden!$K92,"")</f>
        <v>0</v>
      </c>
      <c r="G90" s="687">
        <f>IF(Select2=1,Wood!$K92,"")</f>
        <v>0</v>
      </c>
      <c r="H90" s="697">
        <f>IF(Select2=1,Textiles!$K92,"")</f>
        <v>1.4246212052494082E-3</v>
      </c>
      <c r="I90" s="698">
        <f>Sludge!K92</f>
        <v>0</v>
      </c>
      <c r="J90" s="698" t="str">
        <f>IF(Select2=2,MSW!$K92,"")</f>
        <v/>
      </c>
      <c r="K90" s="698">
        <f>Industry!$K92</f>
        <v>0</v>
      </c>
      <c r="L90" s="699">
        <f t="shared" si="8"/>
        <v>7.5946326147078129E-3</v>
      </c>
      <c r="M90" s="700">
        <f>Recovery_OX!C85</f>
        <v>0</v>
      </c>
      <c r="N90" s="650"/>
      <c r="O90" s="701">
        <f>(L90-M90)*(1-Recovery_OX!F85)</f>
        <v>7.5946326147078129E-3</v>
      </c>
      <c r="P90" s="641"/>
      <c r="Q90" s="652"/>
      <c r="S90" s="695">
        <f t="shared" si="7"/>
        <v>2073</v>
      </c>
      <c r="T90" s="696">
        <f>IF(Select2=1,Food!$W92,"")</f>
        <v>2.0110693891995761E-8</v>
      </c>
      <c r="U90" s="697">
        <f>IF(Select2=1,Paper!$W92,"")</f>
        <v>1.2432006458797475E-2</v>
      </c>
      <c r="V90" s="687">
        <f>IF(Select2=1,Nappies!$W92,"")</f>
        <v>0</v>
      </c>
      <c r="W90" s="697">
        <f>IF(Select2=1,Garden!$W92,"")</f>
        <v>0</v>
      </c>
      <c r="X90" s="687">
        <f>IF(Select2=1,Wood!$W92,"")</f>
        <v>3.1475808663633004E-2</v>
      </c>
      <c r="Y90" s="697">
        <f>IF(Select2=1,Textiles!$W92,"")</f>
        <v>1.561228718081543E-3</v>
      </c>
      <c r="Z90" s="689">
        <f>Sludge!W92</f>
        <v>0</v>
      </c>
      <c r="AA90" s="689" t="str">
        <f>IF(Select2=2,MSW!$W92,"")</f>
        <v/>
      </c>
      <c r="AB90" s="698">
        <f>Industry!$W92</f>
        <v>0</v>
      </c>
      <c r="AC90" s="699">
        <f t="shared" si="5"/>
        <v>4.5469063951205917E-2</v>
      </c>
      <c r="AD90" s="700">
        <f>Recovery_OX!R85</f>
        <v>0</v>
      </c>
      <c r="AE90" s="650"/>
      <c r="AF90" s="702">
        <f>(AC90-AD90)*(1-Recovery_OX!U85)</f>
        <v>4.5469063951205917E-2</v>
      </c>
    </row>
    <row r="91" spans="2:32">
      <c r="B91" s="695">
        <f t="shared" si="6"/>
        <v>2074</v>
      </c>
      <c r="C91" s="696">
        <f>IF(Select2=1,Food!$K93,"")</f>
        <v>2.0149005343207598E-8</v>
      </c>
      <c r="D91" s="697">
        <f>IF(Select2=1,Paper!$K93,"")</f>
        <v>5.61029857974738E-3</v>
      </c>
      <c r="E91" s="687">
        <f>IF(Select2=1,Nappies!$K93,"")</f>
        <v>1.2898810331056436E-4</v>
      </c>
      <c r="F91" s="697">
        <f>IF(Select2=1,Garden!$K93,"")</f>
        <v>0</v>
      </c>
      <c r="G91" s="687">
        <f>IF(Select2=1,Wood!$K93,"")</f>
        <v>0</v>
      </c>
      <c r="H91" s="697">
        <f>IF(Select2=1,Textiles!$K93,"")</f>
        <v>1.3283080074815116E-3</v>
      </c>
      <c r="I91" s="698">
        <f>Sludge!K93</f>
        <v>0</v>
      </c>
      <c r="J91" s="698" t="str">
        <f>IF(Select2=2,MSW!$K93,"")</f>
        <v/>
      </c>
      <c r="K91" s="698">
        <f>Industry!$K93</f>
        <v>0</v>
      </c>
      <c r="L91" s="699">
        <f t="shared" si="8"/>
        <v>7.067614839544799E-3</v>
      </c>
      <c r="M91" s="700">
        <f>Recovery_OX!C86</f>
        <v>0</v>
      </c>
      <c r="N91" s="650"/>
      <c r="O91" s="701">
        <f>(L91-M91)*(1-Recovery_OX!F86)</f>
        <v>7.067614839544799E-3</v>
      </c>
      <c r="P91" s="641"/>
      <c r="Q91" s="652"/>
      <c r="S91" s="695">
        <f t="shared" si="7"/>
        <v>2074</v>
      </c>
      <c r="T91" s="696">
        <f>IF(Select2=1,Food!$W93,"")</f>
        <v>1.3480601255491251E-8</v>
      </c>
      <c r="U91" s="697">
        <f>IF(Select2=1,Paper!$W93,"")</f>
        <v>1.1591525991213597E-2</v>
      </c>
      <c r="V91" s="687">
        <f>IF(Select2=1,Nappies!$W93,"")</f>
        <v>0</v>
      </c>
      <c r="W91" s="697">
        <f>IF(Select2=1,Garden!$W93,"")</f>
        <v>0</v>
      </c>
      <c r="X91" s="687">
        <f>IF(Select2=1,Wood!$W93,"")</f>
        <v>3.0393211326690865E-2</v>
      </c>
      <c r="Y91" s="697">
        <f>IF(Select2=1,Textiles!$W93,"")</f>
        <v>1.4556800081989172E-3</v>
      </c>
      <c r="Z91" s="689">
        <f>Sludge!W93</f>
        <v>0</v>
      </c>
      <c r="AA91" s="689" t="str">
        <f>IF(Select2=2,MSW!$W93,"")</f>
        <v/>
      </c>
      <c r="AB91" s="698">
        <f>Industry!$W93</f>
        <v>0</v>
      </c>
      <c r="AC91" s="699">
        <f t="shared" si="5"/>
        <v>4.3440430806704636E-2</v>
      </c>
      <c r="AD91" s="700">
        <f>Recovery_OX!R86</f>
        <v>0</v>
      </c>
      <c r="AE91" s="650"/>
      <c r="AF91" s="702">
        <f>(AC91-AD91)*(1-Recovery_OX!U86)</f>
        <v>4.3440430806704636E-2</v>
      </c>
    </row>
    <row r="92" spans="2:32">
      <c r="B92" s="695">
        <f t="shared" si="6"/>
        <v>2075</v>
      </c>
      <c r="C92" s="696">
        <f>IF(Select2=1,Food!$K94,"")</f>
        <v>1.3506282189231259E-8</v>
      </c>
      <c r="D92" s="697">
        <f>IF(Select2=1,Paper!$K94,"")</f>
        <v>5.2310077235835761E-3</v>
      </c>
      <c r="E92" s="687">
        <f>IF(Select2=1,Nappies!$K94,"")</f>
        <v>1.0882272452262265E-4</v>
      </c>
      <c r="F92" s="697">
        <f>IF(Select2=1,Garden!$K94,"")</f>
        <v>0</v>
      </c>
      <c r="G92" s="687">
        <f>IF(Select2=1,Wood!$K94,"")</f>
        <v>0</v>
      </c>
      <c r="H92" s="697">
        <f>IF(Select2=1,Textiles!$K94,"")</f>
        <v>1.2385061771073456E-3</v>
      </c>
      <c r="I92" s="698">
        <f>Sludge!K94</f>
        <v>0</v>
      </c>
      <c r="J92" s="698" t="str">
        <f>IF(Select2=2,MSW!$K94,"")</f>
        <v/>
      </c>
      <c r="K92" s="698">
        <f>Industry!$K94</f>
        <v>0</v>
      </c>
      <c r="L92" s="699">
        <f t="shared" si="8"/>
        <v>6.5783501314957337E-3</v>
      </c>
      <c r="M92" s="700">
        <f>Recovery_OX!C87</f>
        <v>0</v>
      </c>
      <c r="N92" s="650"/>
      <c r="O92" s="701">
        <f>(L92-M92)*(1-Recovery_OX!F87)</f>
        <v>6.5783501314957337E-3</v>
      </c>
      <c r="P92" s="641"/>
      <c r="Q92" s="652"/>
      <c r="S92" s="695">
        <f t="shared" si="7"/>
        <v>2075</v>
      </c>
      <c r="T92" s="696">
        <f>IF(Select2=1,Food!$W94,"")</f>
        <v>9.036317254168992E-9</v>
      </c>
      <c r="U92" s="697">
        <f>IF(Select2=1,Paper!$W94,"")</f>
        <v>1.0807867197486731E-2</v>
      </c>
      <c r="V92" s="687">
        <f>IF(Select2=1,Nappies!$W94,"")</f>
        <v>0</v>
      </c>
      <c r="W92" s="697">
        <f>IF(Select2=1,Garden!$W94,"")</f>
        <v>0</v>
      </c>
      <c r="X92" s="687">
        <f>IF(Select2=1,Wood!$W94,"")</f>
        <v>2.9347849474513514E-2</v>
      </c>
      <c r="Y92" s="697">
        <f>IF(Select2=1,Textiles!$W94,"")</f>
        <v>1.3572670434053105E-3</v>
      </c>
      <c r="Z92" s="689">
        <f>Sludge!W94</f>
        <v>0</v>
      </c>
      <c r="AA92" s="689" t="str">
        <f>IF(Select2=2,MSW!$W94,"")</f>
        <v/>
      </c>
      <c r="AB92" s="698">
        <f>Industry!$W94</f>
        <v>0</v>
      </c>
      <c r="AC92" s="699">
        <f t="shared" si="5"/>
        <v>4.1512992751722808E-2</v>
      </c>
      <c r="AD92" s="700">
        <f>Recovery_OX!R87</f>
        <v>0</v>
      </c>
      <c r="AE92" s="650"/>
      <c r="AF92" s="702">
        <f>(AC92-AD92)*(1-Recovery_OX!U87)</f>
        <v>4.1512992751722808E-2</v>
      </c>
    </row>
    <row r="93" spans="2:32">
      <c r="B93" s="695">
        <f t="shared" si="6"/>
        <v>2076</v>
      </c>
      <c r="C93" s="696">
        <f>IF(Select2=1,Food!$K95,"")</f>
        <v>9.0535316988558347E-9</v>
      </c>
      <c r="D93" s="697">
        <f>IF(Select2=1,Paper!$K95,"")</f>
        <v>4.8773592733496098E-3</v>
      </c>
      <c r="E93" s="687">
        <f>IF(Select2=1,Nappies!$K95,"")</f>
        <v>9.1809903925897229E-5</v>
      </c>
      <c r="F93" s="697">
        <f>IF(Select2=1,Garden!$K95,"")</f>
        <v>0</v>
      </c>
      <c r="G93" s="687">
        <f>IF(Select2=1,Wood!$K95,"")</f>
        <v>0</v>
      </c>
      <c r="H93" s="697">
        <f>IF(Select2=1,Textiles!$K95,"")</f>
        <v>1.154775505450231E-3</v>
      </c>
      <c r="I93" s="698">
        <f>Sludge!K95</f>
        <v>0</v>
      </c>
      <c r="J93" s="698" t="str">
        <f>IF(Select2=2,MSW!$K95,"")</f>
        <v/>
      </c>
      <c r="K93" s="698">
        <f>Industry!$K95</f>
        <v>0</v>
      </c>
      <c r="L93" s="699">
        <f t="shared" si="8"/>
        <v>6.1239537362574367E-3</v>
      </c>
      <c r="M93" s="700">
        <f>Recovery_OX!C88</f>
        <v>0</v>
      </c>
      <c r="N93" s="650"/>
      <c r="O93" s="701">
        <f>(L93-M93)*(1-Recovery_OX!F88)</f>
        <v>6.1239537362574367E-3</v>
      </c>
      <c r="P93" s="641"/>
      <c r="Q93" s="652"/>
      <c r="S93" s="695">
        <f t="shared" si="7"/>
        <v>2076</v>
      </c>
      <c r="T93" s="696">
        <f>IF(Select2=1,Food!$W95,"")</f>
        <v>6.0572245978072001E-9</v>
      </c>
      <c r="U93" s="697">
        <f>IF(Select2=1,Paper!$W95,"")</f>
        <v>1.0077188581300849E-2</v>
      </c>
      <c r="V93" s="687">
        <f>IF(Select2=1,Nappies!$W95,"")</f>
        <v>0</v>
      </c>
      <c r="W93" s="697">
        <f>IF(Select2=1,Garden!$W95,"")</f>
        <v>0</v>
      </c>
      <c r="X93" s="687">
        <f>IF(Select2=1,Wood!$W95,"")</f>
        <v>2.8338442408102023E-2</v>
      </c>
      <c r="Y93" s="697">
        <f>IF(Select2=1,Textiles!$W95,"")</f>
        <v>1.26550740323313E-3</v>
      </c>
      <c r="Z93" s="689">
        <f>Sludge!W95</f>
        <v>0</v>
      </c>
      <c r="AA93" s="689" t="str">
        <f>IF(Select2=2,MSW!$W95,"")</f>
        <v/>
      </c>
      <c r="AB93" s="698">
        <f>Industry!$W95</f>
        <v>0</v>
      </c>
      <c r="AC93" s="699">
        <f t="shared" si="5"/>
        <v>3.9681144449860595E-2</v>
      </c>
      <c r="AD93" s="700">
        <f>Recovery_OX!R88</f>
        <v>0</v>
      </c>
      <c r="AE93" s="650"/>
      <c r="AF93" s="702">
        <f>(AC93-AD93)*(1-Recovery_OX!U88)</f>
        <v>3.9681144449860595E-2</v>
      </c>
    </row>
    <row r="94" spans="2:32">
      <c r="B94" s="695">
        <f t="shared" si="6"/>
        <v>2077</v>
      </c>
      <c r="C94" s="696">
        <f>IF(Select2=1,Food!$K96,"")</f>
        <v>6.0687637851621636E-9</v>
      </c>
      <c r="D94" s="697">
        <f>IF(Select2=1,Paper!$K96,"")</f>
        <v>4.547619643932143E-3</v>
      </c>
      <c r="E94" s="687">
        <f>IF(Select2=1,Nappies!$K96,"")</f>
        <v>7.7456785757373689E-5</v>
      </c>
      <c r="F94" s="697">
        <f>IF(Select2=1,Garden!$K96,"")</f>
        <v>0</v>
      </c>
      <c r="G94" s="687">
        <f>IF(Select2=1,Wood!$K96,"")</f>
        <v>0</v>
      </c>
      <c r="H94" s="697">
        <f>IF(Select2=1,Textiles!$K96,"")</f>
        <v>1.076705544660563E-3</v>
      </c>
      <c r="I94" s="698">
        <f>Sludge!K96</f>
        <v>0</v>
      </c>
      <c r="J94" s="698" t="str">
        <f>IF(Select2=2,MSW!$K96,"")</f>
        <v/>
      </c>
      <c r="K94" s="698">
        <f>Industry!$K96</f>
        <v>0</v>
      </c>
      <c r="L94" s="699">
        <f t="shared" si="8"/>
        <v>5.7017880431138642E-3</v>
      </c>
      <c r="M94" s="700">
        <f>Recovery_OX!C89</f>
        <v>0</v>
      </c>
      <c r="N94" s="650"/>
      <c r="O94" s="701">
        <f>(L94-M94)*(1-Recovery_OX!F89)</f>
        <v>5.7017880431138642E-3</v>
      </c>
      <c r="P94" s="641"/>
      <c r="Q94" s="652"/>
      <c r="S94" s="695">
        <f t="shared" si="7"/>
        <v>2077</v>
      </c>
      <c r="T94" s="696">
        <f>IF(Select2=1,Food!$W96,"")</f>
        <v>4.0602790712503296E-9</v>
      </c>
      <c r="U94" s="697">
        <f>IF(Select2=1,Paper!$W96,"")</f>
        <v>9.3959083552316996E-3</v>
      </c>
      <c r="V94" s="687">
        <f>IF(Select2=1,Nappies!$W96,"")</f>
        <v>0</v>
      </c>
      <c r="W94" s="697">
        <f>IF(Select2=1,Garden!$W96,"")</f>
        <v>0</v>
      </c>
      <c r="X94" s="687">
        <f>IF(Select2=1,Wood!$W96,"")</f>
        <v>2.7363753477566428E-2</v>
      </c>
      <c r="Y94" s="697">
        <f>IF(Select2=1,Textiles!$W96,"")</f>
        <v>1.1799512818197952E-3</v>
      </c>
      <c r="Z94" s="689">
        <f>Sludge!W96</f>
        <v>0</v>
      </c>
      <c r="AA94" s="689" t="str">
        <f>IF(Select2=2,MSW!$W96,"")</f>
        <v/>
      </c>
      <c r="AB94" s="698">
        <f>Industry!$W96</f>
        <v>0</v>
      </c>
      <c r="AC94" s="699">
        <f t="shared" si="5"/>
        <v>3.7939617174896995E-2</v>
      </c>
      <c r="AD94" s="700">
        <f>Recovery_OX!R89</f>
        <v>0</v>
      </c>
      <c r="AE94" s="650"/>
      <c r="AF94" s="702">
        <f>(AC94-AD94)*(1-Recovery_OX!U89)</f>
        <v>3.7939617174896995E-2</v>
      </c>
    </row>
    <row r="95" spans="2:32">
      <c r="B95" s="695">
        <f t="shared" si="6"/>
        <v>2078</v>
      </c>
      <c r="C95" s="696">
        <f>IF(Select2=1,Food!$K97,"")</f>
        <v>4.068014019849322E-9</v>
      </c>
      <c r="D95" s="697">
        <f>IF(Select2=1,Paper!$K97,"")</f>
        <v>4.2401724512852196E-3</v>
      </c>
      <c r="E95" s="687">
        <f>IF(Select2=1,Nappies!$K97,"")</f>
        <v>6.5347564950140065E-5</v>
      </c>
      <c r="F95" s="697">
        <f>IF(Select2=1,Garden!$K97,"")</f>
        <v>0</v>
      </c>
      <c r="G95" s="687">
        <f>IF(Select2=1,Wood!$K97,"")</f>
        <v>0</v>
      </c>
      <c r="H95" s="697">
        <f>IF(Select2=1,Textiles!$K97,"")</f>
        <v>1.0039135956999767E-3</v>
      </c>
      <c r="I95" s="698">
        <f>Sludge!K97</f>
        <v>0</v>
      </c>
      <c r="J95" s="698" t="str">
        <f>IF(Select2=2,MSW!$K97,"")</f>
        <v/>
      </c>
      <c r="K95" s="698">
        <f>Industry!$K97</f>
        <v>0</v>
      </c>
      <c r="L95" s="699">
        <f t="shared" si="8"/>
        <v>5.3094376799493566E-3</v>
      </c>
      <c r="M95" s="700">
        <f>Recovery_OX!C90</f>
        <v>0</v>
      </c>
      <c r="N95" s="650"/>
      <c r="O95" s="701">
        <f>(L95-M95)*(1-Recovery_OX!F90)</f>
        <v>5.3094376799493566E-3</v>
      </c>
      <c r="P95" s="641"/>
      <c r="Q95" s="652"/>
      <c r="S95" s="695">
        <f t="shared" si="7"/>
        <v>2078</v>
      </c>
      <c r="T95" s="696">
        <f>IF(Select2=1,Food!$W97,"")</f>
        <v>2.7216864539580638E-9</v>
      </c>
      <c r="U95" s="697">
        <f>IF(Select2=1,Paper!$W97,"")</f>
        <v>8.7606868828207004E-3</v>
      </c>
      <c r="V95" s="687">
        <f>IF(Select2=1,Nappies!$W97,"")</f>
        <v>0</v>
      </c>
      <c r="W95" s="697">
        <f>IF(Select2=1,Garden!$W97,"")</f>
        <v>0</v>
      </c>
      <c r="X95" s="687">
        <f>IF(Select2=1,Wood!$W97,"")</f>
        <v>2.6422588567074967E-2</v>
      </c>
      <c r="Y95" s="697">
        <f>IF(Select2=1,Textiles!$W97,"")</f>
        <v>1.1001792829588787E-3</v>
      </c>
      <c r="Z95" s="689">
        <f>Sludge!W97</f>
        <v>0</v>
      </c>
      <c r="AA95" s="689" t="str">
        <f>IF(Select2=2,MSW!$W97,"")</f>
        <v/>
      </c>
      <c r="AB95" s="698">
        <f>Industry!$W97</f>
        <v>0</v>
      </c>
      <c r="AC95" s="699">
        <f t="shared" si="5"/>
        <v>3.6283457454541E-2</v>
      </c>
      <c r="AD95" s="700">
        <f>Recovery_OX!R90</f>
        <v>0</v>
      </c>
      <c r="AE95" s="650"/>
      <c r="AF95" s="702">
        <f>(AC95-AD95)*(1-Recovery_OX!U90)</f>
        <v>3.6283457454541E-2</v>
      </c>
    </row>
    <row r="96" spans="2:32">
      <c r="B96" s="695">
        <f t="shared" si="6"/>
        <v>2079</v>
      </c>
      <c r="C96" s="696">
        <f>IF(Select2=1,Food!$K98,"")</f>
        <v>2.7268713450590237E-9</v>
      </c>
      <c r="D96" s="697">
        <f>IF(Select2=1,Paper!$K98,"")</f>
        <v>3.953510588913794E-3</v>
      </c>
      <c r="E96" s="687">
        <f>IF(Select2=1,Nappies!$K98,"")</f>
        <v>5.5131441398680184E-5</v>
      </c>
      <c r="F96" s="697">
        <f>IF(Select2=1,Garden!$K98,"")</f>
        <v>0</v>
      </c>
      <c r="G96" s="687">
        <f>IF(Select2=1,Wood!$K98,"")</f>
        <v>0</v>
      </c>
      <c r="H96" s="697">
        <f>IF(Select2=1,Textiles!$K98,"")</f>
        <v>9.3604283235021717E-4</v>
      </c>
      <c r="I96" s="698">
        <f>Sludge!K98</f>
        <v>0</v>
      </c>
      <c r="J96" s="698" t="str">
        <f>IF(Select2=2,MSW!$K98,"")</f>
        <v/>
      </c>
      <c r="K96" s="698">
        <f>Industry!$K98</f>
        <v>0</v>
      </c>
      <c r="L96" s="699">
        <f t="shared" si="8"/>
        <v>4.9446875895340367E-3</v>
      </c>
      <c r="M96" s="700">
        <f>Recovery_OX!C91</f>
        <v>0</v>
      </c>
      <c r="N96" s="650"/>
      <c r="O96" s="701">
        <f>(L96-M96)*(1-Recovery_OX!F91)</f>
        <v>4.9446875895340367E-3</v>
      </c>
      <c r="P96" s="639"/>
      <c r="S96" s="695">
        <f t="shared" si="7"/>
        <v>2079</v>
      </c>
      <c r="T96" s="696">
        <f>IF(Select2=1,Food!$W98,"")</f>
        <v>1.824400989111745E-9</v>
      </c>
      <c r="U96" s="697">
        <f>IF(Select2=1,Paper!$W98,"")</f>
        <v>8.1684103076731275E-3</v>
      </c>
      <c r="V96" s="687">
        <f>IF(Select2=1,Nappies!$W98,"")</f>
        <v>0</v>
      </c>
      <c r="W96" s="697">
        <f>IF(Select2=1,Garden!$W98,"")</f>
        <v>0</v>
      </c>
      <c r="X96" s="687">
        <f>IF(Select2=1,Wood!$W98,"")</f>
        <v>2.5513794631912841E-2</v>
      </c>
      <c r="Y96" s="697">
        <f>IF(Select2=1,Textiles!$W98,"")</f>
        <v>1.0258003642194162E-3</v>
      </c>
      <c r="Z96" s="689">
        <f>Sludge!W98</f>
        <v>0</v>
      </c>
      <c r="AA96" s="689" t="str">
        <f>IF(Select2=2,MSW!$W98,"")</f>
        <v/>
      </c>
      <c r="AB96" s="698">
        <f>Industry!$W98</f>
        <v>0</v>
      </c>
      <c r="AC96" s="699">
        <f t="shared" si="5"/>
        <v>3.4708007128206375E-2</v>
      </c>
      <c r="AD96" s="700">
        <f>Recovery_OX!R91</f>
        <v>0</v>
      </c>
      <c r="AE96" s="650"/>
      <c r="AF96" s="702">
        <f>(AC96-AD96)*(1-Recovery_OX!U91)</f>
        <v>3.4708007128206375E-2</v>
      </c>
    </row>
    <row r="97" spans="2:32" ht="13.5" thickBot="1">
      <c r="B97" s="703">
        <f t="shared" si="6"/>
        <v>2080</v>
      </c>
      <c r="C97" s="704">
        <f>IF(Select2=1,Food!$K99,"")</f>
        <v>1.8278765255532308E-9</v>
      </c>
      <c r="D97" s="705">
        <f>IF(Select2=1,Paper!$K99,"")</f>
        <v>3.6862288400359476E-3</v>
      </c>
      <c r="E97" s="705">
        <f>IF(Select2=1,Nappies!$K99,"")</f>
        <v>4.6512457396311796E-5</v>
      </c>
      <c r="F97" s="705">
        <f>IF(Select2=1,Garden!$K99,"")</f>
        <v>0</v>
      </c>
      <c r="G97" s="705">
        <f>IF(Select2=1,Wood!$K99,"")</f>
        <v>0</v>
      </c>
      <c r="H97" s="705">
        <f>IF(Select2=1,Textiles!$K99,"")</f>
        <v>8.7276055205060205E-4</v>
      </c>
      <c r="I97" s="706">
        <f>Sludge!K99</f>
        <v>0</v>
      </c>
      <c r="J97" s="706" t="str">
        <f>IF(Select2=2,MSW!$K99,"")</f>
        <v/>
      </c>
      <c r="K97" s="698">
        <f>Industry!$K99</f>
        <v>0</v>
      </c>
      <c r="L97" s="699">
        <f t="shared" si="8"/>
        <v>4.6055036773593868E-3</v>
      </c>
      <c r="M97" s="707">
        <f>Recovery_OX!C92</f>
        <v>0</v>
      </c>
      <c r="N97" s="650"/>
      <c r="O97" s="708">
        <f>(L97-M97)*(1-Recovery_OX!F92)</f>
        <v>4.6055036773593868E-3</v>
      </c>
      <c r="S97" s="703">
        <f t="shared" si="7"/>
        <v>2080</v>
      </c>
      <c r="T97" s="704">
        <f>IF(Select2=1,Food!$W99,"")</f>
        <v>1.222932555008851E-9</v>
      </c>
      <c r="U97" s="705">
        <f>IF(Select2=1,Paper!$W99,"")</f>
        <v>7.6161752893304695E-3</v>
      </c>
      <c r="V97" s="705">
        <f>IF(Select2=1,Nappies!$W99,"")</f>
        <v>0</v>
      </c>
      <c r="W97" s="705">
        <f>IF(Select2=1,Garden!$W99,"")</f>
        <v>0</v>
      </c>
      <c r="X97" s="705">
        <f>IF(Select2=1,Wood!$W99,"")</f>
        <v>2.4636258285858265E-2</v>
      </c>
      <c r="Y97" s="705">
        <f>IF(Select2=1,Textiles!$W99,"")</f>
        <v>9.5644992005545452E-4</v>
      </c>
      <c r="Z97" s="706">
        <f>Sludge!W99</f>
        <v>0</v>
      </c>
      <c r="AA97" s="706" t="str">
        <f>IF(Select2=2,MSW!$W99,"")</f>
        <v/>
      </c>
      <c r="AB97" s="698">
        <f>Industry!$W99</f>
        <v>0</v>
      </c>
      <c r="AC97" s="709">
        <f t="shared" si="5"/>
        <v>3.3208884718176741E-2</v>
      </c>
      <c r="AD97" s="707">
        <f>Recovery_OX!R92</f>
        <v>0</v>
      </c>
      <c r="AE97" s="650"/>
      <c r="AF97" s="710">
        <f>(AC97-AD97)*(1-Recovery_OX!U92)</f>
        <v>3.3208884718176741E-2</v>
      </c>
    </row>
  </sheetData>
  <mergeCells count="2">
    <mergeCell ref="C12:M12"/>
    <mergeCell ref="T12:AD12"/>
  </mergeCells>
  <phoneticPr fontId="16" type="noConversion"/>
  <dataValidations count="1">
    <dataValidation type="whole" allowBlank="1" showInputMessage="1" showErrorMessage="1" error="Please enter a year between 1900 and 2000" sqref="S17 B17">
      <formula1>1900</formula1>
      <formula2>2000</formula2>
    </dataValidation>
  </dataValidations>
  <pageMargins left="0.75" right="0.75" top="1" bottom="1" header="0.5" footer="0.5"/>
  <headerFooter alignWithMargins="0"/>
  <drawing r:id="rId1"/>
  <legacyDrawing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O92"/>
  <sheetViews>
    <sheetView showGridLines="0" workbookViewId="0">
      <selection activeCell="P26" sqref="P26"/>
    </sheetView>
  </sheetViews>
  <sheetFormatPr defaultColWidth="11.42578125" defaultRowHeight="12.75"/>
  <cols>
    <col min="1" max="1" width="2.85546875" style="6" customWidth="1"/>
    <col min="2" max="2" width="7.28515625" style="6" customWidth="1"/>
    <col min="3" max="3" width="9.42578125" style="6" customWidth="1"/>
    <col min="4" max="4" width="9.140625" style="6" customWidth="1"/>
    <col min="5" max="5" width="8.85546875" style="6" customWidth="1"/>
    <col min="6" max="6" width="9.7109375" style="6" customWidth="1"/>
    <col min="7" max="7" width="9.42578125" style="6" customWidth="1"/>
    <col min="8" max="8" width="10.28515625" style="6" customWidth="1"/>
    <col min="9" max="9" width="2.42578125" style="6" customWidth="1"/>
    <col min="10" max="10" width="9.140625" style="6" customWidth="1"/>
    <col min="11" max="11" width="9.28515625" style="6" customWidth="1"/>
    <col min="12" max="12" width="8.85546875" style="6" customWidth="1"/>
    <col min="13" max="13" width="8.28515625" style="433" customWidth="1"/>
    <col min="14" max="14" width="9.85546875" style="433" customWidth="1"/>
    <col min="15" max="15" width="8.7109375" style="433" customWidth="1"/>
    <col min="16" max="16384" width="11.42578125" style="6"/>
  </cols>
  <sheetData>
    <row r="2" spans="2:15" s="431" customFormat="1">
      <c r="B2" s="431" t="s">
        <v>282</v>
      </c>
      <c r="M2" s="432"/>
      <c r="N2" s="432"/>
      <c r="O2" s="432"/>
    </row>
    <row r="4" spans="2:15">
      <c r="B4" s="6" t="s">
        <v>283</v>
      </c>
    </row>
    <row r="7" spans="2:15" ht="13.5" thickBot="1"/>
    <row r="8" spans="2:15" ht="13.5" thickBot="1">
      <c r="B8" s="434"/>
      <c r="C8" s="838" t="s">
        <v>284</v>
      </c>
      <c r="D8" s="839"/>
      <c r="E8" s="840"/>
      <c r="F8" s="838" t="s">
        <v>285</v>
      </c>
      <c r="G8" s="839"/>
      <c r="H8" s="841"/>
      <c r="I8" s="435"/>
      <c r="J8" s="838" t="s">
        <v>286</v>
      </c>
      <c r="K8" s="839"/>
      <c r="L8" s="841"/>
      <c r="M8" s="842" t="s">
        <v>287</v>
      </c>
      <c r="N8" s="843"/>
      <c r="O8" s="844"/>
    </row>
    <row r="9" spans="2:15" ht="26.25" thickBot="1">
      <c r="B9" s="147" t="s">
        <v>1</v>
      </c>
      <c r="C9" s="436" t="s">
        <v>288</v>
      </c>
      <c r="D9" s="437" t="s">
        <v>289</v>
      </c>
      <c r="E9" s="438" t="s">
        <v>290</v>
      </c>
      <c r="F9" s="439" t="s">
        <v>288</v>
      </c>
      <c r="G9" s="440" t="s">
        <v>289</v>
      </c>
      <c r="H9" s="441" t="s">
        <v>290</v>
      </c>
      <c r="I9" s="435"/>
      <c r="J9" s="439" t="s">
        <v>261</v>
      </c>
      <c r="K9" s="440" t="s">
        <v>262</v>
      </c>
      <c r="L9" s="441" t="s">
        <v>2</v>
      </c>
      <c r="M9" s="442" t="s">
        <v>261</v>
      </c>
      <c r="N9" s="443" t="s">
        <v>262</v>
      </c>
      <c r="O9" s="444" t="s">
        <v>2</v>
      </c>
    </row>
    <row r="10" spans="2:15" ht="13.5" thickBot="1">
      <c r="B10" s="123"/>
      <c r="C10" s="445" t="s">
        <v>15</v>
      </c>
      <c r="D10" s="446" t="s">
        <v>15</v>
      </c>
      <c r="E10" s="447" t="s">
        <v>15</v>
      </c>
      <c r="F10" s="448" t="s">
        <v>15</v>
      </c>
      <c r="G10" s="446" t="s">
        <v>15</v>
      </c>
      <c r="H10" s="447" t="s">
        <v>15</v>
      </c>
      <c r="I10" s="449"/>
      <c r="J10" s="448" t="s">
        <v>15</v>
      </c>
      <c r="K10" s="446" t="s">
        <v>15</v>
      </c>
      <c r="L10" s="447" t="s">
        <v>15</v>
      </c>
      <c r="M10" s="448" t="s">
        <v>15</v>
      </c>
      <c r="N10" s="446" t="s">
        <v>15</v>
      </c>
      <c r="O10" s="447" t="s">
        <v>15</v>
      </c>
    </row>
    <row r="11" spans="2:15" ht="13.5" thickBot="1">
      <c r="B11" s="450"/>
      <c r="C11" s="451"/>
      <c r="D11" s="452"/>
      <c r="E11" s="453"/>
      <c r="F11" s="454"/>
      <c r="G11" s="455"/>
      <c r="H11" s="28"/>
      <c r="I11" s="456"/>
      <c r="J11" s="457"/>
      <c r="K11" s="458"/>
      <c r="L11" s="459"/>
      <c r="M11" s="460"/>
      <c r="N11" s="452"/>
      <c r="O11" s="453"/>
    </row>
    <row r="12" spans="2:15">
      <c r="B12" s="461">
        <f>year</f>
        <v>1950</v>
      </c>
      <c r="C12" s="462">
        <f>Stored_C!E18</f>
        <v>0</v>
      </c>
      <c r="D12" s="463">
        <f>Stored_C!F18+Stored_C!L18</f>
        <v>0.21074121728880002</v>
      </c>
      <c r="E12" s="464">
        <f>Stored_C!G18+Stored_C!M18</f>
        <v>0.17386150426325997</v>
      </c>
      <c r="F12" s="465">
        <f>F11+HWP!C12</f>
        <v>0</v>
      </c>
      <c r="G12" s="463">
        <f>G11+HWP!D12</f>
        <v>0.21074121728880002</v>
      </c>
      <c r="H12" s="464">
        <f>H11+HWP!E12</f>
        <v>0.17386150426325997</v>
      </c>
      <c r="I12" s="456"/>
      <c r="J12" s="466">
        <f>Garden!J19</f>
        <v>0</v>
      </c>
      <c r="K12" s="467">
        <f>Paper!J19</f>
        <v>0</v>
      </c>
      <c r="L12" s="468">
        <f>Wood!J19</f>
        <v>0</v>
      </c>
      <c r="M12" s="469">
        <f>J12*(1-Recovery_OX!E12)*(1-Recovery_OX!F12)</f>
        <v>0</v>
      </c>
      <c r="N12" s="467">
        <f>K12*(1-Recovery_OX!E12)*(1-Recovery_OX!F12)</f>
        <v>0</v>
      </c>
      <c r="O12" s="468">
        <f>L12*(1-Recovery_OX!E12)*(1-Recovery_OX!F12)</f>
        <v>0</v>
      </c>
    </row>
    <row r="13" spans="2:15">
      <c r="B13" s="470">
        <f>B12+1</f>
        <v>1951</v>
      </c>
      <c r="C13" s="471">
        <f>Stored_C!E19</f>
        <v>0</v>
      </c>
      <c r="D13" s="472">
        <f>Stored_C!F19+Stored_C!L19</f>
        <v>0.22243211762639997</v>
      </c>
      <c r="E13" s="473">
        <f>Stored_C!G19+Stored_C!M19</f>
        <v>0.18350649704177999</v>
      </c>
      <c r="F13" s="474">
        <f>F12+HWP!C13</f>
        <v>0</v>
      </c>
      <c r="G13" s="472">
        <f>G12+HWP!D13</f>
        <v>0.43317333491519999</v>
      </c>
      <c r="H13" s="473">
        <f>H12+HWP!E13</f>
        <v>0.35736800130503998</v>
      </c>
      <c r="I13" s="456"/>
      <c r="J13" s="475">
        <f>Garden!J20</f>
        <v>0</v>
      </c>
      <c r="K13" s="476">
        <f>Paper!J20</f>
        <v>6.8957458056048901E-3</v>
      </c>
      <c r="L13" s="477">
        <f>Wood!J20</f>
        <v>0</v>
      </c>
      <c r="M13" s="478">
        <f>J13*(1-Recovery_OX!E13)*(1-Recovery_OX!F13)</f>
        <v>0</v>
      </c>
      <c r="N13" s="476">
        <f>K13*(1-Recovery_OX!E13)*(1-Recovery_OX!F13)</f>
        <v>6.8957458056048901E-3</v>
      </c>
      <c r="O13" s="477">
        <f>L13*(1-Recovery_OX!E13)*(1-Recovery_OX!F13)</f>
        <v>0</v>
      </c>
    </row>
    <row r="14" spans="2:15">
      <c r="B14" s="470">
        <f t="shared" ref="B14:B77" si="0">B13+1</f>
        <v>1952</v>
      </c>
      <c r="C14" s="471">
        <f>Stored_C!E20</f>
        <v>0</v>
      </c>
      <c r="D14" s="472">
        <f>Stored_C!F20+Stored_C!L20</f>
        <v>0.23501652139679999</v>
      </c>
      <c r="E14" s="473">
        <f>Stored_C!G20+Stored_C!M20</f>
        <v>0.19388863015235999</v>
      </c>
      <c r="F14" s="474">
        <f>F13+HWP!C14</f>
        <v>0</v>
      </c>
      <c r="G14" s="472">
        <f>G13+HWP!D14</f>
        <v>0.66818985631200001</v>
      </c>
      <c r="H14" s="473">
        <f>H13+HWP!E14</f>
        <v>0.5512566314574</v>
      </c>
      <c r="I14" s="456"/>
      <c r="J14" s="475">
        <f>Garden!J21</f>
        <v>0</v>
      </c>
      <c r="K14" s="476">
        <f>Paper!J21</f>
        <v>1.3707839101416985E-2</v>
      </c>
      <c r="L14" s="477">
        <f>Wood!J21</f>
        <v>0</v>
      </c>
      <c r="M14" s="478">
        <f>J14*(1-Recovery_OX!E14)*(1-Recovery_OX!F14)</f>
        <v>0</v>
      </c>
      <c r="N14" s="476">
        <f>K14*(1-Recovery_OX!E14)*(1-Recovery_OX!F14)</f>
        <v>1.3707839101416985E-2</v>
      </c>
      <c r="O14" s="477">
        <f>L14*(1-Recovery_OX!E14)*(1-Recovery_OX!F14)</f>
        <v>0</v>
      </c>
    </row>
    <row r="15" spans="2:15">
      <c r="B15" s="470">
        <f t="shared" si="0"/>
        <v>1953</v>
      </c>
      <c r="C15" s="471">
        <f>Stored_C!E21</f>
        <v>0</v>
      </c>
      <c r="D15" s="472">
        <f>Stored_C!F21+Stored_C!L21</f>
        <v>0.23931897366960003</v>
      </c>
      <c r="E15" s="473">
        <f>Stored_C!G21+Stored_C!M21</f>
        <v>0.19743815327742004</v>
      </c>
      <c r="F15" s="474">
        <f>F14+HWP!C15</f>
        <v>0</v>
      </c>
      <c r="G15" s="472">
        <f>G14+HWP!D15</f>
        <v>0.9075088299816001</v>
      </c>
      <c r="H15" s="473">
        <f>H14+HWP!E15</f>
        <v>0.74869478473481998</v>
      </c>
      <c r="I15" s="456"/>
      <c r="J15" s="475">
        <f>Garden!J22</f>
        <v>0</v>
      </c>
      <c r="K15" s="476">
        <f>Paper!J22</f>
        <v>2.0471171989411042E-2</v>
      </c>
      <c r="L15" s="477">
        <f>Wood!J22</f>
        <v>0</v>
      </c>
      <c r="M15" s="478">
        <f>J15*(1-Recovery_OX!E15)*(1-Recovery_OX!F15)</f>
        <v>0</v>
      </c>
      <c r="N15" s="476">
        <f>K15*(1-Recovery_OX!E15)*(1-Recovery_OX!F15)</f>
        <v>2.0471171989411042E-2</v>
      </c>
      <c r="O15" s="477">
        <f>L15*(1-Recovery_OX!E15)*(1-Recovery_OX!F15)</f>
        <v>0</v>
      </c>
    </row>
    <row r="16" spans="2:15">
      <c r="B16" s="470">
        <f t="shared" si="0"/>
        <v>1954</v>
      </c>
      <c r="C16" s="471">
        <f>Stored_C!E22</f>
        <v>0</v>
      </c>
      <c r="D16" s="472">
        <f>Stored_C!F22+Stored_C!L22</f>
        <v>0.25249725221160002</v>
      </c>
      <c r="E16" s="473">
        <f>Stored_C!G22+Stored_C!M22</f>
        <v>0.20831023307457</v>
      </c>
      <c r="F16" s="474">
        <f>F15+HWP!C16</f>
        <v>0</v>
      </c>
      <c r="G16" s="472">
        <f>G15+HWP!D16</f>
        <v>1.1600060821932001</v>
      </c>
      <c r="H16" s="473">
        <f>H15+HWP!E16</f>
        <v>0.95700501780938996</v>
      </c>
      <c r="I16" s="456"/>
      <c r="J16" s="475">
        <f>Garden!J23</f>
        <v>0</v>
      </c>
      <c r="K16" s="476">
        <f>Paper!J23</f>
        <v>2.6918043999932622E-2</v>
      </c>
      <c r="L16" s="477">
        <f>Wood!J23</f>
        <v>0</v>
      </c>
      <c r="M16" s="478">
        <f>J16*(1-Recovery_OX!E16)*(1-Recovery_OX!F16)</f>
        <v>0</v>
      </c>
      <c r="N16" s="476">
        <f>K16*(1-Recovery_OX!E16)*(1-Recovery_OX!F16)</f>
        <v>2.6918043999932622E-2</v>
      </c>
      <c r="O16" s="477">
        <f>L16*(1-Recovery_OX!E16)*(1-Recovery_OX!F16)</f>
        <v>0</v>
      </c>
    </row>
    <row r="17" spans="2:15">
      <c r="B17" s="470">
        <f t="shared" si="0"/>
        <v>1955</v>
      </c>
      <c r="C17" s="471">
        <f>Stored_C!E23</f>
        <v>0</v>
      </c>
      <c r="D17" s="472">
        <f>Stored_C!F23+Stored_C!L23</f>
        <v>0.27065618442720002</v>
      </c>
      <c r="E17" s="473">
        <f>Stored_C!G23+Stored_C!M23</f>
        <v>0.22329135215244</v>
      </c>
      <c r="F17" s="474">
        <f>F16+HWP!C17</f>
        <v>0</v>
      </c>
      <c r="G17" s="472">
        <f>G16+HWP!D17</f>
        <v>1.4306622666204001</v>
      </c>
      <c r="H17" s="473">
        <f>H16+HWP!E17</f>
        <v>1.1802963699618298</v>
      </c>
      <c r="I17" s="456"/>
      <c r="J17" s="475">
        <f>Garden!J24</f>
        <v>0</v>
      </c>
      <c r="K17" s="476">
        <f>Paper!J24</f>
        <v>3.3360279227328551E-2</v>
      </c>
      <c r="L17" s="477">
        <f>Wood!J24</f>
        <v>0</v>
      </c>
      <c r="M17" s="478">
        <f>J17*(1-Recovery_OX!E17)*(1-Recovery_OX!F17)</f>
        <v>0</v>
      </c>
      <c r="N17" s="476">
        <f>K17*(1-Recovery_OX!E17)*(1-Recovery_OX!F17)</f>
        <v>3.3360279227328551E-2</v>
      </c>
      <c r="O17" s="477">
        <f>L17*(1-Recovery_OX!E17)*(1-Recovery_OX!F17)</f>
        <v>0</v>
      </c>
    </row>
    <row r="18" spans="2:15">
      <c r="B18" s="470">
        <f t="shared" si="0"/>
        <v>1956</v>
      </c>
      <c r="C18" s="471">
        <f>Stored_C!E24</f>
        <v>0</v>
      </c>
      <c r="D18" s="472">
        <f>Stored_C!F24+Stored_C!L24</f>
        <v>0.2816706775476</v>
      </c>
      <c r="E18" s="473">
        <f>Stored_C!G24+Stored_C!M24</f>
        <v>0.23237830897676998</v>
      </c>
      <c r="F18" s="474">
        <f>F17+HWP!C18</f>
        <v>0</v>
      </c>
      <c r="G18" s="472">
        <f>G17+HWP!D18</f>
        <v>1.7123329441680002</v>
      </c>
      <c r="H18" s="473">
        <f>H17+HWP!E18</f>
        <v>1.4126746789385998</v>
      </c>
      <c r="I18" s="456"/>
      <c r="J18" s="475">
        <f>Garden!J25</f>
        <v>0</v>
      </c>
      <c r="K18" s="476">
        <f>Paper!J25</f>
        <v>3.996116506390774E-2</v>
      </c>
      <c r="L18" s="477">
        <f>Wood!J25</f>
        <v>0</v>
      </c>
      <c r="M18" s="478">
        <f>J18*(1-Recovery_OX!E18)*(1-Recovery_OX!F18)</f>
        <v>0</v>
      </c>
      <c r="N18" s="476">
        <f>K18*(1-Recovery_OX!E18)*(1-Recovery_OX!F18)</f>
        <v>3.996116506390774E-2</v>
      </c>
      <c r="O18" s="477">
        <f>L18*(1-Recovery_OX!E18)*(1-Recovery_OX!F18)</f>
        <v>0</v>
      </c>
    </row>
    <row r="19" spans="2:15">
      <c r="B19" s="470">
        <f t="shared" si="0"/>
        <v>1957</v>
      </c>
      <c r="C19" s="471">
        <f>Stored_C!E25</f>
        <v>0</v>
      </c>
      <c r="D19" s="472">
        <f>Stored_C!F25+Stored_C!L25</f>
        <v>0.29300632953240008</v>
      </c>
      <c r="E19" s="473">
        <f>Stored_C!G25+Stored_C!M25</f>
        <v>0.24173022186423004</v>
      </c>
      <c r="F19" s="474">
        <f>F18+HWP!C19</f>
        <v>0</v>
      </c>
      <c r="G19" s="472">
        <f>G18+HWP!D19</f>
        <v>2.0053392737004003</v>
      </c>
      <c r="H19" s="473">
        <f>H18+HWP!E19</f>
        <v>1.6544049008028299</v>
      </c>
      <c r="I19" s="456"/>
      <c r="J19" s="475">
        <f>Garden!J26</f>
        <v>0</v>
      </c>
      <c r="K19" s="476">
        <f>Paper!J26</f>
        <v>4.6476199761721425E-2</v>
      </c>
      <c r="L19" s="477">
        <f>Wood!J26</f>
        <v>0</v>
      </c>
      <c r="M19" s="478">
        <f>J19*(1-Recovery_OX!E19)*(1-Recovery_OX!F19)</f>
        <v>0</v>
      </c>
      <c r="N19" s="476">
        <f>K19*(1-Recovery_OX!E19)*(1-Recovery_OX!F19)</f>
        <v>4.6476199761721425E-2</v>
      </c>
      <c r="O19" s="477">
        <f>L19*(1-Recovery_OX!E19)*(1-Recovery_OX!F19)</f>
        <v>0</v>
      </c>
    </row>
    <row r="20" spans="2:15">
      <c r="B20" s="470">
        <f t="shared" si="0"/>
        <v>1958</v>
      </c>
      <c r="C20" s="471">
        <f>Stored_C!E26</f>
        <v>0</v>
      </c>
      <c r="D20" s="472">
        <f>Stored_C!F26+Stored_C!L26</f>
        <v>0.3046398159948</v>
      </c>
      <c r="E20" s="473">
        <f>Stored_C!G26+Stored_C!M26</f>
        <v>0.25132784819570997</v>
      </c>
      <c r="F20" s="474">
        <f>F19+HWP!C20</f>
        <v>0</v>
      </c>
      <c r="G20" s="472">
        <f>G19+HWP!D20</f>
        <v>2.3099790896952004</v>
      </c>
      <c r="H20" s="473">
        <f>H19+HWP!E20</f>
        <v>1.9057327489985398</v>
      </c>
      <c r="I20" s="456"/>
      <c r="J20" s="475">
        <f>Garden!J27</f>
        <v>0</v>
      </c>
      <c r="K20" s="476">
        <f>Paper!J27</f>
        <v>5.2921696153146576E-2</v>
      </c>
      <c r="L20" s="477">
        <f>Wood!J27</f>
        <v>0</v>
      </c>
      <c r="M20" s="478">
        <f>J20*(1-Recovery_OX!E20)*(1-Recovery_OX!F20)</f>
        <v>0</v>
      </c>
      <c r="N20" s="476">
        <f>K20*(1-Recovery_OX!E20)*(1-Recovery_OX!F20)</f>
        <v>5.2921696153146576E-2</v>
      </c>
      <c r="O20" s="477">
        <f>L20*(1-Recovery_OX!E20)*(1-Recovery_OX!F20)</f>
        <v>0</v>
      </c>
    </row>
    <row r="21" spans="2:15">
      <c r="B21" s="470">
        <f t="shared" si="0"/>
        <v>1959</v>
      </c>
      <c r="C21" s="471">
        <f>Stored_C!E27</f>
        <v>0</v>
      </c>
      <c r="D21" s="472">
        <f>Stored_C!F27+Stored_C!L27</f>
        <v>0.31653345907920005</v>
      </c>
      <c r="E21" s="473">
        <f>Stored_C!G27+Stored_C!M27</f>
        <v>0.26114010374033997</v>
      </c>
      <c r="F21" s="474">
        <f>F20+HWP!C21</f>
        <v>0</v>
      </c>
      <c r="G21" s="472">
        <f>G20+HWP!D21</f>
        <v>2.6265125487744005</v>
      </c>
      <c r="H21" s="473">
        <f>H20+HWP!E21</f>
        <v>2.1668728527388796</v>
      </c>
      <c r="I21" s="456"/>
      <c r="J21" s="475">
        <f>Garden!J28</f>
        <v>0</v>
      </c>
      <c r="K21" s="476">
        <f>Paper!J28</f>
        <v>5.9312101015892467E-2</v>
      </c>
      <c r="L21" s="477">
        <f>Wood!J28</f>
        <v>0</v>
      </c>
      <c r="M21" s="478">
        <f>J21*(1-Recovery_OX!E21)*(1-Recovery_OX!F21)</f>
        <v>0</v>
      </c>
      <c r="N21" s="476">
        <f>K21*(1-Recovery_OX!E21)*(1-Recovery_OX!F21)</f>
        <v>5.9312101015892467E-2</v>
      </c>
      <c r="O21" s="477">
        <f>L21*(1-Recovery_OX!E21)*(1-Recovery_OX!F21)</f>
        <v>0</v>
      </c>
    </row>
    <row r="22" spans="2:15">
      <c r="B22" s="470">
        <f t="shared" si="0"/>
        <v>1960</v>
      </c>
      <c r="C22" s="471">
        <f>Stored_C!E28</f>
        <v>0</v>
      </c>
      <c r="D22" s="472">
        <f>Stored_C!F28+Stored_C!L28</f>
        <v>0.32130060490440004</v>
      </c>
      <c r="E22" s="473">
        <f>Stored_C!G28+Stored_C!M28</f>
        <v>0.26507299904613002</v>
      </c>
      <c r="F22" s="474">
        <f>F21+HWP!C22</f>
        <v>0</v>
      </c>
      <c r="G22" s="472">
        <f>G21+HWP!D22</f>
        <v>2.9478131536788004</v>
      </c>
      <c r="H22" s="473">
        <f>H21+HWP!E22</f>
        <v>2.4319458517850094</v>
      </c>
      <c r="I22" s="456"/>
      <c r="J22" s="475">
        <f>Garden!J29</f>
        <v>0</v>
      </c>
      <c r="K22" s="476">
        <f>Paper!J29</f>
        <v>6.5659651564361404E-2</v>
      </c>
      <c r="L22" s="477">
        <f>Wood!J29</f>
        <v>0</v>
      </c>
      <c r="M22" s="478">
        <f>J22*(1-Recovery_OX!E22)*(1-Recovery_OX!F22)</f>
        <v>0</v>
      </c>
      <c r="N22" s="476">
        <f>K22*(1-Recovery_OX!E22)*(1-Recovery_OX!F22)</f>
        <v>6.5659651564361404E-2</v>
      </c>
      <c r="O22" s="477">
        <f>L22*(1-Recovery_OX!E22)*(1-Recovery_OX!F22)</f>
        <v>0</v>
      </c>
    </row>
    <row r="23" spans="2:15">
      <c r="B23" s="470">
        <f t="shared" si="0"/>
        <v>1961</v>
      </c>
      <c r="C23" s="471">
        <f>Stored_C!E29</f>
        <v>0</v>
      </c>
      <c r="D23" s="472">
        <f>Stored_C!F29+Stored_C!L29</f>
        <v>0.303357300936</v>
      </c>
      <c r="E23" s="473">
        <f>Stored_C!G29+Stored_C!M29</f>
        <v>0.25026977327220001</v>
      </c>
      <c r="F23" s="474">
        <f>F22+HWP!C23</f>
        <v>0</v>
      </c>
      <c r="G23" s="472">
        <f>G22+HWP!D23</f>
        <v>3.2511704546148001</v>
      </c>
      <c r="H23" s="473">
        <f>H22+HWP!E23</f>
        <v>2.6822156250572093</v>
      </c>
      <c r="I23" s="456"/>
      <c r="J23" s="475">
        <f>Garden!J30</f>
        <v>0</v>
      </c>
      <c r="K23" s="476">
        <f>Paper!J30</f>
        <v>7.1734056110583894E-2</v>
      </c>
      <c r="L23" s="477">
        <f>Wood!J30</f>
        <v>0</v>
      </c>
      <c r="M23" s="478">
        <f>J23*(1-Recovery_OX!E23)*(1-Recovery_OX!F23)</f>
        <v>0</v>
      </c>
      <c r="N23" s="476">
        <f>K23*(1-Recovery_OX!E23)*(1-Recovery_OX!F23)</f>
        <v>7.1734056110583894E-2</v>
      </c>
      <c r="O23" s="477">
        <f>L23*(1-Recovery_OX!E23)*(1-Recovery_OX!F23)</f>
        <v>0</v>
      </c>
    </row>
    <row r="24" spans="2:15">
      <c r="B24" s="470">
        <f t="shared" si="0"/>
        <v>1962</v>
      </c>
      <c r="C24" s="471">
        <f>Stored_C!E30</f>
        <v>0</v>
      </c>
      <c r="D24" s="472">
        <f>Stored_C!F30+Stored_C!L30</f>
        <v>0.31247501577600012</v>
      </c>
      <c r="E24" s="473">
        <f>Stored_C!G30+Stored_C!M30</f>
        <v>0.25779188801520003</v>
      </c>
      <c r="F24" s="474">
        <f>F23+HWP!C24</f>
        <v>0</v>
      </c>
      <c r="G24" s="472">
        <f>G23+HWP!D24</f>
        <v>3.5636454703908003</v>
      </c>
      <c r="H24" s="473">
        <f>H23+HWP!E24</f>
        <v>2.9400075130724095</v>
      </c>
      <c r="I24" s="456"/>
      <c r="J24" s="475">
        <f>Garden!J31</f>
        <v>0</v>
      </c>
      <c r="K24" s="476">
        <f>Paper!J31</f>
        <v>7.6810663501138493E-2</v>
      </c>
      <c r="L24" s="477">
        <f>Wood!J31</f>
        <v>0</v>
      </c>
      <c r="M24" s="478">
        <f>J24*(1-Recovery_OX!E24)*(1-Recovery_OX!F24)</f>
        <v>0</v>
      </c>
      <c r="N24" s="476">
        <f>K24*(1-Recovery_OX!E24)*(1-Recovery_OX!F24)</f>
        <v>7.6810663501138493E-2</v>
      </c>
      <c r="O24" s="477">
        <f>L24*(1-Recovery_OX!E24)*(1-Recovery_OX!F24)</f>
        <v>0</v>
      </c>
    </row>
    <row r="25" spans="2:15">
      <c r="B25" s="470">
        <f t="shared" si="0"/>
        <v>1963</v>
      </c>
      <c r="C25" s="471">
        <f>Stored_C!E31</f>
        <v>0</v>
      </c>
      <c r="D25" s="472">
        <f>Stored_C!F31+Stored_C!L31</f>
        <v>0.32195482948800008</v>
      </c>
      <c r="E25" s="473">
        <f>Stored_C!G31+Stored_C!M31</f>
        <v>0.26561273432760008</v>
      </c>
      <c r="F25" s="474">
        <f>F24+HWP!C25</f>
        <v>0</v>
      </c>
      <c r="G25" s="472">
        <f>G24+HWP!D25</f>
        <v>3.8856002998788002</v>
      </c>
      <c r="H25" s="473">
        <f>H24+HWP!E25</f>
        <v>3.2056202474000095</v>
      </c>
      <c r="I25" s="456"/>
      <c r="J25" s="475">
        <f>Garden!J32</f>
        <v>0</v>
      </c>
      <c r="K25" s="476">
        <f>Paper!J32</f>
        <v>8.1842405171995772E-2</v>
      </c>
      <c r="L25" s="477">
        <f>Wood!J32</f>
        <v>0</v>
      </c>
      <c r="M25" s="478">
        <f>J25*(1-Recovery_OX!E25)*(1-Recovery_OX!F25)</f>
        <v>0</v>
      </c>
      <c r="N25" s="476">
        <f>K25*(1-Recovery_OX!E25)*(1-Recovery_OX!F25)</f>
        <v>8.1842405171995772E-2</v>
      </c>
      <c r="O25" s="477">
        <f>L25*(1-Recovery_OX!E25)*(1-Recovery_OX!F25)</f>
        <v>0</v>
      </c>
    </row>
    <row r="26" spans="2:15">
      <c r="B26" s="470">
        <f t="shared" si="0"/>
        <v>1964</v>
      </c>
      <c r="C26" s="471">
        <f>Stored_C!E32</f>
        <v>0</v>
      </c>
      <c r="D26" s="472">
        <f>Stored_C!F32+Stored_C!L32</f>
        <v>0.331472157948</v>
      </c>
      <c r="E26" s="473">
        <f>Stored_C!G32+Stored_C!M32</f>
        <v>0.27346453030710005</v>
      </c>
      <c r="F26" s="474">
        <f>F25+HWP!C26</f>
        <v>0</v>
      </c>
      <c r="G26" s="472">
        <f>G25+HWP!D26</f>
        <v>4.2170724578268004</v>
      </c>
      <c r="H26" s="473">
        <f>H25+HWP!E26</f>
        <v>3.4790847777071097</v>
      </c>
      <c r="I26" s="456"/>
      <c r="J26" s="475">
        <f>Garden!J33</f>
        <v>0</v>
      </c>
      <c r="K26" s="476">
        <f>Paper!J33</f>
        <v>8.6844162701912961E-2</v>
      </c>
      <c r="L26" s="477">
        <f>Wood!J33</f>
        <v>0</v>
      </c>
      <c r="M26" s="478">
        <f>J26*(1-Recovery_OX!E26)*(1-Recovery_OX!F26)</f>
        <v>0</v>
      </c>
      <c r="N26" s="476">
        <f>K26*(1-Recovery_OX!E26)*(1-Recovery_OX!F26)</f>
        <v>8.6844162701912961E-2</v>
      </c>
      <c r="O26" s="477">
        <f>L26*(1-Recovery_OX!E26)*(1-Recovery_OX!F26)</f>
        <v>0</v>
      </c>
    </row>
    <row r="27" spans="2:15">
      <c r="B27" s="470">
        <f t="shared" si="0"/>
        <v>1965</v>
      </c>
      <c r="C27" s="471">
        <f>Stored_C!E33</f>
        <v>0</v>
      </c>
      <c r="D27" s="472">
        <f>Stored_C!F33+Stored_C!L33</f>
        <v>0.34072035886800006</v>
      </c>
      <c r="E27" s="473">
        <f>Stored_C!G33+Stored_C!M33</f>
        <v>0.28109429606610004</v>
      </c>
      <c r="F27" s="474">
        <f>F26+HWP!C27</f>
        <v>0</v>
      </c>
      <c r="G27" s="472">
        <f>G26+HWP!D27</f>
        <v>4.5577928166948007</v>
      </c>
      <c r="H27" s="473">
        <f>H26+HWP!E27</f>
        <v>3.7601790737732097</v>
      </c>
      <c r="I27" s="456"/>
      <c r="J27" s="475">
        <f>Garden!J34</f>
        <v>0</v>
      </c>
      <c r="K27" s="476">
        <f>Paper!J34</f>
        <v>9.1819190738866185E-2</v>
      </c>
      <c r="L27" s="477">
        <f>Wood!J34</f>
        <v>0</v>
      </c>
      <c r="M27" s="478">
        <f>J27*(1-Recovery_OX!E27)*(1-Recovery_OX!F27)</f>
        <v>0</v>
      </c>
      <c r="N27" s="476">
        <f>K27*(1-Recovery_OX!E27)*(1-Recovery_OX!F27)</f>
        <v>9.1819190738866185E-2</v>
      </c>
      <c r="O27" s="477">
        <f>L27*(1-Recovery_OX!E27)*(1-Recovery_OX!F27)</f>
        <v>0</v>
      </c>
    </row>
    <row r="28" spans="2:15">
      <c r="B28" s="470">
        <f t="shared" si="0"/>
        <v>1966</v>
      </c>
      <c r="C28" s="471">
        <f>Stored_C!E34</f>
        <v>0</v>
      </c>
      <c r="D28" s="472">
        <f>Stored_C!F34+Stored_C!L34</f>
        <v>0.35040079492800014</v>
      </c>
      <c r="E28" s="473">
        <f>Stored_C!G34+Stored_C!M34</f>
        <v>0.28908065581560005</v>
      </c>
      <c r="F28" s="474">
        <f>F27+HWP!C28</f>
        <v>0</v>
      </c>
      <c r="G28" s="472">
        <f>G27+HWP!D28</f>
        <v>4.9081936116228011</v>
      </c>
      <c r="H28" s="473">
        <f>H27+HWP!E28</f>
        <v>4.04925972958881</v>
      </c>
      <c r="I28" s="456"/>
      <c r="J28" s="475">
        <f>Garden!J35</f>
        <v>0</v>
      </c>
      <c r="K28" s="476">
        <f>Paper!J35</f>
        <v>9.6760490134260857E-2</v>
      </c>
      <c r="L28" s="477">
        <f>Wood!J35</f>
        <v>0</v>
      </c>
      <c r="M28" s="478">
        <f>J28*(1-Recovery_OX!E28)*(1-Recovery_OX!F28)</f>
        <v>0</v>
      </c>
      <c r="N28" s="476">
        <f>K28*(1-Recovery_OX!E28)*(1-Recovery_OX!F28)</f>
        <v>9.6760490134260857E-2</v>
      </c>
      <c r="O28" s="477">
        <f>L28*(1-Recovery_OX!E28)*(1-Recovery_OX!F28)</f>
        <v>0</v>
      </c>
    </row>
    <row r="29" spans="2:15">
      <c r="B29" s="470">
        <f t="shared" si="0"/>
        <v>1967</v>
      </c>
      <c r="C29" s="471">
        <f>Stored_C!E35</f>
        <v>0</v>
      </c>
      <c r="D29" s="472">
        <f>Stored_C!F35+Stored_C!L35</f>
        <v>0.36258688993920007</v>
      </c>
      <c r="E29" s="473">
        <f>Stored_C!G35+Stored_C!M35</f>
        <v>0.29913418419984006</v>
      </c>
      <c r="F29" s="474">
        <f>F28+HWP!C29</f>
        <v>0</v>
      </c>
      <c r="G29" s="472">
        <f>G28+HWP!D29</f>
        <v>5.2707805015620011</v>
      </c>
      <c r="H29" s="473">
        <f>H28+HWP!E29</f>
        <v>4.3483939137886498</v>
      </c>
      <c r="I29" s="456"/>
      <c r="J29" s="475">
        <f>Garden!J36</f>
        <v>0</v>
      </c>
      <c r="K29" s="476">
        <f>Paper!J36</f>
        <v>0.1016844844878039</v>
      </c>
      <c r="L29" s="477">
        <f>Wood!J36</f>
        <v>0</v>
      </c>
      <c r="M29" s="478">
        <f>J29*(1-Recovery_OX!E29)*(1-Recovery_OX!F29)</f>
        <v>0</v>
      </c>
      <c r="N29" s="476">
        <f>K29*(1-Recovery_OX!E29)*(1-Recovery_OX!F29)</f>
        <v>0.1016844844878039</v>
      </c>
      <c r="O29" s="477">
        <f>L29*(1-Recovery_OX!E29)*(1-Recovery_OX!F29)</f>
        <v>0</v>
      </c>
    </row>
    <row r="30" spans="2:15">
      <c r="B30" s="470">
        <f t="shared" si="0"/>
        <v>1968</v>
      </c>
      <c r="C30" s="471">
        <f>Stored_C!E36</f>
        <v>0</v>
      </c>
      <c r="D30" s="472">
        <f>Stored_C!F36+Stored_C!L36</f>
        <v>0.37254281473559997</v>
      </c>
      <c r="E30" s="473">
        <f>Stored_C!G36+Stored_C!M36</f>
        <v>0.30734782215686995</v>
      </c>
      <c r="F30" s="474">
        <f>F29+HWP!C30</f>
        <v>0</v>
      </c>
      <c r="G30" s="472">
        <f>G29+HWP!D30</f>
        <v>5.6433233162976011</v>
      </c>
      <c r="H30" s="473">
        <f>H29+HWP!E30</f>
        <v>4.6557417359455195</v>
      </c>
      <c r="I30" s="456"/>
      <c r="J30" s="475">
        <f>Garden!J37</f>
        <v>0</v>
      </c>
      <c r="K30" s="476">
        <f>Paper!J37</f>
        <v>0.10667433237394092</v>
      </c>
      <c r="L30" s="477">
        <f>Wood!J37</f>
        <v>0</v>
      </c>
      <c r="M30" s="478">
        <f>J30*(1-Recovery_OX!E30)*(1-Recovery_OX!F30)</f>
        <v>0</v>
      </c>
      <c r="N30" s="476">
        <f>K30*(1-Recovery_OX!E30)*(1-Recovery_OX!F30)</f>
        <v>0.10667433237394092</v>
      </c>
      <c r="O30" s="477">
        <f>L30*(1-Recovery_OX!E30)*(1-Recovery_OX!F30)</f>
        <v>0</v>
      </c>
    </row>
    <row r="31" spans="2:15">
      <c r="B31" s="470">
        <f t="shared" si="0"/>
        <v>1969</v>
      </c>
      <c r="C31" s="471">
        <f>Stored_C!E37</f>
        <v>0</v>
      </c>
      <c r="D31" s="472">
        <f>Stored_C!F37+Stored_C!L37</f>
        <v>0.38249873953200009</v>
      </c>
      <c r="E31" s="473">
        <f>Stored_C!G37+Stored_C!M37</f>
        <v>0.31556146011390002</v>
      </c>
      <c r="F31" s="474">
        <f>F30+HWP!C31</f>
        <v>0</v>
      </c>
      <c r="G31" s="472">
        <f>G30+HWP!D31</f>
        <v>6.0258220558296012</v>
      </c>
      <c r="H31" s="473">
        <f>H30+HWP!E31</f>
        <v>4.9713031960594192</v>
      </c>
      <c r="I31" s="456"/>
      <c r="J31" s="475">
        <f>Garden!J38</f>
        <v>0</v>
      </c>
      <c r="K31" s="476">
        <f>Paper!J38</f>
        <v>0.11165260741492333</v>
      </c>
      <c r="L31" s="477">
        <f>Wood!J38</f>
        <v>0</v>
      </c>
      <c r="M31" s="478">
        <f>J31*(1-Recovery_OX!E31)*(1-Recovery_OX!F31)</f>
        <v>0</v>
      </c>
      <c r="N31" s="476">
        <f>K31*(1-Recovery_OX!E31)*(1-Recovery_OX!F31)</f>
        <v>0.11165260741492333</v>
      </c>
      <c r="O31" s="477">
        <f>L31*(1-Recovery_OX!E31)*(1-Recovery_OX!F31)</f>
        <v>0</v>
      </c>
    </row>
    <row r="32" spans="2:15">
      <c r="B32" s="470">
        <f t="shared" si="0"/>
        <v>1970</v>
      </c>
      <c r="C32" s="471">
        <f>Stored_C!E38</f>
        <v>0</v>
      </c>
      <c r="D32" s="472">
        <f>Stored_C!F38+Stored_C!L38</f>
        <v>0.39245466432839998</v>
      </c>
      <c r="E32" s="473">
        <f>Stored_C!G38+Stored_C!M38</f>
        <v>0.32377509807092997</v>
      </c>
      <c r="F32" s="474">
        <f>F31+HWP!C32</f>
        <v>0</v>
      </c>
      <c r="G32" s="472">
        <f>G31+HWP!D32</f>
        <v>6.4182767201580013</v>
      </c>
      <c r="H32" s="473">
        <f>H31+HWP!E32</f>
        <v>5.2950782941303487</v>
      </c>
      <c r="I32" s="456"/>
      <c r="J32" s="475">
        <f>Garden!J39</f>
        <v>0</v>
      </c>
      <c r="K32" s="476">
        <f>Paper!J39</f>
        <v>0.11662009200660489</v>
      </c>
      <c r="L32" s="477">
        <f>Wood!J39</f>
        <v>0</v>
      </c>
      <c r="M32" s="478">
        <f>J32*(1-Recovery_OX!E32)*(1-Recovery_OX!F32)</f>
        <v>0</v>
      </c>
      <c r="N32" s="476">
        <f>K32*(1-Recovery_OX!E32)*(1-Recovery_OX!F32)</f>
        <v>0.11662009200660489</v>
      </c>
      <c r="O32" s="477">
        <f>L32*(1-Recovery_OX!E32)*(1-Recovery_OX!F32)</f>
        <v>0</v>
      </c>
    </row>
    <row r="33" spans="2:15">
      <c r="B33" s="470">
        <f t="shared" si="0"/>
        <v>1971</v>
      </c>
      <c r="C33" s="471">
        <f>Stored_C!E39</f>
        <v>0</v>
      </c>
      <c r="D33" s="472">
        <f>Stored_C!F39+Stored_C!L39</f>
        <v>0.40241058912479999</v>
      </c>
      <c r="E33" s="473">
        <f>Stored_C!G39+Stored_C!M39</f>
        <v>0.33198873602795997</v>
      </c>
      <c r="F33" s="474">
        <f>F32+HWP!C33</f>
        <v>0</v>
      </c>
      <c r="G33" s="472">
        <f>G32+HWP!D33</f>
        <v>6.8206873092828015</v>
      </c>
      <c r="H33" s="473">
        <f>H32+HWP!E33</f>
        <v>5.627067030158309</v>
      </c>
      <c r="I33" s="456"/>
      <c r="J33" s="475">
        <f>Garden!J40</f>
        <v>0</v>
      </c>
      <c r="K33" s="476">
        <f>Paper!J40</f>
        <v>0.12157751565004429</v>
      </c>
      <c r="L33" s="477">
        <f>Wood!J40</f>
        <v>0</v>
      </c>
      <c r="M33" s="478">
        <f>J33*(1-Recovery_OX!E33)*(1-Recovery_OX!F33)</f>
        <v>0</v>
      </c>
      <c r="N33" s="476">
        <f>K33*(1-Recovery_OX!E33)*(1-Recovery_OX!F33)</f>
        <v>0.12157751565004429</v>
      </c>
      <c r="O33" s="477">
        <f>L33*(1-Recovery_OX!E33)*(1-Recovery_OX!F33)</f>
        <v>0</v>
      </c>
    </row>
    <row r="34" spans="2:15">
      <c r="B34" s="470">
        <f t="shared" si="0"/>
        <v>1972</v>
      </c>
      <c r="C34" s="471">
        <f>Stored_C!E40</f>
        <v>0</v>
      </c>
      <c r="D34" s="472">
        <f>Stored_C!F40+Stored_C!L40</f>
        <v>0.41236651392119994</v>
      </c>
      <c r="E34" s="473">
        <f>Stored_C!G40+Stored_C!M40</f>
        <v>0.34020237398498998</v>
      </c>
      <c r="F34" s="474">
        <f>F33+HWP!C34</f>
        <v>0</v>
      </c>
      <c r="G34" s="472">
        <f>G33+HWP!D34</f>
        <v>7.2330538232040018</v>
      </c>
      <c r="H34" s="473">
        <f>H33+HWP!E34</f>
        <v>5.9672694041432992</v>
      </c>
      <c r="I34" s="456"/>
      <c r="J34" s="475">
        <f>Garden!J41</f>
        <v>0</v>
      </c>
      <c r="K34" s="476">
        <f>Paper!J41</f>
        <v>0.12652555852752034</v>
      </c>
      <c r="L34" s="477">
        <f>Wood!J41</f>
        <v>0</v>
      </c>
      <c r="M34" s="478">
        <f>J34*(1-Recovery_OX!E34)*(1-Recovery_OX!F34)</f>
        <v>0</v>
      </c>
      <c r="N34" s="476">
        <f>K34*(1-Recovery_OX!E34)*(1-Recovery_OX!F34)</f>
        <v>0.12652555852752034</v>
      </c>
      <c r="O34" s="477">
        <f>L34*(1-Recovery_OX!E34)*(1-Recovery_OX!F34)</f>
        <v>0</v>
      </c>
    </row>
    <row r="35" spans="2:15">
      <c r="B35" s="470">
        <f t="shared" si="0"/>
        <v>1973</v>
      </c>
      <c r="C35" s="471">
        <f>Stored_C!E41</f>
        <v>0</v>
      </c>
      <c r="D35" s="472">
        <f>Stored_C!F41+Stored_C!L41</f>
        <v>0.4223224387176</v>
      </c>
      <c r="E35" s="473">
        <f>Stored_C!G41+Stored_C!M41</f>
        <v>0.34841601194201999</v>
      </c>
      <c r="F35" s="474">
        <f>F34+HWP!C35</f>
        <v>0</v>
      </c>
      <c r="G35" s="472">
        <f>G34+HWP!D35</f>
        <v>7.6553762619216021</v>
      </c>
      <c r="H35" s="473">
        <f>H34+HWP!E35</f>
        <v>6.3156854160853193</v>
      </c>
      <c r="I35" s="456"/>
      <c r="J35" s="475">
        <f>Garden!J42</f>
        <v>0</v>
      </c>
      <c r="K35" s="476">
        <f>Paper!J42</f>
        <v>0.13146485483678619</v>
      </c>
      <c r="L35" s="477">
        <f>Wood!J42</f>
        <v>0</v>
      </c>
      <c r="M35" s="478">
        <f>J35*(1-Recovery_OX!E35)*(1-Recovery_OX!F35)</f>
        <v>0</v>
      </c>
      <c r="N35" s="476">
        <f>K35*(1-Recovery_OX!E35)*(1-Recovery_OX!F35)</f>
        <v>0.13146485483678619</v>
      </c>
      <c r="O35" s="477">
        <f>L35*(1-Recovery_OX!E35)*(1-Recovery_OX!F35)</f>
        <v>0</v>
      </c>
    </row>
    <row r="36" spans="2:15">
      <c r="B36" s="470">
        <f t="shared" si="0"/>
        <v>1974</v>
      </c>
      <c r="C36" s="471">
        <f>Stored_C!E42</f>
        <v>0</v>
      </c>
      <c r="D36" s="472">
        <f>Stored_C!F42+Stored_C!L42</f>
        <v>0.43227836351400006</v>
      </c>
      <c r="E36" s="473">
        <f>Stored_C!G42+Stored_C!M42</f>
        <v>0.35662964989904999</v>
      </c>
      <c r="F36" s="474">
        <f>F35+HWP!C36</f>
        <v>0</v>
      </c>
      <c r="G36" s="472">
        <f>G35+HWP!D36</f>
        <v>8.0876546254356025</v>
      </c>
      <c r="H36" s="473">
        <f>H35+HWP!E36</f>
        <v>6.6723150659843693</v>
      </c>
      <c r="I36" s="456"/>
      <c r="J36" s="475">
        <f>Garden!J43</f>
        <v>0</v>
      </c>
      <c r="K36" s="476">
        <f>Paper!J43</f>
        <v>0.13639599589990742</v>
      </c>
      <c r="L36" s="477">
        <f>Wood!J43</f>
        <v>0</v>
      </c>
      <c r="M36" s="478">
        <f>J36*(1-Recovery_OX!E36)*(1-Recovery_OX!F36)</f>
        <v>0</v>
      </c>
      <c r="N36" s="476">
        <f>K36*(1-Recovery_OX!E36)*(1-Recovery_OX!F36)</f>
        <v>0.13639599589990742</v>
      </c>
      <c r="O36" s="477">
        <f>L36*(1-Recovery_OX!E36)*(1-Recovery_OX!F36)</f>
        <v>0</v>
      </c>
    </row>
    <row r="37" spans="2:15">
      <c r="B37" s="470">
        <f t="shared" si="0"/>
        <v>1975</v>
      </c>
      <c r="C37" s="471">
        <f>Stored_C!E43</f>
        <v>0</v>
      </c>
      <c r="D37" s="472">
        <f>Stored_C!F43+Stored_C!L43</f>
        <v>0.44223428831040013</v>
      </c>
      <c r="E37" s="473">
        <f>Stored_C!G43+Stored_C!M43</f>
        <v>0.36484328785608006</v>
      </c>
      <c r="F37" s="474">
        <f>F36+HWP!C37</f>
        <v>0</v>
      </c>
      <c r="G37" s="472">
        <f>G36+HWP!D37</f>
        <v>8.529888913746003</v>
      </c>
      <c r="H37" s="473">
        <f>H36+HWP!E37</f>
        <v>7.0371583538404492</v>
      </c>
      <c r="I37" s="456"/>
      <c r="J37" s="475">
        <f>Garden!J44</f>
        <v>0</v>
      </c>
      <c r="K37" s="476">
        <f>Paper!J44</f>
        <v>0.14131953306192363</v>
      </c>
      <c r="L37" s="477">
        <f>Wood!J44</f>
        <v>0</v>
      </c>
      <c r="M37" s="478">
        <f>J37*(1-Recovery_OX!E37)*(1-Recovery_OX!F37)</f>
        <v>0</v>
      </c>
      <c r="N37" s="476">
        <f>K37*(1-Recovery_OX!E37)*(1-Recovery_OX!F37)</f>
        <v>0.14131953306192363</v>
      </c>
      <c r="O37" s="477">
        <f>L37*(1-Recovery_OX!E37)*(1-Recovery_OX!F37)</f>
        <v>0</v>
      </c>
    </row>
    <row r="38" spans="2:15">
      <c r="B38" s="470">
        <f t="shared" si="0"/>
        <v>1976</v>
      </c>
      <c r="C38" s="471">
        <f>Stored_C!E44</f>
        <v>0</v>
      </c>
      <c r="D38" s="472">
        <f>Stored_C!F44+Stored_C!L44</f>
        <v>0.45219021310680002</v>
      </c>
      <c r="E38" s="473">
        <f>Stored_C!G44+Stored_C!M44</f>
        <v>0.37305692581311001</v>
      </c>
      <c r="F38" s="474">
        <f>F37+HWP!C38</f>
        <v>0</v>
      </c>
      <c r="G38" s="472">
        <f>G37+HWP!D38</f>
        <v>8.9820791268528026</v>
      </c>
      <c r="H38" s="473">
        <f>H37+HWP!E38</f>
        <v>7.410215279653559</v>
      </c>
      <c r="I38" s="456"/>
      <c r="J38" s="475">
        <f>Garden!J45</f>
        <v>0</v>
      </c>
      <c r="K38" s="476">
        <f>Paper!J45</f>
        <v>0.1462359803935423</v>
      </c>
      <c r="L38" s="477">
        <f>Wood!J45</f>
        <v>0</v>
      </c>
      <c r="M38" s="478">
        <f>J38*(1-Recovery_OX!E38)*(1-Recovery_OX!F38)</f>
        <v>0</v>
      </c>
      <c r="N38" s="476">
        <f>K38*(1-Recovery_OX!E38)*(1-Recovery_OX!F38)</f>
        <v>0.1462359803935423</v>
      </c>
      <c r="O38" s="477">
        <f>L38*(1-Recovery_OX!E38)*(1-Recovery_OX!F38)</f>
        <v>0</v>
      </c>
    </row>
    <row r="39" spans="2:15">
      <c r="B39" s="470">
        <f t="shared" si="0"/>
        <v>1977</v>
      </c>
      <c r="C39" s="471">
        <f>Stored_C!E45</f>
        <v>0</v>
      </c>
      <c r="D39" s="472">
        <f>Stored_C!F45+Stored_C!L45</f>
        <v>0.46214613790319997</v>
      </c>
      <c r="E39" s="473">
        <f>Stored_C!G45+Stored_C!M45</f>
        <v>0.38127056377013996</v>
      </c>
      <c r="F39" s="474">
        <f>F38+HWP!C39</f>
        <v>0</v>
      </c>
      <c r="G39" s="472">
        <f>G38+HWP!D39</f>
        <v>9.4442252647560032</v>
      </c>
      <c r="H39" s="473">
        <f>H38+HWP!E39</f>
        <v>7.7914858434236987</v>
      </c>
      <c r="I39" s="456"/>
      <c r="J39" s="475">
        <f>Garden!J46</f>
        <v>0</v>
      </c>
      <c r="K39" s="476">
        <f>Paper!J46</f>
        <v>0.15114581721111417</v>
      </c>
      <c r="L39" s="477">
        <f>Wood!J46</f>
        <v>0</v>
      </c>
      <c r="M39" s="478">
        <f>J39*(1-Recovery_OX!E39)*(1-Recovery_OX!F39)</f>
        <v>0</v>
      </c>
      <c r="N39" s="476">
        <f>K39*(1-Recovery_OX!E39)*(1-Recovery_OX!F39)</f>
        <v>0.15114581721111417</v>
      </c>
      <c r="O39" s="477">
        <f>L39*(1-Recovery_OX!E39)*(1-Recovery_OX!F39)</f>
        <v>0</v>
      </c>
    </row>
    <row r="40" spans="2:15">
      <c r="B40" s="470">
        <f t="shared" si="0"/>
        <v>1978</v>
      </c>
      <c r="C40" s="471">
        <f>Stored_C!E46</f>
        <v>0</v>
      </c>
      <c r="D40" s="472">
        <f>Stored_C!F46+Stored_C!L46</f>
        <v>0.47210206269960003</v>
      </c>
      <c r="E40" s="473">
        <f>Stored_C!G46+Stored_C!M46</f>
        <v>0.38948420172716997</v>
      </c>
      <c r="F40" s="474">
        <f>F39+HWP!C40</f>
        <v>0</v>
      </c>
      <c r="G40" s="472">
        <f>G39+HWP!D40</f>
        <v>9.916327327455603</v>
      </c>
      <c r="H40" s="473">
        <f>H39+HWP!E40</f>
        <v>8.1809700451508682</v>
      </c>
      <c r="I40" s="456"/>
      <c r="J40" s="475">
        <f>Garden!J47</f>
        <v>0</v>
      </c>
      <c r="K40" s="476">
        <f>Paper!J47</f>
        <v>0.15604949042624242</v>
      </c>
      <c r="L40" s="477">
        <f>Wood!J47</f>
        <v>0</v>
      </c>
      <c r="M40" s="478">
        <f>J40*(1-Recovery_OX!E40)*(1-Recovery_OX!F40)</f>
        <v>0</v>
      </c>
      <c r="N40" s="476">
        <f>K40*(1-Recovery_OX!E40)*(1-Recovery_OX!F40)</f>
        <v>0.15604949042624242</v>
      </c>
      <c r="O40" s="477">
        <f>L40*(1-Recovery_OX!E40)*(1-Recovery_OX!F40)</f>
        <v>0</v>
      </c>
    </row>
    <row r="41" spans="2:15">
      <c r="B41" s="470">
        <f t="shared" si="0"/>
        <v>1979</v>
      </c>
      <c r="C41" s="471">
        <f>Stored_C!E47</f>
        <v>0</v>
      </c>
      <c r="D41" s="472">
        <f>Stored_C!F47+Stored_C!L47</f>
        <v>0.48205798749600004</v>
      </c>
      <c r="E41" s="473">
        <f>Stored_C!G47+Stored_C!M47</f>
        <v>0.39769783968420003</v>
      </c>
      <c r="F41" s="474">
        <f>F40+HWP!C41</f>
        <v>0</v>
      </c>
      <c r="G41" s="472">
        <f>G40+HWP!D41</f>
        <v>10.398385314951604</v>
      </c>
      <c r="H41" s="473">
        <f>H40+HWP!E41</f>
        <v>8.5786678848350686</v>
      </c>
      <c r="I41" s="456"/>
      <c r="J41" s="475">
        <f>Garden!J48</f>
        <v>0</v>
      </c>
      <c r="K41" s="476">
        <f>Paper!J48</f>
        <v>0.16094741673654381</v>
      </c>
      <c r="L41" s="477">
        <f>Wood!J48</f>
        <v>0</v>
      </c>
      <c r="M41" s="478">
        <f>J41*(1-Recovery_OX!E41)*(1-Recovery_OX!F41)</f>
        <v>0</v>
      </c>
      <c r="N41" s="476">
        <f>K41*(1-Recovery_OX!E41)*(1-Recovery_OX!F41)</f>
        <v>0.16094741673654381</v>
      </c>
      <c r="O41" s="477">
        <f>L41*(1-Recovery_OX!E41)*(1-Recovery_OX!F41)</f>
        <v>0</v>
      </c>
    </row>
    <row r="42" spans="2:15">
      <c r="B42" s="470">
        <f t="shared" si="0"/>
        <v>1980</v>
      </c>
      <c r="C42" s="471">
        <f>Stored_C!E48</f>
        <v>0</v>
      </c>
      <c r="D42" s="472">
        <f>Stored_C!F48+Stored_C!L48</f>
        <v>0.49201391229240016</v>
      </c>
      <c r="E42" s="473">
        <f>Stored_C!G48+Stored_C!M48</f>
        <v>0.40591147764123015</v>
      </c>
      <c r="F42" s="474">
        <f>F41+HWP!C42</f>
        <v>0</v>
      </c>
      <c r="G42" s="472">
        <f>G41+HWP!D42</f>
        <v>10.890399227244004</v>
      </c>
      <c r="H42" s="473">
        <f>H41+HWP!E42</f>
        <v>8.984579362476298</v>
      </c>
      <c r="I42" s="456"/>
      <c r="J42" s="475">
        <f>Garden!J49</f>
        <v>0</v>
      </c>
      <c r="K42" s="476">
        <f>Paper!J49</f>
        <v>0.16583998466830113</v>
      </c>
      <c r="L42" s="477">
        <f>Wood!J49</f>
        <v>0</v>
      </c>
      <c r="M42" s="478">
        <f>J42*(1-Recovery_OX!E42)*(1-Recovery_OX!F42)</f>
        <v>0</v>
      </c>
      <c r="N42" s="476">
        <f>K42*(1-Recovery_OX!E42)*(1-Recovery_OX!F42)</f>
        <v>0.16583998466830113</v>
      </c>
      <c r="O42" s="477">
        <f>L42*(1-Recovery_OX!E42)*(1-Recovery_OX!F42)</f>
        <v>0</v>
      </c>
    </row>
    <row r="43" spans="2:15">
      <c r="B43" s="470">
        <f t="shared" si="0"/>
        <v>1981</v>
      </c>
      <c r="C43" s="471">
        <f>Stored_C!E49</f>
        <v>0</v>
      </c>
      <c r="D43" s="472">
        <f>Stored_C!F49+Stored_C!L49</f>
        <v>0</v>
      </c>
      <c r="E43" s="473">
        <f>Stored_C!G49+Stored_C!M49</f>
        <v>0</v>
      </c>
      <c r="F43" s="474">
        <f>F42+HWP!C43</f>
        <v>0</v>
      </c>
      <c r="G43" s="472">
        <f>G42+HWP!D43</f>
        <v>10.890399227244004</v>
      </c>
      <c r="H43" s="473">
        <f>H42+HWP!E43</f>
        <v>8.984579362476298</v>
      </c>
      <c r="I43" s="456"/>
      <c r="J43" s="475">
        <f>Garden!J50</f>
        <v>0</v>
      </c>
      <c r="K43" s="476">
        <f>Paper!J50</f>
        <v>0.17072755648101917</v>
      </c>
      <c r="L43" s="477">
        <f>Wood!J50</f>
        <v>0</v>
      </c>
      <c r="M43" s="478">
        <f>J43*(1-Recovery_OX!E43)*(1-Recovery_OX!F43)</f>
        <v>0</v>
      </c>
      <c r="N43" s="476">
        <f>K43*(1-Recovery_OX!E43)*(1-Recovery_OX!F43)</f>
        <v>0.17072755648101917</v>
      </c>
      <c r="O43" s="477">
        <f>L43*(1-Recovery_OX!E43)*(1-Recovery_OX!F43)</f>
        <v>0</v>
      </c>
    </row>
    <row r="44" spans="2:15">
      <c r="B44" s="470">
        <f t="shared" si="0"/>
        <v>1982</v>
      </c>
      <c r="C44" s="471">
        <f>Stored_C!E50</f>
        <v>0</v>
      </c>
      <c r="D44" s="472">
        <f>Stored_C!F50+Stored_C!L50</f>
        <v>0</v>
      </c>
      <c r="E44" s="473">
        <f>Stored_C!G50+Stored_C!M50</f>
        <v>0</v>
      </c>
      <c r="F44" s="474">
        <f>F43+HWP!C44</f>
        <v>0</v>
      </c>
      <c r="G44" s="472">
        <f>G43+HWP!D44</f>
        <v>10.890399227244004</v>
      </c>
      <c r="H44" s="473">
        <f>H43+HWP!E44</f>
        <v>8.984579362476298</v>
      </c>
      <c r="I44" s="456"/>
      <c r="J44" s="475">
        <f>Garden!J51</f>
        <v>0</v>
      </c>
      <c r="K44" s="476">
        <f>Paper!J51</f>
        <v>0.15918531855054599</v>
      </c>
      <c r="L44" s="477">
        <f>Wood!J51</f>
        <v>0</v>
      </c>
      <c r="M44" s="478">
        <f>J44*(1-Recovery_OX!E44)*(1-Recovery_OX!F44)</f>
        <v>0</v>
      </c>
      <c r="N44" s="476">
        <f>K44*(1-Recovery_OX!E44)*(1-Recovery_OX!F44)</f>
        <v>0.15918531855054599</v>
      </c>
      <c r="O44" s="477">
        <f>L44*(1-Recovery_OX!E44)*(1-Recovery_OX!F44)</f>
        <v>0</v>
      </c>
    </row>
    <row r="45" spans="2:15">
      <c r="B45" s="470">
        <f t="shared" si="0"/>
        <v>1983</v>
      </c>
      <c r="C45" s="471">
        <f>Stored_C!E51</f>
        <v>0</v>
      </c>
      <c r="D45" s="472">
        <f>Stored_C!F51+Stored_C!L51</f>
        <v>0</v>
      </c>
      <c r="E45" s="473">
        <f>Stored_C!G51+Stored_C!M51</f>
        <v>0</v>
      </c>
      <c r="F45" s="474">
        <f>F44+HWP!C45</f>
        <v>0</v>
      </c>
      <c r="G45" s="472">
        <f>G44+HWP!D45</f>
        <v>10.890399227244004</v>
      </c>
      <c r="H45" s="473">
        <f>H44+HWP!E45</f>
        <v>8.984579362476298</v>
      </c>
      <c r="I45" s="456"/>
      <c r="J45" s="475">
        <f>Garden!J52</f>
        <v>0</v>
      </c>
      <c r="K45" s="476">
        <f>Paper!J52</f>
        <v>0.14842340723628877</v>
      </c>
      <c r="L45" s="477">
        <f>Wood!J52</f>
        <v>0</v>
      </c>
      <c r="M45" s="478">
        <f>J45*(1-Recovery_OX!E45)*(1-Recovery_OX!F45)</f>
        <v>0</v>
      </c>
      <c r="N45" s="476">
        <f>K45*(1-Recovery_OX!E45)*(1-Recovery_OX!F45)</f>
        <v>0.14842340723628877</v>
      </c>
      <c r="O45" s="477">
        <f>L45*(1-Recovery_OX!E45)*(1-Recovery_OX!F45)</f>
        <v>0</v>
      </c>
    </row>
    <row r="46" spans="2:15">
      <c r="B46" s="470">
        <f t="shared" si="0"/>
        <v>1984</v>
      </c>
      <c r="C46" s="471">
        <f>Stored_C!E52</f>
        <v>0</v>
      </c>
      <c r="D46" s="472">
        <f>Stored_C!F52+Stored_C!L52</f>
        <v>0</v>
      </c>
      <c r="E46" s="473">
        <f>Stored_C!G52+Stored_C!M52</f>
        <v>0</v>
      </c>
      <c r="F46" s="474">
        <f>F45+HWP!C46</f>
        <v>0</v>
      </c>
      <c r="G46" s="472">
        <f>G45+HWP!D46</f>
        <v>10.890399227244004</v>
      </c>
      <c r="H46" s="473">
        <f>H45+HWP!E46</f>
        <v>8.984579362476298</v>
      </c>
      <c r="I46" s="456"/>
      <c r="J46" s="475">
        <f>Garden!J53</f>
        <v>0</v>
      </c>
      <c r="K46" s="476">
        <f>Paper!J53</f>
        <v>0.13838906763649947</v>
      </c>
      <c r="L46" s="477">
        <f>Wood!J53</f>
        <v>0</v>
      </c>
      <c r="M46" s="478">
        <f>J46*(1-Recovery_OX!E46)*(1-Recovery_OX!F46)</f>
        <v>0</v>
      </c>
      <c r="N46" s="476">
        <f>K46*(1-Recovery_OX!E46)*(1-Recovery_OX!F46)</f>
        <v>0.13838906763649947</v>
      </c>
      <c r="O46" s="477">
        <f>L46*(1-Recovery_OX!E46)*(1-Recovery_OX!F46)</f>
        <v>0</v>
      </c>
    </row>
    <row r="47" spans="2:15">
      <c r="B47" s="470">
        <f t="shared" si="0"/>
        <v>1985</v>
      </c>
      <c r="C47" s="471">
        <f>Stored_C!E53</f>
        <v>0</v>
      </c>
      <c r="D47" s="472">
        <f>Stored_C!F53+Stored_C!L53</f>
        <v>0</v>
      </c>
      <c r="E47" s="473">
        <f>Stored_C!G53+Stored_C!M53</f>
        <v>0</v>
      </c>
      <c r="F47" s="474">
        <f>F46+HWP!C47</f>
        <v>0</v>
      </c>
      <c r="G47" s="472">
        <f>G46+HWP!D47</f>
        <v>10.890399227244004</v>
      </c>
      <c r="H47" s="473">
        <f>H46+HWP!E47</f>
        <v>8.984579362476298</v>
      </c>
      <c r="I47" s="456"/>
      <c r="J47" s="475">
        <f>Garden!J54</f>
        <v>0</v>
      </c>
      <c r="K47" s="476">
        <f>Paper!J54</f>
        <v>0.12903311140681836</v>
      </c>
      <c r="L47" s="477">
        <f>Wood!J54</f>
        <v>0</v>
      </c>
      <c r="M47" s="478">
        <f>J47*(1-Recovery_OX!E47)*(1-Recovery_OX!F47)</f>
        <v>0</v>
      </c>
      <c r="N47" s="476">
        <f>K47*(1-Recovery_OX!E47)*(1-Recovery_OX!F47)</f>
        <v>0.12903311140681836</v>
      </c>
      <c r="O47" s="477">
        <f>L47*(1-Recovery_OX!E47)*(1-Recovery_OX!F47)</f>
        <v>0</v>
      </c>
    </row>
    <row r="48" spans="2:15">
      <c r="B48" s="470">
        <f t="shared" si="0"/>
        <v>1986</v>
      </c>
      <c r="C48" s="471">
        <f>Stored_C!E54</f>
        <v>0</v>
      </c>
      <c r="D48" s="472">
        <f>Stored_C!F54+Stored_C!L54</f>
        <v>0</v>
      </c>
      <c r="E48" s="473">
        <f>Stored_C!G54+Stored_C!M54</f>
        <v>0</v>
      </c>
      <c r="F48" s="474">
        <f>F47+HWP!C48</f>
        <v>0</v>
      </c>
      <c r="G48" s="472">
        <f>G47+HWP!D48</f>
        <v>10.890399227244004</v>
      </c>
      <c r="H48" s="473">
        <f>H47+HWP!E48</f>
        <v>8.984579362476298</v>
      </c>
      <c r="I48" s="456"/>
      <c r="J48" s="475">
        <f>Garden!J55</f>
        <v>0</v>
      </c>
      <c r="K48" s="476">
        <f>Paper!J55</f>
        <v>0.12030967563895317</v>
      </c>
      <c r="L48" s="477">
        <f>Wood!J55</f>
        <v>0</v>
      </c>
      <c r="M48" s="478">
        <f>J48*(1-Recovery_OX!E48)*(1-Recovery_OX!F48)</f>
        <v>0</v>
      </c>
      <c r="N48" s="476">
        <f>K48*(1-Recovery_OX!E48)*(1-Recovery_OX!F48)</f>
        <v>0.12030967563895317</v>
      </c>
      <c r="O48" s="477">
        <f>L48*(1-Recovery_OX!E48)*(1-Recovery_OX!F48)</f>
        <v>0</v>
      </c>
    </row>
    <row r="49" spans="2:15">
      <c r="B49" s="470">
        <f t="shared" si="0"/>
        <v>1987</v>
      </c>
      <c r="C49" s="471">
        <f>Stored_C!E55</f>
        <v>0</v>
      </c>
      <c r="D49" s="472">
        <f>Stored_C!F55+Stored_C!L55</f>
        <v>0</v>
      </c>
      <c r="E49" s="473">
        <f>Stored_C!G55+Stored_C!M55</f>
        <v>0</v>
      </c>
      <c r="F49" s="474">
        <f>F48+HWP!C49</f>
        <v>0</v>
      </c>
      <c r="G49" s="472">
        <f>G48+HWP!D49</f>
        <v>10.890399227244004</v>
      </c>
      <c r="H49" s="473">
        <f>H48+HWP!E49</f>
        <v>8.984579362476298</v>
      </c>
      <c r="I49" s="456"/>
      <c r="J49" s="475">
        <f>Garden!J56</f>
        <v>0</v>
      </c>
      <c r="K49" s="476">
        <f>Paper!J56</f>
        <v>0.11217599804064915</v>
      </c>
      <c r="L49" s="477">
        <f>Wood!J56</f>
        <v>0</v>
      </c>
      <c r="M49" s="478">
        <f>J49*(1-Recovery_OX!E49)*(1-Recovery_OX!F49)</f>
        <v>0</v>
      </c>
      <c r="N49" s="476">
        <f>K49*(1-Recovery_OX!E49)*(1-Recovery_OX!F49)</f>
        <v>0.11217599804064915</v>
      </c>
      <c r="O49" s="477">
        <f>L49*(1-Recovery_OX!E49)*(1-Recovery_OX!F49)</f>
        <v>0</v>
      </c>
    </row>
    <row r="50" spans="2:15">
      <c r="B50" s="470">
        <f t="shared" si="0"/>
        <v>1988</v>
      </c>
      <c r="C50" s="471">
        <f>Stored_C!E56</f>
        <v>0</v>
      </c>
      <c r="D50" s="472">
        <f>Stored_C!F56+Stored_C!L56</f>
        <v>0</v>
      </c>
      <c r="E50" s="473">
        <f>Stored_C!G56+Stored_C!M56</f>
        <v>0</v>
      </c>
      <c r="F50" s="474">
        <f>F49+HWP!C50</f>
        <v>0</v>
      </c>
      <c r="G50" s="472">
        <f>G49+HWP!D50</f>
        <v>10.890399227244004</v>
      </c>
      <c r="H50" s="473">
        <f>H49+HWP!E50</f>
        <v>8.984579362476298</v>
      </c>
      <c r="I50" s="456"/>
      <c r="J50" s="475">
        <f>Garden!J57</f>
        <v>0</v>
      </c>
      <c r="K50" s="476">
        <f>Paper!J57</f>
        <v>0.10459220731488303</v>
      </c>
      <c r="L50" s="477">
        <f>Wood!J57</f>
        <v>0</v>
      </c>
      <c r="M50" s="478">
        <f>J50*(1-Recovery_OX!E50)*(1-Recovery_OX!F50)</f>
        <v>0</v>
      </c>
      <c r="N50" s="476">
        <f>K50*(1-Recovery_OX!E50)*(1-Recovery_OX!F50)</f>
        <v>0.10459220731488303</v>
      </c>
      <c r="O50" s="477">
        <f>L50*(1-Recovery_OX!E50)*(1-Recovery_OX!F50)</f>
        <v>0</v>
      </c>
    </row>
    <row r="51" spans="2:15">
      <c r="B51" s="470">
        <f t="shared" si="0"/>
        <v>1989</v>
      </c>
      <c r="C51" s="471">
        <f>Stored_C!E57</f>
        <v>0</v>
      </c>
      <c r="D51" s="472">
        <f>Stored_C!F57+Stored_C!L57</f>
        <v>0</v>
      </c>
      <c r="E51" s="473">
        <f>Stored_C!G57+Stored_C!M57</f>
        <v>0</v>
      </c>
      <c r="F51" s="474">
        <f>F50+HWP!C51</f>
        <v>0</v>
      </c>
      <c r="G51" s="472">
        <f>G50+HWP!D51</f>
        <v>10.890399227244004</v>
      </c>
      <c r="H51" s="473">
        <f>H50+HWP!E51</f>
        <v>8.984579362476298</v>
      </c>
      <c r="I51" s="456"/>
      <c r="J51" s="475">
        <f>Garden!J58</f>
        <v>0</v>
      </c>
      <c r="K51" s="476">
        <f>Paper!J58</f>
        <v>9.752112771071865E-2</v>
      </c>
      <c r="L51" s="477">
        <f>Wood!J58</f>
        <v>0</v>
      </c>
      <c r="M51" s="478">
        <f>J51*(1-Recovery_OX!E51)*(1-Recovery_OX!F51)</f>
        <v>0</v>
      </c>
      <c r="N51" s="476">
        <f>K51*(1-Recovery_OX!E51)*(1-Recovery_OX!F51)</f>
        <v>9.752112771071865E-2</v>
      </c>
      <c r="O51" s="477">
        <f>L51*(1-Recovery_OX!E51)*(1-Recovery_OX!F51)</f>
        <v>0</v>
      </c>
    </row>
    <row r="52" spans="2:15">
      <c r="B52" s="470">
        <f t="shared" si="0"/>
        <v>1990</v>
      </c>
      <c r="C52" s="471">
        <f>Stored_C!E58</f>
        <v>0</v>
      </c>
      <c r="D52" s="472">
        <f>Stored_C!F58+Stored_C!L58</f>
        <v>0</v>
      </c>
      <c r="E52" s="473">
        <f>Stored_C!G58+Stored_C!M58</f>
        <v>0</v>
      </c>
      <c r="F52" s="474">
        <f>F51+HWP!C52</f>
        <v>0</v>
      </c>
      <c r="G52" s="472">
        <f>G51+HWP!D52</f>
        <v>10.890399227244004</v>
      </c>
      <c r="H52" s="473">
        <f>H51+HWP!E52</f>
        <v>8.984579362476298</v>
      </c>
      <c r="I52" s="456"/>
      <c r="J52" s="475">
        <f>Garden!J59</f>
        <v>0</v>
      </c>
      <c r="K52" s="476">
        <f>Paper!J59</f>
        <v>9.0928096787732796E-2</v>
      </c>
      <c r="L52" s="477">
        <f>Wood!J59</f>
        <v>0</v>
      </c>
      <c r="M52" s="478">
        <f>J52*(1-Recovery_OX!E52)*(1-Recovery_OX!F52)</f>
        <v>0</v>
      </c>
      <c r="N52" s="476">
        <f>K52*(1-Recovery_OX!E52)*(1-Recovery_OX!F52)</f>
        <v>9.0928096787732796E-2</v>
      </c>
      <c r="O52" s="477">
        <f>L52*(1-Recovery_OX!E52)*(1-Recovery_OX!F52)</f>
        <v>0</v>
      </c>
    </row>
    <row r="53" spans="2:15">
      <c r="B53" s="470">
        <f t="shared" si="0"/>
        <v>1991</v>
      </c>
      <c r="C53" s="471">
        <f>Stored_C!E59</f>
        <v>0</v>
      </c>
      <c r="D53" s="472">
        <f>Stored_C!F59+Stored_C!L59</f>
        <v>0</v>
      </c>
      <c r="E53" s="473">
        <f>Stored_C!G59+Stored_C!M59</f>
        <v>0</v>
      </c>
      <c r="F53" s="474">
        <f>F52+HWP!C53</f>
        <v>0</v>
      </c>
      <c r="G53" s="472">
        <f>G52+HWP!D53</f>
        <v>10.890399227244004</v>
      </c>
      <c r="H53" s="473">
        <f>H52+HWP!E53</f>
        <v>8.984579362476298</v>
      </c>
      <c r="I53" s="456"/>
      <c r="J53" s="475">
        <f>Garden!J60</f>
        <v>0</v>
      </c>
      <c r="K53" s="476">
        <f>Paper!J60</f>
        <v>8.4780795500691952E-2</v>
      </c>
      <c r="L53" s="477">
        <f>Wood!J60</f>
        <v>0</v>
      </c>
      <c r="M53" s="478">
        <f>J53*(1-Recovery_OX!E53)*(1-Recovery_OX!F53)</f>
        <v>0</v>
      </c>
      <c r="N53" s="476">
        <f>K53*(1-Recovery_OX!E53)*(1-Recovery_OX!F53)</f>
        <v>8.4780795500691952E-2</v>
      </c>
      <c r="O53" s="477">
        <f>L53*(1-Recovery_OX!E53)*(1-Recovery_OX!F53)</f>
        <v>0</v>
      </c>
    </row>
    <row r="54" spans="2:15">
      <c r="B54" s="470">
        <f t="shared" si="0"/>
        <v>1992</v>
      </c>
      <c r="C54" s="471">
        <f>Stored_C!E60</f>
        <v>0</v>
      </c>
      <c r="D54" s="472">
        <f>Stored_C!F60+Stored_C!L60</f>
        <v>0</v>
      </c>
      <c r="E54" s="473">
        <f>Stored_C!G60+Stored_C!M60</f>
        <v>0</v>
      </c>
      <c r="F54" s="474">
        <f>F53+HWP!C54</f>
        <v>0</v>
      </c>
      <c r="G54" s="472">
        <f>G53+HWP!D54</f>
        <v>10.890399227244004</v>
      </c>
      <c r="H54" s="473">
        <f>H53+HWP!E54</f>
        <v>8.984579362476298</v>
      </c>
      <c r="I54" s="456"/>
      <c r="J54" s="475">
        <f>Garden!J61</f>
        <v>0</v>
      </c>
      <c r="K54" s="476">
        <f>Paper!J61</f>
        <v>7.9049089771555198E-2</v>
      </c>
      <c r="L54" s="477">
        <f>Wood!J61</f>
        <v>0</v>
      </c>
      <c r="M54" s="478">
        <f>J54*(1-Recovery_OX!E54)*(1-Recovery_OX!F54)</f>
        <v>0</v>
      </c>
      <c r="N54" s="476">
        <f>K54*(1-Recovery_OX!E54)*(1-Recovery_OX!F54)</f>
        <v>7.9049089771555198E-2</v>
      </c>
      <c r="O54" s="477">
        <f>L54*(1-Recovery_OX!E54)*(1-Recovery_OX!F54)</f>
        <v>0</v>
      </c>
    </row>
    <row r="55" spans="2:15">
      <c r="B55" s="470">
        <f t="shared" si="0"/>
        <v>1993</v>
      </c>
      <c r="C55" s="471">
        <f>Stored_C!E61</f>
        <v>0</v>
      </c>
      <c r="D55" s="472">
        <f>Stored_C!F61+Stored_C!L61</f>
        <v>0</v>
      </c>
      <c r="E55" s="473">
        <f>Stored_C!G61+Stored_C!M61</f>
        <v>0</v>
      </c>
      <c r="F55" s="474">
        <f>F54+HWP!C55</f>
        <v>0</v>
      </c>
      <c r="G55" s="472">
        <f>G54+HWP!D55</f>
        <v>10.890399227244004</v>
      </c>
      <c r="H55" s="473">
        <f>H54+HWP!E55</f>
        <v>8.984579362476298</v>
      </c>
      <c r="I55" s="456"/>
      <c r="J55" s="475">
        <f>Garden!J62</f>
        <v>0</v>
      </c>
      <c r="K55" s="476">
        <f>Paper!J62</f>
        <v>7.3704882772188576E-2</v>
      </c>
      <c r="L55" s="477">
        <f>Wood!J62</f>
        <v>0</v>
      </c>
      <c r="M55" s="478">
        <f>J55*(1-Recovery_OX!E55)*(1-Recovery_OX!F55)</f>
        <v>0</v>
      </c>
      <c r="N55" s="476">
        <f>K55*(1-Recovery_OX!E55)*(1-Recovery_OX!F55)</f>
        <v>7.3704882772188576E-2</v>
      </c>
      <c r="O55" s="477">
        <f>L55*(1-Recovery_OX!E55)*(1-Recovery_OX!F55)</f>
        <v>0</v>
      </c>
    </row>
    <row r="56" spans="2:15">
      <c r="B56" s="470">
        <f t="shared" si="0"/>
        <v>1994</v>
      </c>
      <c r="C56" s="471">
        <f>Stored_C!E62</f>
        <v>0</v>
      </c>
      <c r="D56" s="472">
        <f>Stored_C!F62+Stored_C!L62</f>
        <v>0</v>
      </c>
      <c r="E56" s="473">
        <f>Stored_C!G62+Stored_C!M62</f>
        <v>0</v>
      </c>
      <c r="F56" s="474">
        <f>F55+HWP!C56</f>
        <v>0</v>
      </c>
      <c r="G56" s="472">
        <f>G55+HWP!D56</f>
        <v>10.890399227244004</v>
      </c>
      <c r="H56" s="473">
        <f>H55+HWP!E56</f>
        <v>8.984579362476298</v>
      </c>
      <c r="I56" s="456"/>
      <c r="J56" s="475">
        <f>Garden!J63</f>
        <v>0</v>
      </c>
      <c r="K56" s="476">
        <f>Paper!J63</f>
        <v>6.8721977193681019E-2</v>
      </c>
      <c r="L56" s="477">
        <f>Wood!J63</f>
        <v>0</v>
      </c>
      <c r="M56" s="478">
        <f>J56*(1-Recovery_OX!E56)*(1-Recovery_OX!F56)</f>
        <v>0</v>
      </c>
      <c r="N56" s="476">
        <f>K56*(1-Recovery_OX!E56)*(1-Recovery_OX!F56)</f>
        <v>6.8721977193681019E-2</v>
      </c>
      <c r="O56" s="477">
        <f>L56*(1-Recovery_OX!E56)*(1-Recovery_OX!F56)</f>
        <v>0</v>
      </c>
    </row>
    <row r="57" spans="2:15">
      <c r="B57" s="470">
        <f t="shared" si="0"/>
        <v>1995</v>
      </c>
      <c r="C57" s="471">
        <f>Stored_C!E63</f>
        <v>0</v>
      </c>
      <c r="D57" s="472">
        <f>Stored_C!F63+Stored_C!L63</f>
        <v>0</v>
      </c>
      <c r="E57" s="473">
        <f>Stored_C!G63+Stored_C!M63</f>
        <v>0</v>
      </c>
      <c r="F57" s="474">
        <f>F56+HWP!C57</f>
        <v>0</v>
      </c>
      <c r="G57" s="472">
        <f>G56+HWP!D57</f>
        <v>10.890399227244004</v>
      </c>
      <c r="H57" s="473">
        <f>H56+HWP!E57</f>
        <v>8.984579362476298</v>
      </c>
      <c r="I57" s="456"/>
      <c r="J57" s="475">
        <f>Garden!J64</f>
        <v>0</v>
      </c>
      <c r="K57" s="476">
        <f>Paper!J64</f>
        <v>6.4075946827105698E-2</v>
      </c>
      <c r="L57" s="477">
        <f>Wood!J64</f>
        <v>0</v>
      </c>
      <c r="M57" s="478">
        <f>J57*(1-Recovery_OX!E57)*(1-Recovery_OX!F57)</f>
        <v>0</v>
      </c>
      <c r="N57" s="476">
        <f>K57*(1-Recovery_OX!E57)*(1-Recovery_OX!F57)</f>
        <v>6.4075946827105698E-2</v>
      </c>
      <c r="O57" s="477">
        <f>L57*(1-Recovery_OX!E57)*(1-Recovery_OX!F57)</f>
        <v>0</v>
      </c>
    </row>
    <row r="58" spans="2:15">
      <c r="B58" s="470">
        <f t="shared" si="0"/>
        <v>1996</v>
      </c>
      <c r="C58" s="471">
        <f>Stored_C!E64</f>
        <v>0</v>
      </c>
      <c r="D58" s="472">
        <f>Stored_C!F64+Stored_C!L64</f>
        <v>0</v>
      </c>
      <c r="E58" s="473">
        <f>Stored_C!G64+Stored_C!M64</f>
        <v>0</v>
      </c>
      <c r="F58" s="474">
        <f>F57+HWP!C58</f>
        <v>0</v>
      </c>
      <c r="G58" s="472">
        <f>G57+HWP!D58</f>
        <v>10.890399227244004</v>
      </c>
      <c r="H58" s="473">
        <f>H57+HWP!E58</f>
        <v>8.984579362476298</v>
      </c>
      <c r="I58" s="456"/>
      <c r="J58" s="475">
        <f>Garden!J65</f>
        <v>0</v>
      </c>
      <c r="K58" s="476">
        <f>Paper!J65</f>
        <v>5.974401682621551E-2</v>
      </c>
      <c r="L58" s="477">
        <f>Wood!J65</f>
        <v>0</v>
      </c>
      <c r="M58" s="478">
        <f>J58*(1-Recovery_OX!E58)*(1-Recovery_OX!F58)</f>
        <v>0</v>
      </c>
      <c r="N58" s="476">
        <f>K58*(1-Recovery_OX!E58)*(1-Recovery_OX!F58)</f>
        <v>5.974401682621551E-2</v>
      </c>
      <c r="O58" s="477">
        <f>L58*(1-Recovery_OX!E58)*(1-Recovery_OX!F58)</f>
        <v>0</v>
      </c>
    </row>
    <row r="59" spans="2:15">
      <c r="B59" s="470">
        <f t="shared" si="0"/>
        <v>1997</v>
      </c>
      <c r="C59" s="471">
        <f>Stored_C!E65</f>
        <v>0</v>
      </c>
      <c r="D59" s="472">
        <f>Stored_C!F65+Stored_C!L65</f>
        <v>0</v>
      </c>
      <c r="E59" s="473">
        <f>Stored_C!G65+Stored_C!M65</f>
        <v>0</v>
      </c>
      <c r="F59" s="474">
        <f>F58+HWP!C59</f>
        <v>0</v>
      </c>
      <c r="G59" s="472">
        <f>G58+HWP!D59</f>
        <v>10.890399227244004</v>
      </c>
      <c r="H59" s="473">
        <f>H58+HWP!E59</f>
        <v>8.984579362476298</v>
      </c>
      <c r="I59" s="456"/>
      <c r="J59" s="475">
        <f>Garden!J66</f>
        <v>0</v>
      </c>
      <c r="K59" s="476">
        <f>Paper!J66</f>
        <v>5.5704952065120328E-2</v>
      </c>
      <c r="L59" s="477">
        <f>Wood!J66</f>
        <v>0</v>
      </c>
      <c r="M59" s="478">
        <f>J59*(1-Recovery_OX!E59)*(1-Recovery_OX!F59)</f>
        <v>0</v>
      </c>
      <c r="N59" s="476">
        <f>K59*(1-Recovery_OX!E59)*(1-Recovery_OX!F59)</f>
        <v>5.5704952065120328E-2</v>
      </c>
      <c r="O59" s="477">
        <f>L59*(1-Recovery_OX!E59)*(1-Recovery_OX!F59)</f>
        <v>0</v>
      </c>
    </row>
    <row r="60" spans="2:15">
      <c r="B60" s="470">
        <f t="shared" si="0"/>
        <v>1998</v>
      </c>
      <c r="C60" s="471">
        <f>Stored_C!E66</f>
        <v>0</v>
      </c>
      <c r="D60" s="472">
        <f>Stored_C!F66+Stored_C!L66</f>
        <v>0</v>
      </c>
      <c r="E60" s="473">
        <f>Stored_C!G66+Stored_C!M66</f>
        <v>0</v>
      </c>
      <c r="F60" s="474">
        <f>F59+HWP!C60</f>
        <v>0</v>
      </c>
      <c r="G60" s="472">
        <f>G59+HWP!D60</f>
        <v>10.890399227244004</v>
      </c>
      <c r="H60" s="473">
        <f>H59+HWP!E60</f>
        <v>8.984579362476298</v>
      </c>
      <c r="I60" s="456"/>
      <c r="J60" s="475">
        <f>Garden!J67</f>
        <v>0</v>
      </c>
      <c r="K60" s="476">
        <f>Paper!J67</f>
        <v>5.1938953043675289E-2</v>
      </c>
      <c r="L60" s="477">
        <f>Wood!J67</f>
        <v>0</v>
      </c>
      <c r="M60" s="478">
        <f>J60*(1-Recovery_OX!E60)*(1-Recovery_OX!F60)</f>
        <v>0</v>
      </c>
      <c r="N60" s="476">
        <f>K60*(1-Recovery_OX!E60)*(1-Recovery_OX!F60)</f>
        <v>5.1938953043675289E-2</v>
      </c>
      <c r="O60" s="477">
        <f>L60*(1-Recovery_OX!E60)*(1-Recovery_OX!F60)</f>
        <v>0</v>
      </c>
    </row>
    <row r="61" spans="2:15">
      <c r="B61" s="470">
        <f t="shared" si="0"/>
        <v>1999</v>
      </c>
      <c r="C61" s="471">
        <f>Stored_C!E67</f>
        <v>0</v>
      </c>
      <c r="D61" s="472">
        <f>Stored_C!F67+Stored_C!L67</f>
        <v>0</v>
      </c>
      <c r="E61" s="473">
        <f>Stored_C!G67+Stored_C!M67</f>
        <v>0</v>
      </c>
      <c r="F61" s="474">
        <f>F60+HWP!C61</f>
        <v>0</v>
      </c>
      <c r="G61" s="472">
        <f>G60+HWP!D61</f>
        <v>10.890399227244004</v>
      </c>
      <c r="H61" s="473">
        <f>H60+HWP!E61</f>
        <v>8.984579362476298</v>
      </c>
      <c r="I61" s="456"/>
      <c r="J61" s="475">
        <f>Garden!J68</f>
        <v>0</v>
      </c>
      <c r="K61" s="476">
        <f>Paper!J68</f>
        <v>4.8427558830308082E-2</v>
      </c>
      <c r="L61" s="477">
        <f>Wood!J68</f>
        <v>0</v>
      </c>
      <c r="M61" s="478">
        <f>J61*(1-Recovery_OX!E61)*(1-Recovery_OX!F61)</f>
        <v>0</v>
      </c>
      <c r="N61" s="476">
        <f>K61*(1-Recovery_OX!E61)*(1-Recovery_OX!F61)</f>
        <v>4.8427558830308082E-2</v>
      </c>
      <c r="O61" s="477">
        <f>L61*(1-Recovery_OX!E61)*(1-Recovery_OX!F61)</f>
        <v>0</v>
      </c>
    </row>
    <row r="62" spans="2:15">
      <c r="B62" s="470">
        <f t="shared" si="0"/>
        <v>2000</v>
      </c>
      <c r="C62" s="471">
        <f>Stored_C!E68</f>
        <v>0</v>
      </c>
      <c r="D62" s="472">
        <f>Stored_C!F68+Stored_C!L68</f>
        <v>0</v>
      </c>
      <c r="E62" s="473">
        <f>Stored_C!G68+Stored_C!M68</f>
        <v>0</v>
      </c>
      <c r="F62" s="474">
        <f>F61+HWP!C62</f>
        <v>0</v>
      </c>
      <c r="G62" s="472">
        <f>G61+HWP!D62</f>
        <v>10.890399227244004</v>
      </c>
      <c r="H62" s="473">
        <f>H61+HWP!E62</f>
        <v>8.984579362476298</v>
      </c>
      <c r="I62" s="456"/>
      <c r="J62" s="475">
        <f>Garden!J69</f>
        <v>0</v>
      </c>
      <c r="K62" s="476">
        <f>Paper!J69</f>
        <v>4.5153556566510995E-2</v>
      </c>
      <c r="L62" s="477">
        <f>Wood!J69</f>
        <v>0</v>
      </c>
      <c r="M62" s="478">
        <f>J62*(1-Recovery_OX!E62)*(1-Recovery_OX!F62)</f>
        <v>0</v>
      </c>
      <c r="N62" s="476">
        <f>K62*(1-Recovery_OX!E62)*(1-Recovery_OX!F62)</f>
        <v>4.5153556566510995E-2</v>
      </c>
      <c r="O62" s="477">
        <f>L62*(1-Recovery_OX!E62)*(1-Recovery_OX!F62)</f>
        <v>0</v>
      </c>
    </row>
    <row r="63" spans="2:15">
      <c r="B63" s="470">
        <f t="shared" si="0"/>
        <v>2001</v>
      </c>
      <c r="C63" s="471">
        <f>Stored_C!E69</f>
        <v>0</v>
      </c>
      <c r="D63" s="472">
        <f>Stored_C!F69+Stored_C!L69</f>
        <v>0</v>
      </c>
      <c r="E63" s="473">
        <f>Stored_C!G69+Stored_C!M69</f>
        <v>0</v>
      </c>
      <c r="F63" s="474">
        <f>F62+HWP!C63</f>
        <v>0</v>
      </c>
      <c r="G63" s="472">
        <f>G62+HWP!D63</f>
        <v>10.890399227244004</v>
      </c>
      <c r="H63" s="473">
        <f>H62+HWP!E63</f>
        <v>8.984579362476298</v>
      </c>
      <c r="I63" s="456"/>
      <c r="J63" s="475">
        <f>Garden!J70</f>
        <v>0</v>
      </c>
      <c r="K63" s="476">
        <f>Paper!J70</f>
        <v>4.2100897089388502E-2</v>
      </c>
      <c r="L63" s="477">
        <f>Wood!J70</f>
        <v>0</v>
      </c>
      <c r="M63" s="478">
        <f>J63*(1-Recovery_OX!E63)*(1-Recovery_OX!F63)</f>
        <v>0</v>
      </c>
      <c r="N63" s="476">
        <f>K63*(1-Recovery_OX!E63)*(1-Recovery_OX!F63)</f>
        <v>4.2100897089388502E-2</v>
      </c>
      <c r="O63" s="477">
        <f>L63*(1-Recovery_OX!E63)*(1-Recovery_OX!F63)</f>
        <v>0</v>
      </c>
    </row>
    <row r="64" spans="2:15">
      <c r="B64" s="470">
        <f t="shared" si="0"/>
        <v>2002</v>
      </c>
      <c r="C64" s="471">
        <f>Stored_C!E70</f>
        <v>0</v>
      </c>
      <c r="D64" s="472">
        <f>Stored_C!F70+Stored_C!L70</f>
        <v>0</v>
      </c>
      <c r="E64" s="473">
        <f>Stored_C!G70+Stored_C!M70</f>
        <v>0</v>
      </c>
      <c r="F64" s="474">
        <f>F63+HWP!C64</f>
        <v>0</v>
      </c>
      <c r="G64" s="472">
        <f>G63+HWP!D64</f>
        <v>10.890399227244004</v>
      </c>
      <c r="H64" s="473">
        <f>H63+HWP!E64</f>
        <v>8.984579362476298</v>
      </c>
      <c r="I64" s="456"/>
      <c r="J64" s="475">
        <f>Garden!J71</f>
        <v>0</v>
      </c>
      <c r="K64" s="476">
        <f>Paper!J71</f>
        <v>3.9254616258642162E-2</v>
      </c>
      <c r="L64" s="477">
        <f>Wood!J71</f>
        <v>0</v>
      </c>
      <c r="M64" s="478">
        <f>J64*(1-Recovery_OX!E64)*(1-Recovery_OX!F64)</f>
        <v>0</v>
      </c>
      <c r="N64" s="476">
        <f>K64*(1-Recovery_OX!E64)*(1-Recovery_OX!F64)</f>
        <v>3.9254616258642162E-2</v>
      </c>
      <c r="O64" s="477">
        <f>L64*(1-Recovery_OX!E64)*(1-Recovery_OX!F64)</f>
        <v>0</v>
      </c>
    </row>
    <row r="65" spans="2:15">
      <c r="B65" s="470">
        <f t="shared" si="0"/>
        <v>2003</v>
      </c>
      <c r="C65" s="471">
        <f>Stored_C!E71</f>
        <v>0</v>
      </c>
      <c r="D65" s="472">
        <f>Stored_C!F71+Stored_C!L71</f>
        <v>0</v>
      </c>
      <c r="E65" s="473">
        <f>Stored_C!G71+Stored_C!M71</f>
        <v>0</v>
      </c>
      <c r="F65" s="474">
        <f>F64+HWP!C65</f>
        <v>0</v>
      </c>
      <c r="G65" s="472">
        <f>G64+HWP!D65</f>
        <v>10.890399227244004</v>
      </c>
      <c r="H65" s="473">
        <f>H64+HWP!E65</f>
        <v>8.984579362476298</v>
      </c>
      <c r="I65" s="456"/>
      <c r="J65" s="475">
        <f>Garden!J72</f>
        <v>0</v>
      </c>
      <c r="K65" s="476">
        <f>Paper!J72</f>
        <v>3.6600761602337516E-2</v>
      </c>
      <c r="L65" s="477">
        <f>Wood!J72</f>
        <v>0</v>
      </c>
      <c r="M65" s="478">
        <f>J65*(1-Recovery_OX!E65)*(1-Recovery_OX!F65)</f>
        <v>0</v>
      </c>
      <c r="N65" s="476">
        <f>K65*(1-Recovery_OX!E65)*(1-Recovery_OX!F65)</f>
        <v>3.6600761602337516E-2</v>
      </c>
      <c r="O65" s="477">
        <f>L65*(1-Recovery_OX!E65)*(1-Recovery_OX!F65)</f>
        <v>0</v>
      </c>
    </row>
    <row r="66" spans="2:15">
      <c r="B66" s="470">
        <f t="shared" si="0"/>
        <v>2004</v>
      </c>
      <c r="C66" s="471">
        <f>Stored_C!E72</f>
        <v>0</v>
      </c>
      <c r="D66" s="472">
        <f>Stored_C!F72+Stored_C!L72</f>
        <v>0</v>
      </c>
      <c r="E66" s="473">
        <f>Stored_C!G72+Stored_C!M72</f>
        <v>0</v>
      </c>
      <c r="F66" s="474">
        <f>F65+HWP!C66</f>
        <v>0</v>
      </c>
      <c r="G66" s="472">
        <f>G65+HWP!D66</f>
        <v>10.890399227244004</v>
      </c>
      <c r="H66" s="473">
        <f>H65+HWP!E66</f>
        <v>8.984579362476298</v>
      </c>
      <c r="I66" s="456"/>
      <c r="J66" s="475">
        <f>Garden!J73</f>
        <v>0</v>
      </c>
      <c r="K66" s="476">
        <f>Paper!J73</f>
        <v>3.4126323921870434E-2</v>
      </c>
      <c r="L66" s="477">
        <f>Wood!J73</f>
        <v>0</v>
      </c>
      <c r="M66" s="478">
        <f>J66*(1-Recovery_OX!E66)*(1-Recovery_OX!F66)</f>
        <v>0</v>
      </c>
      <c r="N66" s="476">
        <f>K66*(1-Recovery_OX!E66)*(1-Recovery_OX!F66)</f>
        <v>3.4126323921870434E-2</v>
      </c>
      <c r="O66" s="477">
        <f>L66*(1-Recovery_OX!E66)*(1-Recovery_OX!F66)</f>
        <v>0</v>
      </c>
    </row>
    <row r="67" spans="2:15">
      <c r="B67" s="470">
        <f t="shared" si="0"/>
        <v>2005</v>
      </c>
      <c r="C67" s="471">
        <f>Stored_C!E73</f>
        <v>0</v>
      </c>
      <c r="D67" s="472">
        <f>Stored_C!F73+Stored_C!L73</f>
        <v>0</v>
      </c>
      <c r="E67" s="473">
        <f>Stored_C!G73+Stored_C!M73</f>
        <v>0</v>
      </c>
      <c r="F67" s="474">
        <f>F66+HWP!C67</f>
        <v>0</v>
      </c>
      <c r="G67" s="472">
        <f>G66+HWP!D67</f>
        <v>10.890399227244004</v>
      </c>
      <c r="H67" s="473">
        <f>H66+HWP!E67</f>
        <v>8.984579362476298</v>
      </c>
      <c r="I67" s="456"/>
      <c r="J67" s="475">
        <f>Garden!J74</f>
        <v>0</v>
      </c>
      <c r="K67" s="476">
        <f>Paper!J74</f>
        <v>3.1819173520860514E-2</v>
      </c>
      <c r="L67" s="477">
        <f>Wood!J74</f>
        <v>0</v>
      </c>
      <c r="M67" s="478">
        <f>J67*(1-Recovery_OX!E67)*(1-Recovery_OX!F67)</f>
        <v>0</v>
      </c>
      <c r="N67" s="476">
        <f>K67*(1-Recovery_OX!E67)*(1-Recovery_OX!F67)</f>
        <v>3.1819173520860514E-2</v>
      </c>
      <c r="O67" s="477">
        <f>L67*(1-Recovery_OX!E67)*(1-Recovery_OX!F67)</f>
        <v>0</v>
      </c>
    </row>
    <row r="68" spans="2:15">
      <c r="B68" s="470">
        <f t="shared" si="0"/>
        <v>2006</v>
      </c>
      <c r="C68" s="471">
        <f>Stored_C!E74</f>
        <v>0</v>
      </c>
      <c r="D68" s="472">
        <f>Stored_C!F74+Stored_C!L74</f>
        <v>0</v>
      </c>
      <c r="E68" s="473">
        <f>Stored_C!G74+Stored_C!M74</f>
        <v>0</v>
      </c>
      <c r="F68" s="474">
        <f>F67+HWP!C68</f>
        <v>0</v>
      </c>
      <c r="G68" s="472">
        <f>G67+HWP!D68</f>
        <v>10.890399227244004</v>
      </c>
      <c r="H68" s="473">
        <f>H67+HWP!E68</f>
        <v>8.984579362476298</v>
      </c>
      <c r="I68" s="456"/>
      <c r="J68" s="475">
        <f>Garden!J75</f>
        <v>0</v>
      </c>
      <c r="K68" s="476">
        <f>Paper!J75</f>
        <v>2.9668000745365335E-2</v>
      </c>
      <c r="L68" s="477">
        <f>Wood!J75</f>
        <v>0</v>
      </c>
      <c r="M68" s="478">
        <f>J68*(1-Recovery_OX!E68)*(1-Recovery_OX!F68)</f>
        <v>0</v>
      </c>
      <c r="N68" s="476">
        <f>K68*(1-Recovery_OX!E68)*(1-Recovery_OX!F68)</f>
        <v>2.9668000745365335E-2</v>
      </c>
      <c r="O68" s="477">
        <f>L68*(1-Recovery_OX!E68)*(1-Recovery_OX!F68)</f>
        <v>0</v>
      </c>
    </row>
    <row r="69" spans="2:15">
      <c r="B69" s="470">
        <f t="shared" si="0"/>
        <v>2007</v>
      </c>
      <c r="C69" s="471">
        <f>Stored_C!E75</f>
        <v>0</v>
      </c>
      <c r="D69" s="472">
        <f>Stored_C!F75+Stored_C!L75</f>
        <v>0</v>
      </c>
      <c r="E69" s="473">
        <f>Stored_C!G75+Stored_C!M75</f>
        <v>0</v>
      </c>
      <c r="F69" s="474">
        <f>F68+HWP!C69</f>
        <v>0</v>
      </c>
      <c r="G69" s="472">
        <f>G68+HWP!D69</f>
        <v>10.890399227244004</v>
      </c>
      <c r="H69" s="473">
        <f>H68+HWP!E69</f>
        <v>8.984579362476298</v>
      </c>
      <c r="I69" s="456"/>
      <c r="J69" s="475">
        <f>Garden!J76</f>
        <v>0</v>
      </c>
      <c r="K69" s="476">
        <f>Paper!J76</f>
        <v>2.7662260543943707E-2</v>
      </c>
      <c r="L69" s="477">
        <f>Wood!J76</f>
        <v>0</v>
      </c>
      <c r="M69" s="478">
        <f>J69*(1-Recovery_OX!E69)*(1-Recovery_OX!F69)</f>
        <v>0</v>
      </c>
      <c r="N69" s="476">
        <f>K69*(1-Recovery_OX!E69)*(1-Recovery_OX!F69)</f>
        <v>2.7662260543943707E-2</v>
      </c>
      <c r="O69" s="477">
        <f>L69*(1-Recovery_OX!E69)*(1-Recovery_OX!F69)</f>
        <v>0</v>
      </c>
    </row>
    <row r="70" spans="2:15">
      <c r="B70" s="470">
        <f t="shared" si="0"/>
        <v>2008</v>
      </c>
      <c r="C70" s="471">
        <f>Stored_C!E76</f>
        <v>0</v>
      </c>
      <c r="D70" s="472">
        <f>Stored_C!F76+Stored_C!L76</f>
        <v>0</v>
      </c>
      <c r="E70" s="473">
        <f>Stored_C!G76+Stored_C!M76</f>
        <v>0</v>
      </c>
      <c r="F70" s="474">
        <f>F69+HWP!C70</f>
        <v>0</v>
      </c>
      <c r="G70" s="472">
        <f>G69+HWP!D70</f>
        <v>10.890399227244004</v>
      </c>
      <c r="H70" s="473">
        <f>H69+HWP!E70</f>
        <v>8.984579362476298</v>
      </c>
      <c r="I70" s="456"/>
      <c r="J70" s="475">
        <f>Garden!J77</f>
        <v>0</v>
      </c>
      <c r="K70" s="476">
        <f>Paper!J77</f>
        <v>2.5792120775801265E-2</v>
      </c>
      <c r="L70" s="477">
        <f>Wood!J77</f>
        <v>0</v>
      </c>
      <c r="M70" s="478">
        <f>J70*(1-Recovery_OX!E70)*(1-Recovery_OX!F70)</f>
        <v>0</v>
      </c>
      <c r="N70" s="476">
        <f>K70*(1-Recovery_OX!E70)*(1-Recovery_OX!F70)</f>
        <v>2.5792120775801265E-2</v>
      </c>
      <c r="O70" s="477">
        <f>L70*(1-Recovery_OX!E70)*(1-Recovery_OX!F70)</f>
        <v>0</v>
      </c>
    </row>
    <row r="71" spans="2:15">
      <c r="B71" s="470">
        <f t="shared" si="0"/>
        <v>2009</v>
      </c>
      <c r="C71" s="471">
        <f>Stored_C!E77</f>
        <v>0</v>
      </c>
      <c r="D71" s="472">
        <f>Stored_C!F77+Stored_C!L77</f>
        <v>0</v>
      </c>
      <c r="E71" s="473">
        <f>Stored_C!G77+Stored_C!M77</f>
        <v>0</v>
      </c>
      <c r="F71" s="474">
        <f>F70+HWP!C71</f>
        <v>0</v>
      </c>
      <c r="G71" s="472">
        <f>G70+HWP!D71</f>
        <v>10.890399227244004</v>
      </c>
      <c r="H71" s="473">
        <f>H70+HWP!E71</f>
        <v>8.984579362476298</v>
      </c>
      <c r="I71" s="456"/>
      <c r="J71" s="475">
        <f>Garden!J78</f>
        <v>0</v>
      </c>
      <c r="K71" s="476">
        <f>Paper!J78</f>
        <v>2.4048414013624911E-2</v>
      </c>
      <c r="L71" s="477">
        <f>Wood!J78</f>
        <v>0</v>
      </c>
      <c r="M71" s="478">
        <f>J71*(1-Recovery_OX!E71)*(1-Recovery_OX!F71)</f>
        <v>0</v>
      </c>
      <c r="N71" s="476">
        <f>K71*(1-Recovery_OX!E71)*(1-Recovery_OX!F71)</f>
        <v>2.4048414013624911E-2</v>
      </c>
      <c r="O71" s="477">
        <f>L71*(1-Recovery_OX!E71)*(1-Recovery_OX!F71)</f>
        <v>0</v>
      </c>
    </row>
    <row r="72" spans="2:15">
      <c r="B72" s="470">
        <f t="shared" si="0"/>
        <v>2010</v>
      </c>
      <c r="C72" s="471">
        <f>Stored_C!E78</f>
        <v>0</v>
      </c>
      <c r="D72" s="472">
        <f>Stored_C!F78+Stored_C!L78</f>
        <v>0</v>
      </c>
      <c r="E72" s="473">
        <f>Stored_C!G78+Stored_C!M78</f>
        <v>0</v>
      </c>
      <c r="F72" s="474">
        <f>F71+HWP!C72</f>
        <v>0</v>
      </c>
      <c r="G72" s="472">
        <f>G71+HWP!D72</f>
        <v>10.890399227244004</v>
      </c>
      <c r="H72" s="473">
        <f>H71+HWP!E72</f>
        <v>8.984579362476298</v>
      </c>
      <c r="I72" s="456"/>
      <c r="J72" s="475">
        <f>Garden!J79</f>
        <v>0</v>
      </c>
      <c r="K72" s="476">
        <f>Paper!J79</f>
        <v>2.2422592604843469E-2</v>
      </c>
      <c r="L72" s="477">
        <f>Wood!J79</f>
        <v>0</v>
      </c>
      <c r="M72" s="478">
        <f>J72*(1-Recovery_OX!E72)*(1-Recovery_OX!F72)</f>
        <v>0</v>
      </c>
      <c r="N72" s="476">
        <f>K72*(1-Recovery_OX!E72)*(1-Recovery_OX!F72)</f>
        <v>2.2422592604843469E-2</v>
      </c>
      <c r="O72" s="477">
        <f>L72*(1-Recovery_OX!E72)*(1-Recovery_OX!F72)</f>
        <v>0</v>
      </c>
    </row>
    <row r="73" spans="2:15">
      <c r="B73" s="470">
        <f t="shared" si="0"/>
        <v>2011</v>
      </c>
      <c r="C73" s="471">
        <f>Stored_C!E79</f>
        <v>0</v>
      </c>
      <c r="D73" s="472">
        <f>Stored_C!F79+Stored_C!L79</f>
        <v>0</v>
      </c>
      <c r="E73" s="473">
        <f>Stored_C!G79+Stored_C!M79</f>
        <v>0</v>
      </c>
      <c r="F73" s="474">
        <f>F72+HWP!C73</f>
        <v>0</v>
      </c>
      <c r="G73" s="472">
        <f>G72+HWP!D73</f>
        <v>10.890399227244004</v>
      </c>
      <c r="H73" s="473">
        <f>H72+HWP!E73</f>
        <v>8.984579362476298</v>
      </c>
      <c r="I73" s="456"/>
      <c r="J73" s="475">
        <f>Garden!J80</f>
        <v>0</v>
      </c>
      <c r="K73" s="476">
        <f>Paper!J80</f>
        <v>2.090668677102487E-2</v>
      </c>
      <c r="L73" s="477">
        <f>Wood!J80</f>
        <v>0</v>
      </c>
      <c r="M73" s="478">
        <f>J73*(1-Recovery_OX!E73)*(1-Recovery_OX!F73)</f>
        <v>0</v>
      </c>
      <c r="N73" s="476">
        <f>K73*(1-Recovery_OX!E73)*(1-Recovery_OX!F73)</f>
        <v>2.090668677102487E-2</v>
      </c>
      <c r="O73" s="477">
        <f>L73*(1-Recovery_OX!E73)*(1-Recovery_OX!F73)</f>
        <v>0</v>
      </c>
    </row>
    <row r="74" spans="2:15">
      <c r="B74" s="470">
        <f t="shared" si="0"/>
        <v>2012</v>
      </c>
      <c r="C74" s="471">
        <f>Stored_C!E80</f>
        <v>0</v>
      </c>
      <c r="D74" s="472">
        <f>Stored_C!F80+Stored_C!L80</f>
        <v>0</v>
      </c>
      <c r="E74" s="473">
        <f>Stored_C!G80+Stored_C!M80</f>
        <v>0</v>
      </c>
      <c r="F74" s="474">
        <f>F73+HWP!C74</f>
        <v>0</v>
      </c>
      <c r="G74" s="472">
        <f>G73+HWP!D74</f>
        <v>10.890399227244004</v>
      </c>
      <c r="H74" s="473">
        <f>H73+HWP!E74</f>
        <v>8.984579362476298</v>
      </c>
      <c r="I74" s="456"/>
      <c r="J74" s="475">
        <f>Garden!J81</f>
        <v>0</v>
      </c>
      <c r="K74" s="476">
        <f>Paper!J81</f>
        <v>1.9493265540013033E-2</v>
      </c>
      <c r="L74" s="477">
        <f>Wood!J81</f>
        <v>0</v>
      </c>
      <c r="M74" s="478">
        <f>J74*(1-Recovery_OX!E74)*(1-Recovery_OX!F74)</f>
        <v>0</v>
      </c>
      <c r="N74" s="476">
        <f>K74*(1-Recovery_OX!E74)*(1-Recovery_OX!F74)</f>
        <v>1.9493265540013033E-2</v>
      </c>
      <c r="O74" s="477">
        <f>L74*(1-Recovery_OX!E74)*(1-Recovery_OX!F74)</f>
        <v>0</v>
      </c>
    </row>
    <row r="75" spans="2:15">
      <c r="B75" s="470">
        <f t="shared" si="0"/>
        <v>2013</v>
      </c>
      <c r="C75" s="471">
        <f>Stored_C!E81</f>
        <v>0</v>
      </c>
      <c r="D75" s="472">
        <f>Stored_C!F81+Stored_C!L81</f>
        <v>0</v>
      </c>
      <c r="E75" s="473">
        <f>Stored_C!G81+Stored_C!M81</f>
        <v>0</v>
      </c>
      <c r="F75" s="474">
        <f>F74+HWP!C75</f>
        <v>0</v>
      </c>
      <c r="G75" s="472">
        <f>G74+HWP!D75</f>
        <v>10.890399227244004</v>
      </c>
      <c r="H75" s="473">
        <f>H74+HWP!E75</f>
        <v>8.984579362476298</v>
      </c>
      <c r="I75" s="456"/>
      <c r="J75" s="475">
        <f>Garden!J82</f>
        <v>0</v>
      </c>
      <c r="K75" s="476">
        <f>Paper!J82</f>
        <v>1.8175400319293739E-2</v>
      </c>
      <c r="L75" s="477">
        <f>Wood!J82</f>
        <v>0</v>
      </c>
      <c r="M75" s="478">
        <f>J75*(1-Recovery_OX!E75)*(1-Recovery_OX!F75)</f>
        <v>0</v>
      </c>
      <c r="N75" s="476">
        <f>K75*(1-Recovery_OX!E75)*(1-Recovery_OX!F75)</f>
        <v>1.8175400319293739E-2</v>
      </c>
      <c r="O75" s="477">
        <f>L75*(1-Recovery_OX!E75)*(1-Recovery_OX!F75)</f>
        <v>0</v>
      </c>
    </row>
    <row r="76" spans="2:15">
      <c r="B76" s="470">
        <f t="shared" si="0"/>
        <v>2014</v>
      </c>
      <c r="C76" s="471">
        <f>Stored_C!E82</f>
        <v>0</v>
      </c>
      <c r="D76" s="472">
        <f>Stored_C!F82+Stored_C!L82</f>
        <v>0</v>
      </c>
      <c r="E76" s="473">
        <f>Stored_C!G82+Stored_C!M82</f>
        <v>0</v>
      </c>
      <c r="F76" s="474">
        <f>F75+HWP!C76</f>
        <v>0</v>
      </c>
      <c r="G76" s="472">
        <f>G75+HWP!D76</f>
        <v>10.890399227244004</v>
      </c>
      <c r="H76" s="473">
        <f>H75+HWP!E76</f>
        <v>8.984579362476298</v>
      </c>
      <c r="I76" s="456"/>
      <c r="J76" s="475">
        <f>Garden!J83</f>
        <v>0</v>
      </c>
      <c r="K76" s="476">
        <f>Paper!J83</f>
        <v>1.6946630932026079E-2</v>
      </c>
      <c r="L76" s="477">
        <f>Wood!J83</f>
        <v>0</v>
      </c>
      <c r="M76" s="478">
        <f>J76*(1-Recovery_OX!E76)*(1-Recovery_OX!F76)</f>
        <v>0</v>
      </c>
      <c r="N76" s="476">
        <f>K76*(1-Recovery_OX!E76)*(1-Recovery_OX!F76)</f>
        <v>1.6946630932026079E-2</v>
      </c>
      <c r="O76" s="477">
        <f>L76*(1-Recovery_OX!E76)*(1-Recovery_OX!F76)</f>
        <v>0</v>
      </c>
    </row>
    <row r="77" spans="2:15">
      <c r="B77" s="470">
        <f t="shared" si="0"/>
        <v>2015</v>
      </c>
      <c r="C77" s="471">
        <f>Stored_C!E83</f>
        <v>0</v>
      </c>
      <c r="D77" s="472">
        <f>Stored_C!F83+Stored_C!L83</f>
        <v>0</v>
      </c>
      <c r="E77" s="473">
        <f>Stored_C!G83+Stored_C!M83</f>
        <v>0</v>
      </c>
      <c r="F77" s="474">
        <f>F76+HWP!C77</f>
        <v>0</v>
      </c>
      <c r="G77" s="472">
        <f>G76+HWP!D77</f>
        <v>10.890399227244004</v>
      </c>
      <c r="H77" s="473">
        <f>H76+HWP!E77</f>
        <v>8.984579362476298</v>
      </c>
      <c r="I77" s="456"/>
      <c r="J77" s="475">
        <f>Garden!J84</f>
        <v>0</v>
      </c>
      <c r="K77" s="476">
        <f>Paper!J84</f>
        <v>1.5800933949248096E-2</v>
      </c>
      <c r="L77" s="477">
        <f>Wood!J84</f>
        <v>0</v>
      </c>
      <c r="M77" s="478">
        <f>J77*(1-Recovery_OX!E77)*(1-Recovery_OX!F77)</f>
        <v>0</v>
      </c>
      <c r="N77" s="476">
        <f>K77*(1-Recovery_OX!E77)*(1-Recovery_OX!F77)</f>
        <v>1.5800933949248096E-2</v>
      </c>
      <c r="O77" s="477">
        <f>L77*(1-Recovery_OX!E77)*(1-Recovery_OX!F77)</f>
        <v>0</v>
      </c>
    </row>
    <row r="78" spans="2:15">
      <c r="B78" s="470">
        <f t="shared" ref="B78:B92" si="1">B77+1</f>
        <v>2016</v>
      </c>
      <c r="C78" s="471">
        <f>Stored_C!E84</f>
        <v>0</v>
      </c>
      <c r="D78" s="472">
        <f>Stored_C!F84+Stored_C!L84</f>
        <v>0</v>
      </c>
      <c r="E78" s="473">
        <f>Stored_C!G84+Stored_C!M84</f>
        <v>0</v>
      </c>
      <c r="F78" s="474">
        <f>F77+HWP!C78</f>
        <v>0</v>
      </c>
      <c r="G78" s="472">
        <f>G77+HWP!D78</f>
        <v>10.890399227244004</v>
      </c>
      <c r="H78" s="473">
        <f>H77+HWP!E78</f>
        <v>8.984579362476298</v>
      </c>
      <c r="I78" s="456"/>
      <c r="J78" s="475">
        <f>Garden!J85</f>
        <v>0</v>
      </c>
      <c r="K78" s="476">
        <f>Paper!J85</f>
        <v>1.4732693163021015E-2</v>
      </c>
      <c r="L78" s="477">
        <f>Wood!J85</f>
        <v>0</v>
      </c>
      <c r="M78" s="478">
        <f>J78*(1-Recovery_OX!E78)*(1-Recovery_OX!F78)</f>
        <v>0</v>
      </c>
      <c r="N78" s="476">
        <f>K78*(1-Recovery_OX!E78)*(1-Recovery_OX!F78)</f>
        <v>1.4732693163021015E-2</v>
      </c>
      <c r="O78" s="477">
        <f>L78*(1-Recovery_OX!E78)*(1-Recovery_OX!F78)</f>
        <v>0</v>
      </c>
    </row>
    <row r="79" spans="2:15">
      <c r="B79" s="470">
        <f t="shared" si="1"/>
        <v>2017</v>
      </c>
      <c r="C79" s="471">
        <f>Stored_C!E85</f>
        <v>0</v>
      </c>
      <c r="D79" s="472">
        <f>Stored_C!F85+Stored_C!L85</f>
        <v>0</v>
      </c>
      <c r="E79" s="473">
        <f>Stored_C!G85+Stored_C!M85</f>
        <v>0</v>
      </c>
      <c r="F79" s="474">
        <f>F78+HWP!C79</f>
        <v>0</v>
      </c>
      <c r="G79" s="472">
        <f>G78+HWP!D79</f>
        <v>10.890399227244004</v>
      </c>
      <c r="H79" s="473">
        <f>H78+HWP!E79</f>
        <v>8.984579362476298</v>
      </c>
      <c r="I79" s="456"/>
      <c r="J79" s="475">
        <f>Garden!J86</f>
        <v>0</v>
      </c>
      <c r="K79" s="476">
        <f>Paper!J86</f>
        <v>1.3736672055771412E-2</v>
      </c>
      <c r="L79" s="477">
        <f>Wood!J86</f>
        <v>0</v>
      </c>
      <c r="M79" s="478">
        <f>J79*(1-Recovery_OX!E79)*(1-Recovery_OX!F79)</f>
        <v>0</v>
      </c>
      <c r="N79" s="476">
        <f>K79*(1-Recovery_OX!E79)*(1-Recovery_OX!F79)</f>
        <v>1.3736672055771412E-2</v>
      </c>
      <c r="O79" s="477">
        <f>L79*(1-Recovery_OX!E79)*(1-Recovery_OX!F79)</f>
        <v>0</v>
      </c>
    </row>
    <row r="80" spans="2:15">
      <c r="B80" s="470">
        <f t="shared" si="1"/>
        <v>2018</v>
      </c>
      <c r="C80" s="471">
        <f>Stored_C!E86</f>
        <v>0</v>
      </c>
      <c r="D80" s="472">
        <f>Stored_C!F86+Stored_C!L86</f>
        <v>0</v>
      </c>
      <c r="E80" s="473">
        <f>Stored_C!G86+Stored_C!M86</f>
        <v>0</v>
      </c>
      <c r="F80" s="474">
        <f>F79+HWP!C80</f>
        <v>0</v>
      </c>
      <c r="G80" s="472">
        <f>G79+HWP!D80</f>
        <v>10.890399227244004</v>
      </c>
      <c r="H80" s="473">
        <f>H79+HWP!E80</f>
        <v>8.984579362476298</v>
      </c>
      <c r="I80" s="456"/>
      <c r="J80" s="475">
        <f>Garden!J87</f>
        <v>0</v>
      </c>
      <c r="K80" s="476">
        <f>Paper!J87</f>
        <v>1.2807988130876002E-2</v>
      </c>
      <c r="L80" s="477">
        <f>Wood!J87</f>
        <v>0</v>
      </c>
      <c r="M80" s="478">
        <f>J80*(1-Recovery_OX!E80)*(1-Recovery_OX!F80)</f>
        <v>0</v>
      </c>
      <c r="N80" s="476">
        <f>K80*(1-Recovery_OX!E80)*(1-Recovery_OX!F80)</f>
        <v>1.2807988130876002E-2</v>
      </c>
      <c r="O80" s="477">
        <f>L80*(1-Recovery_OX!E80)*(1-Recovery_OX!F80)</f>
        <v>0</v>
      </c>
    </row>
    <row r="81" spans="2:15">
      <c r="B81" s="470">
        <f t="shared" si="1"/>
        <v>2019</v>
      </c>
      <c r="C81" s="471">
        <f>Stored_C!E87</f>
        <v>0</v>
      </c>
      <c r="D81" s="472">
        <f>Stored_C!F87+Stored_C!L87</f>
        <v>0</v>
      </c>
      <c r="E81" s="473">
        <f>Stored_C!G87+Stored_C!M87</f>
        <v>0</v>
      </c>
      <c r="F81" s="474">
        <f>F80+HWP!C81</f>
        <v>0</v>
      </c>
      <c r="G81" s="472">
        <f>G80+HWP!D81</f>
        <v>10.890399227244004</v>
      </c>
      <c r="H81" s="473">
        <f>H80+HWP!E81</f>
        <v>8.984579362476298</v>
      </c>
      <c r="I81" s="456"/>
      <c r="J81" s="475">
        <f>Garden!J88</f>
        <v>0</v>
      </c>
      <c r="K81" s="476">
        <f>Paper!J88</f>
        <v>1.1942088978657523E-2</v>
      </c>
      <c r="L81" s="477">
        <f>Wood!J88</f>
        <v>0</v>
      </c>
      <c r="M81" s="478">
        <f>J81*(1-Recovery_OX!E81)*(1-Recovery_OX!F81)</f>
        <v>0</v>
      </c>
      <c r="N81" s="476">
        <f>K81*(1-Recovery_OX!E81)*(1-Recovery_OX!F81)</f>
        <v>1.1942088978657523E-2</v>
      </c>
      <c r="O81" s="477">
        <f>L81*(1-Recovery_OX!E81)*(1-Recovery_OX!F81)</f>
        <v>0</v>
      </c>
    </row>
    <row r="82" spans="2:15">
      <c r="B82" s="470">
        <f t="shared" si="1"/>
        <v>2020</v>
      </c>
      <c r="C82" s="471">
        <f>Stored_C!E88</f>
        <v>0</v>
      </c>
      <c r="D82" s="472">
        <f>Stored_C!F88+Stored_C!L88</f>
        <v>0</v>
      </c>
      <c r="E82" s="473">
        <f>Stored_C!G88+Stored_C!M88</f>
        <v>0</v>
      </c>
      <c r="F82" s="474">
        <f>F81+HWP!C82</f>
        <v>0</v>
      </c>
      <c r="G82" s="472">
        <f>G81+HWP!D82</f>
        <v>10.890399227244004</v>
      </c>
      <c r="H82" s="473">
        <f>H81+HWP!E82</f>
        <v>8.984579362476298</v>
      </c>
      <c r="I82" s="456"/>
      <c r="J82" s="475">
        <f>Garden!J89</f>
        <v>0</v>
      </c>
      <c r="K82" s="476">
        <f>Paper!J89</f>
        <v>1.113472996046721E-2</v>
      </c>
      <c r="L82" s="477">
        <f>Wood!J89</f>
        <v>0</v>
      </c>
      <c r="M82" s="478">
        <f>J82*(1-Recovery_OX!E82)*(1-Recovery_OX!F82)</f>
        <v>0</v>
      </c>
      <c r="N82" s="476">
        <f>K82*(1-Recovery_OX!E82)*(1-Recovery_OX!F82)</f>
        <v>1.113472996046721E-2</v>
      </c>
      <c r="O82" s="477">
        <f>L82*(1-Recovery_OX!E82)*(1-Recovery_OX!F82)</f>
        <v>0</v>
      </c>
    </row>
    <row r="83" spans="2:15">
      <c r="B83" s="470">
        <f t="shared" si="1"/>
        <v>2021</v>
      </c>
      <c r="C83" s="471">
        <f>Stored_C!E89</f>
        <v>0</v>
      </c>
      <c r="D83" s="472">
        <f>Stored_C!F89+Stored_C!L89</f>
        <v>0</v>
      </c>
      <c r="E83" s="473">
        <f>Stored_C!G89+Stored_C!M89</f>
        <v>0</v>
      </c>
      <c r="F83" s="474">
        <f>F82+HWP!C83</f>
        <v>0</v>
      </c>
      <c r="G83" s="472">
        <f>G82+HWP!D83</f>
        <v>10.890399227244004</v>
      </c>
      <c r="H83" s="473">
        <f>H82+HWP!E83</f>
        <v>8.984579362476298</v>
      </c>
      <c r="I83" s="456"/>
      <c r="J83" s="475">
        <f>Garden!J90</f>
        <v>0</v>
      </c>
      <c r="K83" s="476">
        <f>Paper!J90</f>
        <v>1.0381953401461232E-2</v>
      </c>
      <c r="L83" s="477">
        <f>Wood!J90</f>
        <v>0</v>
      </c>
      <c r="M83" s="478">
        <f>J83*(1-Recovery_OX!E83)*(1-Recovery_OX!F83)</f>
        <v>0</v>
      </c>
      <c r="N83" s="476">
        <f>K83*(1-Recovery_OX!E83)*(1-Recovery_OX!F83)</f>
        <v>1.0381953401461232E-2</v>
      </c>
      <c r="O83" s="477">
        <f>L83*(1-Recovery_OX!E83)*(1-Recovery_OX!F83)</f>
        <v>0</v>
      </c>
    </row>
    <row r="84" spans="2:15">
      <c r="B84" s="470">
        <f t="shared" si="1"/>
        <v>2022</v>
      </c>
      <c r="C84" s="471">
        <f>Stored_C!E90</f>
        <v>0</v>
      </c>
      <c r="D84" s="472">
        <f>Stored_C!F90+Stored_C!L90</f>
        <v>0</v>
      </c>
      <c r="E84" s="473">
        <f>Stored_C!G90+Stored_C!M90</f>
        <v>0</v>
      </c>
      <c r="F84" s="474">
        <f>F83+HWP!C84</f>
        <v>0</v>
      </c>
      <c r="G84" s="472">
        <f>G83+HWP!D84</f>
        <v>10.890399227244004</v>
      </c>
      <c r="H84" s="473">
        <f>H83+HWP!E84</f>
        <v>8.984579362476298</v>
      </c>
      <c r="I84" s="456"/>
      <c r="J84" s="475">
        <f>Garden!J91</f>
        <v>0</v>
      </c>
      <c r="K84" s="476">
        <f>Paper!J91</f>
        <v>9.6800691900739907E-3</v>
      </c>
      <c r="L84" s="477">
        <f>Wood!J91</f>
        <v>0</v>
      </c>
      <c r="M84" s="478">
        <f>J84*(1-Recovery_OX!E84)*(1-Recovery_OX!F84)</f>
        <v>0</v>
      </c>
      <c r="N84" s="476">
        <f>K84*(1-Recovery_OX!E84)*(1-Recovery_OX!F84)</f>
        <v>9.6800691900739907E-3</v>
      </c>
      <c r="O84" s="477">
        <f>L84*(1-Recovery_OX!E84)*(1-Recovery_OX!F84)</f>
        <v>0</v>
      </c>
    </row>
    <row r="85" spans="2:15">
      <c r="B85" s="470">
        <f t="shared" si="1"/>
        <v>2023</v>
      </c>
      <c r="C85" s="471">
        <f>Stored_C!E91</f>
        <v>0</v>
      </c>
      <c r="D85" s="472">
        <f>Stored_C!F91+Stored_C!L91</f>
        <v>0</v>
      </c>
      <c r="E85" s="473">
        <f>Stored_C!G91+Stored_C!M91</f>
        <v>0</v>
      </c>
      <c r="F85" s="474">
        <f>F84+HWP!C85</f>
        <v>0</v>
      </c>
      <c r="G85" s="472">
        <f>G84+HWP!D85</f>
        <v>10.890399227244004</v>
      </c>
      <c r="H85" s="473">
        <f>H84+HWP!E85</f>
        <v>8.984579362476298</v>
      </c>
      <c r="I85" s="456"/>
      <c r="J85" s="475">
        <f>Garden!J92</f>
        <v>0</v>
      </c>
      <c r="K85" s="476">
        <f>Paper!J92</f>
        <v>9.0256366890869664E-3</v>
      </c>
      <c r="L85" s="477">
        <f>Wood!J92</f>
        <v>0</v>
      </c>
      <c r="M85" s="478">
        <f>J85*(1-Recovery_OX!E85)*(1-Recovery_OX!F85)</f>
        <v>0</v>
      </c>
      <c r="N85" s="476">
        <f>K85*(1-Recovery_OX!E85)*(1-Recovery_OX!F85)</f>
        <v>9.0256366890869664E-3</v>
      </c>
      <c r="O85" s="477">
        <f>L85*(1-Recovery_OX!E85)*(1-Recovery_OX!F85)</f>
        <v>0</v>
      </c>
    </row>
    <row r="86" spans="2:15">
      <c r="B86" s="470">
        <f t="shared" si="1"/>
        <v>2024</v>
      </c>
      <c r="C86" s="471">
        <f>Stored_C!E92</f>
        <v>0</v>
      </c>
      <c r="D86" s="472">
        <f>Stored_C!F92+Stored_C!L92</f>
        <v>0</v>
      </c>
      <c r="E86" s="473">
        <f>Stored_C!G92+Stored_C!M92</f>
        <v>0</v>
      </c>
      <c r="F86" s="474">
        <f>F85+HWP!C86</f>
        <v>0</v>
      </c>
      <c r="G86" s="472">
        <f>G85+HWP!D86</f>
        <v>10.890399227244004</v>
      </c>
      <c r="H86" s="473">
        <f>H85+HWP!E86</f>
        <v>8.984579362476298</v>
      </c>
      <c r="I86" s="456"/>
      <c r="J86" s="475">
        <f>Garden!J93</f>
        <v>0</v>
      </c>
      <c r="K86" s="476">
        <f>Paper!J93</f>
        <v>8.4154478696210708E-3</v>
      </c>
      <c r="L86" s="477">
        <f>Wood!J93</f>
        <v>0</v>
      </c>
      <c r="M86" s="478">
        <f>J86*(1-Recovery_OX!E86)*(1-Recovery_OX!F86)</f>
        <v>0</v>
      </c>
      <c r="N86" s="476">
        <f>K86*(1-Recovery_OX!E86)*(1-Recovery_OX!F86)</f>
        <v>8.4154478696210708E-3</v>
      </c>
      <c r="O86" s="477">
        <f>L86*(1-Recovery_OX!E86)*(1-Recovery_OX!F86)</f>
        <v>0</v>
      </c>
    </row>
    <row r="87" spans="2:15">
      <c r="B87" s="470">
        <f t="shared" si="1"/>
        <v>2025</v>
      </c>
      <c r="C87" s="471">
        <f>Stored_C!E93</f>
        <v>0</v>
      </c>
      <c r="D87" s="472">
        <f>Stored_C!F93+Stored_C!L93</f>
        <v>0</v>
      </c>
      <c r="E87" s="473">
        <f>Stored_C!G93+Stored_C!M93</f>
        <v>0</v>
      </c>
      <c r="F87" s="474">
        <f>F86+HWP!C87</f>
        <v>0</v>
      </c>
      <c r="G87" s="472">
        <f>G86+HWP!D87</f>
        <v>10.890399227244004</v>
      </c>
      <c r="H87" s="473">
        <f>H86+HWP!E87</f>
        <v>8.984579362476298</v>
      </c>
      <c r="I87" s="456"/>
      <c r="J87" s="475">
        <f>Garden!J94</f>
        <v>0</v>
      </c>
      <c r="K87" s="476">
        <f>Paper!J94</f>
        <v>7.846511585375365E-3</v>
      </c>
      <c r="L87" s="477">
        <f>Wood!J94</f>
        <v>0</v>
      </c>
      <c r="M87" s="478">
        <f>J87*(1-Recovery_OX!E87)*(1-Recovery_OX!F87)</f>
        <v>0</v>
      </c>
      <c r="N87" s="476">
        <f>K87*(1-Recovery_OX!E87)*(1-Recovery_OX!F87)</f>
        <v>7.846511585375365E-3</v>
      </c>
      <c r="O87" s="477">
        <f>L87*(1-Recovery_OX!E87)*(1-Recovery_OX!F87)</f>
        <v>0</v>
      </c>
    </row>
    <row r="88" spans="2:15">
      <c r="B88" s="470">
        <f t="shared" si="1"/>
        <v>2026</v>
      </c>
      <c r="C88" s="471">
        <f>Stored_C!E94</f>
        <v>0</v>
      </c>
      <c r="D88" s="472">
        <f>Stored_C!F94+Stored_C!L94</f>
        <v>0</v>
      </c>
      <c r="E88" s="473">
        <f>Stored_C!G94+Stored_C!M94</f>
        <v>0</v>
      </c>
      <c r="F88" s="474">
        <f>F87+HWP!C88</f>
        <v>0</v>
      </c>
      <c r="G88" s="472">
        <f>G87+HWP!D88</f>
        <v>10.890399227244004</v>
      </c>
      <c r="H88" s="473">
        <f>H87+HWP!E88</f>
        <v>8.984579362476298</v>
      </c>
      <c r="I88" s="456"/>
      <c r="J88" s="475">
        <f>Garden!J95</f>
        <v>0</v>
      </c>
      <c r="K88" s="476">
        <f>Paper!J95</f>
        <v>7.3160389100244156E-3</v>
      </c>
      <c r="L88" s="477">
        <f>Wood!J95</f>
        <v>0</v>
      </c>
      <c r="M88" s="478">
        <f>J88*(1-Recovery_OX!E88)*(1-Recovery_OX!F88)</f>
        <v>0</v>
      </c>
      <c r="N88" s="476">
        <f>K88*(1-Recovery_OX!E88)*(1-Recovery_OX!F88)</f>
        <v>7.3160389100244156E-3</v>
      </c>
      <c r="O88" s="477">
        <f>L88*(1-Recovery_OX!E88)*(1-Recovery_OX!F88)</f>
        <v>0</v>
      </c>
    </row>
    <row r="89" spans="2:15">
      <c r="B89" s="470">
        <f t="shared" si="1"/>
        <v>2027</v>
      </c>
      <c r="C89" s="471">
        <f>Stored_C!E95</f>
        <v>0</v>
      </c>
      <c r="D89" s="472">
        <f>Stored_C!F95+Stored_C!L95</f>
        <v>0</v>
      </c>
      <c r="E89" s="473">
        <f>Stored_C!G95+Stored_C!M95</f>
        <v>0</v>
      </c>
      <c r="F89" s="474">
        <f>F88+HWP!C89</f>
        <v>0</v>
      </c>
      <c r="G89" s="472">
        <f>G88+HWP!D89</f>
        <v>10.890399227244004</v>
      </c>
      <c r="H89" s="473">
        <f>H88+HWP!E89</f>
        <v>8.984579362476298</v>
      </c>
      <c r="I89" s="456"/>
      <c r="J89" s="475">
        <f>Garden!J96</f>
        <v>0</v>
      </c>
      <c r="K89" s="476">
        <f>Paper!J96</f>
        <v>6.8214294658982154E-3</v>
      </c>
      <c r="L89" s="477">
        <f>Wood!J96</f>
        <v>0</v>
      </c>
      <c r="M89" s="478">
        <f>J89*(1-Recovery_OX!E89)*(1-Recovery_OX!F89)</f>
        <v>0</v>
      </c>
      <c r="N89" s="476">
        <f>K89*(1-Recovery_OX!E89)*(1-Recovery_OX!F89)</f>
        <v>6.8214294658982154E-3</v>
      </c>
      <c r="O89" s="477">
        <f>L89*(1-Recovery_OX!E89)*(1-Recovery_OX!F89)</f>
        <v>0</v>
      </c>
    </row>
    <row r="90" spans="2:15">
      <c r="B90" s="470">
        <f t="shared" si="1"/>
        <v>2028</v>
      </c>
      <c r="C90" s="471">
        <f>Stored_C!E96</f>
        <v>0</v>
      </c>
      <c r="D90" s="472">
        <f>Stored_C!F96+Stored_C!L96</f>
        <v>0</v>
      </c>
      <c r="E90" s="473">
        <f>Stored_C!G96+Stored_C!M96</f>
        <v>0</v>
      </c>
      <c r="F90" s="474">
        <f>F89+HWP!C90</f>
        <v>0</v>
      </c>
      <c r="G90" s="472">
        <f>G89+HWP!D90</f>
        <v>10.890399227244004</v>
      </c>
      <c r="H90" s="473">
        <f>H89+HWP!E90</f>
        <v>8.984579362476298</v>
      </c>
      <c r="I90" s="456"/>
      <c r="J90" s="475">
        <f>Garden!J97</f>
        <v>0</v>
      </c>
      <c r="K90" s="476">
        <f>Paper!J97</f>
        <v>6.3602586769278295E-3</v>
      </c>
      <c r="L90" s="477">
        <f>Wood!J97</f>
        <v>0</v>
      </c>
      <c r="M90" s="478">
        <f>J90*(1-Recovery_OX!E90)*(1-Recovery_OX!F90)</f>
        <v>0</v>
      </c>
      <c r="N90" s="476">
        <f>K90*(1-Recovery_OX!E90)*(1-Recovery_OX!F90)</f>
        <v>6.3602586769278295E-3</v>
      </c>
      <c r="O90" s="477">
        <f>L90*(1-Recovery_OX!E90)*(1-Recovery_OX!F90)</f>
        <v>0</v>
      </c>
    </row>
    <row r="91" spans="2:15">
      <c r="B91" s="470">
        <f t="shared" si="1"/>
        <v>2029</v>
      </c>
      <c r="C91" s="471">
        <f>Stored_C!E97</f>
        <v>0</v>
      </c>
      <c r="D91" s="472">
        <f>Stored_C!F97+Stored_C!L97</f>
        <v>0</v>
      </c>
      <c r="E91" s="473">
        <f>Stored_C!G97+Stored_C!M97</f>
        <v>0</v>
      </c>
      <c r="F91" s="474">
        <f>F90+HWP!C91</f>
        <v>0</v>
      </c>
      <c r="G91" s="472">
        <f>G90+HWP!D91</f>
        <v>10.890399227244004</v>
      </c>
      <c r="H91" s="473">
        <f>H90+HWP!E91</f>
        <v>8.984579362476298</v>
      </c>
      <c r="I91" s="456"/>
      <c r="J91" s="475">
        <f>Garden!J98</f>
        <v>0</v>
      </c>
      <c r="K91" s="476">
        <f>Paper!J98</f>
        <v>5.9302658833706914E-3</v>
      </c>
      <c r="L91" s="477">
        <f>Wood!J98</f>
        <v>0</v>
      </c>
      <c r="M91" s="478">
        <f>J91*(1-Recovery_OX!E91)*(1-Recovery_OX!F91)</f>
        <v>0</v>
      </c>
      <c r="N91" s="476">
        <f>K91*(1-Recovery_OX!E91)*(1-Recovery_OX!F91)</f>
        <v>5.9302658833706914E-3</v>
      </c>
      <c r="O91" s="477">
        <f>L91*(1-Recovery_OX!E91)*(1-Recovery_OX!F91)</f>
        <v>0</v>
      </c>
    </row>
    <row r="92" spans="2:15" ht="13.5" thickBot="1">
      <c r="B92" s="479">
        <f t="shared" si="1"/>
        <v>2030</v>
      </c>
      <c r="C92" s="480">
        <f>Stored_C!E98</f>
        <v>0</v>
      </c>
      <c r="D92" s="481">
        <f>Stored_C!F98+Stored_C!L98</f>
        <v>0</v>
      </c>
      <c r="E92" s="482">
        <f>Stored_C!G98+Stored_C!M98</f>
        <v>0</v>
      </c>
      <c r="F92" s="483">
        <f>F91+HWP!C92</f>
        <v>0</v>
      </c>
      <c r="G92" s="481">
        <f>G91+HWP!D92</f>
        <v>10.890399227244004</v>
      </c>
      <c r="H92" s="482">
        <f>H91+HWP!E92</f>
        <v>8.984579362476298</v>
      </c>
      <c r="I92" s="456"/>
      <c r="J92" s="484">
        <f>Garden!J99</f>
        <v>0</v>
      </c>
      <c r="K92" s="485">
        <f>Paper!J99</f>
        <v>5.5293432600539219E-3</v>
      </c>
      <c r="L92" s="486">
        <f>Wood!J99</f>
        <v>0</v>
      </c>
      <c r="M92" s="487">
        <f>J92*(1-Recovery_OX!E92)*(1-Recovery_OX!F92)</f>
        <v>0</v>
      </c>
      <c r="N92" s="485">
        <f>K92*(1-Recovery_OX!E92)*(1-Recovery_OX!F92)</f>
        <v>5.5293432600539219E-3</v>
      </c>
      <c r="O92" s="486">
        <f>L92*(1-Recovery_OX!E92)*(1-Recovery_OX!F92)</f>
        <v>0</v>
      </c>
    </row>
  </sheetData>
  <mergeCells count="4">
    <mergeCell ref="C8:E8"/>
    <mergeCell ref="F8:H8"/>
    <mergeCell ref="J8:L8"/>
    <mergeCell ref="M8:O8"/>
  </mergeCells>
  <pageMargins left="0.75" right="0.75" top="1" bottom="1" header="0.5" footer="0.5"/>
  <headerFooter alignWithMargins="0"/>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17</vt:i4>
      </vt:variant>
    </vt:vector>
  </HeadingPairs>
  <TitlesOfParts>
    <vt:vector size="38" baseType="lpstr">
      <vt:lpstr>Instructions</vt:lpstr>
      <vt:lpstr>Parameters</vt:lpstr>
      <vt:lpstr>MCF</vt:lpstr>
      <vt:lpstr>Activity</vt:lpstr>
      <vt:lpstr>Dry_Matter_Content</vt:lpstr>
      <vt:lpstr>Amnt_Deposited</vt:lpstr>
      <vt:lpstr>Recovery_OX</vt:lpstr>
      <vt:lpstr>Results</vt:lpstr>
      <vt:lpstr>HWP</vt:lpstr>
      <vt:lpstr>Stored_C</vt:lpstr>
      <vt:lpstr>Theory</vt:lpstr>
      <vt:lpstr>Defaults</vt:lpstr>
      <vt:lpstr>Food</vt:lpstr>
      <vt:lpstr>Paper</vt:lpstr>
      <vt:lpstr>Nappies</vt:lpstr>
      <vt:lpstr>Garden</vt:lpstr>
      <vt:lpstr>Wood</vt:lpstr>
      <vt:lpstr>Textiles</vt:lpstr>
      <vt:lpstr>Sludge</vt:lpstr>
      <vt:lpstr>MSW</vt:lpstr>
      <vt:lpstr>Industry</vt:lpstr>
      <vt:lpstr>CH4_fraction</vt:lpstr>
      <vt:lpstr>city</vt:lpstr>
      <vt:lpstr>conv</vt:lpstr>
      <vt:lpstr>country</vt:lpstr>
      <vt:lpstr>DOC_table</vt:lpstr>
      <vt:lpstr>DOCF</vt:lpstr>
      <vt:lpstr>half_life</vt:lpstr>
      <vt:lpstr>ox</vt:lpstr>
      <vt:lpstr>Instructions!Print_Area</vt:lpstr>
      <vt:lpstr>Parameters!Print_Area</vt:lpstr>
      <vt:lpstr>Theory!Print_Area</vt:lpstr>
      <vt:lpstr>province</vt:lpstr>
      <vt:lpstr>Regional_data</vt:lpstr>
      <vt:lpstr>Select2</vt:lpstr>
      <vt:lpstr>Select3</vt:lpstr>
      <vt:lpstr>selected</vt:lpstr>
      <vt:lpstr>year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Resalto Pradewa</dc:creator>
  <cp:lastModifiedBy>Iwied</cp:lastModifiedBy>
  <cp:lastPrinted>2012-09-21T09:20:05Z</cp:lastPrinted>
  <dcterms:created xsi:type="dcterms:W3CDTF">2004-11-09T12:47:45Z</dcterms:created>
  <dcterms:modified xsi:type="dcterms:W3CDTF">2017-09-14T08:31:00Z</dcterms:modified>
</cp:coreProperties>
</file>