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Kutim\"/>
    </mc:Choice>
  </mc:AlternateContent>
  <bookViews>
    <workbookView xWindow="360" yWindow="45" windowWidth="21015" windowHeight="9975" tabRatio="738" firstSheet="3" activeTab="3"/>
  </bookViews>
  <sheets>
    <sheet name="timbulan sampah" sheetId="4" r:id="rId1"/>
    <sheet name="Fraksi pengelolaan sampah BaU" sheetId="1" r:id="rId2"/>
    <sheet name="Rekapitulasi BaU Emisi GRK" sheetId="3" r:id="rId3"/>
    <sheet name="Rekap BAU_Gabung" sheetId="7" r:id="rId4"/>
    <sheet name="Rekap BAU Emisi Industri Sawitt" sheetId="6" r:id="rId5"/>
    <sheet name="Frksi pengelolaan smph Mitigasi" sheetId="2" state="hidden" r:id="rId6"/>
    <sheet name="Rekaptlasi Mitigasi Emisi GRK" sheetId="5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52511"/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24" i="6" l="1"/>
  <c r="C23" i="6"/>
  <c r="C22" i="6"/>
  <c r="C21" i="6"/>
  <c r="C20" i="6"/>
  <c r="C19" i="6"/>
  <c r="C18" i="6"/>
  <c r="C17" i="6"/>
  <c r="C16" i="6"/>
  <c r="C15" i="6"/>
  <c r="C6" i="6"/>
  <c r="C7" i="6"/>
  <c r="C8" i="6"/>
  <c r="C9" i="6"/>
  <c r="C10" i="6"/>
  <c r="C11" i="6"/>
  <c r="C12" i="6"/>
  <c r="C13" i="6"/>
  <c r="C14" i="6"/>
  <c r="C5" i="6"/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5" i="4"/>
  <c r="F53" i="5"/>
  <c r="F52" i="5"/>
  <c r="F51" i="5"/>
  <c r="F50" i="5"/>
  <c r="F49" i="5"/>
  <c r="F48" i="5"/>
  <c r="F47" i="5"/>
  <c r="F46" i="5"/>
  <c r="F45" i="5"/>
  <c r="F44" i="5"/>
  <c r="F43" i="5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D16" i="6" l="1"/>
  <c r="D17" i="6"/>
  <c r="D18" i="6"/>
  <c r="D19" i="6"/>
  <c r="D20" i="6"/>
  <c r="D21" i="6"/>
  <c r="D22" i="6"/>
  <c r="D23" i="6"/>
  <c r="D24" i="6"/>
  <c r="D25" i="6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/>
  <c r="M29" i="3"/>
  <c r="N29" i="3"/>
  <c r="I81" i="3" s="1"/>
  <c r="J81" i="3" s="1"/>
  <c r="H29" i="3"/>
  <c r="I29" i="3"/>
  <c r="C29" i="3"/>
  <c r="D29" i="3"/>
  <c r="S5" i="7" l="1"/>
  <c r="D26" i="7"/>
  <c r="D25" i="7"/>
  <c r="R5" i="7"/>
  <c r="D27" i="7"/>
  <c r="T5" i="7"/>
  <c r="D23" i="7"/>
  <c r="P5" i="7"/>
  <c r="D22" i="7"/>
  <c r="O5" i="7"/>
  <c r="N5" i="7"/>
  <c r="D21" i="7"/>
  <c r="D24" i="7"/>
  <c r="Q5" i="7"/>
  <c r="D28" i="7"/>
  <c r="U5" i="7"/>
  <c r="D20" i="7"/>
  <c r="M5" i="7"/>
  <c r="I6" i="1"/>
  <c r="E91" i="3" l="1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90" i="3"/>
  <c r="F106" i="3" l="1"/>
  <c r="G106" i="3" s="1"/>
  <c r="F98" i="3"/>
  <c r="G98" i="3" s="1"/>
  <c r="F109" i="3"/>
  <c r="G109" i="3" s="1"/>
  <c r="F101" i="3"/>
  <c r="G101" i="3" s="1"/>
  <c r="F93" i="3"/>
  <c r="G93" i="3" s="1"/>
  <c r="F108" i="3"/>
  <c r="G108" i="3" s="1"/>
  <c r="F100" i="3"/>
  <c r="G100" i="3" s="1"/>
  <c r="F92" i="3"/>
  <c r="G92" i="3" s="1"/>
  <c r="F105" i="3"/>
  <c r="G105" i="3" s="1"/>
  <c r="F97" i="3"/>
  <c r="G97" i="3" s="1"/>
  <c r="F104" i="3"/>
  <c r="G104" i="3" s="1"/>
  <c r="F96" i="3"/>
  <c r="G96" i="3" s="1"/>
  <c r="F110" i="3"/>
  <c r="F102" i="3"/>
  <c r="G102" i="3" s="1"/>
  <c r="F94" i="3"/>
  <c r="G94" i="3" s="1"/>
  <c r="F107" i="3"/>
  <c r="G107" i="3" s="1"/>
  <c r="F99" i="3"/>
  <c r="G99" i="3" s="1"/>
  <c r="F91" i="3"/>
  <c r="G91" i="3" s="1"/>
  <c r="F90" i="3"/>
  <c r="G90" i="3" s="1"/>
  <c r="F103" i="3"/>
  <c r="G103" i="3" s="1"/>
  <c r="F95" i="3"/>
  <c r="G95" i="3" s="1"/>
  <c r="T4" i="7" l="1"/>
  <c r="C27" i="7"/>
  <c r="C26" i="7"/>
  <c r="S4" i="7"/>
  <c r="F4" i="7"/>
  <c r="C13" i="7"/>
  <c r="C21" i="7"/>
  <c r="N4" i="7"/>
  <c r="G4" i="7"/>
  <c r="C14" i="7"/>
  <c r="H4" i="7"/>
  <c r="C15" i="7"/>
  <c r="C9" i="7"/>
  <c r="B4" i="7"/>
  <c r="C10" i="7"/>
  <c r="C4" i="7"/>
  <c r="C16" i="7"/>
  <c r="I4" i="7"/>
  <c r="J4" i="7"/>
  <c r="C17" i="7"/>
  <c r="D4" i="7"/>
  <c r="C11" i="7"/>
  <c r="C19" i="7"/>
  <c r="L4" i="7"/>
  <c r="C12" i="7"/>
  <c r="E4" i="7"/>
  <c r="O4" i="7"/>
  <c r="C22" i="7"/>
  <c r="C20" i="7"/>
  <c r="M4" i="7"/>
  <c r="P4" i="7"/>
  <c r="C23" i="7"/>
  <c r="C28" i="7"/>
  <c r="U4" i="7"/>
  <c r="C18" i="7"/>
  <c r="K4" i="7"/>
  <c r="C24" i="7"/>
  <c r="Q4" i="7"/>
  <c r="R4" i="7"/>
  <c r="C25" i="7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F81" i="3" s="1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F53" i="3" l="1"/>
  <c r="F49" i="3"/>
  <c r="F52" i="3"/>
  <c r="F48" i="3"/>
  <c r="F73" i="3"/>
  <c r="F54" i="3"/>
  <c r="F77" i="3"/>
  <c r="F80" i="3"/>
  <c r="F72" i="3"/>
  <c r="F79" i="3"/>
  <c r="F78" i="3"/>
  <c r="F71" i="3"/>
  <c r="F63" i="3"/>
  <c r="F70" i="3"/>
  <c r="F66" i="3"/>
  <c r="F65" i="3"/>
  <c r="F64" i="3"/>
  <c r="F69" i="3"/>
  <c r="F68" i="3"/>
  <c r="F67" i="3"/>
  <c r="F76" i="3"/>
  <c r="F75" i="3"/>
  <c r="F74" i="3"/>
  <c r="F51" i="3"/>
  <c r="F50" i="3"/>
  <c r="F46" i="3"/>
  <c r="F47" i="3"/>
  <c r="F55" i="3"/>
  <c r="I17" i="1" l="1"/>
  <c r="I18" i="1"/>
  <c r="I19" i="1"/>
  <c r="I20" i="1"/>
  <c r="I21" i="1"/>
  <c r="I22" i="1"/>
  <c r="I23" i="1"/>
  <c r="I24" i="1"/>
  <c r="I25" i="1"/>
  <c r="D16" i="4" l="1"/>
  <c r="E16" i="4" s="1"/>
  <c r="I40" i="1" s="1"/>
  <c r="D17" i="4"/>
  <c r="E17" i="4" s="1"/>
  <c r="I41" i="1" s="1"/>
  <c r="D18" i="4"/>
  <c r="E18" i="4" s="1"/>
  <c r="I42" i="1" s="1"/>
  <c r="D19" i="4"/>
  <c r="E19" i="4" s="1"/>
  <c r="I43" i="1" s="1"/>
  <c r="D20" i="4"/>
  <c r="E20" i="4" s="1"/>
  <c r="I44" i="1" s="1"/>
  <c r="D21" i="4"/>
  <c r="E21" i="4" s="1"/>
  <c r="I45" i="1" s="1"/>
  <c r="D22" i="4"/>
  <c r="E22" i="4" s="1"/>
  <c r="I46" i="1" s="1"/>
  <c r="D23" i="4"/>
  <c r="E23" i="4" s="1"/>
  <c r="I47" i="1" s="1"/>
  <c r="D24" i="4"/>
  <c r="E24" i="4" s="1"/>
  <c r="I48" i="1" s="1"/>
  <c r="H41" i="1" l="1"/>
  <c r="F41" i="1"/>
  <c r="E41" i="1"/>
  <c r="B41" i="1"/>
  <c r="G41" i="1"/>
  <c r="C41" i="1"/>
  <c r="D41" i="1"/>
  <c r="D40" i="1"/>
  <c r="H40" i="1"/>
  <c r="F40" i="1"/>
  <c r="G40" i="1"/>
  <c r="E40" i="1"/>
  <c r="B40" i="1"/>
  <c r="C40" i="1"/>
  <c r="G47" i="1"/>
  <c r="E47" i="1"/>
  <c r="C47" i="1"/>
  <c r="D47" i="1"/>
  <c r="B47" i="1"/>
  <c r="H47" i="1"/>
  <c r="F47" i="1"/>
  <c r="G43" i="1"/>
  <c r="E43" i="1"/>
  <c r="C43" i="1"/>
  <c r="D43" i="1"/>
  <c r="H43" i="1"/>
  <c r="F43" i="1"/>
  <c r="B43" i="1"/>
  <c r="H45" i="1"/>
  <c r="F45" i="1"/>
  <c r="B45" i="1"/>
  <c r="D45" i="1"/>
  <c r="G45" i="1"/>
  <c r="E45" i="1"/>
  <c r="C45" i="1"/>
  <c r="D48" i="1"/>
  <c r="G48" i="1"/>
  <c r="H48" i="1"/>
  <c r="F48" i="1"/>
  <c r="B48" i="1"/>
  <c r="E48" i="1"/>
  <c r="C48" i="1"/>
  <c r="D44" i="1"/>
  <c r="H44" i="1"/>
  <c r="F44" i="1"/>
  <c r="E44" i="1"/>
  <c r="C44" i="1"/>
  <c r="B44" i="1"/>
  <c r="G44" i="1"/>
  <c r="B46" i="1"/>
  <c r="G46" i="1"/>
  <c r="E46" i="1"/>
  <c r="C46" i="1"/>
  <c r="H46" i="1"/>
  <c r="F46" i="1"/>
  <c r="D46" i="1"/>
  <c r="B42" i="1"/>
  <c r="G42" i="1"/>
  <c r="E42" i="1"/>
  <c r="C42" i="1"/>
  <c r="F42" i="1"/>
  <c r="D42" i="1"/>
  <c r="H42" i="1"/>
  <c r="J44" i="1" l="1"/>
  <c r="J48" i="1"/>
  <c r="J45" i="1"/>
  <c r="J40" i="1"/>
  <c r="J43" i="1"/>
  <c r="J41" i="1"/>
  <c r="J47" i="1"/>
  <c r="J46" i="1"/>
  <c r="J42" i="1"/>
  <c r="M15" i="1"/>
  <c r="M14" i="1" s="1"/>
  <c r="M13" i="1" s="1"/>
  <c r="M12" i="1" s="1"/>
  <c r="M11" i="1" s="1"/>
  <c r="M10" i="1" s="1"/>
  <c r="M9" i="1" s="1"/>
  <c r="M8" i="1" s="1"/>
  <c r="M7" i="1" s="1"/>
  <c r="C62" i="3" l="1"/>
  <c r="F62" i="3" s="1"/>
  <c r="E61" i="3"/>
  <c r="C61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0" i="1" s="1"/>
  <c r="D7" i="4"/>
  <c r="E7" i="4" s="1"/>
  <c r="I41" i="2" s="1"/>
  <c r="D8" i="4"/>
  <c r="E8" i="4" s="1"/>
  <c r="I32" i="1" s="1"/>
  <c r="C32" i="1" s="1"/>
  <c r="D9" i="4"/>
  <c r="E9" i="4" s="1"/>
  <c r="I33" i="1" s="1"/>
  <c r="C33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D5" i="4"/>
  <c r="E5" i="4" s="1"/>
  <c r="I29" i="1" s="1"/>
  <c r="B29" i="1" s="1"/>
  <c r="L7" i="4"/>
  <c r="L8" i="4" s="1"/>
  <c r="J7" i="4"/>
  <c r="J8" i="4" s="1"/>
  <c r="I39" i="2" l="1"/>
  <c r="F61" i="3"/>
  <c r="F40" i="3"/>
  <c r="F27" i="5"/>
  <c r="F29" i="5"/>
  <c r="F65" i="5"/>
  <c r="F69" i="5"/>
  <c r="I49" i="2"/>
  <c r="I39" i="1"/>
  <c r="C39" i="1" s="1"/>
  <c r="F26" i="5"/>
  <c r="F30" i="5"/>
  <c r="F70" i="5"/>
  <c r="F72" i="5"/>
  <c r="F35" i="3"/>
  <c r="F37" i="3"/>
  <c r="F39" i="3"/>
  <c r="F43" i="3"/>
  <c r="F45" i="3"/>
  <c r="F42" i="3"/>
  <c r="F44" i="3"/>
  <c r="F36" i="3"/>
  <c r="D30" i="1"/>
  <c r="C30" i="1"/>
  <c r="I31" i="1"/>
  <c r="I40" i="2"/>
  <c r="I36" i="1"/>
  <c r="I35" i="1"/>
  <c r="F32" i="1"/>
  <c r="E32" i="1"/>
  <c r="I42" i="2"/>
  <c r="B30" i="1"/>
  <c r="F30" i="1"/>
  <c r="E30" i="1"/>
  <c r="I34" i="1"/>
  <c r="I37" i="1"/>
  <c r="C37" i="1" s="1"/>
  <c r="I47" i="2"/>
  <c r="F33" i="1"/>
  <c r="B33" i="1"/>
  <c r="D33" i="1"/>
  <c r="G33" i="1"/>
  <c r="H33" i="1"/>
  <c r="I43" i="2"/>
  <c r="F31" i="5"/>
  <c r="F33" i="5"/>
  <c r="F63" i="5"/>
  <c r="I38" i="1"/>
  <c r="C38" i="1" s="1"/>
  <c r="F35" i="5"/>
  <c r="F67" i="5"/>
  <c r="F38" i="3"/>
  <c r="F41" i="3"/>
  <c r="G30" i="1"/>
  <c r="F36" i="5"/>
  <c r="F66" i="5"/>
  <c r="F71" i="5"/>
  <c r="B32" i="1"/>
  <c r="E33" i="1"/>
  <c r="G32" i="1"/>
  <c r="H32" i="1"/>
  <c r="D32" i="1"/>
  <c r="H30" i="1"/>
  <c r="J32" i="1" l="1"/>
  <c r="J30" i="1"/>
  <c r="J33" i="1"/>
  <c r="E29" i="1"/>
  <c r="F34" i="1"/>
  <c r="C34" i="1"/>
  <c r="F36" i="1"/>
  <c r="C36" i="1"/>
  <c r="E31" i="1"/>
  <c r="C31" i="1"/>
  <c r="E35" i="1"/>
  <c r="C35" i="1"/>
  <c r="G35" i="1"/>
  <c r="H36" i="1"/>
  <c r="G36" i="1"/>
  <c r="E36" i="1"/>
  <c r="D35" i="1"/>
  <c r="D31" i="1"/>
  <c r="H35" i="1"/>
  <c r="D29" i="1"/>
  <c r="G31" i="1"/>
  <c r="H34" i="1"/>
  <c r="G34" i="1"/>
  <c r="B36" i="1"/>
  <c r="F31" i="1"/>
  <c r="H31" i="1"/>
  <c r="D36" i="1"/>
  <c r="B31" i="1"/>
  <c r="E34" i="1"/>
  <c r="F35" i="1"/>
  <c r="B35" i="1"/>
  <c r="D34" i="1"/>
  <c r="B34" i="1"/>
  <c r="D38" i="1"/>
  <c r="B38" i="1"/>
  <c r="E38" i="1"/>
  <c r="F38" i="1"/>
  <c r="G38" i="1"/>
  <c r="F37" i="1"/>
  <c r="D37" i="1"/>
  <c r="E37" i="1"/>
  <c r="B37" i="1"/>
  <c r="G37" i="1"/>
  <c r="H37" i="1"/>
  <c r="H29" i="1"/>
  <c r="C29" i="1"/>
  <c r="G29" i="1"/>
  <c r="H38" i="1"/>
  <c r="E39" i="1"/>
  <c r="G39" i="1"/>
  <c r="F39" i="1"/>
  <c r="H39" i="1"/>
  <c r="D39" i="1"/>
  <c r="B39" i="1"/>
  <c r="F29" i="1"/>
  <c r="I7" i="1"/>
  <c r="I8" i="1"/>
  <c r="I9" i="1"/>
  <c r="I10" i="1"/>
  <c r="I11" i="1"/>
  <c r="I12" i="1"/>
  <c r="I13" i="1"/>
  <c r="I14" i="1"/>
  <c r="I15" i="1"/>
  <c r="I16" i="1"/>
  <c r="J29" i="1" l="1"/>
  <c r="J39" i="1"/>
  <c r="J31" i="1"/>
  <c r="J38" i="1"/>
  <c r="J37" i="1"/>
  <c r="J34" i="1"/>
  <c r="J36" i="1"/>
  <c r="J35" i="1"/>
  <c r="C9" i="3" l="1"/>
  <c r="D9" i="3" s="1"/>
  <c r="C11" i="3" l="1"/>
  <c r="D11" i="3" s="1"/>
  <c r="C10" i="3"/>
  <c r="D10" i="3" s="1"/>
  <c r="C12" i="3" l="1"/>
  <c r="D12" i="3" s="1"/>
  <c r="C13" i="3" l="1"/>
  <c r="D13" i="3" s="1"/>
  <c r="C14" i="3" l="1"/>
  <c r="D14" i="3" s="1"/>
  <c r="C15" i="3" l="1"/>
  <c r="D15" i="3" s="1"/>
  <c r="C16" i="3" l="1"/>
  <c r="D16" i="3" s="1"/>
  <c r="C18" i="3" l="1"/>
  <c r="D18" i="3" s="1"/>
  <c r="C17" i="3"/>
  <c r="D17" i="3" s="1"/>
  <c r="C19" i="3" l="1"/>
  <c r="D19" i="3" s="1"/>
  <c r="C20" i="3" l="1"/>
  <c r="D20" i="3" s="1"/>
  <c r="C21" i="3" l="1"/>
  <c r="D21" i="3" s="1"/>
  <c r="C22" i="3" l="1"/>
  <c r="D22" i="3" s="1"/>
  <c r="C23" i="3" l="1"/>
  <c r="D23" i="3" s="1"/>
  <c r="C24" i="3" l="1"/>
  <c r="D24" i="3" s="1"/>
  <c r="C25" i="3" l="1"/>
  <c r="D25" i="3" s="1"/>
  <c r="C27" i="3" l="1"/>
  <c r="D27" i="3" s="1"/>
  <c r="C26" i="3"/>
  <c r="D26" i="3" s="1"/>
  <c r="C28" i="3" l="1"/>
  <c r="D28" i="3" s="1"/>
  <c r="M9" i="3" l="1"/>
  <c r="N9" i="3" s="1"/>
  <c r="M10" i="3" l="1"/>
  <c r="N10" i="3" s="1"/>
  <c r="M11" i="3" l="1"/>
  <c r="N11" i="3" s="1"/>
  <c r="M12" i="3" l="1"/>
  <c r="N12" i="3" s="1"/>
  <c r="M13" i="3" l="1"/>
  <c r="N13" i="3" s="1"/>
  <c r="M14" i="3" l="1"/>
  <c r="N14" i="3" s="1"/>
  <c r="M15" i="3" l="1"/>
  <c r="N15" i="3" s="1"/>
  <c r="M16" i="3" l="1"/>
  <c r="N16" i="3" s="1"/>
  <c r="M17" i="3" l="1"/>
  <c r="N17" i="3" s="1"/>
  <c r="M18" i="3" l="1"/>
  <c r="N18" i="3" s="1"/>
  <c r="M19" i="3" l="1"/>
  <c r="N19" i="3" s="1"/>
  <c r="M20" i="3" l="1"/>
  <c r="N20" i="3" s="1"/>
  <c r="M21" i="3" l="1"/>
  <c r="N21" i="3" s="1"/>
  <c r="M22" i="3" l="1"/>
  <c r="N22" i="3" s="1"/>
  <c r="M23" i="3" l="1"/>
  <c r="N23" i="3" s="1"/>
  <c r="M24" i="3" l="1"/>
  <c r="N24" i="3" s="1"/>
  <c r="M25" i="3" l="1"/>
  <c r="N25" i="3" s="1"/>
  <c r="M26" i="3" l="1"/>
  <c r="N26" i="3" s="1"/>
  <c r="M27" i="3" l="1"/>
  <c r="N27" i="3" s="1"/>
  <c r="M28" i="3" l="1"/>
  <c r="N28" i="3" s="1"/>
  <c r="H9" i="3" l="1"/>
  <c r="I9" i="3" s="1"/>
  <c r="I61" i="3" l="1"/>
  <c r="J61" i="3" s="1"/>
  <c r="H10" i="3"/>
  <c r="I10" i="3" s="1"/>
  <c r="I62" i="3" s="1"/>
  <c r="J62" i="3" s="1"/>
  <c r="B3" i="7" l="1"/>
  <c r="B9" i="7"/>
  <c r="C3" i="7"/>
  <c r="B10" i="7"/>
  <c r="H11" i="3"/>
  <c r="I11" i="3" s="1"/>
  <c r="I63" i="3" s="1"/>
  <c r="J63" i="3" s="1"/>
  <c r="B11" i="7" l="1"/>
  <c r="D3" i="7"/>
  <c r="H12" i="3"/>
  <c r="I12" i="3" s="1"/>
  <c r="I64" i="3" s="1"/>
  <c r="J64" i="3" s="1"/>
  <c r="B12" i="7" l="1"/>
  <c r="E3" i="7"/>
  <c r="H13" i="3"/>
  <c r="I13" i="3" s="1"/>
  <c r="I65" i="3" s="1"/>
  <c r="J65" i="3" s="1"/>
  <c r="F3" i="7" l="1"/>
  <c r="B13" i="7"/>
  <c r="H14" i="3"/>
  <c r="I14" i="3" s="1"/>
  <c r="I66" i="3" s="1"/>
  <c r="J66" i="3" s="1"/>
  <c r="B14" i="7" l="1"/>
  <c r="G3" i="7"/>
  <c r="H15" i="3"/>
  <c r="I15" i="3" s="1"/>
  <c r="I67" i="3" s="1"/>
  <c r="J67" i="3" s="1"/>
  <c r="H3" i="7" l="1"/>
  <c r="B15" i="7"/>
  <c r="H16" i="3"/>
  <c r="I16" i="3" s="1"/>
  <c r="I68" i="3" s="1"/>
  <c r="J68" i="3" s="1"/>
  <c r="B16" i="7" l="1"/>
  <c r="I3" i="7"/>
  <c r="H17" i="3"/>
  <c r="I17" i="3" s="1"/>
  <c r="I69" i="3" s="1"/>
  <c r="J69" i="3" s="1"/>
  <c r="B17" i="7" l="1"/>
  <c r="J3" i="7"/>
  <c r="H18" i="3"/>
  <c r="I18" i="3" s="1"/>
  <c r="I70" i="3" s="1"/>
  <c r="J70" i="3" s="1"/>
  <c r="K3" i="7" l="1"/>
  <c r="B18" i="7"/>
  <c r="H19" i="3"/>
  <c r="I19" i="3" s="1"/>
  <c r="I71" i="3" s="1"/>
  <c r="J71" i="3" s="1"/>
  <c r="L3" i="7" l="1"/>
  <c r="B19" i="7"/>
  <c r="H20" i="3"/>
  <c r="I20" i="3" s="1"/>
  <c r="I72" i="3" s="1"/>
  <c r="J72" i="3" s="1"/>
  <c r="B20" i="7" l="1"/>
  <c r="E20" i="7" s="1"/>
  <c r="M3" i="7"/>
  <c r="M6" i="7" s="1"/>
  <c r="H21" i="3"/>
  <c r="I21" i="3" s="1"/>
  <c r="I73" i="3" s="1"/>
  <c r="J73" i="3" s="1"/>
  <c r="N3" i="7" l="1"/>
  <c r="N6" i="7" s="1"/>
  <c r="B21" i="7"/>
  <c r="E21" i="7" s="1"/>
  <c r="H22" i="3"/>
  <c r="I22" i="3" s="1"/>
  <c r="I74" i="3" s="1"/>
  <c r="J74" i="3" s="1"/>
  <c r="B22" i="7" l="1"/>
  <c r="E22" i="7" s="1"/>
  <c r="O3" i="7"/>
  <c r="O6" i="7" s="1"/>
  <c r="H23" i="3"/>
  <c r="I23" i="3" s="1"/>
  <c r="I75" i="3" s="1"/>
  <c r="J75" i="3" s="1"/>
  <c r="B23" i="7" l="1"/>
  <c r="E23" i="7" s="1"/>
  <c r="P3" i="7"/>
  <c r="P6" i="7" s="1"/>
  <c r="H24" i="3"/>
  <c r="I24" i="3" s="1"/>
  <c r="I76" i="3" s="1"/>
  <c r="J76" i="3" s="1"/>
  <c r="Q3" i="7" l="1"/>
  <c r="Q6" i="7" s="1"/>
  <c r="B24" i="7"/>
  <c r="E24" i="7" s="1"/>
  <c r="H25" i="3"/>
  <c r="I25" i="3" s="1"/>
  <c r="I77" i="3" s="1"/>
  <c r="J77" i="3" s="1"/>
  <c r="R3" i="7" l="1"/>
  <c r="R6" i="7" s="1"/>
  <c r="B25" i="7"/>
  <c r="E25" i="7" s="1"/>
  <c r="H26" i="3"/>
  <c r="I26" i="3" s="1"/>
  <c r="I78" i="3" s="1"/>
  <c r="J78" i="3" s="1"/>
  <c r="S3" i="7" l="1"/>
  <c r="S6" i="7" s="1"/>
  <c r="B26" i="7"/>
  <c r="E26" i="7" s="1"/>
  <c r="H27" i="3"/>
  <c r="I27" i="3" s="1"/>
  <c r="I79" i="3" s="1"/>
  <c r="J79" i="3" s="1"/>
  <c r="B27" i="7" l="1"/>
  <c r="E27" i="7" s="1"/>
  <c r="T3" i="7"/>
  <c r="T6" i="7" s="1"/>
  <c r="H28" i="3"/>
  <c r="I28" i="3" s="1"/>
  <c r="I80" i="3" s="1"/>
  <c r="J80" i="3" s="1"/>
  <c r="K80" i="3" s="1"/>
  <c r="B28" i="7" l="1"/>
  <c r="E28" i="7" s="1"/>
  <c r="U3" i="7"/>
  <c r="U6" i="7" s="1"/>
  <c r="D6" i="6"/>
  <c r="D7" i="6"/>
  <c r="D8" i="6"/>
  <c r="D9" i="6"/>
  <c r="D10" i="6"/>
  <c r="D11" i="6"/>
  <c r="D12" i="6"/>
  <c r="D13" i="6"/>
  <c r="D14" i="6"/>
  <c r="D15" i="6"/>
  <c r="H5" i="7" l="1"/>
  <c r="H6" i="7" s="1"/>
  <c r="D15" i="7"/>
  <c r="E15" i="7" s="1"/>
  <c r="F5" i="7"/>
  <c r="F6" i="7" s="1"/>
  <c r="D13" i="7"/>
  <c r="E13" i="7" s="1"/>
  <c r="D14" i="7"/>
  <c r="E14" i="7" s="1"/>
  <c r="G5" i="7"/>
  <c r="G6" i="7" s="1"/>
  <c r="D12" i="7"/>
  <c r="E12" i="7" s="1"/>
  <c r="E5" i="7"/>
  <c r="E6" i="7" s="1"/>
  <c r="D19" i="7"/>
  <c r="E19" i="7" s="1"/>
  <c r="L5" i="7"/>
  <c r="L6" i="7" s="1"/>
  <c r="D11" i="7"/>
  <c r="E11" i="7" s="1"/>
  <c r="D5" i="7"/>
  <c r="D6" i="7" s="1"/>
  <c r="K5" i="7"/>
  <c r="K6" i="7" s="1"/>
  <c r="D18" i="7"/>
  <c r="E18" i="7" s="1"/>
  <c r="C5" i="7"/>
  <c r="C6" i="7" s="1"/>
  <c r="D10" i="7"/>
  <c r="E10" i="7" s="1"/>
  <c r="J5" i="7"/>
  <c r="J6" i="7" s="1"/>
  <c r="D17" i="7"/>
  <c r="E17" i="7" s="1"/>
  <c r="I5" i="7"/>
  <c r="I6" i="7" s="1"/>
  <c r="D16" i="7"/>
  <c r="E16" i="7" s="1"/>
  <c r="D5" i="6"/>
  <c r="B5" i="7" l="1"/>
  <c r="B6" i="7" s="1"/>
  <c r="V6" i="7" s="1"/>
  <c r="V7" i="7" s="1"/>
  <c r="D9" i="7"/>
  <c r="E9" i="7" s="1"/>
  <c r="F28" i="7" s="1"/>
</calcChain>
</file>

<file path=xl/comments1.xml><?xml version="1.0" encoding="utf-8"?>
<comments xmlns="http://schemas.openxmlformats.org/spreadsheetml/2006/main">
  <authors>
    <author>Iwied</author>
  </authors>
  <commentList>
    <comment ref="E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</commentList>
</comments>
</file>

<file path=xl/sharedStrings.xml><?xml version="1.0" encoding="utf-8"?>
<sst xmlns="http://schemas.openxmlformats.org/spreadsheetml/2006/main" count="310" uniqueCount="157">
  <si>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</si>
  <si>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</si>
  <si>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</si>
  <si>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</si>
  <si>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</si>
  <si>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</si>
  <si>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</si>
  <si>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</si>
  <si>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</si>
  <si>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KONDISI Business As Usual (BaU)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</si>
  <si>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</si>
  <si>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</si>
  <si>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</si>
  <si>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</si>
  <si>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</si>
  <si>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</si>
  <si>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</si>
  <si>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</si>
  <si>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</si>
  <si>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</si>
  <si>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</si>
  <si>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</si>
  <si>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</si>
  <si>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</si>
  <si>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</si>
  <si>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</si>
  <si>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</si>
  <si>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</si>
  <si>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</si>
  <si>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</si>
  <si>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</si>
  <si>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</si>
  <si>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</si>
  <si>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</si>
  <si>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</si>
  <si>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</si>
  <si>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</si>
  <si>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</si>
  <si>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</si>
  <si>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</si>
  <si>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</si>
  <si>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</si>
  <si>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</si>
  <si>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</si>
  <si>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</si>
  <si>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</si>
  <si>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</si>
  <si>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</si>
  <si>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</si>
  <si>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</si>
  <si>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</si>
  <si>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</si>
  <si>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</si>
  <si>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</si>
  <si>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</si>
  <si>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</si>
  <si>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</si>
  <si>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</si>
  <si>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</si>
  <si>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</si>
  <si>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</si>
  <si>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</si>
  <si>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</si>
  <si>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</si>
  <si>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</si>
  <si>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</si>
  <si>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</si>
  <si>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</si>
  <si>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</si>
  <si>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</si>
  <si>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</si>
  <si>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</si>
  <si>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</si>
  <si>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</si>
  <si>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</si>
  <si>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</si>
  <si>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</si>
  <si>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</si>
  <si>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</si>
  <si>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</si>
  <si>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</si>
  <si>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</si>
  <si>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</si>
  <si>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</si>
  <si>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</si>
  <si>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</si>
  <si>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</si>
  <si>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</si>
  <si>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</si>
  <si>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</si>
  <si>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</si>
  <si>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</si>
  <si>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</si>
  <si>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</si>
  <si>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</si>
  <si>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</si>
  <si>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</si>
  <si>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</si>
  <si>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</si>
  <si>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</si>
  <si>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</si>
  <si>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</si>
  <si>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</si>
  <si>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</si>
  <si>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</si>
  <si>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</si>
  <si>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</si>
  <si>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</si>
  <si>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</si>
  <si>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</si>
  <si>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</si>
  <si>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</si>
  <si>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</si>
  <si>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</si>
  <si>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</si>
  <si>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</si>
  <si>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</si>
  <si>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</si>
  <si>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</si>
  <si>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</si>
  <si>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</si>
  <si>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</si>
  <si>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</si>
  <si>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</si>
  <si>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</si>
  <si>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</si>
  <si>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</si>
  <si>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</si>
  <si>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</si>
  <si>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</si>
  <si>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</si>
  <si>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</si>
  <si>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</si>
  <si>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</si>
  <si>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</si>
  <si>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</si>
  <si>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</si>
  <si>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</si>
  <si>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</si>
  <si>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</si>
  <si>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</si>
  <si>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</si>
  <si>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</si>
  <si>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</si>
  <si>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</si>
  <si>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</si>
  <si>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</si>
  <si>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Kompos</t>
  </si>
  <si>
    <t>Total timbulan sampah (Gg/tahun)</t>
  </si>
  <si>
    <t>kg CH4</t>
  </si>
  <si>
    <t>Emisi GRK dari Limbah Cair Industri Sawit</t>
  </si>
  <si>
    <t>KABUPATEN KUTAI TIMUR</t>
  </si>
  <si>
    <r>
      <t>Limbah Padat Domestik (ton CO</t>
    </r>
    <r>
      <rPr>
        <vertAlign val="subscript"/>
        <sz val="11"/>
        <rFont val="Calibri"/>
        <family val="2"/>
        <scheme val="minor"/>
      </rPr>
      <t>2-eq)</t>
    </r>
  </si>
  <si>
    <t>Limbah Padat Domestik</t>
  </si>
  <si>
    <t>Limbah Cair Domestik</t>
  </si>
  <si>
    <t>Limbah Cair Industri</t>
  </si>
  <si>
    <t>Total Emisi Limbah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</si>
</sst>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</numFmts>
  <fonts count="6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Sans Unicode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268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0" fontId="6" fillId="8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1" fillId="16" borderId="10" xfId="0" applyFont="1" applyFill="1" applyBorder="1" applyAlignment="1">
      <alignment horizontal="center" vertical="center" wrapText="1"/>
    </xf>
    <xf numFmtId="0" fontId="41" fillId="10" borderId="10" xfId="0" applyFont="1" applyFill="1" applyBorder="1" applyAlignment="1">
      <alignment horizontal="center" vertical="center" wrapText="1"/>
    </xf>
    <xf numFmtId="0" fontId="41" fillId="13" borderId="10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50" fillId="13" borderId="10" xfId="0" applyFont="1" applyFill="1" applyBorder="1" applyAlignment="1">
      <alignment horizontal="center" vertical="center" wrapText="1"/>
    </xf>
    <xf numFmtId="0" fontId="18" fillId="16" borderId="1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50" fillId="13" borderId="11" xfId="0" applyFont="1" applyFill="1" applyBorder="1" applyAlignment="1">
      <alignment horizontal="center" vertical="center" wrapText="1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3" fillId="18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164" fontId="1" fillId="8" borderId="21" xfId="0" applyNumberFormat="1" applyFont="1" applyFill="1" applyBorder="1" applyAlignment="1">
      <alignment vertical="center"/>
    </xf>
    <xf numFmtId="166" fontId="41" fillId="8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right" vertical="center"/>
    </xf>
    <xf numFmtId="0" fontId="54" fillId="0" borderId="0" xfId="0" applyFont="1" applyFill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Fill="1" applyAlignment="1">
      <alignment vertical="center"/>
    </xf>
    <xf numFmtId="0" fontId="54" fillId="7" borderId="1" xfId="0" applyFont="1" applyFill="1" applyBorder="1" applyAlignment="1">
      <alignment horizontal="center" vertical="center"/>
    </xf>
    <xf numFmtId="9" fontId="54" fillId="7" borderId="1" xfId="0" applyNumberFormat="1" applyFont="1" applyFill="1" applyBorder="1" applyAlignment="1">
      <alignment horizontal="center" vertical="center"/>
    </xf>
    <xf numFmtId="3" fontId="54" fillId="0" borderId="0" xfId="0" applyNumberFormat="1" applyFont="1" applyFill="1" applyAlignment="1">
      <alignment vertical="center"/>
    </xf>
    <xf numFmtId="0" fontId="54" fillId="0" borderId="0" xfId="0" quotePrefix="1" applyFont="1" applyFill="1" applyAlignment="1">
      <alignment vertical="center"/>
    </xf>
    <xf numFmtId="3" fontId="54" fillId="0" borderId="0" xfId="0" applyNumberFormat="1" applyFont="1" applyFill="1" applyAlignment="1">
      <alignment horizontal="center" vertical="center"/>
    </xf>
    <xf numFmtId="2" fontId="54" fillId="0" borderId="1" xfId="0" applyNumberFormat="1" applyFont="1" applyBorder="1" applyAlignment="1">
      <alignment horizontal="center" vertical="center"/>
    </xf>
    <xf numFmtId="2" fontId="54" fillId="8" borderId="1" xfId="0" applyNumberFormat="1" applyFont="1" applyFill="1" applyBorder="1" applyAlignment="1">
      <alignment horizontal="center" vertical="center"/>
    </xf>
    <xf numFmtId="2" fontId="59" fillId="8" borderId="1" xfId="0" applyNumberFormat="1" applyFont="1" applyFill="1" applyBorder="1" applyAlignment="1">
      <alignment horizontal="center" vertical="center"/>
    </xf>
    <xf numFmtId="2" fontId="54" fillId="0" borderId="1" xfId="0" applyNumberFormat="1" applyFont="1" applyFill="1" applyBorder="1" applyAlignment="1">
      <alignment horizontal="center" vertical="center"/>
    </xf>
    <xf numFmtId="2" fontId="54" fillId="0" borderId="0" xfId="0" applyNumberFormat="1" applyFont="1" applyAlignment="1">
      <alignment vertical="center"/>
    </xf>
    <xf numFmtId="168" fontId="54" fillId="0" borderId="1" xfId="1" applyNumberFormat="1" applyFont="1" applyBorder="1" applyAlignment="1">
      <alignment vertical="center"/>
    </xf>
    <xf numFmtId="168" fontId="0" fillId="0" borderId="1" xfId="1" applyNumberFormat="1" applyFont="1" applyBorder="1" applyAlignment="1">
      <alignment horizontal="right" vertical="center"/>
    </xf>
    <xf numFmtId="168" fontId="1" fillId="8" borderId="1" xfId="1" applyNumberFormat="1" applyFont="1" applyFill="1" applyBorder="1" applyAlignment="1">
      <alignment vertical="center" wrapText="1"/>
    </xf>
    <xf numFmtId="168" fontId="1" fillId="0" borderId="1" xfId="0" applyNumberFormat="1" applyFont="1" applyBorder="1" applyAlignment="1">
      <alignment vertical="center"/>
    </xf>
    <xf numFmtId="43" fontId="41" fillId="0" borderId="1" xfId="1" applyFont="1" applyBorder="1" applyAlignment="1">
      <alignment vertical="center"/>
    </xf>
    <xf numFmtId="170" fontId="1" fillId="0" borderId="1" xfId="1" applyNumberFormat="1" applyFont="1" applyBorder="1" applyAlignment="1">
      <alignment vertical="center"/>
    </xf>
    <xf numFmtId="43" fontId="41" fillId="8" borderId="1" xfId="1" applyFont="1" applyFill="1" applyBorder="1" applyAlignment="1">
      <alignment vertical="center" wrapText="1"/>
    </xf>
    <xf numFmtId="43" fontId="1" fillId="8" borderId="21" xfId="1" applyFont="1" applyFill="1" applyBorder="1" applyAlignment="1">
      <alignment vertical="center"/>
    </xf>
    <xf numFmtId="0" fontId="0" fillId="0" borderId="0" xfId="0" applyAlignment="1">
      <alignment horizontal="center"/>
    </xf>
    <xf numFmtId="168" fontId="0" fillId="0" borderId="0" xfId="1" applyNumberFormat="1" applyFont="1"/>
    <xf numFmtId="168" fontId="0" fillId="0" borderId="0" xfId="0" applyNumberFormat="1"/>
    <xf numFmtId="9" fontId="0" fillId="0" borderId="0" xfId="2" applyFont="1"/>
    <xf numFmtId="0" fontId="0" fillId="0" borderId="0" xfId="0" applyAlignment="1">
      <alignment horizontal="center" vertical="center"/>
    </xf>
    <xf numFmtId="171" fontId="6" fillId="8" borderId="1" xfId="0" applyNumberFormat="1" applyFont="1" applyFill="1" applyBorder="1" applyAlignment="1">
      <alignment horizontal="center" vertical="center" wrapText="1"/>
    </xf>
    <xf numFmtId="9" fontId="1" fillId="0" borderId="0" xfId="2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5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8" fillId="3" borderId="6" xfId="0" applyFont="1" applyFill="1" applyBorder="1" applyAlignment="1">
      <alignment horizontal="center" vertical="center"/>
    </xf>
    <xf numFmtId="0" fontId="58" fillId="3" borderId="7" xfId="0" applyFont="1" applyFill="1" applyBorder="1" applyAlignment="1">
      <alignment horizontal="center" vertical="center"/>
    </xf>
    <xf numFmtId="0" fontId="58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1" fillId="10" borderId="19" xfId="0" applyFont="1" applyFill="1" applyBorder="1" applyAlignment="1">
      <alignment horizontal="center" vertical="center" wrapText="1"/>
    </xf>
    <xf numFmtId="0" fontId="41" fillId="10" borderId="9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9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41" fillId="16" borderId="19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53" fillId="1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GRK'!$B$32:$F$32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GRK'!$F$35:$F$54</c:f>
              <c:numCache>
                <c:formatCode>_(* #,##0.00_);_(* \(#,##0.00\);_(* "-"??_);_(@_)</c:formatCode>
                <c:ptCount val="20"/>
                <c:pt idx="0">
                  <c:v>0.1287343125</c:v>
                </c:pt>
                <c:pt idx="1">
                  <c:v>0.13457377260000003</c:v>
                </c:pt>
                <c:pt idx="2">
                  <c:v>0.14060582640000002</c:v>
                </c:pt>
                <c:pt idx="3">
                  <c:v>0.14670287460000001</c:v>
                </c:pt>
                <c:pt idx="4">
                  <c:v>0.15298295849999999</c:v>
                </c:pt>
                <c:pt idx="5">
                  <c:v>0.15942313889999998</c:v>
                </c:pt>
                <c:pt idx="6">
                  <c:v>0.16015671540000001</c:v>
                </c:pt>
                <c:pt idx="7">
                  <c:v>0.16612903170000001</c:v>
                </c:pt>
                <c:pt idx="8">
                  <c:v>0.17210134799999999</c:v>
                </c:pt>
                <c:pt idx="9">
                  <c:v>0.17807366429999999</c:v>
                </c:pt>
                <c:pt idx="10">
                  <c:v>0.18404598059999999</c:v>
                </c:pt>
                <c:pt idx="11">
                  <c:v>0.19001829689999999</c:v>
                </c:pt>
                <c:pt idx="12">
                  <c:v>0.19599061320000005</c:v>
                </c:pt>
                <c:pt idx="13">
                  <c:v>0.2019629295</c:v>
                </c:pt>
                <c:pt idx="14">
                  <c:v>0.20793524580000003</c:v>
                </c:pt>
                <c:pt idx="15">
                  <c:v>0.2139075621</c:v>
                </c:pt>
                <c:pt idx="16">
                  <c:v>0.21987987840000001</c:v>
                </c:pt>
                <c:pt idx="17">
                  <c:v>0.22585219470000001</c:v>
                </c:pt>
                <c:pt idx="18">
                  <c:v>0.23182451100000001</c:v>
                </c:pt>
                <c:pt idx="19">
                  <c:v>0.23779682730000001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dibuang ke badan air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GRK'!$S$9:$S$28</c:f>
              <c:numCache>
                <c:formatCode>_(* #,##0.00_);_(* \(#,##0.00\);_(*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GRK'!$I$9:$I$28</c:f>
              <c:numCache>
                <c:formatCode>_(* #,##0.00_);_(* \(#,##0.00\);_(*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GRK'!$D$9:$D$28</c:f>
              <c:numCache>
                <c:formatCode>_(* #,##0.00_);_(* \(#,##0.00\);_(* "-"??_);_(@_)</c:formatCode>
                <c:ptCount val="20"/>
                <c:pt idx="0">
                  <c:v>14.063290889469432</c:v>
                </c:pt>
                <c:pt idx="1">
                  <c:v>15.007475323984231</c:v>
                </c:pt>
                <c:pt idx="2">
                  <c:v>15.929356497930003</c:v>
                </c:pt>
                <c:pt idx="3">
                  <c:v>16.842995274156657</c:v>
                </c:pt>
                <c:pt idx="4">
                  <c:v>17.753489180444575</c:v>
                </c:pt>
                <c:pt idx="5">
                  <c:v>18.668705728164259</c:v>
                </c:pt>
                <c:pt idx="6">
                  <c:v>19.593345464953664</c:v>
                </c:pt>
                <c:pt idx="7">
                  <c:v>20.315817382401882</c:v>
                </c:pt>
                <c:pt idx="8">
                  <c:v>21.087484923886727</c:v>
                </c:pt>
                <c:pt idx="9">
                  <c:v>21.892955963243633</c:v>
                </c:pt>
                <c:pt idx="10">
                  <c:v>22.721821228593587</c:v>
                </c:pt>
                <c:pt idx="11">
                  <c:v>23.567023335520709</c:v>
                </c:pt>
                <c:pt idx="12">
                  <c:v>24.423761847573971</c:v>
                </c:pt>
                <c:pt idx="13">
                  <c:v>25.28875789604481</c:v>
                </c:pt>
                <c:pt idx="14">
                  <c:v>26.159760030743875</c:v>
                </c:pt>
                <c:pt idx="15">
                  <c:v>27.035211951674526</c:v>
                </c:pt>
                <c:pt idx="16">
                  <c:v>27.91402890434988</c:v>
                </c:pt>
                <c:pt idx="17">
                  <c:v>28.795447043093439</c:v>
                </c:pt>
                <c:pt idx="18">
                  <c:v>29.678921815301379</c:v>
                </c:pt>
                <c:pt idx="19">
                  <c:v>30.564059298001759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GRK'!$B$58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GRK'!$F$61:$F$80</c:f>
              <c:numCache>
                <c:formatCode>_(* #,##0.00_);_(* \(#,##0.00\);_(* "-"??_);_(@_)</c:formatCode>
                <c:ptCount val="20"/>
                <c:pt idx="0">
                  <c:v>0.70208307993749997</c:v>
                </c:pt>
                <c:pt idx="1">
                  <c:v>0.73392995939459982</c:v>
                </c:pt>
                <c:pt idx="2">
                  <c:v>0.76682719423439993</c:v>
                </c:pt>
                <c:pt idx="3">
                  <c:v>0.80007889143660016</c:v>
                </c:pt>
                <c:pt idx="4">
                  <c:v>0.83432881720350005</c:v>
                </c:pt>
                <c:pt idx="5">
                  <c:v>0.86945186717190004</c:v>
                </c:pt>
                <c:pt idx="6">
                  <c:v>0.87345260045340001</c:v>
                </c:pt>
                <c:pt idx="7">
                  <c:v>0.90602404268070025</c:v>
                </c:pt>
                <c:pt idx="8">
                  <c:v>0.93859548490800004</c:v>
                </c:pt>
                <c:pt idx="9">
                  <c:v>0.97116692713530017</c:v>
                </c:pt>
                <c:pt idx="10">
                  <c:v>1.0037383693625999</c:v>
                </c:pt>
                <c:pt idx="11">
                  <c:v>1.0363098115898999</c:v>
                </c:pt>
                <c:pt idx="12">
                  <c:v>1.0688812538171999</c:v>
                </c:pt>
                <c:pt idx="13">
                  <c:v>1.1014526960444999</c:v>
                </c:pt>
                <c:pt idx="14">
                  <c:v>1.1340241382718004</c:v>
                </c:pt>
                <c:pt idx="15">
                  <c:v>1.1665955804990999</c:v>
                </c:pt>
                <c:pt idx="16">
                  <c:v>1.1991670227263997</c:v>
                </c:pt>
                <c:pt idx="17">
                  <c:v>1.2317384649537</c:v>
                </c:pt>
                <c:pt idx="18">
                  <c:v>1.264309907181</c:v>
                </c:pt>
                <c:pt idx="19">
                  <c:v>1.2968813494083002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4779328"/>
        <c:axId val="564779720"/>
        <c:axId val="0"/>
      </c:bar3DChart>
      <c:catAx>
        <c:axId val="5647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4779720"/>
        <c:crosses val="autoZero"/>
        <c:auto val="1"/>
        <c:lblAlgn val="ctr"/>
        <c:lblOffset val="100"/>
        <c:noMultiLvlLbl val="0"/>
      </c:catAx>
      <c:valAx>
        <c:axId val="56477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64779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Baseline </a:t>
            </a:r>
            <a:r>
              <a:rPr lang="id-ID" baseline="0"/>
              <a:t> Emisi GRK dari </a:t>
            </a:r>
            <a:r>
              <a:rPr lang="en-US" baseline="0"/>
              <a:t>Pengelolaan Air Limbah Domestik</a:t>
            </a:r>
            <a:endParaRPr lang="id-ID" baseline="0"/>
          </a:p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aseline="0"/>
              <a:t>Periode 2000 - 2010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GRK'!$D$86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GRK'!$E$90:$E$109</c:f>
              <c:numCache>
                <c:formatCode>_(* #,##0.00_);_(* \(#,##0.00\);_(* "-"??_);_(@_)</c:formatCode>
                <c:ptCount val="20"/>
                <c:pt idx="0">
                  <c:v>2.9648774767857144</c:v>
                </c:pt>
                <c:pt idx="1">
                  <c:v>2.9877042944571435</c:v>
                </c:pt>
                <c:pt idx="2">
                  <c:v>3.0774791851885714</c:v>
                </c:pt>
                <c:pt idx="3">
                  <c:v>3.2822078149352389</c:v>
                </c:pt>
                <c:pt idx="4">
                  <c:v>3.4227131766142862</c:v>
                </c:pt>
                <c:pt idx="5">
                  <c:v>3.566800403917143</c:v>
                </c:pt>
                <c:pt idx="6">
                  <c:v>3.5832128329695241</c:v>
                </c:pt>
                <c:pt idx="7">
                  <c:v>3.7168324589419051</c:v>
                </c:pt>
                <c:pt idx="8">
                  <c:v>3.850452084914286</c:v>
                </c:pt>
                <c:pt idx="9">
                  <c:v>3.9840717108866683</c:v>
                </c:pt>
                <c:pt idx="10">
                  <c:v>4.1176913368590489</c:v>
                </c:pt>
                <c:pt idx="11">
                  <c:v>4.251310962831429</c:v>
                </c:pt>
                <c:pt idx="12">
                  <c:v>4.3849305888038099</c:v>
                </c:pt>
                <c:pt idx="13">
                  <c:v>4.5185502147761918</c:v>
                </c:pt>
                <c:pt idx="14">
                  <c:v>4.6521698407485719</c:v>
                </c:pt>
                <c:pt idx="15">
                  <c:v>4.7857894667209537</c:v>
                </c:pt>
                <c:pt idx="16">
                  <c:v>4.9194090926933338</c:v>
                </c:pt>
                <c:pt idx="17">
                  <c:v>5.0530287186657148</c:v>
                </c:pt>
                <c:pt idx="18">
                  <c:v>5.1866483446380949</c:v>
                </c:pt>
                <c:pt idx="19">
                  <c:v>5.3202679706104767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GRK'!$B$86:$C$86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GRK'!$C$90:$C$109</c:f>
              <c:numCache>
                <c:formatCode>_(* #,##0.00_);_(* \(#,##0.00\);_(* "-"??_);_(@_)</c:formatCode>
                <c:ptCount val="20"/>
                <c:pt idx="0">
                  <c:v>5.9098368734999998</c:v>
                </c:pt>
                <c:pt idx="1">
                  <c:v>6.1779103649424005</c:v>
                </c:pt>
                <c:pt idx="2">
                  <c:v>6.4548253014336012</c:v>
                </c:pt>
                <c:pt idx="3">
                  <c:v>6.7347239513903991</c:v>
                </c:pt>
                <c:pt idx="4">
                  <c:v>7.0230252650040006</c:v>
                </c:pt>
                <c:pt idx="5">
                  <c:v>7.3186761669335993</c:v>
                </c:pt>
                <c:pt idx="6">
                  <c:v>7.3523526387695997</c:v>
                </c:pt>
                <c:pt idx="7">
                  <c:v>7.6265251915608001</c:v>
                </c:pt>
                <c:pt idx="8">
                  <c:v>7.9006977443520006</c:v>
                </c:pt>
                <c:pt idx="9">
                  <c:v>8.1748702971431992</c:v>
                </c:pt>
                <c:pt idx="10">
                  <c:v>8.4490428499344006</c:v>
                </c:pt>
                <c:pt idx="11">
                  <c:v>8.7232154027256001</c:v>
                </c:pt>
                <c:pt idx="12">
                  <c:v>8.9973879555167997</c:v>
                </c:pt>
                <c:pt idx="13">
                  <c:v>9.271560508308001</c:v>
                </c:pt>
                <c:pt idx="14">
                  <c:v>9.5457330610992006</c:v>
                </c:pt>
                <c:pt idx="15">
                  <c:v>9.8199056138904002</c:v>
                </c:pt>
                <c:pt idx="16">
                  <c:v>10.094078166681602</c:v>
                </c:pt>
                <c:pt idx="17">
                  <c:v>10.368250719472799</c:v>
                </c:pt>
                <c:pt idx="18">
                  <c:v>10.642423272264001</c:v>
                </c:pt>
                <c:pt idx="19">
                  <c:v>10.9165958250552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4780896"/>
        <c:axId val="564781288"/>
        <c:axId val="0"/>
      </c:bar3DChart>
      <c:catAx>
        <c:axId val="56478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81288"/>
        <c:crosses val="autoZero"/>
        <c:auto val="1"/>
        <c:lblAlgn val="ctr"/>
        <c:lblOffset val="100"/>
        <c:noMultiLvlLbl val="0"/>
      </c:catAx>
      <c:valAx>
        <c:axId val="56478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80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Cair Domestik</a:t>
            </a:r>
            <a:r>
              <a:rPr lang="id-ID" baseline="0"/>
              <a:t> </a:t>
            </a:r>
          </a:p>
          <a:p>
            <a:pPr>
              <a:defRPr/>
            </a:pPr>
            <a:r>
              <a:rPr lang="id-ID" baseline="0"/>
              <a:t>Periode 2011 - 2030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'Rekapitulasi BaU Emisi GRK'!$A$86:$A$89</c:f>
              <c:strCache>
                <c:ptCount val="4"/>
                <c:pt idx="0">
                  <c:v>Tahun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GRK'!$G$90:$G$109</c:f>
              <c:numCache>
                <c:formatCode>_-* #,##0_-;\-* #,##0_-;_-* "-"??_-;_-@_-</c:formatCode>
                <c:ptCount val="20"/>
                <c:pt idx="0">
                  <c:v>8874.7143502857143</c:v>
                </c:pt>
                <c:pt idx="1">
                  <c:v>9165.6146593995436</c:v>
                </c:pt>
                <c:pt idx="2">
                  <c:v>9532.3044866221735</c:v>
                </c:pt>
                <c:pt idx="3">
                  <c:v>10016.931766325637</c:v>
                </c:pt>
                <c:pt idx="4">
                  <c:v>10445.738441618287</c:v>
                </c:pt>
                <c:pt idx="5">
                  <c:v>10885.476570850742</c:v>
                </c:pt>
                <c:pt idx="6">
                  <c:v>10935.565471739124</c:v>
                </c:pt>
                <c:pt idx="7">
                  <c:v>11343.357650502705</c:v>
                </c:pt>
                <c:pt idx="8">
                  <c:v>11751.149829266285</c:v>
                </c:pt>
                <c:pt idx="9">
                  <c:v>12158.942008029868</c:v>
                </c:pt>
                <c:pt idx="10">
                  <c:v>12566.73418679345</c:v>
                </c:pt>
                <c:pt idx="11">
                  <c:v>12974.526365557029</c:v>
                </c:pt>
                <c:pt idx="12">
                  <c:v>13382.318544320609</c:v>
                </c:pt>
                <c:pt idx="13">
                  <c:v>13790.110723084194</c:v>
                </c:pt>
                <c:pt idx="14">
                  <c:v>14197.902901847772</c:v>
                </c:pt>
                <c:pt idx="15">
                  <c:v>14605.695080611355</c:v>
                </c:pt>
                <c:pt idx="16">
                  <c:v>15013.487259374935</c:v>
                </c:pt>
                <c:pt idx="17">
                  <c:v>15421.279438138514</c:v>
                </c:pt>
                <c:pt idx="18">
                  <c:v>15829.071616902094</c:v>
                </c:pt>
                <c:pt idx="19">
                  <c:v>16236.863795665677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82464"/>
        <c:axId val="564782856"/>
      </c:lineChart>
      <c:catAx>
        <c:axId val="5647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82856"/>
        <c:crosses val="autoZero"/>
        <c:auto val="1"/>
        <c:lblAlgn val="ctr"/>
        <c:lblOffset val="100"/>
        <c:noMultiLvlLbl val="0"/>
      </c:catAx>
      <c:valAx>
        <c:axId val="56478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Emisi GRK 2011 - 2030 Limbah Padat Domestik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'Rekapitulasi BaU Emisi GRK'!$I$59:$J$59</c:f>
              <c:strCache>
                <c:ptCount val="1"/>
                <c:pt idx="0">
                  <c:v>Limbah Padat Domestik (ton CO2-eq)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GRK'!$H$61:$H$80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GRK'!$J$61:$J$80</c:f>
              <c:numCache>
                <c:formatCode>_-* #,##0_-;\-* #,##0_-;_-* "-"??_-;_-@_-</c:formatCode>
                <c:ptCount val="20"/>
                <c:pt idx="0">
                  <c:v>24866.988021810343</c:v>
                </c:pt>
                <c:pt idx="1">
                  <c:v>26518.4202727593</c:v>
                </c:pt>
                <c:pt idx="2">
                  <c:v>28132.976018330268</c:v>
                </c:pt>
                <c:pt idx="3">
                  <c:v>29733.863786966296</c:v>
                </c:pt>
                <c:pt idx="4">
                  <c:v>31330.557788443097</c:v>
                </c:pt>
                <c:pt idx="5">
                  <c:v>32936.356678637618</c:v>
                </c:pt>
                <c:pt idx="6">
                  <c:v>34521.432222831776</c:v>
                </c:pt>
                <c:pt idx="7">
                  <c:v>35794.78356794743</c:v>
                </c:pt>
                <c:pt idx="8">
                  <c:v>37152.21725359463</c:v>
                </c:pt>
                <c:pt idx="9">
                  <c:v>38567.425940065506</c:v>
                </c:pt>
                <c:pt idx="10">
                  <c:v>40022.618696561687</c:v>
                </c:pt>
                <c:pt idx="11">
                  <c:v>41505.733446194485</c:v>
                </c:pt>
                <c:pt idx="12">
                  <c:v>43008.56555816024</c:v>
                </c:pt>
                <c:pt idx="13">
                  <c:v>44525.510978018938</c:v>
                </c:pt>
                <c:pt idx="14">
                  <c:v>46052.721656168243</c:v>
                </c:pt>
                <c:pt idx="15">
                  <c:v>47587.537653866675</c:v>
                </c:pt>
                <c:pt idx="16">
                  <c:v>49128.104970927314</c:v>
                </c:pt>
                <c:pt idx="17">
                  <c:v>50673.118086106289</c:v>
                </c:pt>
                <c:pt idx="18">
                  <c:v>52221.646281308887</c:v>
                </c:pt>
                <c:pt idx="19">
                  <c:v>53773.016285972561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83640"/>
        <c:axId val="564784032"/>
      </c:lineChart>
      <c:catAx>
        <c:axId val="56478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84032"/>
        <c:crosses val="autoZero"/>
        <c:auto val="1"/>
        <c:lblAlgn val="ctr"/>
        <c:lblOffset val="100"/>
        <c:noMultiLvlLbl val="0"/>
      </c:catAx>
      <c:valAx>
        <c:axId val="5647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8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Limbah Padat Domestik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GRK'!$J$61:$J$80</c:f>
              <c:numCache>
                <c:formatCode>_-* #,##0_-;\-* #,##0_-;_-* "-"??_-;_-@_-</c:formatCode>
                <c:ptCount val="20"/>
                <c:pt idx="0">
                  <c:v>24866.988021810343</c:v>
                </c:pt>
                <c:pt idx="1">
                  <c:v>26518.4202727593</c:v>
                </c:pt>
                <c:pt idx="2">
                  <c:v>28132.976018330268</c:v>
                </c:pt>
                <c:pt idx="3">
                  <c:v>29733.863786966296</c:v>
                </c:pt>
                <c:pt idx="4">
                  <c:v>31330.557788443097</c:v>
                </c:pt>
                <c:pt idx="5">
                  <c:v>32936.356678637618</c:v>
                </c:pt>
                <c:pt idx="6">
                  <c:v>34521.432222831776</c:v>
                </c:pt>
                <c:pt idx="7">
                  <c:v>35794.78356794743</c:v>
                </c:pt>
                <c:pt idx="8">
                  <c:v>37152.21725359463</c:v>
                </c:pt>
                <c:pt idx="9">
                  <c:v>38567.425940065506</c:v>
                </c:pt>
                <c:pt idx="10">
                  <c:v>40022.618696561687</c:v>
                </c:pt>
                <c:pt idx="11">
                  <c:v>41505.733446194485</c:v>
                </c:pt>
                <c:pt idx="12">
                  <c:v>43008.56555816024</c:v>
                </c:pt>
                <c:pt idx="13">
                  <c:v>44525.510978018938</c:v>
                </c:pt>
                <c:pt idx="14">
                  <c:v>46052.721656168243</c:v>
                </c:pt>
                <c:pt idx="15">
                  <c:v>47587.537653866675</c:v>
                </c:pt>
                <c:pt idx="16">
                  <c:v>49128.104970927314</c:v>
                </c:pt>
                <c:pt idx="17">
                  <c:v>50673.118086106289</c:v>
                </c:pt>
                <c:pt idx="18">
                  <c:v>52221.646281308887</c:v>
                </c:pt>
                <c:pt idx="19">
                  <c:v>53773.016285972561</c:v>
                </c:pt>
              </c:numCache>
            </c:numRef>
          </c:val>
        </c:ser>
        <c:ser>
          <c:idx val="1"/>
          <c:order val="1"/>
          <c:tx>
            <c:v>Limbah Cair Domestik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GRK'!$G$90:$G$109</c:f>
              <c:numCache>
                <c:formatCode>_-* #,##0_-;\-* #,##0_-;_-* "-"??_-;_-@_-</c:formatCode>
                <c:ptCount val="20"/>
                <c:pt idx="0">
                  <c:v>8874.7143502857143</c:v>
                </c:pt>
                <c:pt idx="1">
                  <c:v>9165.6146593995436</c:v>
                </c:pt>
                <c:pt idx="2">
                  <c:v>9532.3044866221735</c:v>
                </c:pt>
                <c:pt idx="3">
                  <c:v>10016.931766325637</c:v>
                </c:pt>
                <c:pt idx="4">
                  <c:v>10445.738441618287</c:v>
                </c:pt>
                <c:pt idx="5">
                  <c:v>10885.476570850742</c:v>
                </c:pt>
                <c:pt idx="6">
                  <c:v>10935.565471739124</c:v>
                </c:pt>
                <c:pt idx="7">
                  <c:v>11343.357650502705</c:v>
                </c:pt>
                <c:pt idx="8">
                  <c:v>11751.149829266285</c:v>
                </c:pt>
                <c:pt idx="9">
                  <c:v>12158.942008029868</c:v>
                </c:pt>
                <c:pt idx="10">
                  <c:v>12566.73418679345</c:v>
                </c:pt>
                <c:pt idx="11">
                  <c:v>12974.526365557029</c:v>
                </c:pt>
                <c:pt idx="12">
                  <c:v>13382.318544320609</c:v>
                </c:pt>
                <c:pt idx="13">
                  <c:v>13790.110723084194</c:v>
                </c:pt>
                <c:pt idx="14">
                  <c:v>14197.902901847772</c:v>
                </c:pt>
                <c:pt idx="15">
                  <c:v>14605.695080611355</c:v>
                </c:pt>
                <c:pt idx="16">
                  <c:v>15013.487259374935</c:v>
                </c:pt>
                <c:pt idx="17">
                  <c:v>15421.279438138514</c:v>
                </c:pt>
                <c:pt idx="18">
                  <c:v>15829.071616902094</c:v>
                </c:pt>
                <c:pt idx="19">
                  <c:v>16236.863795665677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4784816"/>
        <c:axId val="564785208"/>
        <c:axId val="0"/>
      </c:bar3DChart>
      <c:catAx>
        <c:axId val="56478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85208"/>
        <c:crosses val="autoZero"/>
        <c:auto val="1"/>
        <c:lblAlgn val="ctr"/>
        <c:lblOffset val="100"/>
        <c:noMultiLvlLbl val="0"/>
      </c:catAx>
      <c:valAx>
        <c:axId val="56478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'Rekap BAU_Gabung'!$A$6</c:f>
              <c:strCache>
                <c:ptCount val="1"/>
                <c:pt idx="0">
                  <c:v>Total Emisi Limbah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 BAU_Gabung'!$B$2:$U$2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BAU_Gabung'!$B$6:$U$6</c:f>
              <c:numCache>
                <c:formatCode>_-* #,##0_-;\-* #,##0_-;_-* "-"??_-;_-@_-</c:formatCode>
                <c:ptCount val="20"/>
                <c:pt idx="0">
                  <c:v>271831.17637209606</c:v>
                </c:pt>
                <c:pt idx="1">
                  <c:v>350498.81493215886</c:v>
                </c:pt>
                <c:pt idx="2">
                  <c:v>466368.68850495241</c:v>
                </c:pt>
                <c:pt idx="3">
                  <c:v>695338.74955329194</c:v>
                </c:pt>
                <c:pt idx="4">
                  <c:v>759286.95023006131</c:v>
                </c:pt>
                <c:pt idx="5">
                  <c:v>684198.43724948843</c:v>
                </c:pt>
                <c:pt idx="6">
                  <c:v>839979.0841645709</c:v>
                </c:pt>
                <c:pt idx="7">
                  <c:v>948427.11632245011</c:v>
                </c:pt>
                <c:pt idx="8">
                  <c:v>1060616.6093848608</c:v>
                </c:pt>
                <c:pt idx="9">
                  <c:v>1176521.2560120951</c:v>
                </c:pt>
                <c:pt idx="10">
                  <c:v>1239048.0628233552</c:v>
                </c:pt>
                <c:pt idx="11">
                  <c:v>1303082.1150117514</c:v>
                </c:pt>
                <c:pt idx="12">
                  <c:v>1368615.2079464807</c:v>
                </c:pt>
                <c:pt idx="13">
                  <c:v>1435641.7375731028</c:v>
                </c:pt>
                <c:pt idx="14">
                  <c:v>1504157.8558420157</c:v>
                </c:pt>
                <c:pt idx="15">
                  <c:v>1574160.9028144781</c:v>
                </c:pt>
                <c:pt idx="16">
                  <c:v>1645649.024490302</c:v>
                </c:pt>
                <c:pt idx="17">
                  <c:v>1718620.9153482448</c:v>
                </c:pt>
                <c:pt idx="18">
                  <c:v>1793075.6446702105</c:v>
                </c:pt>
                <c:pt idx="19">
                  <c:v>1823590.412897638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17360"/>
        <c:axId val="558717752"/>
      </c:lineChart>
      <c:catAx>
        <c:axId val="55871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17752"/>
        <c:crosses val="autoZero"/>
        <c:auto val="1"/>
        <c:lblAlgn val="ctr"/>
        <c:lblOffset val="100"/>
        <c:noMultiLvlLbl val="0"/>
      </c:catAx>
      <c:valAx>
        <c:axId val="55871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1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'Rekap BAU_Gabung'!$A$3</c:f>
              <c:strCache>
                <c:ptCount val="1"/>
                <c:pt idx="0">
                  <c:v>Limbah Padat Domestik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'Rekap BAU_Gabung'!$B$2:$U$2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BAU_Gabung'!$B$3:$U$3</c:f>
              <c:numCache>
                <c:formatCode>_-* #,##0_-;\-* #,##0_-;_-* "-"??_-;_-@_-</c:formatCode>
                <c:ptCount val="20"/>
                <c:pt idx="0">
                  <c:v>24866.988021810343</c:v>
                </c:pt>
                <c:pt idx="1">
                  <c:v>26518.4202727593</c:v>
                </c:pt>
                <c:pt idx="2">
                  <c:v>28132.976018330268</c:v>
                </c:pt>
                <c:pt idx="3">
                  <c:v>29733.863786966296</c:v>
                </c:pt>
                <c:pt idx="4">
                  <c:v>31330.557788443097</c:v>
                </c:pt>
                <c:pt idx="5">
                  <c:v>32936.356678637618</c:v>
                </c:pt>
                <c:pt idx="6">
                  <c:v>34521.432222831776</c:v>
                </c:pt>
                <c:pt idx="7">
                  <c:v>35794.78356794743</c:v>
                </c:pt>
                <c:pt idx="8">
                  <c:v>37152.21725359463</c:v>
                </c:pt>
                <c:pt idx="9">
                  <c:v>38567.425940065506</c:v>
                </c:pt>
                <c:pt idx="10">
                  <c:v>40022.618696561687</c:v>
                </c:pt>
                <c:pt idx="11">
                  <c:v>41505.733446194485</c:v>
                </c:pt>
                <c:pt idx="12">
                  <c:v>43008.56555816024</c:v>
                </c:pt>
                <c:pt idx="13">
                  <c:v>44525.510978018938</c:v>
                </c:pt>
                <c:pt idx="14">
                  <c:v>46052.721656168243</c:v>
                </c:pt>
                <c:pt idx="15">
                  <c:v>47587.537653866675</c:v>
                </c:pt>
                <c:pt idx="16">
                  <c:v>49128.104970927314</c:v>
                </c:pt>
                <c:pt idx="17">
                  <c:v>50673.118086106289</c:v>
                </c:pt>
                <c:pt idx="18">
                  <c:v>52221.646281308887</c:v>
                </c:pt>
                <c:pt idx="19">
                  <c:v>53773.016285972561</c:v>
                </c:pt>
              </c:numCache>
            </c:numRef>
          </c:val>
        </c:ser>
        <c:ser>
          <c:idx val="1"/>
          <c:order val="1"/>
          <c:tx>
            <c:strRef>
              <c:f>'Rekap BAU_Gabung'!$A$4</c:f>
              <c:strCache>
                <c:ptCount val="1"/>
                <c:pt idx="0">
                  <c:v>Limbah Cair Domestik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'Rekap BAU_Gabung'!$B$2:$U$2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BAU_Gabung'!$B$4:$U$4</c:f>
              <c:numCache>
                <c:formatCode>_-* #,##0_-;\-* #,##0_-;_-* "-"??_-;_-@_-</c:formatCode>
                <c:ptCount val="20"/>
                <c:pt idx="0">
                  <c:v>8874.7143502857143</c:v>
                </c:pt>
                <c:pt idx="1">
                  <c:v>9165.6146593995436</c:v>
                </c:pt>
                <c:pt idx="2">
                  <c:v>9532.3044866221735</c:v>
                </c:pt>
                <c:pt idx="3">
                  <c:v>10016.931766325637</c:v>
                </c:pt>
                <c:pt idx="4">
                  <c:v>10445.738441618287</c:v>
                </c:pt>
                <c:pt idx="5">
                  <c:v>10885.476570850742</c:v>
                </c:pt>
                <c:pt idx="6">
                  <c:v>10935.565471739124</c:v>
                </c:pt>
                <c:pt idx="7">
                  <c:v>11343.357650502705</c:v>
                </c:pt>
                <c:pt idx="8">
                  <c:v>11751.149829266285</c:v>
                </c:pt>
                <c:pt idx="9">
                  <c:v>12158.942008029868</c:v>
                </c:pt>
                <c:pt idx="10">
                  <c:v>12566.73418679345</c:v>
                </c:pt>
                <c:pt idx="11">
                  <c:v>12974.526365557029</c:v>
                </c:pt>
                <c:pt idx="12">
                  <c:v>13382.318544320609</c:v>
                </c:pt>
                <c:pt idx="13">
                  <c:v>13790.110723084194</c:v>
                </c:pt>
                <c:pt idx="14">
                  <c:v>14197.902901847772</c:v>
                </c:pt>
                <c:pt idx="15">
                  <c:v>14605.695080611355</c:v>
                </c:pt>
                <c:pt idx="16">
                  <c:v>15013.487259374935</c:v>
                </c:pt>
                <c:pt idx="17">
                  <c:v>15421.279438138514</c:v>
                </c:pt>
                <c:pt idx="18">
                  <c:v>15829.071616902094</c:v>
                </c:pt>
                <c:pt idx="19">
                  <c:v>16236.863795665677</c:v>
                </c:pt>
              </c:numCache>
            </c:numRef>
          </c:val>
        </c:ser>
        <c:ser>
          <c:idx val="2"/>
          <c:order val="2"/>
          <c:tx>
            <c:strRef>
              <c:f>'Rekap BAU_Gabung'!$A$5</c:f>
              <c:strCache>
                <c:ptCount val="1"/>
                <c:pt idx="0">
                  <c:v>Limbah Cair Industri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'Rekap BAU_Gabung'!$B$2:$U$2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BAU_Gabung'!$B$5:$U$5</c:f>
              <c:numCache>
                <c:formatCode>_-* #,##0_-;\-* #,##0_-;_-* "-"??_-;_-@_-</c:formatCode>
                <c:ptCount val="20"/>
                <c:pt idx="0">
                  <c:v>238089.47399999999</c:v>
                </c:pt>
                <c:pt idx="1">
                  <c:v>314814.78000000003</c:v>
                </c:pt>
                <c:pt idx="2">
                  <c:v>428703.408</c:v>
                </c:pt>
                <c:pt idx="3">
                  <c:v>655587.95400000003</c:v>
                </c:pt>
                <c:pt idx="4">
                  <c:v>717510.65399999998</c:v>
                </c:pt>
                <c:pt idx="5">
                  <c:v>640376.60400000005</c:v>
                </c:pt>
                <c:pt idx="6">
                  <c:v>794522.08646999998</c:v>
                </c:pt>
                <c:pt idx="7">
                  <c:v>901288.97510399995</c:v>
                </c:pt>
                <c:pt idx="8">
                  <c:v>1011713.2423019999</c:v>
                </c:pt>
                <c:pt idx="9">
                  <c:v>1125794.8880639998</c:v>
                </c:pt>
                <c:pt idx="10">
                  <c:v>1186458.70994</c:v>
                </c:pt>
                <c:pt idx="11">
                  <c:v>1248601.8551999999</c:v>
                </c:pt>
                <c:pt idx="12">
                  <c:v>1312224.3238439998</c:v>
                </c:pt>
                <c:pt idx="13">
                  <c:v>1377326.1158719996</c:v>
                </c:pt>
                <c:pt idx="14">
                  <c:v>1443907.2312839997</c:v>
                </c:pt>
                <c:pt idx="15">
                  <c:v>1511967.6700800001</c:v>
                </c:pt>
                <c:pt idx="16">
                  <c:v>1581507.4322599997</c:v>
                </c:pt>
                <c:pt idx="17">
                  <c:v>1652526.517824</c:v>
                </c:pt>
                <c:pt idx="18">
                  <c:v>1725024.9267719996</c:v>
                </c:pt>
                <c:pt idx="19">
                  <c:v>1753580.5328159998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 BAU Emisi Industri Sawitt'!$B$5:$B$24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BAU Emisi Industri Sawitt'!$D$5:$D$24</c:f>
              <c:numCache>
                <c:formatCode>_-* #,##0_-;\-* #,##0_-;_-* "-"??_-;_-@_-</c:formatCode>
                <c:ptCount val="20"/>
                <c:pt idx="0">
                  <c:v>238089.47399999999</c:v>
                </c:pt>
                <c:pt idx="1">
                  <c:v>314814.78000000003</c:v>
                </c:pt>
                <c:pt idx="2">
                  <c:v>428703.408</c:v>
                </c:pt>
                <c:pt idx="3">
                  <c:v>655587.95400000003</c:v>
                </c:pt>
                <c:pt idx="4">
                  <c:v>717510.65399999998</c:v>
                </c:pt>
                <c:pt idx="5">
                  <c:v>640376.60400000005</c:v>
                </c:pt>
                <c:pt idx="6">
                  <c:v>794522.08646999998</c:v>
                </c:pt>
                <c:pt idx="7">
                  <c:v>901288.97510399995</c:v>
                </c:pt>
                <c:pt idx="8">
                  <c:v>1011713.2423019999</c:v>
                </c:pt>
                <c:pt idx="9">
                  <c:v>1125794.8880639998</c:v>
                </c:pt>
                <c:pt idx="10">
                  <c:v>1186458.70994</c:v>
                </c:pt>
                <c:pt idx="11">
                  <c:v>1248601.8551999999</c:v>
                </c:pt>
                <c:pt idx="12">
                  <c:v>1312224.3238439998</c:v>
                </c:pt>
                <c:pt idx="13">
                  <c:v>1377326.1158719996</c:v>
                </c:pt>
                <c:pt idx="14">
                  <c:v>1443907.2312839997</c:v>
                </c:pt>
                <c:pt idx="15">
                  <c:v>1511967.6700800001</c:v>
                </c:pt>
                <c:pt idx="16">
                  <c:v>1581507.4322599997</c:v>
                </c:pt>
                <c:pt idx="17">
                  <c:v>1652526.517824</c:v>
                </c:pt>
                <c:pt idx="18">
                  <c:v>1725024.9267719996</c:v>
                </c:pt>
                <c:pt idx="19">
                  <c:v>1753580.5328159998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18928"/>
        <c:axId val="558719320"/>
      </c:lineChart>
      <c:catAx>
        <c:axId val="55871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19320"/>
        <c:crosses val="autoZero"/>
        <c:auto val="1"/>
        <c:lblAlgn val="ctr"/>
        <c:lblOffset val="100"/>
        <c:noMultiLvlLbl val="0"/>
      </c:catAx>
      <c:valAx>
        <c:axId val="55871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1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29</xdr:row>
      <xdr:rowOff>118580</xdr:rowOff>
    </xdr:from>
    <xdr:to>
      <xdr:col>23</xdr:col>
      <xdr:colOff>204107</xdr:colOff>
      <xdr:row>53</xdr:row>
      <xdr:rowOff>27213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201706</xdr:colOff>
      <xdr:row>84</xdr:row>
      <xdr:rowOff>134472</xdr:rowOff>
    </xdr:from>
    <xdr:to>
      <xdr:col>18</xdr:col>
      <xdr:colOff>129378</xdr:colOff>
      <xdr:row>97</xdr:row>
      <xdr:rowOff>159939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219314</xdr:colOff>
      <xdr:row>98</xdr:row>
      <xdr:rowOff>112779</xdr:rowOff>
    </xdr:from>
    <xdr:to>
      <xdr:col>18</xdr:col>
      <xdr:colOff>212912</xdr:colOff>
      <xdr:row>115</xdr:row>
      <xdr:rowOff>156882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112055</xdr:colOff>
      <xdr:row>57</xdr:row>
      <xdr:rowOff>169209</xdr:rowOff>
    </xdr:from>
    <xdr:to>
      <xdr:col>17</xdr:col>
      <xdr:colOff>299357</xdr:colOff>
      <xdr:row>71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136070</xdr:colOff>
      <xdr:row>111</xdr:row>
      <xdr:rowOff>36737</xdr:rowOff>
    </xdr:from>
    <xdr:to>
      <xdr:col>6</xdr:col>
      <xdr:colOff>353786</xdr:colOff>
      <xdr:row>127</xdr:row>
      <xdr:rowOff>136070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268940</xdr:colOff>
      <xdr:row>22</xdr:row>
      <xdr:rowOff>23532</xdr:rowOff>
    </xdr:from>
    <xdr:to>
      <xdr:col>17</xdr:col>
      <xdr:colOff>515470</xdr:colOff>
      <xdr:row>36</xdr:row>
      <xdr:rowOff>99732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246529</xdr:colOff>
      <xdr:row>7</xdr:row>
      <xdr:rowOff>34738</xdr:rowOff>
    </xdr:from>
    <xdr:to>
      <xdr:col>17</xdr:col>
      <xdr:colOff>672353</xdr:colOff>
      <xdr:row>21</xdr:row>
      <xdr:rowOff>110938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1</xdr:row>
      <xdr:rowOff>138112</xdr:rowOff>
    </xdr:from>
    <xdr:to>
      <xdr:col>13</xdr:col>
      <xdr:colOff>447675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1_Data%20Jumlah%20Penduduk%20dan%20Pertumbu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UTIM_IPCC%204A-TPA%20-%201_Diangkut%20TP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UTIM_IPCC%204A-TPA%20-%203_Dibuang%20Sembaranga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TIM_IPCC%204A-TPA%20-%202_Open%20Dumpi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KUTIM_IPCC%204A-TPA%20-%204_Buang%20ke%20sunga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KUTIM_IPCC%204A-TPA%20-%205_Peng%20biologi%20sampah%20+%20pembakaran%20sampah%20+%20Air%20Limbah%20(2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KUTIM_Palm%20Oil%20Wastewater%20Industr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KUTIM_Palm%20Oil%20Wastewater%20Industry_2021-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14">
          <cell r="F14">
            <v>269375</v>
          </cell>
        </row>
        <row r="15">
          <cell r="F15">
            <v>281594</v>
          </cell>
        </row>
        <row r="16">
          <cell r="F16">
            <v>294216</v>
          </cell>
        </row>
        <row r="17">
          <cell r="F17">
            <v>306974</v>
          </cell>
        </row>
        <row r="18">
          <cell r="F18">
            <v>320115</v>
          </cell>
        </row>
        <row r="19">
          <cell r="F19">
            <v>333591</v>
          </cell>
        </row>
        <row r="20">
          <cell r="F20">
            <v>335126</v>
          </cell>
        </row>
        <row r="21">
          <cell r="F21">
            <v>347623</v>
          </cell>
        </row>
        <row r="22">
          <cell r="F22">
            <v>360120</v>
          </cell>
        </row>
        <row r="23">
          <cell r="F23">
            <v>372617</v>
          </cell>
        </row>
        <row r="24">
          <cell r="F24">
            <v>385114</v>
          </cell>
        </row>
        <row r="25">
          <cell r="F25">
            <v>397611</v>
          </cell>
        </row>
        <row r="26">
          <cell r="F26">
            <v>410108</v>
          </cell>
        </row>
        <row r="27">
          <cell r="F27">
            <v>422605</v>
          </cell>
        </row>
        <row r="28">
          <cell r="F28">
            <v>435102</v>
          </cell>
        </row>
        <row r="29">
          <cell r="F29">
            <v>447599</v>
          </cell>
        </row>
        <row r="30">
          <cell r="F30">
            <v>460096</v>
          </cell>
        </row>
        <row r="31">
          <cell r="F31">
            <v>472593</v>
          </cell>
        </row>
        <row r="32">
          <cell r="F32">
            <v>485090</v>
          </cell>
        </row>
        <row r="33">
          <cell r="F33">
            <v>497587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0.66968051854616339</v>
          </cell>
        </row>
        <row r="29">
          <cell r="O29">
            <v>0.7146416820944872</v>
          </cell>
        </row>
        <row r="30">
          <cell r="O30">
            <v>0.75854078561571447</v>
          </cell>
        </row>
        <row r="31">
          <cell r="O31">
            <v>0.80204739400745984</v>
          </cell>
        </row>
        <row r="32">
          <cell r="O32">
            <v>0.84540424668783698</v>
          </cell>
        </row>
        <row r="33">
          <cell r="O33">
            <v>0.88898598705544085</v>
          </cell>
        </row>
        <row r="34">
          <cell r="O34">
            <v>0.93301645071207928</v>
          </cell>
        </row>
        <row r="35">
          <cell r="O35">
            <v>0.96741987535247054</v>
          </cell>
        </row>
        <row r="36">
          <cell r="O36">
            <v>1.0041659487565109</v>
          </cell>
        </row>
        <row r="37">
          <cell r="O37">
            <v>1.0425217125354111</v>
          </cell>
        </row>
        <row r="38">
          <cell r="O38">
            <v>1.0819914870758851</v>
          </cell>
        </row>
        <row r="39">
          <cell r="O39">
            <v>1.1222392064533671</v>
          </cell>
        </row>
        <row r="40">
          <cell r="O40">
            <v>1.1630362784559034</v>
          </cell>
        </row>
        <row r="41">
          <cell r="O41">
            <v>1.2042265664783243</v>
          </cell>
        </row>
        <row r="42">
          <cell r="O42">
            <v>1.2457028586068513</v>
          </cell>
        </row>
        <row r="43">
          <cell r="O43">
            <v>1.2873910453178345</v>
          </cell>
        </row>
        <row r="44">
          <cell r="O44">
            <v>1.3292394716357085</v>
          </cell>
        </row>
        <row r="45">
          <cell r="O45">
            <v>1.3712117639568304</v>
          </cell>
        </row>
        <row r="46">
          <cell r="O46">
            <v>1.4132819912048276</v>
          </cell>
        </row>
        <row r="47">
          <cell r="O47">
            <v>1.455431395142941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0.47489903523349586</v>
          </cell>
        </row>
        <row r="29">
          <cell r="O29">
            <v>0.50678291508478412</v>
          </cell>
        </row>
        <row r="30">
          <cell r="O30">
            <v>0.53791364284599363</v>
          </cell>
        </row>
        <row r="31">
          <cell r="O31">
            <v>0.56876603556062078</v>
          </cell>
        </row>
        <row r="32">
          <cell r="O32">
            <v>0.59951223010928689</v>
          </cell>
        </row>
        <row r="33">
          <cell r="O33">
            <v>0.63041790211435511</v>
          </cell>
        </row>
        <row r="34">
          <cell r="O34">
            <v>0.66164178295355802</v>
          </cell>
        </row>
        <row r="35">
          <cell r="O35">
            <v>0.6860387195792782</v>
          </cell>
        </row>
        <row r="36">
          <cell r="O36">
            <v>0.71209692841904304</v>
          </cell>
        </row>
        <row r="37">
          <cell r="O37">
            <v>0.73929663739936036</v>
          </cell>
        </row>
        <row r="38">
          <cell r="O38">
            <v>0.76728633895264298</v>
          </cell>
        </row>
        <row r="39">
          <cell r="O39">
            <v>0.79582771438970823</v>
          </cell>
        </row>
        <row r="40">
          <cell r="O40">
            <v>0.82475865921757463</v>
          </cell>
        </row>
        <row r="41">
          <cell r="O41">
            <v>0.85396845030617285</v>
          </cell>
        </row>
        <row r="42">
          <cell r="O42">
            <v>0.88338105911202724</v>
          </cell>
        </row>
        <row r="43">
          <cell r="O43">
            <v>0.91294393140919294</v>
          </cell>
        </row>
        <row r="44">
          <cell r="O44">
            <v>0.94262043645004912</v>
          </cell>
        </row>
        <row r="45">
          <cell r="O45">
            <v>0.97238478015995944</v>
          </cell>
        </row>
        <row r="46">
          <cell r="O46">
            <v>1.0022185737060241</v>
          </cell>
        </row>
        <row r="47">
          <cell r="O47">
            <v>1.0321085148220237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REKAPITULASI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</sheetNames>
    <sheetDataSet>
      <sheetData sheetId="0"/>
      <sheetData sheetId="1"/>
      <sheetData sheetId="2"/>
      <sheetData sheetId="3">
        <row r="6">
          <cell r="B6">
            <v>2.9092499999999999E-3</v>
          </cell>
          <cell r="D6">
            <v>2.1819375E-4</v>
          </cell>
        </row>
        <row r="7">
          <cell r="B7">
            <v>3.0412152000000004E-3</v>
          </cell>
          <cell r="D7">
            <v>2.2809114000000002E-4</v>
          </cell>
        </row>
        <row r="8">
          <cell r="B8">
            <v>3.1775328000000001E-3</v>
          </cell>
          <cell r="D8">
            <v>2.3831496000000001E-4</v>
          </cell>
        </row>
        <row r="9">
          <cell r="B9">
            <v>3.3153192000000002E-3</v>
          </cell>
          <cell r="D9">
            <v>2.4864894000000001E-4</v>
          </cell>
        </row>
        <row r="10">
          <cell r="B10">
            <v>3.4572420000000001E-3</v>
          </cell>
          <cell r="D10">
            <v>2.5929314999999996E-4</v>
          </cell>
        </row>
        <row r="11">
          <cell r="B11">
            <v>3.6027828E-3</v>
          </cell>
          <cell r="D11">
            <v>2.7020870999999995E-4</v>
          </cell>
        </row>
        <row r="12">
          <cell r="B12">
            <v>3.6193608000000001E-3</v>
          </cell>
          <cell r="D12">
            <v>2.7145206000000002E-4</v>
          </cell>
        </row>
        <row r="13">
          <cell r="B13">
            <v>3.7543284000000005E-3</v>
          </cell>
          <cell r="D13">
            <v>2.8157463000000001E-4</v>
          </cell>
        </row>
        <row r="14">
          <cell r="B14">
            <v>3.889296E-3</v>
          </cell>
          <cell r="D14">
            <v>2.9169720000000001E-4</v>
          </cell>
        </row>
        <row r="15">
          <cell r="B15">
            <v>4.0242636000000004E-3</v>
          </cell>
          <cell r="D15">
            <v>3.0181977E-4</v>
          </cell>
        </row>
        <row r="16">
          <cell r="B16">
            <v>4.1592311999999994E-3</v>
          </cell>
          <cell r="D16">
            <v>3.1194234E-4</v>
          </cell>
        </row>
        <row r="17">
          <cell r="B17">
            <v>4.2941988000000002E-3</v>
          </cell>
          <cell r="D17">
            <v>3.2206490999999999E-4</v>
          </cell>
        </row>
        <row r="18">
          <cell r="B18">
            <v>4.429166400000001E-3</v>
          </cell>
          <cell r="D18">
            <v>3.3218748000000004E-4</v>
          </cell>
        </row>
        <row r="19">
          <cell r="B19">
            <v>4.5641340000000001E-3</v>
          </cell>
          <cell r="D19">
            <v>3.4231004999999998E-4</v>
          </cell>
        </row>
        <row r="20">
          <cell r="B20">
            <v>4.6991016000000009E-3</v>
          </cell>
          <cell r="D20">
            <v>3.5243262000000003E-4</v>
          </cell>
        </row>
        <row r="21">
          <cell r="B21">
            <v>4.8340691999999999E-3</v>
          </cell>
          <cell r="D21">
            <v>3.6255518999999997E-4</v>
          </cell>
        </row>
        <row r="22">
          <cell r="B22">
            <v>4.9690368000000007E-3</v>
          </cell>
          <cell r="D22">
            <v>3.7267776000000002E-4</v>
          </cell>
        </row>
        <row r="23">
          <cell r="B23">
            <v>5.1040043999999998E-3</v>
          </cell>
          <cell r="D23">
            <v>3.8280032999999996E-4</v>
          </cell>
        </row>
        <row r="24">
          <cell r="B24">
            <v>5.2389720000000006E-3</v>
          </cell>
          <cell r="D24">
            <v>3.9292290000000001E-4</v>
          </cell>
        </row>
        <row r="25">
          <cell r="B25">
            <v>5.3739396000000005E-3</v>
          </cell>
          <cell r="D25">
            <v>4.0304547000000006E-4</v>
          </cell>
        </row>
        <row r="32">
          <cell r="B32">
            <v>2.4937377156250003E-2</v>
          </cell>
          <cell r="D32">
            <v>5.7547793437500003E-4</v>
          </cell>
        </row>
        <row r="33">
          <cell r="B33">
            <v>2.6068550470299996E-2</v>
          </cell>
          <cell r="D33">
            <v>6.0158193392999997E-4</v>
          </cell>
        </row>
        <row r="34">
          <cell r="B34">
            <v>2.7237031489199998E-2</v>
          </cell>
          <cell r="D34">
            <v>6.2854688051999991E-4</v>
          </cell>
        </row>
        <row r="35">
          <cell r="B35">
            <v>2.8418102701300005E-2</v>
          </cell>
          <cell r="D35">
            <v>6.5580237003000016E-4</v>
          </cell>
        </row>
        <row r="36">
          <cell r="B36">
            <v>2.9634630119250001E-2</v>
          </cell>
          <cell r="D36">
            <v>6.8387607967500003E-4</v>
          </cell>
        </row>
        <row r="37">
          <cell r="B37">
            <v>3.088217014545E-2</v>
          </cell>
          <cell r="D37">
            <v>7.1266546489500001E-4</v>
          </cell>
        </row>
        <row r="38">
          <cell r="B38">
            <v>3.1024272693700002E-2</v>
          </cell>
          <cell r="D38">
            <v>7.1594475446999997E-4</v>
          </cell>
        </row>
        <row r="39">
          <cell r="B39">
            <v>3.2181181843850007E-2</v>
          </cell>
          <cell r="D39">
            <v>7.4264265793500006E-4</v>
          </cell>
        </row>
        <row r="40">
          <cell r="B40">
            <v>3.3338090994000001E-2</v>
          </cell>
          <cell r="D40">
            <v>7.6934056139999992E-4</v>
          </cell>
        </row>
        <row r="41">
          <cell r="B41">
            <v>3.4495000144150009E-2</v>
          </cell>
          <cell r="D41">
            <v>7.9603846486500001E-4</v>
          </cell>
        </row>
        <row r="42">
          <cell r="B42">
            <v>3.5651909294299997E-2</v>
          </cell>
          <cell r="D42">
            <v>8.2273636832999987E-4</v>
          </cell>
        </row>
        <row r="43">
          <cell r="B43">
            <v>3.6808818444449998E-2</v>
          </cell>
          <cell r="D43">
            <v>8.4943427179500007E-4</v>
          </cell>
        </row>
        <row r="44">
          <cell r="B44">
            <v>3.7965727594599992E-2</v>
          </cell>
          <cell r="D44">
            <v>8.7613217525999993E-4</v>
          </cell>
        </row>
        <row r="45">
          <cell r="B45">
            <v>3.912263674475E-2</v>
          </cell>
          <cell r="D45">
            <v>9.0283007872500002E-4</v>
          </cell>
        </row>
        <row r="46">
          <cell r="B46">
            <v>4.0279545894900008E-2</v>
          </cell>
          <cell r="D46">
            <v>9.2952798219000021E-4</v>
          </cell>
        </row>
        <row r="47">
          <cell r="B47">
            <v>4.1436455045049995E-2</v>
          </cell>
          <cell r="D47">
            <v>9.5622588565499997E-4</v>
          </cell>
        </row>
        <row r="48">
          <cell r="B48">
            <v>4.259336419519999E-2</v>
          </cell>
          <cell r="D48">
            <v>9.8292378911999973E-4</v>
          </cell>
        </row>
        <row r="49">
          <cell r="B49">
            <v>4.3750273345350005E-2</v>
          </cell>
          <cell r="D49">
            <v>1.009621692585E-3</v>
          </cell>
        </row>
        <row r="50">
          <cell r="B50">
            <v>4.4907182495500006E-2</v>
          </cell>
          <cell r="D50">
            <v>1.0363195960499999E-3</v>
          </cell>
        </row>
        <row r="51">
          <cell r="B51">
            <v>4.6064091645650007E-2</v>
          </cell>
          <cell r="D51">
            <v>1.063017499515E-3</v>
          </cell>
        </row>
        <row r="59">
          <cell r="B59">
            <v>0.28142080349999998</v>
          </cell>
          <cell r="D59">
            <v>9.564120892857143E-3</v>
          </cell>
        </row>
        <row r="60">
          <cell r="B60">
            <v>0.29418620785440003</v>
          </cell>
          <cell r="D60">
            <v>9.63775578857143E-3</v>
          </cell>
        </row>
        <row r="61">
          <cell r="B61">
            <v>0.30737263340160004</v>
          </cell>
          <cell r="D61">
            <v>9.9273522102857146E-3</v>
          </cell>
        </row>
        <row r="62">
          <cell r="B62">
            <v>0.32070114054239995</v>
          </cell>
          <cell r="D62">
            <v>1.0587767144952383E-2</v>
          </cell>
        </row>
        <row r="63">
          <cell r="B63">
            <v>0.33442977452400002</v>
          </cell>
          <cell r="D63">
            <v>1.1041010247142859E-2</v>
          </cell>
        </row>
        <row r="64">
          <cell r="B64">
            <v>0.34850838890159996</v>
          </cell>
          <cell r="D64">
            <v>1.1505807754571429E-2</v>
          </cell>
        </row>
        <row r="65">
          <cell r="B65">
            <v>0.35011203041759997</v>
          </cell>
          <cell r="D65">
            <v>1.1558751074095239E-2</v>
          </cell>
        </row>
        <row r="66">
          <cell r="B66">
            <v>0.36316786626480002</v>
          </cell>
          <cell r="D66">
            <v>1.1989782125619049E-2</v>
          </cell>
        </row>
        <row r="67">
          <cell r="B67">
            <v>0.37622370211200001</v>
          </cell>
          <cell r="D67">
            <v>1.2420813177142859E-2</v>
          </cell>
        </row>
        <row r="68">
          <cell r="B68">
            <v>0.38927953795919995</v>
          </cell>
          <cell r="D68">
            <v>1.2851844228666672E-2</v>
          </cell>
        </row>
        <row r="69">
          <cell r="B69">
            <v>0.4023353738064</v>
          </cell>
          <cell r="D69">
            <v>1.328287528019048E-2</v>
          </cell>
        </row>
        <row r="70">
          <cell r="B70">
            <v>0.41539120965359999</v>
          </cell>
          <cell r="D70">
            <v>1.3713906331714288E-2</v>
          </cell>
        </row>
        <row r="71">
          <cell r="B71">
            <v>0.42844704550079998</v>
          </cell>
          <cell r="D71">
            <v>1.4144937383238096E-2</v>
          </cell>
        </row>
        <row r="72">
          <cell r="B72">
            <v>0.44150288134800009</v>
          </cell>
          <cell r="D72">
            <v>1.4575968434761909E-2</v>
          </cell>
        </row>
        <row r="73">
          <cell r="B73">
            <v>0.45455871719520002</v>
          </cell>
          <cell r="D73">
            <v>1.5006999486285717E-2</v>
          </cell>
        </row>
        <row r="74">
          <cell r="B74">
            <v>0.46761455304240002</v>
          </cell>
          <cell r="D74">
            <v>1.5438030537809528E-2</v>
          </cell>
        </row>
        <row r="75">
          <cell r="B75">
            <v>0.48067038888960006</v>
          </cell>
          <cell r="D75">
            <v>1.5869061589333336E-2</v>
          </cell>
        </row>
        <row r="76">
          <cell r="B76">
            <v>0.4937262247368</v>
          </cell>
          <cell r="D76">
            <v>1.6300092640857144E-2</v>
          </cell>
        </row>
        <row r="77">
          <cell r="B77">
            <v>0.50678206058399999</v>
          </cell>
          <cell r="D77">
            <v>1.6731123692380952E-2</v>
          </cell>
        </row>
        <row r="78">
          <cell r="B78">
            <v>0.51983789643120004</v>
          </cell>
          <cell r="D78">
            <v>1.7162154743904763E-2</v>
          </cell>
        </row>
      </sheetData>
      <sheetData sheetId="4"/>
      <sheetData sheetId="5">
        <row r="14">
          <cell r="M14">
            <v>0.69516380059632688</v>
          </cell>
        </row>
        <row r="15">
          <cell r="M15">
            <v>0.72632340446262678</v>
          </cell>
        </row>
        <row r="16">
          <cell r="M16">
            <v>0.7578187479998042</v>
          </cell>
        </row>
        <row r="17">
          <cell r="M17">
            <v>0.79025959369835008</v>
          </cell>
        </row>
        <row r="18">
          <cell r="M18">
            <v>0.82352744520383714</v>
          </cell>
        </row>
        <row r="19">
          <cell r="M19">
            <v>0.82731685987146264</v>
          </cell>
        </row>
        <row r="20">
          <cell r="M20">
            <v>0.85816787948144124</v>
          </cell>
        </row>
        <row r="21">
          <cell r="M21">
            <v>0.88901889909141962</v>
          </cell>
        </row>
        <row r="22">
          <cell r="M22">
            <v>0.91986991870139834</v>
          </cell>
        </row>
        <row r="23">
          <cell r="M23">
            <v>0.95072093831137683</v>
          </cell>
        </row>
        <row r="24">
          <cell r="M24">
            <v>0.98157195792135521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11337594</v>
          </cell>
        </row>
        <row r="13">
          <cell r="G13">
            <v>14991180</v>
          </cell>
        </row>
        <row r="14">
          <cell r="G14">
            <v>20414448</v>
          </cell>
        </row>
        <row r="15">
          <cell r="G15">
            <v>31218474</v>
          </cell>
        </row>
        <row r="16">
          <cell r="G16">
            <v>34167174</v>
          </cell>
        </row>
        <row r="17">
          <cell r="G17">
            <v>30494124</v>
          </cell>
        </row>
        <row r="18">
          <cell r="G18">
            <v>37834385.07</v>
          </cell>
        </row>
        <row r="19">
          <cell r="G19">
            <v>42918522.623999998</v>
          </cell>
        </row>
        <row r="20">
          <cell r="G20">
            <v>48176821.061999999</v>
          </cell>
        </row>
        <row r="21">
          <cell r="G21">
            <v>53609280.383999996</v>
          </cell>
        </row>
      </sheetData>
      <sheetData sheetId="16"/>
      <sheetData sheetId="17"/>
      <sheetData sheetId="1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56498033.806666672</v>
          </cell>
        </row>
        <row r="13">
          <cell r="G13">
            <v>59457231.199999988</v>
          </cell>
        </row>
        <row r="14">
          <cell r="G14">
            <v>62486872.563999988</v>
          </cell>
        </row>
        <row r="15">
          <cell r="G15">
            <v>65586957.898666658</v>
          </cell>
        </row>
        <row r="16">
          <cell r="G16">
            <v>68757487.203999981</v>
          </cell>
        </row>
        <row r="17">
          <cell r="G17">
            <v>71998460.480000004</v>
          </cell>
        </row>
        <row r="18">
          <cell r="G18">
            <v>75309877.726666659</v>
          </cell>
        </row>
        <row r="19">
          <cell r="G19">
            <v>78691738.943999991</v>
          </cell>
        </row>
        <row r="20">
          <cell r="G20">
            <v>82144044.131999984</v>
          </cell>
        </row>
        <row r="21">
          <cell r="G21">
            <v>83503834.895999983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85" zoomScaleNormal="85" workbookViewId="0">
      <selection activeCell="C5" sqref="C5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151</v>
      </c>
    </row>
    <row r="2" spans="1:14" ht="21" x14ac:dyDescent="0.25">
      <c r="G2" s="80" t="s">
        <v>18</v>
      </c>
    </row>
    <row r="3" spans="1:14" ht="15.75" customHeight="1" x14ac:dyDescent="0.25">
      <c r="A3" s="181" t="s">
        <v>11</v>
      </c>
      <c r="B3" s="181" t="s">
        <v>124</v>
      </c>
      <c r="C3" s="78" t="s">
        <v>12</v>
      </c>
      <c r="D3" s="180" t="s">
        <v>12</v>
      </c>
      <c r="E3" s="180"/>
      <c r="G3" s="81" t="s">
        <v>16</v>
      </c>
      <c r="H3" s="81"/>
      <c r="I3" s="81"/>
    </row>
    <row r="4" spans="1:14" x14ac:dyDescent="0.25">
      <c r="A4" s="182"/>
      <c r="B4" s="182"/>
      <c r="C4" s="78" t="s">
        <v>119</v>
      </c>
      <c r="D4" s="78" t="s">
        <v>14</v>
      </c>
      <c r="E4" s="78" t="s">
        <v>15</v>
      </c>
      <c r="G4" s="81" t="s">
        <v>17</v>
      </c>
      <c r="H4" s="81"/>
      <c r="I4" s="81"/>
    </row>
    <row r="5" spans="1:14" x14ac:dyDescent="0.25">
      <c r="A5" s="89">
        <v>2011</v>
      </c>
      <c r="B5" s="90">
        <f>[1]Sheet3!F14</f>
        <v>269375</v>
      </c>
      <c r="C5" s="82">
        <v>0.2</v>
      </c>
      <c r="D5" s="166">
        <f t="shared" ref="D5:D24" si="0">C5*B5</f>
        <v>53875</v>
      </c>
      <c r="E5" s="151">
        <f>D5/1000</f>
        <v>53.875</v>
      </c>
    </row>
    <row r="6" spans="1:14" x14ac:dyDescent="0.25">
      <c r="A6" s="89">
        <v>2012</v>
      </c>
      <c r="B6" s="90">
        <f>[1]Sheet3!F15</f>
        <v>281594</v>
      </c>
      <c r="C6" s="82">
        <v>0.2</v>
      </c>
      <c r="D6" s="166">
        <f t="shared" si="0"/>
        <v>56318.8</v>
      </c>
      <c r="E6" s="151">
        <f t="shared" ref="E6:E24" si="1">D6/1000</f>
        <v>56.318800000000003</v>
      </c>
      <c r="G6" s="83" t="s">
        <v>37</v>
      </c>
      <c r="H6" s="83"/>
      <c r="I6" s="83"/>
      <c r="J6" s="84">
        <v>2</v>
      </c>
      <c r="K6" s="85" t="s">
        <v>33</v>
      </c>
      <c r="L6" s="84">
        <v>3</v>
      </c>
      <c r="M6" s="83" t="s">
        <v>38</v>
      </c>
      <c r="N6" s="83"/>
    </row>
    <row r="7" spans="1:14" x14ac:dyDescent="0.25">
      <c r="A7" s="89">
        <v>2013</v>
      </c>
      <c r="B7" s="90">
        <f>[1]Sheet3!F16</f>
        <v>294216</v>
      </c>
      <c r="C7" s="82">
        <v>0.2</v>
      </c>
      <c r="D7" s="166">
        <f t="shared" si="0"/>
        <v>58843.200000000004</v>
      </c>
      <c r="E7" s="151">
        <f t="shared" si="1"/>
        <v>58.843200000000003</v>
      </c>
      <c r="G7" s="83"/>
      <c r="H7" s="83"/>
      <c r="I7" s="83"/>
      <c r="J7" s="84">
        <f>(2*250)/1000</f>
        <v>0.5</v>
      </c>
      <c r="K7" s="85" t="s">
        <v>33</v>
      </c>
      <c r="L7" s="84">
        <f>(3*250)/1000</f>
        <v>0.75</v>
      </c>
      <c r="M7" s="83" t="s">
        <v>13</v>
      </c>
      <c r="N7" s="83"/>
    </row>
    <row r="8" spans="1:14" x14ac:dyDescent="0.25">
      <c r="A8" s="89">
        <v>2014</v>
      </c>
      <c r="B8" s="90">
        <f>[1]Sheet3!F17</f>
        <v>306974</v>
      </c>
      <c r="C8" s="82">
        <v>0.2</v>
      </c>
      <c r="D8" s="166">
        <f t="shared" si="0"/>
        <v>61394.8</v>
      </c>
      <c r="E8" s="151">
        <f t="shared" si="1"/>
        <v>61.394800000000004</v>
      </c>
      <c r="G8" s="83"/>
      <c r="H8" s="83"/>
      <c r="I8" s="83"/>
      <c r="J8" s="86">
        <f>J7*(365/1000)</f>
        <v>0.1825</v>
      </c>
      <c r="K8" s="87" t="s">
        <v>33</v>
      </c>
      <c r="L8" s="86">
        <f>L7*(365/1000)</f>
        <v>0.27374999999999999</v>
      </c>
      <c r="M8" s="83" t="s">
        <v>39</v>
      </c>
      <c r="N8" s="83"/>
    </row>
    <row r="9" spans="1:14" x14ac:dyDescent="0.25">
      <c r="A9" s="89">
        <v>2015</v>
      </c>
      <c r="B9" s="90">
        <f>[1]Sheet3!F18</f>
        <v>320115</v>
      </c>
      <c r="C9" s="82">
        <v>0.2</v>
      </c>
      <c r="D9" s="166">
        <f t="shared" si="0"/>
        <v>64023</v>
      </c>
      <c r="E9" s="151">
        <f t="shared" si="1"/>
        <v>64.022999999999996</v>
      </c>
    </row>
    <row r="10" spans="1:14" x14ac:dyDescent="0.25">
      <c r="A10" s="89">
        <v>2016</v>
      </c>
      <c r="B10" s="90">
        <f>[1]Sheet3!F19</f>
        <v>333591</v>
      </c>
      <c r="C10" s="82">
        <v>0.2</v>
      </c>
      <c r="D10" s="166">
        <f t="shared" si="0"/>
        <v>66718.2</v>
      </c>
      <c r="E10" s="151">
        <f t="shared" si="1"/>
        <v>66.718199999999996</v>
      </c>
      <c r="G10" s="88" t="s">
        <v>34</v>
      </c>
      <c r="H10" s="88"/>
      <c r="I10" s="88" t="s">
        <v>35</v>
      </c>
      <c r="J10" s="88"/>
      <c r="K10" s="88"/>
    </row>
    <row r="11" spans="1:14" x14ac:dyDescent="0.25">
      <c r="A11" s="89">
        <v>2017</v>
      </c>
      <c r="B11" s="90">
        <f>[1]Sheet3!F20</f>
        <v>335126</v>
      </c>
      <c r="C11" s="82">
        <v>0.2</v>
      </c>
      <c r="D11" s="166">
        <f t="shared" si="0"/>
        <v>67025.2</v>
      </c>
      <c r="E11" s="151">
        <f t="shared" si="1"/>
        <v>67.025199999999998</v>
      </c>
      <c r="G11" s="88"/>
      <c r="H11" s="88"/>
      <c r="I11" s="88" t="s">
        <v>36</v>
      </c>
      <c r="J11" s="88"/>
      <c r="K11" s="88"/>
    </row>
    <row r="12" spans="1:14" x14ac:dyDescent="0.25">
      <c r="A12" s="89">
        <v>2018</v>
      </c>
      <c r="B12" s="90">
        <f>[1]Sheet3!F21</f>
        <v>347623</v>
      </c>
      <c r="C12" s="82">
        <v>0.2</v>
      </c>
      <c r="D12" s="166">
        <f t="shared" si="0"/>
        <v>69524.600000000006</v>
      </c>
      <c r="E12" s="151">
        <f t="shared" si="1"/>
        <v>69.524600000000007</v>
      </c>
    </row>
    <row r="13" spans="1:14" x14ac:dyDescent="0.25">
      <c r="A13" s="89">
        <v>2019</v>
      </c>
      <c r="B13" s="90">
        <f>[1]Sheet3!F22</f>
        <v>360120</v>
      </c>
      <c r="C13" s="82">
        <v>0.2</v>
      </c>
      <c r="D13" s="166">
        <f t="shared" si="0"/>
        <v>72024</v>
      </c>
      <c r="E13" s="151">
        <f t="shared" si="1"/>
        <v>72.024000000000001</v>
      </c>
    </row>
    <row r="14" spans="1:14" x14ac:dyDescent="0.25">
      <c r="A14" s="89">
        <v>2020</v>
      </c>
      <c r="B14" s="90">
        <f>[1]Sheet3!F23</f>
        <v>372617</v>
      </c>
      <c r="C14" s="82">
        <v>0.2</v>
      </c>
      <c r="D14" s="166">
        <f t="shared" si="0"/>
        <v>74523.400000000009</v>
      </c>
      <c r="E14" s="151">
        <f t="shared" si="1"/>
        <v>74.523400000000009</v>
      </c>
    </row>
    <row r="15" spans="1:14" x14ac:dyDescent="0.25">
      <c r="A15" s="89">
        <v>2021</v>
      </c>
      <c r="B15" s="90">
        <f>[1]Sheet3!F24</f>
        <v>385114</v>
      </c>
      <c r="C15" s="82">
        <v>0.2</v>
      </c>
      <c r="D15" s="166">
        <f t="shared" si="0"/>
        <v>77022.8</v>
      </c>
      <c r="E15" s="151">
        <f t="shared" si="1"/>
        <v>77.022800000000004</v>
      </c>
    </row>
    <row r="16" spans="1:14" x14ac:dyDescent="0.25">
      <c r="A16" s="89">
        <v>2022</v>
      </c>
      <c r="B16" s="90">
        <f>[1]Sheet3!F25</f>
        <v>397611</v>
      </c>
      <c r="C16" s="82">
        <v>0.2</v>
      </c>
      <c r="D16" s="166">
        <f t="shared" si="0"/>
        <v>79522.200000000012</v>
      </c>
      <c r="E16" s="151">
        <f t="shared" si="1"/>
        <v>79.522200000000012</v>
      </c>
    </row>
    <row r="17" spans="1:10" x14ac:dyDescent="0.25">
      <c r="A17" s="89">
        <v>2023</v>
      </c>
      <c r="B17" s="90">
        <f>[1]Sheet3!F26</f>
        <v>410108</v>
      </c>
      <c r="C17" s="82">
        <v>0.2</v>
      </c>
      <c r="D17" s="166">
        <f t="shared" si="0"/>
        <v>82021.600000000006</v>
      </c>
      <c r="E17" s="151">
        <f t="shared" si="1"/>
        <v>82.021600000000007</v>
      </c>
      <c r="G17" s="91"/>
      <c r="H17" s="91"/>
      <c r="I17" s="91"/>
      <c r="J17" s="91"/>
    </row>
    <row r="18" spans="1:10" x14ac:dyDescent="0.25">
      <c r="A18" s="89">
        <v>2024</v>
      </c>
      <c r="B18" s="90">
        <f>[1]Sheet3!F27</f>
        <v>422605</v>
      </c>
      <c r="C18" s="82">
        <v>0.2</v>
      </c>
      <c r="D18" s="166">
        <f t="shared" si="0"/>
        <v>84521</v>
      </c>
      <c r="E18" s="151">
        <f t="shared" si="1"/>
        <v>84.521000000000001</v>
      </c>
      <c r="G18" s="91"/>
      <c r="H18" s="91"/>
      <c r="I18" s="91"/>
      <c r="J18" s="91"/>
    </row>
    <row r="19" spans="1:10" x14ac:dyDescent="0.25">
      <c r="A19" s="89">
        <v>2025</v>
      </c>
      <c r="B19" s="90">
        <f>[1]Sheet3!F28</f>
        <v>435102</v>
      </c>
      <c r="C19" s="82">
        <v>0.2</v>
      </c>
      <c r="D19" s="166">
        <f t="shared" si="0"/>
        <v>87020.400000000009</v>
      </c>
      <c r="E19" s="151">
        <f t="shared" si="1"/>
        <v>87.020400000000009</v>
      </c>
      <c r="G19" s="91"/>
      <c r="H19" s="91"/>
      <c r="I19" s="91"/>
      <c r="J19" s="91"/>
    </row>
    <row r="20" spans="1:10" x14ac:dyDescent="0.25">
      <c r="A20" s="89">
        <v>2026</v>
      </c>
      <c r="B20" s="90">
        <f>[1]Sheet3!F29</f>
        <v>447599</v>
      </c>
      <c r="C20" s="82">
        <v>0.2</v>
      </c>
      <c r="D20" s="166">
        <f t="shared" si="0"/>
        <v>89519.8</v>
      </c>
      <c r="E20" s="151">
        <f t="shared" si="1"/>
        <v>89.519800000000004</v>
      </c>
      <c r="G20" s="91"/>
      <c r="H20" s="91"/>
      <c r="I20" s="91"/>
      <c r="J20" s="91"/>
    </row>
    <row r="21" spans="1:10" x14ac:dyDescent="0.25">
      <c r="A21" s="89">
        <v>2027</v>
      </c>
      <c r="B21" s="90">
        <f>[1]Sheet3!F30</f>
        <v>460096</v>
      </c>
      <c r="C21" s="82">
        <v>0.2</v>
      </c>
      <c r="D21" s="166">
        <f t="shared" si="0"/>
        <v>92019.200000000012</v>
      </c>
      <c r="E21" s="151">
        <f t="shared" si="1"/>
        <v>92.019200000000012</v>
      </c>
      <c r="G21" s="91"/>
      <c r="H21" s="91"/>
      <c r="I21" s="91"/>
      <c r="J21" s="91"/>
    </row>
    <row r="22" spans="1:10" x14ac:dyDescent="0.25">
      <c r="A22" s="89">
        <v>2028</v>
      </c>
      <c r="B22" s="90">
        <f>[1]Sheet3!F31</f>
        <v>472593</v>
      </c>
      <c r="C22" s="82">
        <v>0.2</v>
      </c>
      <c r="D22" s="166">
        <f t="shared" si="0"/>
        <v>94518.6</v>
      </c>
      <c r="E22" s="151">
        <f t="shared" si="1"/>
        <v>94.518600000000006</v>
      </c>
      <c r="G22" s="91"/>
      <c r="H22" s="91"/>
      <c r="I22" s="91"/>
      <c r="J22" s="91"/>
    </row>
    <row r="23" spans="1:10" x14ac:dyDescent="0.25">
      <c r="A23" s="89">
        <v>2029</v>
      </c>
      <c r="B23" s="90">
        <f>[1]Sheet3!F32</f>
        <v>485090</v>
      </c>
      <c r="C23" s="82">
        <v>0.2</v>
      </c>
      <c r="D23" s="166">
        <f t="shared" si="0"/>
        <v>97018</v>
      </c>
      <c r="E23" s="151">
        <f t="shared" si="1"/>
        <v>97.018000000000001</v>
      </c>
      <c r="G23" s="91"/>
      <c r="H23" s="91"/>
      <c r="I23" s="91"/>
      <c r="J23" s="91"/>
    </row>
    <row r="24" spans="1:10" x14ac:dyDescent="0.25">
      <c r="A24" s="89">
        <v>2030</v>
      </c>
      <c r="B24" s="90">
        <f>[1]Sheet3!F33</f>
        <v>497587</v>
      </c>
      <c r="C24" s="82">
        <v>0.2</v>
      </c>
      <c r="D24" s="166">
        <f t="shared" si="0"/>
        <v>99517.400000000009</v>
      </c>
      <c r="E24" s="151">
        <f t="shared" si="1"/>
        <v>99.517400000000009</v>
      </c>
      <c r="G24" s="91"/>
      <c r="H24" s="91"/>
      <c r="I24" s="91"/>
      <c r="J24" s="91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48"/>
  <sheetViews>
    <sheetView topLeftCell="A7" zoomScaleNormal="100" workbookViewId="0">
      <selection activeCell="B6" sqref="B6:H26"/>
    </sheetView>
  </sheetViews>
  <sheetFormatPr defaultRowHeight="12.75" x14ac:dyDescent="0.25"/>
  <cols>
    <col min="1" max="1" width="9.140625" style="145"/>
    <col min="2" max="2" width="15.5703125" style="145" customWidth="1"/>
    <col min="3" max="3" width="11" style="145" customWidth="1"/>
    <col min="4" max="6" width="9.140625" style="145"/>
    <col min="7" max="7" width="12.28515625" style="145" customWidth="1"/>
    <col min="8" max="8" width="9.140625" style="145"/>
    <col min="9" max="9" width="16.85546875" style="145" customWidth="1"/>
    <col min="10" max="11" width="9.140625" style="145"/>
    <col min="12" max="12" width="9" style="152" bestFit="1" customWidth="1"/>
    <col min="13" max="13" width="12" style="152" bestFit="1" customWidth="1"/>
    <col min="14" max="14" width="2.42578125" style="152" customWidth="1"/>
    <col min="15" max="15" width="7.140625" style="152" customWidth="1"/>
    <col min="16" max="19" width="9.140625" style="152"/>
    <col min="20" max="20" width="1.42578125" style="152" customWidth="1"/>
    <col min="21" max="21" width="7.140625" style="152" customWidth="1"/>
    <col min="22" max="22" width="50.28515625" style="152" customWidth="1"/>
    <col min="23" max="25" width="9.140625" style="152"/>
    <col min="26" max="16384" width="9.140625" style="145"/>
  </cols>
  <sheetData>
    <row r="2" spans="1:21" x14ac:dyDescent="0.25">
      <c r="A2" s="183" t="s">
        <v>9</v>
      </c>
      <c r="B2" s="183"/>
      <c r="C2" s="183"/>
      <c r="D2" s="183"/>
      <c r="E2" s="183"/>
      <c r="F2" s="183"/>
      <c r="G2" s="183"/>
      <c r="H2" s="183"/>
      <c r="I2" s="183"/>
    </row>
    <row r="3" spans="1:21" x14ac:dyDescent="0.25">
      <c r="A3" s="153" t="s">
        <v>151</v>
      </c>
    </row>
    <row r="4" spans="1:21" x14ac:dyDescent="0.25">
      <c r="A4" s="184" t="s">
        <v>8</v>
      </c>
      <c r="B4" s="184" t="s">
        <v>0</v>
      </c>
      <c r="C4" s="184"/>
      <c r="D4" s="184"/>
      <c r="E4" s="184"/>
      <c r="F4" s="184"/>
      <c r="G4" s="184"/>
      <c r="H4" s="184"/>
      <c r="I4" s="188" t="s">
        <v>10</v>
      </c>
    </row>
    <row r="5" spans="1:21" ht="25.5" x14ac:dyDescent="0.25">
      <c r="A5" s="184"/>
      <c r="B5" s="150" t="s">
        <v>1</v>
      </c>
      <c r="C5" s="150" t="s">
        <v>2</v>
      </c>
      <c r="D5" s="150" t="s">
        <v>147</v>
      </c>
      <c r="E5" s="150" t="s">
        <v>4</v>
      </c>
      <c r="F5" s="150" t="s">
        <v>5</v>
      </c>
      <c r="G5" s="150" t="s">
        <v>127</v>
      </c>
      <c r="H5" s="150" t="s">
        <v>7</v>
      </c>
      <c r="I5" s="189"/>
      <c r="P5" s="154"/>
    </row>
    <row r="6" spans="1:21" ht="17.25" customHeight="1" x14ac:dyDescent="0.25">
      <c r="A6" s="155">
        <v>2011</v>
      </c>
      <c r="B6" s="178">
        <v>0.31609999999999999</v>
      </c>
      <c r="C6" s="178">
        <f>4%+9.35%+8.46%+6.21%</f>
        <v>0.2802</v>
      </c>
      <c r="D6" s="178">
        <v>1.35E-2</v>
      </c>
      <c r="E6" s="178">
        <v>0.39019999999999999</v>
      </c>
      <c r="F6" s="92"/>
      <c r="G6" s="92"/>
      <c r="H6" s="92"/>
      <c r="I6" s="156">
        <f>SUM(B6:H6)</f>
        <v>1</v>
      </c>
      <c r="L6" s="93"/>
    </row>
    <row r="7" spans="1:21" x14ac:dyDescent="0.25">
      <c r="A7" s="155">
        <v>2012</v>
      </c>
      <c r="B7" s="178">
        <v>0.31609999999999999</v>
      </c>
      <c r="C7" s="178">
        <f t="shared" ref="C7:C25" si="0">4%+9.35%+8.46%+6.21%</f>
        <v>0.2802</v>
      </c>
      <c r="D7" s="178">
        <v>1.35E-2</v>
      </c>
      <c r="E7" s="178">
        <v>0.39019999999999999</v>
      </c>
      <c r="F7" s="92"/>
      <c r="G7" s="92"/>
      <c r="H7" s="92"/>
      <c r="I7" s="156">
        <f t="shared" ref="I7:I25" si="1">SUM(B7:H7)</f>
        <v>1</v>
      </c>
      <c r="L7" s="152">
        <v>2000</v>
      </c>
      <c r="M7" s="152">
        <f>M8-(M8*0.024)</f>
        <v>0</v>
      </c>
      <c r="N7" s="94"/>
      <c r="O7" s="95"/>
      <c r="P7" s="154"/>
      <c r="S7" s="157"/>
      <c r="T7" s="158"/>
      <c r="U7" s="157"/>
    </row>
    <row r="8" spans="1:21" x14ac:dyDescent="0.25">
      <c r="A8" s="155">
        <v>2013</v>
      </c>
      <c r="B8" s="178">
        <v>0.31609999999999999</v>
      </c>
      <c r="C8" s="178">
        <f t="shared" si="0"/>
        <v>0.2802</v>
      </c>
      <c r="D8" s="178">
        <v>1.35E-2</v>
      </c>
      <c r="E8" s="178">
        <v>0.39019999999999999</v>
      </c>
      <c r="F8" s="92"/>
      <c r="G8" s="92"/>
      <c r="H8" s="92"/>
      <c r="I8" s="156">
        <f t="shared" si="1"/>
        <v>1</v>
      </c>
      <c r="L8" s="152">
        <v>2001</v>
      </c>
      <c r="M8" s="152">
        <f t="shared" ref="M8:M10" si="2">M9-(M9*0.024)</f>
        <v>0</v>
      </c>
      <c r="N8" s="95"/>
      <c r="O8" s="95"/>
      <c r="P8" s="154"/>
      <c r="S8" s="159"/>
      <c r="T8" s="159"/>
      <c r="U8" s="159"/>
    </row>
    <row r="9" spans="1:21" x14ac:dyDescent="0.25">
      <c r="A9" s="155">
        <v>2014</v>
      </c>
      <c r="B9" s="178">
        <v>0.31609999999999999</v>
      </c>
      <c r="C9" s="178">
        <f t="shared" si="0"/>
        <v>0.2802</v>
      </c>
      <c r="D9" s="178">
        <v>1.35E-2</v>
      </c>
      <c r="E9" s="178">
        <v>0.39019999999999999</v>
      </c>
      <c r="F9" s="92"/>
      <c r="G9" s="92"/>
      <c r="H9" s="92"/>
      <c r="I9" s="156">
        <f t="shared" si="1"/>
        <v>1</v>
      </c>
      <c r="L9" s="152">
        <v>2002</v>
      </c>
      <c r="M9" s="152">
        <f t="shared" si="2"/>
        <v>0</v>
      </c>
      <c r="N9" s="95"/>
      <c r="O9" s="95"/>
      <c r="P9" s="154"/>
    </row>
    <row r="10" spans="1:21" x14ac:dyDescent="0.25">
      <c r="A10" s="155">
        <v>2015</v>
      </c>
      <c r="B10" s="178">
        <v>0.31609999999999999</v>
      </c>
      <c r="C10" s="178">
        <f t="shared" si="0"/>
        <v>0.2802</v>
      </c>
      <c r="D10" s="178">
        <v>1.35E-2</v>
      </c>
      <c r="E10" s="178">
        <v>0.39019999999999999</v>
      </c>
      <c r="F10" s="92"/>
      <c r="G10" s="92"/>
      <c r="H10" s="92"/>
      <c r="I10" s="156">
        <f t="shared" si="1"/>
        <v>1</v>
      </c>
      <c r="L10" s="152">
        <v>2003</v>
      </c>
      <c r="M10" s="152">
        <f t="shared" si="2"/>
        <v>0</v>
      </c>
      <c r="N10" s="94"/>
      <c r="O10" s="95"/>
      <c r="P10" s="154"/>
    </row>
    <row r="11" spans="1:21" x14ac:dyDescent="0.25">
      <c r="A11" s="155">
        <v>2016</v>
      </c>
      <c r="B11" s="178">
        <v>0.31609999999999999</v>
      </c>
      <c r="C11" s="178">
        <f t="shared" si="0"/>
        <v>0.2802</v>
      </c>
      <c r="D11" s="178">
        <v>1.35E-2</v>
      </c>
      <c r="E11" s="178">
        <v>0.39019999999999999</v>
      </c>
      <c r="F11" s="92"/>
      <c r="G11" s="92"/>
      <c r="H11" s="92"/>
      <c r="I11" s="156">
        <f t="shared" si="1"/>
        <v>1</v>
      </c>
      <c r="L11" s="152">
        <v>2004</v>
      </c>
      <c r="M11" s="152">
        <f>M12-(M12*0.024)</f>
        <v>0</v>
      </c>
    </row>
    <row r="12" spans="1:21" x14ac:dyDescent="0.25">
      <c r="A12" s="155">
        <v>2017</v>
      </c>
      <c r="B12" s="178">
        <v>0.31609999999999999</v>
      </c>
      <c r="C12" s="178">
        <f t="shared" si="0"/>
        <v>0.2802</v>
      </c>
      <c r="D12" s="178">
        <v>1.35E-2</v>
      </c>
      <c r="E12" s="178">
        <v>0.39019999999999999</v>
      </c>
      <c r="F12" s="92"/>
      <c r="G12" s="92"/>
      <c r="H12" s="92"/>
      <c r="I12" s="156">
        <f t="shared" si="1"/>
        <v>1</v>
      </c>
      <c r="L12" s="152">
        <v>2005</v>
      </c>
      <c r="M12" s="152">
        <f>M13-(M13*O29)</f>
        <v>0</v>
      </c>
    </row>
    <row r="13" spans="1:21" x14ac:dyDescent="0.25">
      <c r="A13" s="155">
        <v>2018</v>
      </c>
      <c r="B13" s="178">
        <v>0.31609999999999999</v>
      </c>
      <c r="C13" s="178">
        <f t="shared" si="0"/>
        <v>0.2802</v>
      </c>
      <c r="D13" s="178">
        <v>1.35E-2</v>
      </c>
      <c r="E13" s="178">
        <v>0.39019999999999999</v>
      </c>
      <c r="F13" s="92"/>
      <c r="G13" s="92"/>
      <c r="H13" s="92"/>
      <c r="I13" s="156">
        <f t="shared" si="1"/>
        <v>1</v>
      </c>
      <c r="L13" s="152">
        <v>2006</v>
      </c>
      <c r="M13" s="152">
        <f>M14-(M14*O29)</f>
        <v>0</v>
      </c>
    </row>
    <row r="14" spans="1:21" x14ac:dyDescent="0.25">
      <c r="A14" s="155">
        <v>2019</v>
      </c>
      <c r="B14" s="178">
        <v>0.31609999999999999</v>
      </c>
      <c r="C14" s="178">
        <f t="shared" si="0"/>
        <v>0.2802</v>
      </c>
      <c r="D14" s="178">
        <v>1.35E-2</v>
      </c>
      <c r="E14" s="178">
        <v>0.39019999999999999</v>
      </c>
      <c r="F14" s="92"/>
      <c r="G14" s="92"/>
      <c r="H14" s="92"/>
      <c r="I14" s="156">
        <f t="shared" si="1"/>
        <v>1</v>
      </c>
      <c r="L14" s="152">
        <v>2007</v>
      </c>
      <c r="M14" s="152">
        <f>M15-(M15*O29)</f>
        <v>0</v>
      </c>
      <c r="P14" s="154"/>
    </row>
    <row r="15" spans="1:21" x14ac:dyDescent="0.25">
      <c r="A15" s="155">
        <v>2020</v>
      </c>
      <c r="B15" s="178">
        <v>0.31609999999999999</v>
      </c>
      <c r="C15" s="178">
        <f t="shared" si="0"/>
        <v>0.2802</v>
      </c>
      <c r="D15" s="178">
        <v>1.35E-2</v>
      </c>
      <c r="E15" s="178">
        <v>0.39019999999999999</v>
      </c>
      <c r="F15" s="92"/>
      <c r="G15" s="92"/>
      <c r="H15" s="92"/>
      <c r="I15" s="156">
        <f t="shared" si="1"/>
        <v>1</v>
      </c>
      <c r="L15" s="152">
        <v>2008</v>
      </c>
      <c r="M15" s="152">
        <f>M27-(M27*O29)</f>
        <v>0</v>
      </c>
      <c r="S15" s="157"/>
    </row>
    <row r="16" spans="1:21" x14ac:dyDescent="0.25">
      <c r="A16" s="155">
        <v>2021</v>
      </c>
      <c r="B16" s="178">
        <v>0.31609999999999999</v>
      </c>
      <c r="C16" s="178">
        <f t="shared" si="0"/>
        <v>0.2802</v>
      </c>
      <c r="D16" s="178">
        <v>1.35E-2</v>
      </c>
      <c r="E16" s="178">
        <v>0.39019999999999999</v>
      </c>
      <c r="F16" s="92"/>
      <c r="G16" s="92"/>
      <c r="H16" s="92"/>
      <c r="I16" s="156">
        <f t="shared" si="1"/>
        <v>1</v>
      </c>
      <c r="S16" s="157"/>
    </row>
    <row r="17" spans="1:19" x14ac:dyDescent="0.25">
      <c r="A17" s="155">
        <v>2022</v>
      </c>
      <c r="B17" s="178">
        <v>0.31609999999999999</v>
      </c>
      <c r="C17" s="178">
        <f t="shared" si="0"/>
        <v>0.2802</v>
      </c>
      <c r="D17" s="178">
        <v>1.35E-2</v>
      </c>
      <c r="E17" s="178">
        <v>0.39019999999999999</v>
      </c>
      <c r="F17" s="92"/>
      <c r="G17" s="92"/>
      <c r="H17" s="92"/>
      <c r="I17" s="156">
        <f t="shared" si="1"/>
        <v>1</v>
      </c>
      <c r="S17" s="157"/>
    </row>
    <row r="18" spans="1:19" x14ac:dyDescent="0.25">
      <c r="A18" s="155">
        <v>2023</v>
      </c>
      <c r="B18" s="178">
        <v>0.31609999999999999</v>
      </c>
      <c r="C18" s="178">
        <f t="shared" si="0"/>
        <v>0.2802</v>
      </c>
      <c r="D18" s="178">
        <v>1.35E-2</v>
      </c>
      <c r="E18" s="178">
        <v>0.39019999999999999</v>
      </c>
      <c r="F18" s="92"/>
      <c r="G18" s="92"/>
      <c r="H18" s="92"/>
      <c r="I18" s="156">
        <f t="shared" si="1"/>
        <v>1</v>
      </c>
      <c r="S18" s="157"/>
    </row>
    <row r="19" spans="1:19" x14ac:dyDescent="0.25">
      <c r="A19" s="155">
        <v>2024</v>
      </c>
      <c r="B19" s="178">
        <v>0.31609999999999999</v>
      </c>
      <c r="C19" s="178">
        <f t="shared" si="0"/>
        <v>0.2802</v>
      </c>
      <c r="D19" s="178">
        <v>1.35E-2</v>
      </c>
      <c r="E19" s="178">
        <v>0.39019999999999999</v>
      </c>
      <c r="F19" s="92"/>
      <c r="G19" s="92"/>
      <c r="H19" s="92"/>
      <c r="I19" s="156">
        <f t="shared" si="1"/>
        <v>1</v>
      </c>
      <c r="S19" s="157"/>
    </row>
    <row r="20" spans="1:19" x14ac:dyDescent="0.25">
      <c r="A20" s="155">
        <v>2025</v>
      </c>
      <c r="B20" s="178">
        <v>0.31609999999999999</v>
      </c>
      <c r="C20" s="178">
        <f t="shared" si="0"/>
        <v>0.2802</v>
      </c>
      <c r="D20" s="178">
        <v>1.35E-2</v>
      </c>
      <c r="E20" s="178">
        <v>0.39019999999999999</v>
      </c>
      <c r="F20" s="92"/>
      <c r="G20" s="92"/>
      <c r="H20" s="92"/>
      <c r="I20" s="156">
        <f t="shared" si="1"/>
        <v>1</v>
      </c>
      <c r="S20" s="157"/>
    </row>
    <row r="21" spans="1:19" x14ac:dyDescent="0.25">
      <c r="A21" s="155">
        <v>2026</v>
      </c>
      <c r="B21" s="178">
        <v>0.31609999999999999</v>
      </c>
      <c r="C21" s="178">
        <f t="shared" si="0"/>
        <v>0.2802</v>
      </c>
      <c r="D21" s="178">
        <v>1.35E-2</v>
      </c>
      <c r="E21" s="178">
        <v>0.39019999999999999</v>
      </c>
      <c r="F21" s="92"/>
      <c r="G21" s="92"/>
      <c r="H21" s="92"/>
      <c r="I21" s="156">
        <f t="shared" si="1"/>
        <v>1</v>
      </c>
      <c r="S21" s="157"/>
    </row>
    <row r="22" spans="1:19" x14ac:dyDescent="0.25">
      <c r="A22" s="155">
        <v>2027</v>
      </c>
      <c r="B22" s="178">
        <v>0.31609999999999999</v>
      </c>
      <c r="C22" s="178">
        <f t="shared" si="0"/>
        <v>0.2802</v>
      </c>
      <c r="D22" s="178">
        <v>1.35E-2</v>
      </c>
      <c r="E22" s="178">
        <v>0.39019999999999999</v>
      </c>
      <c r="F22" s="92"/>
      <c r="G22" s="92"/>
      <c r="H22" s="92"/>
      <c r="I22" s="156">
        <f t="shared" si="1"/>
        <v>1</v>
      </c>
      <c r="S22" s="157"/>
    </row>
    <row r="23" spans="1:19" x14ac:dyDescent="0.25">
      <c r="A23" s="155">
        <v>2028</v>
      </c>
      <c r="B23" s="178">
        <v>0.31609999999999999</v>
      </c>
      <c r="C23" s="178">
        <f t="shared" si="0"/>
        <v>0.2802</v>
      </c>
      <c r="D23" s="178">
        <v>1.35E-2</v>
      </c>
      <c r="E23" s="178">
        <v>0.39019999999999999</v>
      </c>
      <c r="F23" s="92"/>
      <c r="G23" s="92"/>
      <c r="H23" s="92"/>
      <c r="I23" s="156">
        <f t="shared" si="1"/>
        <v>1</v>
      </c>
      <c r="S23" s="157"/>
    </row>
    <row r="24" spans="1:19" x14ac:dyDescent="0.25">
      <c r="A24" s="155">
        <v>2029</v>
      </c>
      <c r="B24" s="178">
        <v>0.31609999999999999</v>
      </c>
      <c r="C24" s="178">
        <f t="shared" si="0"/>
        <v>0.2802</v>
      </c>
      <c r="D24" s="178">
        <v>1.35E-2</v>
      </c>
      <c r="E24" s="178">
        <v>0.39019999999999999</v>
      </c>
      <c r="F24" s="92"/>
      <c r="G24" s="92"/>
      <c r="H24" s="92"/>
      <c r="I24" s="156">
        <f t="shared" si="1"/>
        <v>1</v>
      </c>
      <c r="S24" s="157"/>
    </row>
    <row r="25" spans="1:19" x14ac:dyDescent="0.25">
      <c r="A25" s="155">
        <v>2030</v>
      </c>
      <c r="B25" s="178">
        <v>0.31609999999999999</v>
      </c>
      <c r="C25" s="178">
        <f t="shared" si="0"/>
        <v>0.2802</v>
      </c>
      <c r="D25" s="178">
        <v>1.35E-2</v>
      </c>
      <c r="E25" s="178">
        <v>0.39019999999999999</v>
      </c>
      <c r="F25" s="92"/>
      <c r="G25" s="92"/>
      <c r="H25" s="92"/>
      <c r="I25" s="156">
        <f t="shared" si="1"/>
        <v>1</v>
      </c>
      <c r="S25" s="157"/>
    </row>
    <row r="26" spans="1:19" ht="14.25" customHeight="1" x14ac:dyDescent="0.25">
      <c r="B26" s="92">
        <v>0.31609999999999999</v>
      </c>
      <c r="C26" s="92">
        <v>0.04</v>
      </c>
      <c r="D26" s="92">
        <v>1.35E-2</v>
      </c>
      <c r="E26" s="92">
        <v>0.39019999999999999</v>
      </c>
      <c r="F26" s="92"/>
      <c r="G26" s="92"/>
      <c r="H26" s="92"/>
    </row>
    <row r="27" spans="1:19" x14ac:dyDescent="0.25">
      <c r="A27" s="184" t="s">
        <v>11</v>
      </c>
      <c r="B27" s="185" t="s">
        <v>148</v>
      </c>
      <c r="C27" s="186"/>
      <c r="D27" s="186"/>
      <c r="E27" s="186"/>
      <c r="F27" s="186"/>
      <c r="G27" s="186"/>
      <c r="H27" s="187"/>
      <c r="I27" s="188" t="s">
        <v>40</v>
      </c>
    </row>
    <row r="28" spans="1:19" ht="25.5" x14ac:dyDescent="0.25">
      <c r="A28" s="184"/>
      <c r="B28" s="150" t="s">
        <v>1</v>
      </c>
      <c r="C28" s="150" t="s">
        <v>2</v>
      </c>
      <c r="D28" s="150" t="s">
        <v>147</v>
      </c>
      <c r="E28" s="144" t="s">
        <v>4</v>
      </c>
      <c r="F28" s="150" t="s">
        <v>5</v>
      </c>
      <c r="G28" s="150" t="s">
        <v>127</v>
      </c>
      <c r="H28" s="144" t="s">
        <v>7</v>
      </c>
      <c r="I28" s="189"/>
    </row>
    <row r="29" spans="1:19" x14ac:dyDescent="0.25">
      <c r="A29" s="155">
        <v>2011</v>
      </c>
      <c r="B29" s="160">
        <f t="shared" ref="B29:H29" si="3">$I$29*B6</f>
        <v>17.029887500000001</v>
      </c>
      <c r="C29" s="160">
        <f t="shared" si="3"/>
        <v>15.095775</v>
      </c>
      <c r="D29" s="160">
        <f t="shared" si="3"/>
        <v>0.72731250000000003</v>
      </c>
      <c r="E29" s="161">
        <f t="shared" si="3"/>
        <v>21.022024999999999</v>
      </c>
      <c r="F29" s="160">
        <f t="shared" si="3"/>
        <v>0</v>
      </c>
      <c r="G29" s="160">
        <f t="shared" si="3"/>
        <v>0</v>
      </c>
      <c r="H29" s="162">
        <f t="shared" si="3"/>
        <v>0</v>
      </c>
      <c r="I29" s="163">
        <f>'timbulan sampah'!E5</f>
        <v>53.875</v>
      </c>
      <c r="J29" s="164">
        <f>SUM(B29:H29)</f>
        <v>53.875</v>
      </c>
    </row>
    <row r="30" spans="1:19" x14ac:dyDescent="0.25">
      <c r="A30" s="155">
        <v>2012</v>
      </c>
      <c r="B30" s="160">
        <f t="shared" ref="B30:H30" si="4">$I$30*B7</f>
        <v>17.802372680000001</v>
      </c>
      <c r="C30" s="160">
        <f t="shared" si="4"/>
        <v>15.780527760000002</v>
      </c>
      <c r="D30" s="160">
        <f t="shared" si="4"/>
        <v>0.76030380000000009</v>
      </c>
      <c r="E30" s="161">
        <f t="shared" si="4"/>
        <v>21.975595760000001</v>
      </c>
      <c r="F30" s="160">
        <f t="shared" si="4"/>
        <v>0</v>
      </c>
      <c r="G30" s="160">
        <f t="shared" si="4"/>
        <v>0</v>
      </c>
      <c r="H30" s="162">
        <f t="shared" si="4"/>
        <v>0</v>
      </c>
      <c r="I30" s="163">
        <f>'timbulan sampah'!E6</f>
        <v>56.318800000000003</v>
      </c>
      <c r="J30" s="164">
        <f t="shared" ref="J30:J48" si="5">SUM(B30:H30)</f>
        <v>56.31880000000001</v>
      </c>
    </row>
    <row r="31" spans="1:19" x14ac:dyDescent="0.25">
      <c r="A31" s="155">
        <v>2013</v>
      </c>
      <c r="B31" s="160">
        <f t="shared" ref="B31:H31" si="6">$I$31*B8</f>
        <v>18.600335520000002</v>
      </c>
      <c r="C31" s="160">
        <f t="shared" si="6"/>
        <v>16.487864640000002</v>
      </c>
      <c r="D31" s="160">
        <f t="shared" si="6"/>
        <v>0.79438320000000007</v>
      </c>
      <c r="E31" s="161">
        <f t="shared" si="6"/>
        <v>22.960616640000001</v>
      </c>
      <c r="F31" s="160">
        <f t="shared" si="6"/>
        <v>0</v>
      </c>
      <c r="G31" s="160">
        <f t="shared" si="6"/>
        <v>0</v>
      </c>
      <c r="H31" s="162">
        <f t="shared" si="6"/>
        <v>0</v>
      </c>
      <c r="I31" s="163">
        <f>'timbulan sampah'!E7</f>
        <v>58.843200000000003</v>
      </c>
      <c r="J31" s="164">
        <f t="shared" si="5"/>
        <v>58.843199999999996</v>
      </c>
    </row>
    <row r="32" spans="1:19" x14ac:dyDescent="0.25">
      <c r="A32" s="155">
        <v>2014</v>
      </c>
      <c r="B32" s="160">
        <f t="shared" ref="B32:H32" si="7">$I$32*B9</f>
        <v>19.406896280000002</v>
      </c>
      <c r="C32" s="160">
        <f t="shared" si="7"/>
        <v>17.202822960000002</v>
      </c>
      <c r="D32" s="160">
        <f t="shared" si="7"/>
        <v>0.82882980000000006</v>
      </c>
      <c r="E32" s="161">
        <f t="shared" si="7"/>
        <v>23.956250960000002</v>
      </c>
      <c r="F32" s="160">
        <f t="shared" si="7"/>
        <v>0</v>
      </c>
      <c r="G32" s="160">
        <f t="shared" si="7"/>
        <v>0</v>
      </c>
      <c r="H32" s="162">
        <f t="shared" si="7"/>
        <v>0</v>
      </c>
      <c r="I32" s="163">
        <f>'timbulan sampah'!E8</f>
        <v>61.394800000000004</v>
      </c>
      <c r="J32" s="164">
        <f t="shared" si="5"/>
        <v>61.394800000000004</v>
      </c>
      <c r="P32" s="154"/>
    </row>
    <row r="33" spans="1:16" x14ac:dyDescent="0.25">
      <c r="A33" s="155">
        <v>2015</v>
      </c>
      <c r="B33" s="160">
        <f t="shared" ref="B33:H33" si="8">$I$33*B10</f>
        <v>20.237670299999998</v>
      </c>
      <c r="C33" s="160">
        <f t="shared" si="8"/>
        <v>17.939244599999999</v>
      </c>
      <c r="D33" s="160">
        <f t="shared" si="8"/>
        <v>0.86431049999999998</v>
      </c>
      <c r="E33" s="161">
        <f t="shared" si="8"/>
        <v>24.981774599999998</v>
      </c>
      <c r="F33" s="160">
        <f t="shared" si="8"/>
        <v>0</v>
      </c>
      <c r="G33" s="160">
        <f t="shared" si="8"/>
        <v>0</v>
      </c>
      <c r="H33" s="162">
        <f t="shared" si="8"/>
        <v>0</v>
      </c>
      <c r="I33" s="163">
        <f>'timbulan sampah'!E9</f>
        <v>64.022999999999996</v>
      </c>
      <c r="J33" s="164">
        <f t="shared" si="5"/>
        <v>64.022999999999996</v>
      </c>
      <c r="P33" s="154"/>
    </row>
    <row r="34" spans="1:16" x14ac:dyDescent="0.25">
      <c r="A34" s="155">
        <v>2016</v>
      </c>
      <c r="B34" s="160">
        <f t="shared" ref="B34:H34" si="9">$I$34*B11</f>
        <v>21.089623019999998</v>
      </c>
      <c r="C34" s="160">
        <f t="shared" si="9"/>
        <v>18.694439639999999</v>
      </c>
      <c r="D34" s="160">
        <f t="shared" si="9"/>
        <v>0.90069569999999999</v>
      </c>
      <c r="E34" s="161">
        <f t="shared" si="9"/>
        <v>26.033441639999999</v>
      </c>
      <c r="F34" s="160">
        <f t="shared" si="9"/>
        <v>0</v>
      </c>
      <c r="G34" s="160">
        <f t="shared" si="9"/>
        <v>0</v>
      </c>
      <c r="H34" s="162">
        <f t="shared" si="9"/>
        <v>0</v>
      </c>
      <c r="I34" s="163">
        <f>'timbulan sampah'!E10</f>
        <v>66.718199999999996</v>
      </c>
      <c r="J34" s="164">
        <f t="shared" si="5"/>
        <v>66.718199999999996</v>
      </c>
    </row>
    <row r="35" spans="1:16" x14ac:dyDescent="0.25">
      <c r="A35" s="155">
        <v>2017</v>
      </c>
      <c r="B35" s="160">
        <f t="shared" ref="B35:H35" si="10">$I$35*B12</f>
        <v>21.186665720000001</v>
      </c>
      <c r="C35" s="160">
        <f t="shared" si="10"/>
        <v>18.780461039999999</v>
      </c>
      <c r="D35" s="160">
        <f t="shared" si="10"/>
        <v>0.90484019999999998</v>
      </c>
      <c r="E35" s="161">
        <f t="shared" si="10"/>
        <v>26.15323304</v>
      </c>
      <c r="F35" s="160">
        <f t="shared" si="10"/>
        <v>0</v>
      </c>
      <c r="G35" s="160">
        <f t="shared" si="10"/>
        <v>0</v>
      </c>
      <c r="H35" s="162">
        <f t="shared" si="10"/>
        <v>0</v>
      </c>
      <c r="I35" s="163">
        <f>'timbulan sampah'!E11</f>
        <v>67.025199999999998</v>
      </c>
      <c r="J35" s="164">
        <f t="shared" si="5"/>
        <v>67.025199999999998</v>
      </c>
    </row>
    <row r="36" spans="1:16" x14ac:dyDescent="0.25">
      <c r="A36" s="155">
        <v>2018</v>
      </c>
      <c r="B36" s="160">
        <f t="shared" ref="B36:H36" si="11">$I$36*B13</f>
        <v>21.976726060000001</v>
      </c>
      <c r="C36" s="160">
        <f t="shared" si="11"/>
        <v>19.480792920000003</v>
      </c>
      <c r="D36" s="160">
        <f t="shared" si="11"/>
        <v>0.93858210000000009</v>
      </c>
      <c r="E36" s="161">
        <f t="shared" si="11"/>
        <v>27.128498920000002</v>
      </c>
      <c r="F36" s="160">
        <f t="shared" si="11"/>
        <v>0</v>
      </c>
      <c r="G36" s="160">
        <f t="shared" si="11"/>
        <v>0</v>
      </c>
      <c r="H36" s="162">
        <f t="shared" si="11"/>
        <v>0</v>
      </c>
      <c r="I36" s="163">
        <f>'timbulan sampah'!E12</f>
        <v>69.524600000000007</v>
      </c>
      <c r="J36" s="164">
        <f t="shared" si="5"/>
        <v>69.524600000000007</v>
      </c>
    </row>
    <row r="37" spans="1:16" x14ac:dyDescent="0.25">
      <c r="A37" s="155">
        <v>2019</v>
      </c>
      <c r="B37" s="160">
        <f t="shared" ref="B37:H37" si="12">$I$37*B14</f>
        <v>22.766786400000001</v>
      </c>
      <c r="C37" s="160">
        <f t="shared" si="12"/>
        <v>20.181124799999999</v>
      </c>
      <c r="D37" s="160">
        <f t="shared" si="12"/>
        <v>0.97232399999999997</v>
      </c>
      <c r="E37" s="161">
        <f t="shared" si="12"/>
        <v>28.1037648</v>
      </c>
      <c r="F37" s="160">
        <f t="shared" si="12"/>
        <v>0</v>
      </c>
      <c r="G37" s="160">
        <f t="shared" si="12"/>
        <v>0</v>
      </c>
      <c r="H37" s="162">
        <f t="shared" si="12"/>
        <v>0</v>
      </c>
      <c r="I37" s="163">
        <f>'timbulan sampah'!E13</f>
        <v>72.024000000000001</v>
      </c>
      <c r="J37" s="164">
        <f t="shared" si="5"/>
        <v>72.024000000000001</v>
      </c>
    </row>
    <row r="38" spans="1:16" x14ac:dyDescent="0.25">
      <c r="A38" s="155">
        <v>2020</v>
      </c>
      <c r="B38" s="160">
        <f t="shared" ref="B38:H38" si="13">$I$38*B15</f>
        <v>23.556846740000001</v>
      </c>
      <c r="C38" s="160">
        <f t="shared" si="13"/>
        <v>20.881456680000003</v>
      </c>
      <c r="D38" s="160">
        <f t="shared" si="13"/>
        <v>1.0060659000000001</v>
      </c>
      <c r="E38" s="161">
        <f t="shared" si="13"/>
        <v>29.079030680000002</v>
      </c>
      <c r="F38" s="160">
        <f t="shared" si="13"/>
        <v>0</v>
      </c>
      <c r="G38" s="160">
        <f t="shared" si="13"/>
        <v>0</v>
      </c>
      <c r="H38" s="162">
        <f t="shared" si="13"/>
        <v>0</v>
      </c>
      <c r="I38" s="163">
        <f>'timbulan sampah'!E14</f>
        <v>74.523400000000009</v>
      </c>
      <c r="J38" s="164">
        <f t="shared" si="5"/>
        <v>74.523400000000009</v>
      </c>
    </row>
    <row r="39" spans="1:16" x14ac:dyDescent="0.25">
      <c r="A39" s="155">
        <v>2021</v>
      </c>
      <c r="B39" s="160">
        <f t="shared" ref="B39:H39" si="14">$I$39*B16</f>
        <v>24.346907080000001</v>
      </c>
      <c r="C39" s="160">
        <f t="shared" si="14"/>
        <v>21.58178856</v>
      </c>
      <c r="D39" s="160">
        <f t="shared" si="14"/>
        <v>1.0398077999999999</v>
      </c>
      <c r="E39" s="161">
        <f t="shared" si="14"/>
        <v>30.054296560000001</v>
      </c>
      <c r="F39" s="160">
        <f t="shared" si="14"/>
        <v>0</v>
      </c>
      <c r="G39" s="160">
        <f t="shared" si="14"/>
        <v>0</v>
      </c>
      <c r="H39" s="162">
        <f t="shared" si="14"/>
        <v>0</v>
      </c>
      <c r="I39" s="163">
        <f>'timbulan sampah'!E15</f>
        <v>77.022800000000004</v>
      </c>
      <c r="J39" s="164">
        <f t="shared" si="5"/>
        <v>77.022800000000004</v>
      </c>
    </row>
    <row r="40" spans="1:16" x14ac:dyDescent="0.25">
      <c r="A40" s="155">
        <v>2022</v>
      </c>
      <c r="B40" s="160">
        <f t="shared" ref="B40:H40" si="15">$I$40*B17</f>
        <v>25.136967420000005</v>
      </c>
      <c r="C40" s="160">
        <f t="shared" si="15"/>
        <v>22.282120440000003</v>
      </c>
      <c r="D40" s="160">
        <f t="shared" si="15"/>
        <v>1.0735497000000001</v>
      </c>
      <c r="E40" s="161">
        <f t="shared" si="15"/>
        <v>31.029562440000003</v>
      </c>
      <c r="F40" s="160">
        <f t="shared" si="15"/>
        <v>0</v>
      </c>
      <c r="G40" s="160">
        <f t="shared" si="15"/>
        <v>0</v>
      </c>
      <c r="H40" s="162">
        <f t="shared" si="15"/>
        <v>0</v>
      </c>
      <c r="I40" s="163">
        <f>'timbulan sampah'!E16</f>
        <v>79.522200000000012</v>
      </c>
      <c r="J40" s="164">
        <f t="shared" si="5"/>
        <v>79.522200000000012</v>
      </c>
    </row>
    <row r="41" spans="1:16" x14ac:dyDescent="0.25">
      <c r="A41" s="155">
        <v>2023</v>
      </c>
      <c r="B41" s="160">
        <f t="shared" ref="B41:H41" si="16">$I$41*B18</f>
        <v>25.927027760000001</v>
      </c>
      <c r="C41" s="160">
        <f t="shared" si="16"/>
        <v>22.982452320000004</v>
      </c>
      <c r="D41" s="160">
        <f t="shared" si="16"/>
        <v>1.1072916000000002</v>
      </c>
      <c r="E41" s="161">
        <f t="shared" si="16"/>
        <v>32.004828320000001</v>
      </c>
      <c r="F41" s="160">
        <f t="shared" si="16"/>
        <v>0</v>
      </c>
      <c r="G41" s="160">
        <f t="shared" si="16"/>
        <v>0</v>
      </c>
      <c r="H41" s="162">
        <f t="shared" si="16"/>
        <v>0</v>
      </c>
      <c r="I41" s="163">
        <f>'timbulan sampah'!E17</f>
        <v>82.021600000000007</v>
      </c>
      <c r="J41" s="164">
        <f t="shared" si="5"/>
        <v>82.021600000000007</v>
      </c>
    </row>
    <row r="42" spans="1:16" x14ac:dyDescent="0.25">
      <c r="A42" s="155">
        <v>2024</v>
      </c>
      <c r="B42" s="160">
        <f t="shared" ref="B42:H42" si="17">$I$42*B19</f>
        <v>26.717088099999998</v>
      </c>
      <c r="C42" s="160">
        <f t="shared" si="17"/>
        <v>23.6827842</v>
      </c>
      <c r="D42" s="160">
        <f t="shared" si="17"/>
        <v>1.1410335</v>
      </c>
      <c r="E42" s="161">
        <f t="shared" si="17"/>
        <v>32.980094199999996</v>
      </c>
      <c r="F42" s="160">
        <f t="shared" si="17"/>
        <v>0</v>
      </c>
      <c r="G42" s="160">
        <f t="shared" si="17"/>
        <v>0</v>
      </c>
      <c r="H42" s="162">
        <f t="shared" si="17"/>
        <v>0</v>
      </c>
      <c r="I42" s="163">
        <f>'timbulan sampah'!E18</f>
        <v>84.521000000000001</v>
      </c>
      <c r="J42" s="164">
        <f t="shared" si="5"/>
        <v>84.520999999999987</v>
      </c>
    </row>
    <row r="43" spans="1:16" x14ac:dyDescent="0.25">
      <c r="A43" s="155">
        <v>2025</v>
      </c>
      <c r="B43" s="160">
        <f t="shared" ref="B43:H43" si="18">$I$43*B20</f>
        <v>27.507148440000002</v>
      </c>
      <c r="C43" s="160">
        <f t="shared" si="18"/>
        <v>24.383116080000004</v>
      </c>
      <c r="D43" s="160">
        <f t="shared" si="18"/>
        <v>1.1747754000000001</v>
      </c>
      <c r="E43" s="161">
        <f t="shared" si="18"/>
        <v>33.955360080000005</v>
      </c>
      <c r="F43" s="160">
        <f t="shared" si="18"/>
        <v>0</v>
      </c>
      <c r="G43" s="160">
        <f t="shared" si="18"/>
        <v>0</v>
      </c>
      <c r="H43" s="162">
        <f t="shared" si="18"/>
        <v>0</v>
      </c>
      <c r="I43" s="163">
        <f>'timbulan sampah'!E19</f>
        <v>87.020400000000009</v>
      </c>
      <c r="J43" s="164">
        <f t="shared" si="5"/>
        <v>87.020400000000009</v>
      </c>
    </row>
    <row r="44" spans="1:16" x14ac:dyDescent="0.25">
      <c r="A44" s="155">
        <v>2026</v>
      </c>
      <c r="B44" s="160">
        <f t="shared" ref="B44:H44" si="19">$I$44*B21</f>
        <v>28.297208780000002</v>
      </c>
      <c r="C44" s="160">
        <f t="shared" si="19"/>
        <v>25.083447960000001</v>
      </c>
      <c r="D44" s="160">
        <f t="shared" si="19"/>
        <v>1.2085173</v>
      </c>
      <c r="E44" s="161">
        <f t="shared" si="19"/>
        <v>34.93062596</v>
      </c>
      <c r="F44" s="160">
        <f t="shared" si="19"/>
        <v>0</v>
      </c>
      <c r="G44" s="160">
        <f t="shared" si="19"/>
        <v>0</v>
      </c>
      <c r="H44" s="162">
        <f t="shared" si="19"/>
        <v>0</v>
      </c>
      <c r="I44" s="163">
        <f>'timbulan sampah'!E20</f>
        <v>89.519800000000004</v>
      </c>
      <c r="J44" s="164">
        <f t="shared" si="5"/>
        <v>89.519800000000004</v>
      </c>
    </row>
    <row r="45" spans="1:16" x14ac:dyDescent="0.25">
      <c r="A45" s="155">
        <v>2027</v>
      </c>
      <c r="B45" s="160">
        <f t="shared" ref="B45:H45" si="20">$I$45*B22</f>
        <v>29.087269120000002</v>
      </c>
      <c r="C45" s="160">
        <f t="shared" si="20"/>
        <v>25.783779840000005</v>
      </c>
      <c r="D45" s="160">
        <f t="shared" si="20"/>
        <v>1.2422592000000001</v>
      </c>
      <c r="E45" s="161">
        <f t="shared" si="20"/>
        <v>35.905891840000002</v>
      </c>
      <c r="F45" s="160">
        <f t="shared" si="20"/>
        <v>0</v>
      </c>
      <c r="G45" s="160">
        <f t="shared" si="20"/>
        <v>0</v>
      </c>
      <c r="H45" s="162">
        <f t="shared" si="20"/>
        <v>0</v>
      </c>
      <c r="I45" s="163">
        <f>'timbulan sampah'!E21</f>
        <v>92.019200000000012</v>
      </c>
      <c r="J45" s="164">
        <f t="shared" si="5"/>
        <v>92.019200000000012</v>
      </c>
    </row>
    <row r="46" spans="1:16" x14ac:dyDescent="0.25">
      <c r="A46" s="155">
        <v>2028</v>
      </c>
      <c r="B46" s="160">
        <f t="shared" ref="B46:H46" si="21">$I$46*B23</f>
        <v>29.877329460000002</v>
      </c>
      <c r="C46" s="160">
        <f t="shared" si="21"/>
        <v>26.484111720000001</v>
      </c>
      <c r="D46" s="160">
        <f t="shared" si="21"/>
        <v>1.2760011</v>
      </c>
      <c r="E46" s="161">
        <f t="shared" si="21"/>
        <v>36.881157720000004</v>
      </c>
      <c r="F46" s="160">
        <f t="shared" si="21"/>
        <v>0</v>
      </c>
      <c r="G46" s="160">
        <f t="shared" si="21"/>
        <v>0</v>
      </c>
      <c r="H46" s="161">
        <f t="shared" si="21"/>
        <v>0</v>
      </c>
      <c r="I46" s="163">
        <f>'timbulan sampah'!E22</f>
        <v>94.518600000000006</v>
      </c>
      <c r="J46" s="164">
        <f t="shared" si="5"/>
        <v>94.518600000000006</v>
      </c>
    </row>
    <row r="47" spans="1:16" x14ac:dyDescent="0.25">
      <c r="A47" s="155">
        <v>2029</v>
      </c>
      <c r="B47" s="160">
        <f t="shared" ref="B47:H47" si="22">$I$47*B24</f>
        <v>30.667389799999999</v>
      </c>
      <c r="C47" s="160">
        <f t="shared" si="22"/>
        <v>27.184443600000002</v>
      </c>
      <c r="D47" s="160">
        <f t="shared" si="22"/>
        <v>1.3097430000000001</v>
      </c>
      <c r="E47" s="161">
        <f t="shared" si="22"/>
        <v>37.856423599999999</v>
      </c>
      <c r="F47" s="160">
        <f t="shared" si="22"/>
        <v>0</v>
      </c>
      <c r="G47" s="160">
        <f t="shared" si="22"/>
        <v>0</v>
      </c>
      <c r="H47" s="161">
        <f t="shared" si="22"/>
        <v>0</v>
      </c>
      <c r="I47" s="163">
        <f>'timbulan sampah'!E23</f>
        <v>97.018000000000001</v>
      </c>
      <c r="J47" s="164">
        <f t="shared" si="5"/>
        <v>97.018000000000001</v>
      </c>
    </row>
    <row r="48" spans="1:16" x14ac:dyDescent="0.25">
      <c r="A48" s="155">
        <v>2030</v>
      </c>
      <c r="B48" s="160">
        <f t="shared" ref="B48:H48" si="23">$I$48*B25</f>
        <v>31.457450140000002</v>
      </c>
      <c r="C48" s="160">
        <f t="shared" si="23"/>
        <v>27.884775480000002</v>
      </c>
      <c r="D48" s="160">
        <f t="shared" si="23"/>
        <v>1.3434849000000002</v>
      </c>
      <c r="E48" s="161">
        <f t="shared" si="23"/>
        <v>38.831689480000001</v>
      </c>
      <c r="F48" s="160">
        <f t="shared" si="23"/>
        <v>0</v>
      </c>
      <c r="G48" s="160">
        <f t="shared" si="23"/>
        <v>0</v>
      </c>
      <c r="H48" s="161">
        <f t="shared" si="23"/>
        <v>0</v>
      </c>
      <c r="I48" s="163">
        <f>'timbulan sampah'!E24</f>
        <v>99.517400000000009</v>
      </c>
      <c r="J48" s="164">
        <f t="shared" si="5"/>
        <v>99.517400000000009</v>
      </c>
    </row>
  </sheetData>
  <mergeCells count="7">
    <mergeCell ref="A2:I2"/>
    <mergeCell ref="A27:A28"/>
    <mergeCell ref="B27:H27"/>
    <mergeCell ref="I4:I5"/>
    <mergeCell ref="I27:I28"/>
    <mergeCell ref="A4:A5"/>
    <mergeCell ref="B4:H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0"/>
  <sheetViews>
    <sheetView topLeftCell="A103" zoomScale="70" zoomScaleNormal="70" workbookViewId="0">
      <selection activeCell="F100" sqref="F100:G109"/>
    </sheetView>
  </sheetViews>
  <sheetFormatPr defaultRowHeight="15" x14ac:dyDescent="0.25"/>
  <cols>
    <col min="1" max="1" width="9.42578125" style="96" bestFit="1" customWidth="1"/>
    <col min="2" max="2" width="11.5703125" style="96" bestFit="1" customWidth="1"/>
    <col min="3" max="3" width="21.42578125" style="96" bestFit="1" customWidth="1"/>
    <col min="4" max="4" width="12.7109375" style="96" bestFit="1" customWidth="1"/>
    <col min="5" max="5" width="21.5703125" style="96" bestFit="1" customWidth="1"/>
    <col min="6" max="6" width="16.42578125" style="96" bestFit="1" customWidth="1"/>
    <col min="7" max="7" width="16.7109375" style="96" bestFit="1" customWidth="1"/>
    <col min="8" max="8" width="11" style="96" bestFit="1" customWidth="1"/>
    <col min="9" max="9" width="18.7109375" style="96" customWidth="1"/>
    <col min="10" max="10" width="18.85546875" style="96" customWidth="1"/>
    <col min="11" max="12" width="9.42578125" style="96" bestFit="1" customWidth="1"/>
    <col min="13" max="13" width="11" style="96" bestFit="1" customWidth="1"/>
    <col min="14" max="14" width="16.28515625" style="96" bestFit="1" customWidth="1"/>
    <col min="15" max="15" width="9.140625" style="96"/>
    <col min="16" max="16" width="9.42578125" style="96" bestFit="1" customWidth="1"/>
    <col min="17" max="17" width="8.28515625" style="96" bestFit="1" customWidth="1"/>
    <col min="18" max="18" width="11" style="96" bestFit="1" customWidth="1"/>
    <col min="19" max="19" width="16.28515625" style="96" bestFit="1" customWidth="1"/>
    <col min="20" max="23" width="9.140625" style="96"/>
    <col min="24" max="24" width="9.5703125" style="96" bestFit="1" customWidth="1"/>
    <col min="25" max="16384" width="9.140625" style="96"/>
  </cols>
  <sheetData>
    <row r="2" spans="1:24" x14ac:dyDescent="0.25">
      <c r="A2" s="102" t="s">
        <v>117</v>
      </c>
      <c r="B2" s="102"/>
      <c r="C2" s="102"/>
      <c r="D2" s="103"/>
      <c r="E2" s="103"/>
      <c r="F2" s="103"/>
      <c r="G2" s="103"/>
      <c r="H2" s="103"/>
      <c r="I2" s="103"/>
    </row>
    <row r="3" spans="1:24" x14ac:dyDescent="0.25">
      <c r="A3" s="104"/>
    </row>
    <row r="4" spans="1:24" x14ac:dyDescent="0.25">
      <c r="A4" s="105" t="s">
        <v>125</v>
      </c>
    </row>
    <row r="6" spans="1:24" ht="35.25" customHeight="1" x14ac:dyDescent="0.25">
      <c r="A6" s="201" t="s">
        <v>11</v>
      </c>
      <c r="B6" s="207" t="s">
        <v>118</v>
      </c>
      <c r="C6" s="207"/>
      <c r="D6" s="207"/>
      <c r="E6" s="106" t="s">
        <v>114</v>
      </c>
      <c r="F6" s="201" t="s">
        <v>11</v>
      </c>
      <c r="G6" s="207" t="s">
        <v>111</v>
      </c>
      <c r="H6" s="207"/>
      <c r="I6" s="207"/>
      <c r="J6" s="97" t="s">
        <v>115</v>
      </c>
      <c r="K6" s="201" t="s">
        <v>11</v>
      </c>
      <c r="L6" s="207" t="s">
        <v>112</v>
      </c>
      <c r="M6" s="207"/>
      <c r="N6" s="207"/>
      <c r="O6" s="97" t="s">
        <v>115</v>
      </c>
      <c r="P6" s="201" t="s">
        <v>11</v>
      </c>
      <c r="Q6" s="207" t="s">
        <v>113</v>
      </c>
      <c r="R6" s="207"/>
      <c r="S6" s="207"/>
      <c r="X6" s="98"/>
    </row>
    <row r="7" spans="1:24" ht="18" x14ac:dyDescent="0.25">
      <c r="A7" s="201"/>
      <c r="B7" s="201" t="s">
        <v>128</v>
      </c>
      <c r="C7" s="201"/>
      <c r="D7" s="207" t="s">
        <v>129</v>
      </c>
      <c r="E7" s="107"/>
      <c r="F7" s="201"/>
      <c r="G7" s="201" t="s">
        <v>128</v>
      </c>
      <c r="H7" s="201"/>
      <c r="I7" s="207" t="s">
        <v>129</v>
      </c>
      <c r="K7" s="201"/>
      <c r="L7" s="201" t="s">
        <v>128</v>
      </c>
      <c r="M7" s="201"/>
      <c r="N7" s="207" t="s">
        <v>129</v>
      </c>
      <c r="P7" s="201"/>
      <c r="Q7" s="201" t="s">
        <v>128</v>
      </c>
      <c r="R7" s="201"/>
      <c r="S7" s="207" t="s">
        <v>129</v>
      </c>
      <c r="X7" s="98"/>
    </row>
    <row r="8" spans="1:24" ht="18" x14ac:dyDescent="0.25">
      <c r="A8" s="201"/>
      <c r="B8" s="108" t="s">
        <v>130</v>
      </c>
      <c r="C8" s="108" t="s">
        <v>131</v>
      </c>
      <c r="D8" s="207"/>
      <c r="E8" s="109"/>
      <c r="F8" s="201"/>
      <c r="G8" s="108" t="s">
        <v>130</v>
      </c>
      <c r="H8" s="108" t="s">
        <v>131</v>
      </c>
      <c r="I8" s="207"/>
      <c r="K8" s="201"/>
      <c r="L8" s="108" t="s">
        <v>130</v>
      </c>
      <c r="M8" s="108" t="s">
        <v>131</v>
      </c>
      <c r="N8" s="207"/>
      <c r="P8" s="201"/>
      <c r="Q8" s="108" t="s">
        <v>130</v>
      </c>
      <c r="R8" s="108" t="s">
        <v>131</v>
      </c>
      <c r="S8" s="207"/>
    </row>
    <row r="9" spans="1:24" x14ac:dyDescent="0.25">
      <c r="A9" s="89">
        <v>2011</v>
      </c>
      <c r="B9" s="171">
        <f>[2]Results!O28</f>
        <v>0.66968051854616339</v>
      </c>
      <c r="C9" s="135">
        <f>B9*21</f>
        <v>14.063290889469432</v>
      </c>
      <c r="D9" s="169">
        <f t="shared" ref="D9:D14" si="0">E9+C9</f>
        <v>14.063290889469432</v>
      </c>
      <c r="E9" s="112"/>
      <c r="F9" s="89">
        <v>2011</v>
      </c>
      <c r="G9" s="171">
        <f>[3]Results!O28</f>
        <v>0</v>
      </c>
      <c r="H9" s="135">
        <f>G9*21</f>
        <v>0</v>
      </c>
      <c r="I9" s="169">
        <f t="shared" ref="I9:I14" si="1">J9+H9</f>
        <v>0</v>
      </c>
      <c r="K9" s="89">
        <v>2011</v>
      </c>
      <c r="L9" s="172">
        <f>[4]Results!O28</f>
        <v>0.47489903523349586</v>
      </c>
      <c r="M9" s="135">
        <f>L9*21</f>
        <v>9.9728797399034121</v>
      </c>
      <c r="N9" s="169">
        <f>O9+M9</f>
        <v>9.9728797399034121</v>
      </c>
      <c r="P9" s="89">
        <v>2011</v>
      </c>
      <c r="Q9" s="172">
        <f>[5]Results!O28</f>
        <v>0</v>
      </c>
      <c r="R9" s="135">
        <f>Q9*21</f>
        <v>0</v>
      </c>
      <c r="S9" s="169">
        <f>T9+R9</f>
        <v>0</v>
      </c>
    </row>
    <row r="10" spans="1:24" x14ac:dyDescent="0.25">
      <c r="A10" s="89">
        <v>2012</v>
      </c>
      <c r="B10" s="171">
        <f>[2]Results!O29</f>
        <v>0.7146416820944872</v>
      </c>
      <c r="C10" s="135">
        <f t="shared" ref="C10:C14" si="2">B10*21</f>
        <v>15.007475323984231</v>
      </c>
      <c r="D10" s="169">
        <f t="shared" si="0"/>
        <v>15.007475323984231</v>
      </c>
      <c r="E10" s="112"/>
      <c r="F10" s="89">
        <v>2012</v>
      </c>
      <c r="G10" s="171">
        <f>[3]Results!O29</f>
        <v>0</v>
      </c>
      <c r="H10" s="135">
        <f t="shared" ref="H10:H14" si="3">G10*21</f>
        <v>0</v>
      </c>
      <c r="I10" s="169">
        <f t="shared" si="1"/>
        <v>0</v>
      </c>
      <c r="K10" s="89">
        <v>2012</v>
      </c>
      <c r="L10" s="172">
        <f>[4]Results!O29</f>
        <v>0.50678291508478412</v>
      </c>
      <c r="M10" s="135">
        <f t="shared" ref="M10:M14" si="4">L10*21</f>
        <v>10.642441216780467</v>
      </c>
      <c r="N10" s="169">
        <f t="shared" ref="N10:N14" si="5">O10+M10</f>
        <v>10.642441216780467</v>
      </c>
      <c r="P10" s="89">
        <v>2012</v>
      </c>
      <c r="Q10" s="172">
        <f>[5]Results!O29</f>
        <v>0</v>
      </c>
      <c r="R10" s="135">
        <f t="shared" ref="R10:R14" si="6">Q10*21</f>
        <v>0</v>
      </c>
      <c r="S10" s="169">
        <f t="shared" ref="S10:S14" si="7">T10+R10</f>
        <v>0</v>
      </c>
    </row>
    <row r="11" spans="1:24" x14ac:dyDescent="0.25">
      <c r="A11" s="89">
        <v>2013</v>
      </c>
      <c r="B11" s="171">
        <f>[2]Results!O30</f>
        <v>0.75854078561571447</v>
      </c>
      <c r="C11" s="135">
        <f t="shared" si="2"/>
        <v>15.929356497930003</v>
      </c>
      <c r="D11" s="169">
        <f t="shared" si="0"/>
        <v>15.929356497930003</v>
      </c>
      <c r="E11" s="112"/>
      <c r="F11" s="89">
        <v>2013</v>
      </c>
      <c r="G11" s="171">
        <f>[3]Results!O30</f>
        <v>0</v>
      </c>
      <c r="H11" s="135">
        <f t="shared" si="3"/>
        <v>0</v>
      </c>
      <c r="I11" s="169">
        <f t="shared" si="1"/>
        <v>0</v>
      </c>
      <c r="K11" s="89">
        <v>2013</v>
      </c>
      <c r="L11" s="172">
        <f>[4]Results!O30</f>
        <v>0.53791364284599363</v>
      </c>
      <c r="M11" s="135">
        <f t="shared" si="4"/>
        <v>11.296186499765867</v>
      </c>
      <c r="N11" s="169">
        <f t="shared" si="5"/>
        <v>11.296186499765867</v>
      </c>
      <c r="P11" s="89">
        <v>2013</v>
      </c>
      <c r="Q11" s="172">
        <f>[5]Results!O30</f>
        <v>0</v>
      </c>
      <c r="R11" s="135">
        <f t="shared" si="6"/>
        <v>0</v>
      </c>
      <c r="S11" s="169">
        <f t="shared" si="7"/>
        <v>0</v>
      </c>
    </row>
    <row r="12" spans="1:24" x14ac:dyDescent="0.25">
      <c r="A12" s="89">
        <v>2014</v>
      </c>
      <c r="B12" s="171">
        <f>[2]Results!O31</f>
        <v>0.80204739400745984</v>
      </c>
      <c r="C12" s="135">
        <f t="shared" si="2"/>
        <v>16.842995274156657</v>
      </c>
      <c r="D12" s="169">
        <f t="shared" si="0"/>
        <v>16.842995274156657</v>
      </c>
      <c r="E12" s="112"/>
      <c r="F12" s="89">
        <v>2014</v>
      </c>
      <c r="G12" s="171">
        <f>[3]Results!O31</f>
        <v>0</v>
      </c>
      <c r="H12" s="135">
        <f t="shared" si="3"/>
        <v>0</v>
      </c>
      <c r="I12" s="169">
        <f t="shared" si="1"/>
        <v>0</v>
      </c>
      <c r="K12" s="89">
        <v>2014</v>
      </c>
      <c r="L12" s="172">
        <f>[4]Results!O31</f>
        <v>0.56876603556062078</v>
      </c>
      <c r="M12" s="135">
        <f t="shared" si="4"/>
        <v>11.944086746773037</v>
      </c>
      <c r="N12" s="169">
        <f t="shared" si="5"/>
        <v>11.944086746773037</v>
      </c>
      <c r="P12" s="89">
        <v>2014</v>
      </c>
      <c r="Q12" s="172">
        <f>[5]Results!O31</f>
        <v>0</v>
      </c>
      <c r="R12" s="135">
        <f t="shared" si="6"/>
        <v>0</v>
      </c>
      <c r="S12" s="169">
        <f t="shared" si="7"/>
        <v>0</v>
      </c>
    </row>
    <row r="13" spans="1:24" x14ac:dyDescent="0.25">
      <c r="A13" s="89">
        <v>2015</v>
      </c>
      <c r="B13" s="171">
        <f>[2]Results!O32</f>
        <v>0.84540424668783698</v>
      </c>
      <c r="C13" s="135">
        <f t="shared" si="2"/>
        <v>17.753489180444575</v>
      </c>
      <c r="D13" s="169">
        <f t="shared" si="0"/>
        <v>17.753489180444575</v>
      </c>
      <c r="E13" s="112"/>
      <c r="F13" s="89">
        <v>2015</v>
      </c>
      <c r="G13" s="171">
        <f>[3]Results!O32</f>
        <v>0</v>
      </c>
      <c r="H13" s="135">
        <f t="shared" si="3"/>
        <v>0</v>
      </c>
      <c r="I13" s="169">
        <f t="shared" si="1"/>
        <v>0</v>
      </c>
      <c r="K13" s="89">
        <v>2015</v>
      </c>
      <c r="L13" s="172">
        <f>[4]Results!O32</f>
        <v>0.59951223010928689</v>
      </c>
      <c r="M13" s="135">
        <f t="shared" si="4"/>
        <v>12.589756832295025</v>
      </c>
      <c r="N13" s="169">
        <f t="shared" si="5"/>
        <v>12.589756832295025</v>
      </c>
      <c r="P13" s="89">
        <v>2015</v>
      </c>
      <c r="Q13" s="172">
        <f>[5]Results!O32</f>
        <v>0</v>
      </c>
      <c r="R13" s="135">
        <f t="shared" si="6"/>
        <v>0</v>
      </c>
      <c r="S13" s="169">
        <f t="shared" si="7"/>
        <v>0</v>
      </c>
    </row>
    <row r="14" spans="1:24" x14ac:dyDescent="0.25">
      <c r="A14" s="89">
        <v>2016</v>
      </c>
      <c r="B14" s="171">
        <f>[2]Results!O33</f>
        <v>0.88898598705544085</v>
      </c>
      <c r="C14" s="135">
        <f t="shared" si="2"/>
        <v>18.668705728164259</v>
      </c>
      <c r="D14" s="169">
        <f t="shared" si="0"/>
        <v>18.668705728164259</v>
      </c>
      <c r="E14" s="112"/>
      <c r="F14" s="89">
        <v>2016</v>
      </c>
      <c r="G14" s="171">
        <f>[3]Results!O33</f>
        <v>0</v>
      </c>
      <c r="H14" s="135">
        <f t="shared" si="3"/>
        <v>0</v>
      </c>
      <c r="I14" s="169">
        <f t="shared" si="1"/>
        <v>0</v>
      </c>
      <c r="K14" s="89">
        <v>2016</v>
      </c>
      <c r="L14" s="172">
        <f>[4]Results!O33</f>
        <v>0.63041790211435511</v>
      </c>
      <c r="M14" s="135">
        <f t="shared" si="4"/>
        <v>13.238775944401457</v>
      </c>
      <c r="N14" s="169">
        <f t="shared" si="5"/>
        <v>13.238775944401457</v>
      </c>
      <c r="P14" s="89">
        <v>2016</v>
      </c>
      <c r="Q14" s="172">
        <f>[5]Results!O33</f>
        <v>0</v>
      </c>
      <c r="R14" s="135">
        <f t="shared" si="6"/>
        <v>0</v>
      </c>
      <c r="S14" s="169">
        <f t="shared" si="7"/>
        <v>0</v>
      </c>
    </row>
    <row r="15" spans="1:24" x14ac:dyDescent="0.25">
      <c r="A15" s="89">
        <v>2017</v>
      </c>
      <c r="B15" s="171">
        <f>[2]Results!O34</f>
        <v>0.93301645071207928</v>
      </c>
      <c r="C15" s="135">
        <f t="shared" ref="C15:C29" si="8">B15*21</f>
        <v>19.593345464953664</v>
      </c>
      <c r="D15" s="169">
        <f t="shared" ref="D15:D29" si="9">E15+C15</f>
        <v>19.593345464953664</v>
      </c>
      <c r="E15" s="112"/>
      <c r="F15" s="89">
        <v>2017</v>
      </c>
      <c r="G15" s="171">
        <f>[3]Results!O34</f>
        <v>0</v>
      </c>
      <c r="H15" s="135">
        <f t="shared" ref="H15:H29" si="10">G15*21</f>
        <v>0</v>
      </c>
      <c r="I15" s="169">
        <f t="shared" ref="I15:I29" si="11">J15+H15</f>
        <v>0</v>
      </c>
      <c r="K15" s="89">
        <v>2017</v>
      </c>
      <c r="L15" s="172">
        <f>[4]Results!O34</f>
        <v>0.66164178295355802</v>
      </c>
      <c r="M15" s="135">
        <f t="shared" ref="M15:M29" si="12">L15*21</f>
        <v>13.894477442024719</v>
      </c>
      <c r="N15" s="169">
        <f t="shared" ref="N15:N29" si="13">O15+M15</f>
        <v>13.894477442024719</v>
      </c>
      <c r="P15" s="89">
        <v>2017</v>
      </c>
      <c r="Q15" s="172">
        <f>[5]Results!O34</f>
        <v>0</v>
      </c>
      <c r="R15" s="135">
        <f t="shared" ref="R15:R29" si="14">Q15*21</f>
        <v>0</v>
      </c>
      <c r="S15" s="169">
        <f t="shared" ref="S15:S29" si="15">T15+R15</f>
        <v>0</v>
      </c>
    </row>
    <row r="16" spans="1:24" x14ac:dyDescent="0.25">
      <c r="A16" s="89">
        <v>2018</v>
      </c>
      <c r="B16" s="171">
        <f>[2]Results!O35</f>
        <v>0.96741987535247054</v>
      </c>
      <c r="C16" s="135">
        <f t="shared" si="8"/>
        <v>20.315817382401882</v>
      </c>
      <c r="D16" s="169">
        <f t="shared" si="9"/>
        <v>20.315817382401882</v>
      </c>
      <c r="E16" s="112"/>
      <c r="F16" s="89">
        <v>2018</v>
      </c>
      <c r="G16" s="171">
        <f>[3]Results!O35</f>
        <v>0</v>
      </c>
      <c r="H16" s="135">
        <f t="shared" si="10"/>
        <v>0</v>
      </c>
      <c r="I16" s="169">
        <f t="shared" si="11"/>
        <v>0</v>
      </c>
      <c r="K16" s="89">
        <v>2018</v>
      </c>
      <c r="L16" s="172">
        <f>[4]Results!O35</f>
        <v>0.6860387195792782</v>
      </c>
      <c r="M16" s="135">
        <f t="shared" si="12"/>
        <v>14.406813111164842</v>
      </c>
      <c r="N16" s="169">
        <f t="shared" si="13"/>
        <v>14.406813111164842</v>
      </c>
      <c r="P16" s="89">
        <v>2018</v>
      </c>
      <c r="Q16" s="172">
        <f>[5]Results!O35</f>
        <v>0</v>
      </c>
      <c r="R16" s="135">
        <f t="shared" si="14"/>
        <v>0</v>
      </c>
      <c r="S16" s="169">
        <f t="shared" si="15"/>
        <v>0</v>
      </c>
    </row>
    <row r="17" spans="1:19" x14ac:dyDescent="0.25">
      <c r="A17" s="89">
        <v>2019</v>
      </c>
      <c r="B17" s="171">
        <f>[2]Results!O36</f>
        <v>1.0041659487565109</v>
      </c>
      <c r="C17" s="135">
        <f t="shared" si="8"/>
        <v>21.087484923886727</v>
      </c>
      <c r="D17" s="169">
        <f t="shared" si="9"/>
        <v>21.087484923886727</v>
      </c>
      <c r="E17" s="112"/>
      <c r="F17" s="89">
        <v>2019</v>
      </c>
      <c r="G17" s="171">
        <f>[3]Results!O36</f>
        <v>0</v>
      </c>
      <c r="H17" s="135">
        <f t="shared" si="10"/>
        <v>0</v>
      </c>
      <c r="I17" s="169">
        <f t="shared" si="11"/>
        <v>0</v>
      </c>
      <c r="K17" s="89">
        <v>2019</v>
      </c>
      <c r="L17" s="172">
        <f>[4]Results!O36</f>
        <v>0.71209692841904304</v>
      </c>
      <c r="M17" s="135">
        <f t="shared" si="12"/>
        <v>14.954035496799904</v>
      </c>
      <c r="N17" s="169">
        <f t="shared" si="13"/>
        <v>14.954035496799904</v>
      </c>
      <c r="P17" s="89">
        <v>2019</v>
      </c>
      <c r="Q17" s="172">
        <f>[5]Results!O36</f>
        <v>0</v>
      </c>
      <c r="R17" s="135">
        <f t="shared" si="14"/>
        <v>0</v>
      </c>
      <c r="S17" s="169">
        <f t="shared" si="15"/>
        <v>0</v>
      </c>
    </row>
    <row r="18" spans="1:19" x14ac:dyDescent="0.25">
      <c r="A18" s="89">
        <v>2020</v>
      </c>
      <c r="B18" s="171">
        <f>[2]Results!O37</f>
        <v>1.0425217125354111</v>
      </c>
      <c r="C18" s="135">
        <f t="shared" si="8"/>
        <v>21.892955963243633</v>
      </c>
      <c r="D18" s="169">
        <f t="shared" si="9"/>
        <v>21.892955963243633</v>
      </c>
      <c r="E18" s="112"/>
      <c r="F18" s="89">
        <v>2020</v>
      </c>
      <c r="G18" s="171">
        <f>[3]Results!O37</f>
        <v>0</v>
      </c>
      <c r="H18" s="135">
        <f t="shared" si="10"/>
        <v>0</v>
      </c>
      <c r="I18" s="169">
        <f t="shared" si="11"/>
        <v>0</v>
      </c>
      <c r="K18" s="89">
        <v>2020</v>
      </c>
      <c r="L18" s="172">
        <f>[4]Results!O37</f>
        <v>0.73929663739936036</v>
      </c>
      <c r="M18" s="135">
        <f t="shared" si="12"/>
        <v>15.525229385386567</v>
      </c>
      <c r="N18" s="169">
        <f t="shared" si="13"/>
        <v>15.525229385386567</v>
      </c>
      <c r="P18" s="89">
        <v>2020</v>
      </c>
      <c r="Q18" s="172">
        <f>[5]Results!O37</f>
        <v>0</v>
      </c>
      <c r="R18" s="135">
        <f t="shared" si="14"/>
        <v>0</v>
      </c>
      <c r="S18" s="169">
        <f t="shared" si="15"/>
        <v>0</v>
      </c>
    </row>
    <row r="19" spans="1:19" x14ac:dyDescent="0.25">
      <c r="A19" s="89">
        <v>2021</v>
      </c>
      <c r="B19" s="171">
        <f>[2]Results!O38</f>
        <v>1.0819914870758851</v>
      </c>
      <c r="C19" s="135">
        <f t="shared" si="8"/>
        <v>22.721821228593587</v>
      </c>
      <c r="D19" s="169">
        <f t="shared" si="9"/>
        <v>22.721821228593587</v>
      </c>
      <c r="E19" s="112"/>
      <c r="F19" s="89">
        <v>2021</v>
      </c>
      <c r="G19" s="171">
        <f>[3]Results!O38</f>
        <v>0</v>
      </c>
      <c r="H19" s="135">
        <f t="shared" si="10"/>
        <v>0</v>
      </c>
      <c r="I19" s="169">
        <f t="shared" si="11"/>
        <v>0</v>
      </c>
      <c r="K19" s="89">
        <v>2021</v>
      </c>
      <c r="L19" s="172">
        <f>[4]Results!O38</f>
        <v>0.76728633895264298</v>
      </c>
      <c r="M19" s="135">
        <f t="shared" si="12"/>
        <v>16.113013118005501</v>
      </c>
      <c r="N19" s="169">
        <f t="shared" si="13"/>
        <v>16.113013118005501</v>
      </c>
      <c r="P19" s="89">
        <v>2021</v>
      </c>
      <c r="Q19" s="172">
        <f>[5]Results!O38</f>
        <v>0</v>
      </c>
      <c r="R19" s="135">
        <f t="shared" si="14"/>
        <v>0</v>
      </c>
      <c r="S19" s="169">
        <f t="shared" si="15"/>
        <v>0</v>
      </c>
    </row>
    <row r="20" spans="1:19" x14ac:dyDescent="0.25">
      <c r="A20" s="89">
        <v>2022</v>
      </c>
      <c r="B20" s="171">
        <f>[2]Results!O39</f>
        <v>1.1222392064533671</v>
      </c>
      <c r="C20" s="135">
        <f t="shared" si="8"/>
        <v>23.567023335520709</v>
      </c>
      <c r="D20" s="169">
        <f t="shared" si="9"/>
        <v>23.567023335520709</v>
      </c>
      <c r="E20" s="112"/>
      <c r="F20" s="89">
        <v>2022</v>
      </c>
      <c r="G20" s="171">
        <f>[3]Results!O39</f>
        <v>0</v>
      </c>
      <c r="H20" s="135">
        <f t="shared" si="10"/>
        <v>0</v>
      </c>
      <c r="I20" s="169">
        <f t="shared" si="11"/>
        <v>0</v>
      </c>
      <c r="K20" s="89">
        <v>2022</v>
      </c>
      <c r="L20" s="172">
        <f>[4]Results!O39</f>
        <v>0.79582771438970823</v>
      </c>
      <c r="M20" s="135">
        <f t="shared" si="12"/>
        <v>16.712382002183872</v>
      </c>
      <c r="N20" s="169">
        <f t="shared" si="13"/>
        <v>16.712382002183872</v>
      </c>
      <c r="P20" s="89">
        <v>2022</v>
      </c>
      <c r="Q20" s="172">
        <f>[5]Results!O39</f>
        <v>0</v>
      </c>
      <c r="R20" s="135">
        <f t="shared" si="14"/>
        <v>0</v>
      </c>
      <c r="S20" s="169">
        <f t="shared" si="15"/>
        <v>0</v>
      </c>
    </row>
    <row r="21" spans="1:19" x14ac:dyDescent="0.25">
      <c r="A21" s="89">
        <v>2023</v>
      </c>
      <c r="B21" s="171">
        <f>[2]Results!O40</f>
        <v>1.1630362784559034</v>
      </c>
      <c r="C21" s="135">
        <f t="shared" si="8"/>
        <v>24.423761847573971</v>
      </c>
      <c r="D21" s="169">
        <f t="shared" si="9"/>
        <v>24.423761847573971</v>
      </c>
      <c r="E21" s="112"/>
      <c r="F21" s="89">
        <v>2023</v>
      </c>
      <c r="G21" s="171">
        <f>[3]Results!O40</f>
        <v>0</v>
      </c>
      <c r="H21" s="135">
        <f t="shared" si="10"/>
        <v>0</v>
      </c>
      <c r="I21" s="169">
        <f t="shared" si="11"/>
        <v>0</v>
      </c>
      <c r="K21" s="89">
        <v>2023</v>
      </c>
      <c r="L21" s="172">
        <f>[4]Results!O40</f>
        <v>0.82475865921757463</v>
      </c>
      <c r="M21" s="135">
        <f t="shared" si="12"/>
        <v>17.319931843569066</v>
      </c>
      <c r="N21" s="169">
        <f t="shared" si="13"/>
        <v>17.319931843569066</v>
      </c>
      <c r="P21" s="89">
        <v>2023</v>
      </c>
      <c r="Q21" s="172">
        <f>[5]Results!O40</f>
        <v>0</v>
      </c>
      <c r="R21" s="135">
        <f t="shared" si="14"/>
        <v>0</v>
      </c>
      <c r="S21" s="169">
        <f t="shared" si="15"/>
        <v>0</v>
      </c>
    </row>
    <row r="22" spans="1:19" x14ac:dyDescent="0.25">
      <c r="A22" s="89">
        <v>2024</v>
      </c>
      <c r="B22" s="171">
        <f>[2]Results!O41</f>
        <v>1.2042265664783243</v>
      </c>
      <c r="C22" s="135">
        <f t="shared" si="8"/>
        <v>25.28875789604481</v>
      </c>
      <c r="D22" s="169">
        <f t="shared" si="9"/>
        <v>25.28875789604481</v>
      </c>
      <c r="E22" s="112"/>
      <c r="F22" s="89">
        <v>2024</v>
      </c>
      <c r="G22" s="171">
        <f>[3]Results!O41</f>
        <v>0</v>
      </c>
      <c r="H22" s="135">
        <f t="shared" si="10"/>
        <v>0</v>
      </c>
      <c r="I22" s="169">
        <f t="shared" si="11"/>
        <v>0</v>
      </c>
      <c r="K22" s="89">
        <v>2024</v>
      </c>
      <c r="L22" s="172">
        <f>[4]Results!O41</f>
        <v>0.85396845030617285</v>
      </c>
      <c r="M22" s="135">
        <f t="shared" si="12"/>
        <v>17.93333745642963</v>
      </c>
      <c r="N22" s="169">
        <f t="shared" si="13"/>
        <v>17.93333745642963</v>
      </c>
      <c r="P22" s="89">
        <v>2024</v>
      </c>
      <c r="Q22" s="172">
        <f>[5]Results!O41</f>
        <v>0</v>
      </c>
      <c r="R22" s="135">
        <f t="shared" si="14"/>
        <v>0</v>
      </c>
      <c r="S22" s="169">
        <f t="shared" si="15"/>
        <v>0</v>
      </c>
    </row>
    <row r="23" spans="1:19" x14ac:dyDescent="0.25">
      <c r="A23" s="89">
        <v>2025</v>
      </c>
      <c r="B23" s="171">
        <f>[2]Results!O42</f>
        <v>1.2457028586068513</v>
      </c>
      <c r="C23" s="135">
        <f t="shared" si="8"/>
        <v>26.159760030743875</v>
      </c>
      <c r="D23" s="169">
        <f t="shared" si="9"/>
        <v>26.159760030743875</v>
      </c>
      <c r="E23" s="112"/>
      <c r="F23" s="89">
        <v>2025</v>
      </c>
      <c r="G23" s="171">
        <f>[3]Results!O42</f>
        <v>0</v>
      </c>
      <c r="H23" s="135">
        <f t="shared" si="10"/>
        <v>0</v>
      </c>
      <c r="I23" s="169">
        <f t="shared" si="11"/>
        <v>0</v>
      </c>
      <c r="K23" s="89">
        <v>2025</v>
      </c>
      <c r="L23" s="172">
        <f>[4]Results!O42</f>
        <v>0.88338105911202724</v>
      </c>
      <c r="M23" s="135">
        <f t="shared" si="12"/>
        <v>18.55100224135257</v>
      </c>
      <c r="N23" s="169">
        <f t="shared" si="13"/>
        <v>18.55100224135257</v>
      </c>
      <c r="P23" s="89">
        <v>2025</v>
      </c>
      <c r="Q23" s="172">
        <f>[5]Results!O42</f>
        <v>0</v>
      </c>
      <c r="R23" s="135">
        <f t="shared" si="14"/>
        <v>0</v>
      </c>
      <c r="S23" s="169">
        <f t="shared" si="15"/>
        <v>0</v>
      </c>
    </row>
    <row r="24" spans="1:19" x14ac:dyDescent="0.25">
      <c r="A24" s="89">
        <v>2026</v>
      </c>
      <c r="B24" s="171">
        <f>[2]Results!O43</f>
        <v>1.2873910453178345</v>
      </c>
      <c r="C24" s="135">
        <f t="shared" si="8"/>
        <v>27.035211951674526</v>
      </c>
      <c r="D24" s="169">
        <f t="shared" si="9"/>
        <v>27.035211951674526</v>
      </c>
      <c r="E24" s="112"/>
      <c r="F24" s="89">
        <v>2026</v>
      </c>
      <c r="G24" s="171">
        <f>[3]Results!O43</f>
        <v>0</v>
      </c>
      <c r="H24" s="135">
        <f t="shared" si="10"/>
        <v>0</v>
      </c>
      <c r="I24" s="169">
        <f t="shared" si="11"/>
        <v>0</v>
      </c>
      <c r="K24" s="89">
        <v>2026</v>
      </c>
      <c r="L24" s="172">
        <f>[4]Results!O43</f>
        <v>0.91294393140919294</v>
      </c>
      <c r="M24" s="135">
        <f t="shared" si="12"/>
        <v>19.171822559593053</v>
      </c>
      <c r="N24" s="169">
        <f t="shared" si="13"/>
        <v>19.171822559593053</v>
      </c>
      <c r="P24" s="89">
        <v>2026</v>
      </c>
      <c r="Q24" s="172">
        <f>[5]Results!O43</f>
        <v>0</v>
      </c>
      <c r="R24" s="135">
        <f t="shared" si="14"/>
        <v>0</v>
      </c>
      <c r="S24" s="169">
        <f t="shared" si="15"/>
        <v>0</v>
      </c>
    </row>
    <row r="25" spans="1:19" x14ac:dyDescent="0.25">
      <c r="A25" s="89">
        <v>2027</v>
      </c>
      <c r="B25" s="171">
        <f>[2]Results!O44</f>
        <v>1.3292394716357085</v>
      </c>
      <c r="C25" s="135">
        <f t="shared" si="8"/>
        <v>27.91402890434988</v>
      </c>
      <c r="D25" s="169">
        <f t="shared" si="9"/>
        <v>27.91402890434988</v>
      </c>
      <c r="E25" s="112"/>
      <c r="F25" s="89">
        <v>2027</v>
      </c>
      <c r="G25" s="171">
        <f>[3]Results!O44</f>
        <v>0</v>
      </c>
      <c r="H25" s="135">
        <f t="shared" si="10"/>
        <v>0</v>
      </c>
      <c r="I25" s="169">
        <f t="shared" si="11"/>
        <v>0</v>
      </c>
      <c r="K25" s="89">
        <v>2027</v>
      </c>
      <c r="L25" s="172">
        <f>[4]Results!O44</f>
        <v>0.94262043645004912</v>
      </c>
      <c r="M25" s="135">
        <f t="shared" si="12"/>
        <v>19.79502916545103</v>
      </c>
      <c r="N25" s="169">
        <f t="shared" si="13"/>
        <v>19.79502916545103</v>
      </c>
      <c r="P25" s="89">
        <v>2027</v>
      </c>
      <c r="Q25" s="172">
        <f>[5]Results!O44</f>
        <v>0</v>
      </c>
      <c r="R25" s="135">
        <f t="shared" si="14"/>
        <v>0</v>
      </c>
      <c r="S25" s="169">
        <f t="shared" si="15"/>
        <v>0</v>
      </c>
    </row>
    <row r="26" spans="1:19" x14ac:dyDescent="0.25">
      <c r="A26" s="89">
        <v>2028</v>
      </c>
      <c r="B26" s="171">
        <f>[2]Results!O45</f>
        <v>1.3712117639568304</v>
      </c>
      <c r="C26" s="135">
        <f t="shared" si="8"/>
        <v>28.795447043093439</v>
      </c>
      <c r="D26" s="169">
        <f t="shared" si="9"/>
        <v>28.795447043093439</v>
      </c>
      <c r="E26" s="112"/>
      <c r="F26" s="89">
        <v>2028</v>
      </c>
      <c r="G26" s="171">
        <f>[3]Results!O45</f>
        <v>0</v>
      </c>
      <c r="H26" s="135">
        <f t="shared" si="10"/>
        <v>0</v>
      </c>
      <c r="I26" s="169">
        <f t="shared" si="11"/>
        <v>0</v>
      </c>
      <c r="K26" s="89">
        <v>2028</v>
      </c>
      <c r="L26" s="172">
        <f>[4]Results!O45</f>
        <v>0.97238478015995944</v>
      </c>
      <c r="M26" s="135">
        <f t="shared" si="12"/>
        <v>20.420080383359149</v>
      </c>
      <c r="N26" s="169">
        <f t="shared" si="13"/>
        <v>20.420080383359149</v>
      </c>
      <c r="P26" s="89">
        <v>2028</v>
      </c>
      <c r="Q26" s="172">
        <f>[5]Results!O45</f>
        <v>0</v>
      </c>
      <c r="R26" s="135">
        <f t="shared" si="14"/>
        <v>0</v>
      </c>
      <c r="S26" s="169">
        <f t="shared" si="15"/>
        <v>0</v>
      </c>
    </row>
    <row r="27" spans="1:19" x14ac:dyDescent="0.25">
      <c r="A27" s="89">
        <v>2029</v>
      </c>
      <c r="B27" s="171">
        <f>[2]Results!O46</f>
        <v>1.4132819912048276</v>
      </c>
      <c r="C27" s="135">
        <f t="shared" si="8"/>
        <v>29.678921815301379</v>
      </c>
      <c r="D27" s="169">
        <f t="shared" si="9"/>
        <v>29.678921815301379</v>
      </c>
      <c r="E27" s="112"/>
      <c r="F27" s="89">
        <v>2029</v>
      </c>
      <c r="G27" s="171">
        <f>[3]Results!O46</f>
        <v>0</v>
      </c>
      <c r="H27" s="135">
        <f t="shared" si="10"/>
        <v>0</v>
      </c>
      <c r="I27" s="169">
        <f t="shared" si="11"/>
        <v>0</v>
      </c>
      <c r="K27" s="89">
        <v>2029</v>
      </c>
      <c r="L27" s="172">
        <f>[4]Results!O46</f>
        <v>1.0022185737060241</v>
      </c>
      <c r="M27" s="135">
        <f t="shared" si="12"/>
        <v>21.046590047826506</v>
      </c>
      <c r="N27" s="169">
        <f t="shared" si="13"/>
        <v>21.046590047826506</v>
      </c>
      <c r="P27" s="89">
        <v>2029</v>
      </c>
      <c r="Q27" s="172">
        <f>[5]Results!O46</f>
        <v>0</v>
      </c>
      <c r="R27" s="135">
        <f t="shared" si="14"/>
        <v>0</v>
      </c>
      <c r="S27" s="169">
        <f t="shared" si="15"/>
        <v>0</v>
      </c>
    </row>
    <row r="28" spans="1:19" x14ac:dyDescent="0.25">
      <c r="A28" s="89">
        <v>2030</v>
      </c>
      <c r="B28" s="171">
        <f>[2]Results!O47</f>
        <v>1.455431395142941</v>
      </c>
      <c r="C28" s="135">
        <f t="shared" si="8"/>
        <v>30.564059298001759</v>
      </c>
      <c r="D28" s="169">
        <f t="shared" si="9"/>
        <v>30.564059298001759</v>
      </c>
      <c r="E28" s="112"/>
      <c r="F28" s="89">
        <v>2030</v>
      </c>
      <c r="G28" s="171">
        <f>[3]Results!O47</f>
        <v>0</v>
      </c>
      <c r="H28" s="135">
        <f t="shared" si="10"/>
        <v>0</v>
      </c>
      <c r="I28" s="169">
        <f t="shared" si="11"/>
        <v>0</v>
      </c>
      <c r="K28" s="89">
        <v>2030</v>
      </c>
      <c r="L28" s="172">
        <f>[4]Results!O47</f>
        <v>1.0321085148220237</v>
      </c>
      <c r="M28" s="135">
        <f t="shared" si="12"/>
        <v>21.674278811262496</v>
      </c>
      <c r="N28" s="169">
        <f t="shared" si="13"/>
        <v>21.674278811262496</v>
      </c>
      <c r="P28" s="89">
        <v>2030</v>
      </c>
      <c r="Q28" s="172">
        <f>[5]Results!O47</f>
        <v>0</v>
      </c>
      <c r="R28" s="135">
        <f t="shared" si="14"/>
        <v>0</v>
      </c>
      <c r="S28" s="169">
        <f t="shared" si="15"/>
        <v>0</v>
      </c>
    </row>
    <row r="29" spans="1:19" x14ac:dyDescent="0.25">
      <c r="A29" s="89">
        <v>2031</v>
      </c>
      <c r="B29" s="171"/>
      <c r="C29" s="135">
        <f t="shared" si="8"/>
        <v>0</v>
      </c>
      <c r="D29" s="169">
        <f t="shared" si="9"/>
        <v>0</v>
      </c>
      <c r="E29" s="112"/>
      <c r="F29" s="89">
        <v>2031</v>
      </c>
      <c r="G29" s="149"/>
      <c r="H29" s="110">
        <f t="shared" si="10"/>
        <v>0</v>
      </c>
      <c r="I29" s="111">
        <f t="shared" si="11"/>
        <v>0</v>
      </c>
      <c r="K29" s="89">
        <v>2031</v>
      </c>
      <c r="L29" s="148"/>
      <c r="M29" s="110">
        <f t="shared" si="12"/>
        <v>0</v>
      </c>
      <c r="N29" s="169">
        <f t="shared" si="13"/>
        <v>0</v>
      </c>
      <c r="P29" s="89">
        <v>2031</v>
      </c>
      <c r="Q29" s="148"/>
      <c r="R29" s="113">
        <f t="shared" si="14"/>
        <v>0</v>
      </c>
      <c r="S29" s="114">
        <f t="shared" si="15"/>
        <v>0</v>
      </c>
    </row>
    <row r="31" spans="1:19" ht="15.75" thickBot="1" x14ac:dyDescent="0.3">
      <c r="A31" s="115" t="s">
        <v>126</v>
      </c>
    </row>
    <row r="32" spans="1:19" ht="15.75" thickBot="1" x14ac:dyDescent="0.3">
      <c r="A32" s="208" t="s">
        <v>11</v>
      </c>
      <c r="B32" s="210" t="s">
        <v>81</v>
      </c>
      <c r="C32" s="211"/>
      <c r="D32" s="211"/>
      <c r="E32" s="211"/>
      <c r="F32" s="212"/>
    </row>
    <row r="33" spans="1:6" ht="18.75" thickBot="1" x14ac:dyDescent="0.3">
      <c r="A33" s="209"/>
      <c r="B33" s="210" t="s">
        <v>128</v>
      </c>
      <c r="C33" s="212"/>
      <c r="D33" s="210" t="s">
        <v>132</v>
      </c>
      <c r="E33" s="212"/>
      <c r="F33" s="213" t="s">
        <v>129</v>
      </c>
    </row>
    <row r="34" spans="1:6" ht="18" x14ac:dyDescent="0.25">
      <c r="A34" s="209"/>
      <c r="B34" s="116" t="s">
        <v>130</v>
      </c>
      <c r="C34" s="116" t="s">
        <v>131</v>
      </c>
      <c r="D34" s="116" t="s">
        <v>133</v>
      </c>
      <c r="E34" s="116" t="s">
        <v>131</v>
      </c>
      <c r="F34" s="214"/>
    </row>
    <row r="35" spans="1:6" x14ac:dyDescent="0.25">
      <c r="A35" s="89">
        <v>2011</v>
      </c>
      <c r="B35" s="136">
        <f>[6]REKAPITULASI!B6</f>
        <v>2.9092499999999999E-3</v>
      </c>
      <c r="C35" s="136">
        <f>B35*21</f>
        <v>6.1094249999999996E-2</v>
      </c>
      <c r="D35" s="136">
        <f>[6]REKAPITULASI!D6</f>
        <v>2.1819375E-4</v>
      </c>
      <c r="E35" s="136">
        <f>D35*310</f>
        <v>6.7640062500000001E-2</v>
      </c>
      <c r="F35" s="169">
        <f>E35+C35</f>
        <v>0.1287343125</v>
      </c>
    </row>
    <row r="36" spans="1:6" x14ac:dyDescent="0.25">
      <c r="A36" s="89">
        <v>2012</v>
      </c>
      <c r="B36" s="136">
        <f>[6]REKAPITULASI!B7</f>
        <v>3.0412152000000004E-3</v>
      </c>
      <c r="C36" s="136">
        <f t="shared" ref="C36:C45" si="16">B36*21</f>
        <v>6.3865519200000012E-2</v>
      </c>
      <c r="D36" s="136">
        <f>[6]REKAPITULASI!D7</f>
        <v>2.2809114000000002E-4</v>
      </c>
      <c r="E36" s="136">
        <f t="shared" ref="E36:E45" si="17">D36*310</f>
        <v>7.0708253400000004E-2</v>
      </c>
      <c r="F36" s="169">
        <f t="shared" ref="F36:F45" si="18">E36+C36</f>
        <v>0.13457377260000003</v>
      </c>
    </row>
    <row r="37" spans="1:6" x14ac:dyDescent="0.25">
      <c r="A37" s="89">
        <v>2013</v>
      </c>
      <c r="B37" s="136">
        <f>[6]REKAPITULASI!B8</f>
        <v>3.1775328000000001E-3</v>
      </c>
      <c r="C37" s="136">
        <f t="shared" si="16"/>
        <v>6.6728188800000005E-2</v>
      </c>
      <c r="D37" s="136">
        <f>[6]REKAPITULASI!D8</f>
        <v>2.3831496000000001E-4</v>
      </c>
      <c r="E37" s="136">
        <f t="shared" si="17"/>
        <v>7.3877637600000004E-2</v>
      </c>
      <c r="F37" s="169">
        <f t="shared" si="18"/>
        <v>0.14060582640000002</v>
      </c>
    </row>
    <row r="38" spans="1:6" x14ac:dyDescent="0.25">
      <c r="A38" s="89">
        <v>2014</v>
      </c>
      <c r="B38" s="136">
        <f>[6]REKAPITULASI!B9</f>
        <v>3.3153192000000002E-3</v>
      </c>
      <c r="C38" s="136">
        <f t="shared" si="16"/>
        <v>6.962170320000001E-2</v>
      </c>
      <c r="D38" s="136">
        <f>[6]REKAPITULASI!D9</f>
        <v>2.4864894000000001E-4</v>
      </c>
      <c r="E38" s="136">
        <f t="shared" si="17"/>
        <v>7.7081171399999995E-2</v>
      </c>
      <c r="F38" s="169">
        <f t="shared" si="18"/>
        <v>0.14670287460000001</v>
      </c>
    </row>
    <row r="39" spans="1:6" x14ac:dyDescent="0.25">
      <c r="A39" s="89">
        <v>2015</v>
      </c>
      <c r="B39" s="136">
        <f>[6]REKAPITULASI!B10</f>
        <v>3.4572420000000001E-3</v>
      </c>
      <c r="C39" s="136">
        <f t="shared" si="16"/>
        <v>7.2602081999999998E-2</v>
      </c>
      <c r="D39" s="136">
        <f>[6]REKAPITULASI!D10</f>
        <v>2.5929314999999996E-4</v>
      </c>
      <c r="E39" s="136">
        <f t="shared" si="17"/>
        <v>8.038087649999999E-2</v>
      </c>
      <c r="F39" s="169">
        <f t="shared" si="18"/>
        <v>0.15298295849999999</v>
      </c>
    </row>
    <row r="40" spans="1:6" x14ac:dyDescent="0.25">
      <c r="A40" s="89">
        <v>2016</v>
      </c>
      <c r="B40" s="136">
        <f>[6]REKAPITULASI!B11</f>
        <v>3.6027828E-3</v>
      </c>
      <c r="C40" s="136">
        <f t="shared" si="16"/>
        <v>7.5658438800000005E-2</v>
      </c>
      <c r="D40" s="136">
        <f>[6]REKAPITULASI!D11</f>
        <v>2.7020870999999995E-4</v>
      </c>
      <c r="E40" s="136">
        <f t="shared" si="17"/>
        <v>8.3764700099999992E-2</v>
      </c>
      <c r="F40" s="169">
        <f t="shared" si="18"/>
        <v>0.15942313889999998</v>
      </c>
    </row>
    <row r="41" spans="1:6" x14ac:dyDescent="0.25">
      <c r="A41" s="89">
        <v>2017</v>
      </c>
      <c r="B41" s="136">
        <f>[6]REKAPITULASI!B12</f>
        <v>3.6193608000000001E-3</v>
      </c>
      <c r="C41" s="136">
        <f t="shared" si="16"/>
        <v>7.6006576800000003E-2</v>
      </c>
      <c r="D41" s="136">
        <f>[6]REKAPITULASI!D12</f>
        <v>2.7145206000000002E-4</v>
      </c>
      <c r="E41" s="136">
        <f t="shared" si="17"/>
        <v>8.4150138600000007E-2</v>
      </c>
      <c r="F41" s="169">
        <f t="shared" si="18"/>
        <v>0.16015671540000001</v>
      </c>
    </row>
    <row r="42" spans="1:6" x14ac:dyDescent="0.25">
      <c r="A42" s="89">
        <v>2018</v>
      </c>
      <c r="B42" s="136">
        <f>[6]REKAPITULASI!B13</f>
        <v>3.7543284000000005E-3</v>
      </c>
      <c r="C42" s="136">
        <f t="shared" si="16"/>
        <v>7.8840896400000013E-2</v>
      </c>
      <c r="D42" s="136">
        <f>[6]REKAPITULASI!D13</f>
        <v>2.8157463000000001E-4</v>
      </c>
      <c r="E42" s="136">
        <f t="shared" si="17"/>
        <v>8.72881353E-2</v>
      </c>
      <c r="F42" s="169">
        <f t="shared" si="18"/>
        <v>0.16612903170000001</v>
      </c>
    </row>
    <row r="43" spans="1:6" x14ac:dyDescent="0.25">
      <c r="A43" s="89">
        <v>2019</v>
      </c>
      <c r="B43" s="136">
        <f>[6]REKAPITULASI!B14</f>
        <v>3.889296E-3</v>
      </c>
      <c r="C43" s="136">
        <f t="shared" si="16"/>
        <v>8.1675215999999995E-2</v>
      </c>
      <c r="D43" s="136">
        <f>[6]REKAPITULASI!D14</f>
        <v>2.9169720000000001E-4</v>
      </c>
      <c r="E43" s="136">
        <f t="shared" si="17"/>
        <v>9.0426132000000006E-2</v>
      </c>
      <c r="F43" s="169">
        <f t="shared" si="18"/>
        <v>0.17210134799999999</v>
      </c>
    </row>
    <row r="44" spans="1:6" x14ac:dyDescent="0.25">
      <c r="A44" s="89">
        <v>2020</v>
      </c>
      <c r="B44" s="136">
        <f>[6]REKAPITULASI!B15</f>
        <v>4.0242636000000004E-3</v>
      </c>
      <c r="C44" s="136">
        <f t="shared" si="16"/>
        <v>8.4509535600000005E-2</v>
      </c>
      <c r="D44" s="136">
        <f>[6]REKAPITULASI!D15</f>
        <v>3.0181977E-4</v>
      </c>
      <c r="E44" s="136">
        <f t="shared" si="17"/>
        <v>9.3564128699999999E-2</v>
      </c>
      <c r="F44" s="169">
        <f t="shared" si="18"/>
        <v>0.17807366429999999</v>
      </c>
    </row>
    <row r="45" spans="1:6" x14ac:dyDescent="0.25">
      <c r="A45" s="89">
        <v>2021</v>
      </c>
      <c r="B45" s="136">
        <f>[6]REKAPITULASI!B16</f>
        <v>4.1592311999999994E-3</v>
      </c>
      <c r="C45" s="136">
        <f t="shared" si="16"/>
        <v>8.7343855199999987E-2</v>
      </c>
      <c r="D45" s="136">
        <f>[6]REKAPITULASI!D16</f>
        <v>3.1194234E-4</v>
      </c>
      <c r="E45" s="136">
        <f t="shared" si="17"/>
        <v>9.6702125400000005E-2</v>
      </c>
      <c r="F45" s="169">
        <f t="shared" si="18"/>
        <v>0.18404598059999999</v>
      </c>
    </row>
    <row r="46" spans="1:6" x14ac:dyDescent="0.25">
      <c r="A46" s="89">
        <v>2022</v>
      </c>
      <c r="B46" s="136">
        <f>[6]REKAPITULASI!B17</f>
        <v>4.2941988000000002E-3</v>
      </c>
      <c r="C46" s="136">
        <f t="shared" ref="C46:C55" si="19">B46*21</f>
        <v>9.0178174800000011E-2</v>
      </c>
      <c r="D46" s="136">
        <f>[6]REKAPITULASI!D17</f>
        <v>3.2206490999999999E-4</v>
      </c>
      <c r="E46" s="136">
        <f t="shared" ref="E46:E55" si="20">D46*310</f>
        <v>9.9840122099999998E-2</v>
      </c>
      <c r="F46" s="169">
        <f t="shared" ref="F46:F55" si="21">E46+C46</f>
        <v>0.19001829689999999</v>
      </c>
    </row>
    <row r="47" spans="1:6" x14ac:dyDescent="0.25">
      <c r="A47" s="89">
        <v>2023</v>
      </c>
      <c r="B47" s="136">
        <f>[6]REKAPITULASI!B18</f>
        <v>4.429166400000001E-3</v>
      </c>
      <c r="C47" s="136">
        <f t="shared" si="19"/>
        <v>9.301249440000002E-2</v>
      </c>
      <c r="D47" s="136">
        <f>[6]REKAPITULASI!D18</f>
        <v>3.3218748000000004E-4</v>
      </c>
      <c r="E47" s="136">
        <f t="shared" si="20"/>
        <v>0.10297811880000002</v>
      </c>
      <c r="F47" s="169">
        <f t="shared" si="21"/>
        <v>0.19599061320000005</v>
      </c>
    </row>
    <row r="48" spans="1:6" x14ac:dyDescent="0.25">
      <c r="A48" s="89">
        <v>2024</v>
      </c>
      <c r="B48" s="136">
        <f>[6]REKAPITULASI!B19</f>
        <v>4.5641340000000001E-3</v>
      </c>
      <c r="C48" s="136">
        <f t="shared" si="19"/>
        <v>9.5846814000000002E-2</v>
      </c>
      <c r="D48" s="136">
        <f>[6]REKAPITULASI!D19</f>
        <v>3.4231004999999998E-4</v>
      </c>
      <c r="E48" s="136">
        <f t="shared" si="20"/>
        <v>0.1061161155</v>
      </c>
      <c r="F48" s="169">
        <f t="shared" si="21"/>
        <v>0.2019629295</v>
      </c>
    </row>
    <row r="49" spans="1:10" x14ac:dyDescent="0.25">
      <c r="A49" s="89">
        <v>2025</v>
      </c>
      <c r="B49" s="136">
        <f>[6]REKAPITULASI!B20</f>
        <v>4.6991016000000009E-3</v>
      </c>
      <c r="C49" s="136">
        <f t="shared" si="19"/>
        <v>9.8681133600000012E-2</v>
      </c>
      <c r="D49" s="136">
        <f>[6]REKAPITULASI!D20</f>
        <v>3.5243262000000003E-4</v>
      </c>
      <c r="E49" s="136">
        <f t="shared" si="20"/>
        <v>0.10925411220000002</v>
      </c>
      <c r="F49" s="169">
        <f t="shared" si="21"/>
        <v>0.20793524580000003</v>
      </c>
    </row>
    <row r="50" spans="1:10" x14ac:dyDescent="0.25">
      <c r="A50" s="89">
        <v>2026</v>
      </c>
      <c r="B50" s="136">
        <f>[6]REKAPITULASI!B21</f>
        <v>4.8340691999999999E-3</v>
      </c>
      <c r="C50" s="136">
        <f t="shared" si="19"/>
        <v>0.10151545319999999</v>
      </c>
      <c r="D50" s="136">
        <f>[6]REKAPITULASI!D21</f>
        <v>3.6255518999999997E-4</v>
      </c>
      <c r="E50" s="136">
        <f t="shared" si="20"/>
        <v>0.1123921089</v>
      </c>
      <c r="F50" s="169">
        <f t="shared" si="21"/>
        <v>0.2139075621</v>
      </c>
    </row>
    <row r="51" spans="1:10" x14ac:dyDescent="0.25">
      <c r="A51" s="89">
        <v>2027</v>
      </c>
      <c r="B51" s="136">
        <f>[6]REKAPITULASI!B22</f>
        <v>4.9690368000000007E-3</v>
      </c>
      <c r="C51" s="136">
        <f t="shared" si="19"/>
        <v>0.10434977280000002</v>
      </c>
      <c r="D51" s="136">
        <f>[6]REKAPITULASI!D22</f>
        <v>3.7267776000000002E-4</v>
      </c>
      <c r="E51" s="136">
        <f t="shared" si="20"/>
        <v>0.1155301056</v>
      </c>
      <c r="F51" s="169">
        <f t="shared" si="21"/>
        <v>0.21987987840000001</v>
      </c>
    </row>
    <row r="52" spans="1:10" x14ac:dyDescent="0.25">
      <c r="A52" s="89">
        <v>2028</v>
      </c>
      <c r="B52" s="136">
        <f>[6]REKAPITULASI!B23</f>
        <v>5.1040043999999998E-3</v>
      </c>
      <c r="C52" s="136">
        <f t="shared" si="19"/>
        <v>0.1071840924</v>
      </c>
      <c r="D52" s="136">
        <f>[6]REKAPITULASI!D23</f>
        <v>3.8280032999999996E-4</v>
      </c>
      <c r="E52" s="136">
        <f t="shared" si="20"/>
        <v>0.11866810229999999</v>
      </c>
      <c r="F52" s="169">
        <f t="shared" si="21"/>
        <v>0.22585219470000001</v>
      </c>
    </row>
    <row r="53" spans="1:10" x14ac:dyDescent="0.25">
      <c r="A53" s="89">
        <v>2029</v>
      </c>
      <c r="B53" s="136">
        <f>[6]REKAPITULASI!B24</f>
        <v>5.2389720000000006E-3</v>
      </c>
      <c r="C53" s="136">
        <f t="shared" si="19"/>
        <v>0.11001841200000001</v>
      </c>
      <c r="D53" s="136">
        <f>[6]REKAPITULASI!D24</f>
        <v>3.9292290000000001E-4</v>
      </c>
      <c r="E53" s="136">
        <f t="shared" si="20"/>
        <v>0.121806099</v>
      </c>
      <c r="F53" s="169">
        <f t="shared" si="21"/>
        <v>0.23182451100000001</v>
      </c>
    </row>
    <row r="54" spans="1:10" x14ac:dyDescent="0.25">
      <c r="A54" s="89">
        <v>2030</v>
      </c>
      <c r="B54" s="136">
        <f>[6]REKAPITULASI!B25</f>
        <v>5.3739396000000005E-3</v>
      </c>
      <c r="C54" s="136">
        <f t="shared" si="19"/>
        <v>0.11285273160000001</v>
      </c>
      <c r="D54" s="136">
        <f>[6]REKAPITULASI!D25</f>
        <v>4.0304547000000006E-4</v>
      </c>
      <c r="E54" s="136">
        <f t="shared" si="20"/>
        <v>0.12494409570000002</v>
      </c>
      <c r="F54" s="169">
        <f t="shared" si="21"/>
        <v>0.23779682730000001</v>
      </c>
    </row>
    <row r="55" spans="1:10" x14ac:dyDescent="0.25">
      <c r="A55" s="89">
        <v>2031</v>
      </c>
      <c r="B55" s="170"/>
      <c r="C55" s="136">
        <f t="shared" si="19"/>
        <v>0</v>
      </c>
      <c r="D55" s="136"/>
      <c r="E55" s="136">
        <f t="shared" si="20"/>
        <v>0</v>
      </c>
      <c r="F55" s="111">
        <f t="shared" si="21"/>
        <v>0</v>
      </c>
    </row>
    <row r="57" spans="1:10" ht="15.75" thickBot="1" x14ac:dyDescent="0.3">
      <c r="A57" s="104" t="s">
        <v>88</v>
      </c>
      <c r="J57" s="96">
        <v>1000</v>
      </c>
    </row>
    <row r="58" spans="1:10" ht="15.75" thickBot="1" x14ac:dyDescent="0.3">
      <c r="A58" s="202" t="s">
        <v>11</v>
      </c>
      <c r="B58" s="204" t="s">
        <v>89</v>
      </c>
      <c r="C58" s="205"/>
      <c r="D58" s="205"/>
      <c r="E58" s="205"/>
      <c r="F58" s="205"/>
    </row>
    <row r="59" spans="1:10" ht="18.75" thickBot="1" x14ac:dyDescent="0.3">
      <c r="A59" s="203"/>
      <c r="B59" s="204" t="s">
        <v>128</v>
      </c>
      <c r="C59" s="206"/>
      <c r="D59" s="204" t="s">
        <v>132</v>
      </c>
      <c r="E59" s="206"/>
      <c r="F59" s="117" t="s">
        <v>134</v>
      </c>
      <c r="H59" s="192" t="s">
        <v>11</v>
      </c>
      <c r="I59" s="192" t="s">
        <v>152</v>
      </c>
      <c r="J59" s="192"/>
    </row>
    <row r="60" spans="1:10" ht="18" x14ac:dyDescent="0.25">
      <c r="A60" s="203"/>
      <c r="B60" s="118" t="s">
        <v>130</v>
      </c>
      <c r="C60" s="118" t="s">
        <v>131</v>
      </c>
      <c r="D60" s="118" t="s">
        <v>133</v>
      </c>
      <c r="E60" s="118" t="s">
        <v>131</v>
      </c>
      <c r="F60" s="118" t="s">
        <v>135</v>
      </c>
      <c r="H60" s="192"/>
      <c r="I60" s="141" t="s">
        <v>144</v>
      </c>
      <c r="J60" s="141" t="s">
        <v>145</v>
      </c>
    </row>
    <row r="61" spans="1:10" x14ac:dyDescent="0.25">
      <c r="A61" s="89">
        <v>2011</v>
      </c>
      <c r="B61" s="136">
        <f>[6]REKAPITULASI!B32</f>
        <v>2.4937377156250003E-2</v>
      </c>
      <c r="C61" s="120">
        <f>B61*21</f>
        <v>0.52368492028125002</v>
      </c>
      <c r="D61" s="136">
        <f>[6]REKAPITULASI!D32</f>
        <v>5.7547793437500003E-4</v>
      </c>
      <c r="E61" s="120">
        <f>D61*310</f>
        <v>0.17839815965625</v>
      </c>
      <c r="F61" s="169">
        <f>SUM(C61+E61)</f>
        <v>0.70208307993749997</v>
      </c>
      <c r="H61" s="89">
        <v>2011</v>
      </c>
      <c r="I61" s="142">
        <f>D9+I9+N9+S9+F35+F61</f>
        <v>24.866988021810343</v>
      </c>
      <c r="J61" s="167">
        <f>I61*$J$57</f>
        <v>24866.988021810343</v>
      </c>
    </row>
    <row r="62" spans="1:10" x14ac:dyDescent="0.25">
      <c r="A62" s="89">
        <v>2012</v>
      </c>
      <c r="B62" s="136">
        <f>[6]REKAPITULASI!B33</f>
        <v>2.6068550470299996E-2</v>
      </c>
      <c r="C62" s="120">
        <f t="shared" ref="C62:C81" si="22">B62*21</f>
        <v>0.54743955987629989</v>
      </c>
      <c r="D62" s="136">
        <f>[6]REKAPITULASI!D33</f>
        <v>6.0158193392999997E-4</v>
      </c>
      <c r="E62" s="120">
        <f t="shared" ref="E62:E81" si="23">D62*310</f>
        <v>0.18649039951829999</v>
      </c>
      <c r="F62" s="169">
        <f t="shared" ref="F62:F81" si="24">SUM(C62+E62)</f>
        <v>0.73392995939459982</v>
      </c>
      <c r="H62" s="89">
        <v>2012</v>
      </c>
      <c r="I62" s="142">
        <f t="shared" ref="I62:I66" si="25">D10+I10+N10+S10+F36+F62</f>
        <v>26.5184202727593</v>
      </c>
      <c r="J62" s="167">
        <f t="shared" ref="J62:J70" si="26">I62*$J$57</f>
        <v>26518.4202727593</v>
      </c>
    </row>
    <row r="63" spans="1:10" x14ac:dyDescent="0.25">
      <c r="A63" s="89">
        <v>2013</v>
      </c>
      <c r="B63" s="136">
        <f>[6]REKAPITULASI!B34</f>
        <v>2.7237031489199998E-2</v>
      </c>
      <c r="C63" s="120">
        <f t="shared" si="22"/>
        <v>0.57197766127319993</v>
      </c>
      <c r="D63" s="136">
        <f>[6]REKAPITULASI!D34</f>
        <v>6.2854688051999991E-4</v>
      </c>
      <c r="E63" s="120">
        <f t="shared" si="23"/>
        <v>0.19484953296119997</v>
      </c>
      <c r="F63" s="169">
        <f t="shared" si="24"/>
        <v>0.76682719423439993</v>
      </c>
      <c r="H63" s="89">
        <v>2013</v>
      </c>
      <c r="I63" s="142">
        <f t="shared" si="25"/>
        <v>28.132976018330268</v>
      </c>
      <c r="J63" s="167">
        <f t="shared" si="26"/>
        <v>28132.976018330268</v>
      </c>
    </row>
    <row r="64" spans="1:10" x14ac:dyDescent="0.25">
      <c r="A64" s="89">
        <v>2014</v>
      </c>
      <c r="B64" s="136">
        <f>[6]REKAPITULASI!B35</f>
        <v>2.8418102701300005E-2</v>
      </c>
      <c r="C64" s="120">
        <f t="shared" si="22"/>
        <v>0.59678015672730012</v>
      </c>
      <c r="D64" s="136">
        <f>[6]REKAPITULASI!D35</f>
        <v>6.5580237003000016E-4</v>
      </c>
      <c r="E64" s="120">
        <f t="shared" si="23"/>
        <v>0.20329873470930004</v>
      </c>
      <c r="F64" s="169">
        <f t="shared" si="24"/>
        <v>0.80007889143660016</v>
      </c>
      <c r="H64" s="89">
        <v>2014</v>
      </c>
      <c r="I64" s="142">
        <f t="shared" si="25"/>
        <v>29.733863786966296</v>
      </c>
      <c r="J64" s="167">
        <f t="shared" si="26"/>
        <v>29733.863786966296</v>
      </c>
    </row>
    <row r="65" spans="1:11" x14ac:dyDescent="0.25">
      <c r="A65" s="89">
        <v>2015</v>
      </c>
      <c r="B65" s="136">
        <f>[6]REKAPITULASI!B36</f>
        <v>2.9634630119250001E-2</v>
      </c>
      <c r="C65" s="120">
        <f t="shared" si="22"/>
        <v>0.62232723250425004</v>
      </c>
      <c r="D65" s="136">
        <f>[6]REKAPITULASI!D36</f>
        <v>6.8387607967500003E-4</v>
      </c>
      <c r="E65" s="120">
        <f t="shared" si="23"/>
        <v>0.21200158469925001</v>
      </c>
      <c r="F65" s="169">
        <f t="shared" si="24"/>
        <v>0.83432881720350005</v>
      </c>
      <c r="H65" s="89">
        <v>2015</v>
      </c>
      <c r="I65" s="142">
        <f t="shared" si="25"/>
        <v>31.330557788443098</v>
      </c>
      <c r="J65" s="167">
        <f t="shared" si="26"/>
        <v>31330.557788443097</v>
      </c>
    </row>
    <row r="66" spans="1:11" x14ac:dyDescent="0.25">
      <c r="A66" s="89">
        <v>2016</v>
      </c>
      <c r="B66" s="136">
        <f>[6]REKAPITULASI!B37</f>
        <v>3.088217014545E-2</v>
      </c>
      <c r="C66" s="120">
        <f t="shared" si="22"/>
        <v>0.64852557305445002</v>
      </c>
      <c r="D66" s="136">
        <f>[6]REKAPITULASI!D37</f>
        <v>7.1266546489500001E-4</v>
      </c>
      <c r="E66" s="120">
        <f t="shared" si="23"/>
        <v>0.22092629411745002</v>
      </c>
      <c r="F66" s="169">
        <f t="shared" si="24"/>
        <v>0.86945186717190004</v>
      </c>
      <c r="H66" s="89">
        <v>2016</v>
      </c>
      <c r="I66" s="142">
        <f t="shared" si="25"/>
        <v>32.936356678637615</v>
      </c>
      <c r="J66" s="167">
        <f t="shared" si="26"/>
        <v>32936.356678637618</v>
      </c>
    </row>
    <row r="67" spans="1:11" x14ac:dyDescent="0.25">
      <c r="A67" s="89">
        <v>2017</v>
      </c>
      <c r="B67" s="136">
        <f>[6]REKAPITULASI!B38</f>
        <v>3.1024272693700002E-2</v>
      </c>
      <c r="C67" s="120">
        <f t="shared" si="22"/>
        <v>0.65150972656770001</v>
      </c>
      <c r="D67" s="136">
        <f>[6]REKAPITULASI!D38</f>
        <v>7.1594475446999997E-4</v>
      </c>
      <c r="E67" s="120">
        <f t="shared" si="23"/>
        <v>0.2219428738857</v>
      </c>
      <c r="F67" s="169">
        <f t="shared" si="24"/>
        <v>0.87345260045340001</v>
      </c>
      <c r="H67" s="89">
        <v>2017</v>
      </c>
      <c r="I67" s="142">
        <f t="shared" ref="I67:I81" si="27">D15+I15+N15+S15+F41+F67</f>
        <v>34.521432222831777</v>
      </c>
      <c r="J67" s="167">
        <f t="shared" si="26"/>
        <v>34521.432222831776</v>
      </c>
    </row>
    <row r="68" spans="1:11" x14ac:dyDescent="0.25">
      <c r="A68" s="89">
        <v>2018</v>
      </c>
      <c r="B68" s="136">
        <f>[6]REKAPITULASI!B39</f>
        <v>3.2181181843850007E-2</v>
      </c>
      <c r="C68" s="120">
        <f t="shared" si="22"/>
        <v>0.67580481872085019</v>
      </c>
      <c r="D68" s="136">
        <f>[6]REKAPITULASI!D39</f>
        <v>7.4264265793500006E-4</v>
      </c>
      <c r="E68" s="120">
        <f t="shared" si="23"/>
        <v>0.23021922395985001</v>
      </c>
      <c r="F68" s="169">
        <f t="shared" si="24"/>
        <v>0.90602404268070025</v>
      </c>
      <c r="H68" s="89">
        <v>2018</v>
      </c>
      <c r="I68" s="142">
        <f t="shared" si="27"/>
        <v>35.794783567947427</v>
      </c>
      <c r="J68" s="167">
        <f t="shared" si="26"/>
        <v>35794.78356794743</v>
      </c>
    </row>
    <row r="69" spans="1:11" x14ac:dyDescent="0.25">
      <c r="A69" s="89">
        <v>2019</v>
      </c>
      <c r="B69" s="136">
        <f>[6]REKAPITULASI!B40</f>
        <v>3.3338090994000001E-2</v>
      </c>
      <c r="C69" s="120">
        <f t="shared" si="22"/>
        <v>0.70009991087400003</v>
      </c>
      <c r="D69" s="136">
        <f>[6]REKAPITULASI!D40</f>
        <v>7.6934056139999992E-4</v>
      </c>
      <c r="E69" s="120">
        <f t="shared" si="23"/>
        <v>0.23849557403399999</v>
      </c>
      <c r="F69" s="169">
        <f t="shared" si="24"/>
        <v>0.93859548490800004</v>
      </c>
      <c r="H69" s="89">
        <v>2019</v>
      </c>
      <c r="I69" s="142">
        <f t="shared" si="27"/>
        <v>37.152217253594628</v>
      </c>
      <c r="J69" s="167">
        <f t="shared" si="26"/>
        <v>37152.21725359463</v>
      </c>
    </row>
    <row r="70" spans="1:11" x14ac:dyDescent="0.25">
      <c r="A70" s="89">
        <v>2020</v>
      </c>
      <c r="B70" s="136">
        <f>[6]REKAPITULASI!B41</f>
        <v>3.4495000144150009E-2</v>
      </c>
      <c r="C70" s="120">
        <f t="shared" si="22"/>
        <v>0.72439500302715021</v>
      </c>
      <c r="D70" s="136">
        <f>[6]REKAPITULASI!D41</f>
        <v>7.9603846486500001E-4</v>
      </c>
      <c r="E70" s="120">
        <f t="shared" si="23"/>
        <v>0.24677192410814999</v>
      </c>
      <c r="F70" s="169">
        <f t="shared" si="24"/>
        <v>0.97116692713530017</v>
      </c>
      <c r="H70" s="89">
        <v>2020</v>
      </c>
      <c r="I70" s="142">
        <f t="shared" si="27"/>
        <v>38.567425940065505</v>
      </c>
      <c r="J70" s="167">
        <f t="shared" si="26"/>
        <v>38567.425940065506</v>
      </c>
    </row>
    <row r="71" spans="1:11" x14ac:dyDescent="0.25">
      <c r="A71" s="89">
        <v>2021</v>
      </c>
      <c r="B71" s="136">
        <f>[6]REKAPITULASI!B42</f>
        <v>3.5651909294299997E-2</v>
      </c>
      <c r="C71" s="120">
        <f t="shared" si="22"/>
        <v>0.74869009518029994</v>
      </c>
      <c r="D71" s="136">
        <f>[6]REKAPITULASI!D42</f>
        <v>8.2273636832999987E-4</v>
      </c>
      <c r="E71" s="120">
        <f t="shared" si="23"/>
        <v>0.25504827418229997</v>
      </c>
      <c r="F71" s="169">
        <f t="shared" si="24"/>
        <v>1.0037383693625999</v>
      </c>
      <c r="H71" s="89">
        <v>2021</v>
      </c>
      <c r="I71" s="142">
        <f>D19+I19+N19+S19+F45+F71</f>
        <v>40.022618696561686</v>
      </c>
      <c r="J71" s="167">
        <f>I71*$J$57</f>
        <v>40022.618696561687</v>
      </c>
    </row>
    <row r="72" spans="1:11" x14ac:dyDescent="0.25">
      <c r="A72" s="89">
        <v>2022</v>
      </c>
      <c r="B72" s="136">
        <f>[6]REKAPITULASI!B43</f>
        <v>3.6808818444449998E-2</v>
      </c>
      <c r="C72" s="120">
        <f t="shared" si="22"/>
        <v>0.7729851873334499</v>
      </c>
      <c r="D72" s="136">
        <f>[6]REKAPITULASI!D43</f>
        <v>8.4943427179500007E-4</v>
      </c>
      <c r="E72" s="120">
        <f t="shared" si="23"/>
        <v>0.26332462425645004</v>
      </c>
      <c r="F72" s="169">
        <f t="shared" si="24"/>
        <v>1.0363098115898999</v>
      </c>
      <c r="H72" s="89">
        <v>2022</v>
      </c>
      <c r="I72" s="142">
        <f t="shared" si="27"/>
        <v>41.505733446194483</v>
      </c>
      <c r="J72" s="167">
        <f t="shared" ref="J72:J81" si="28">I72*$J$57</f>
        <v>41505.733446194485</v>
      </c>
    </row>
    <row r="73" spans="1:11" x14ac:dyDescent="0.25">
      <c r="A73" s="89">
        <v>2023</v>
      </c>
      <c r="B73" s="136">
        <f>[6]REKAPITULASI!B44</f>
        <v>3.7965727594599992E-2</v>
      </c>
      <c r="C73" s="120">
        <f t="shared" si="22"/>
        <v>0.79728027948659985</v>
      </c>
      <c r="D73" s="136">
        <f>[6]REKAPITULASI!D44</f>
        <v>8.7613217525999993E-4</v>
      </c>
      <c r="E73" s="120">
        <f t="shared" si="23"/>
        <v>0.27160097433059999</v>
      </c>
      <c r="F73" s="169">
        <f t="shared" si="24"/>
        <v>1.0688812538171999</v>
      </c>
      <c r="H73" s="89">
        <v>2023</v>
      </c>
      <c r="I73" s="142">
        <f t="shared" si="27"/>
        <v>43.008565558160242</v>
      </c>
      <c r="J73" s="167">
        <f t="shared" si="28"/>
        <v>43008.56555816024</v>
      </c>
    </row>
    <row r="74" spans="1:11" x14ac:dyDescent="0.25">
      <c r="A74" s="89">
        <v>2024</v>
      </c>
      <c r="B74" s="136">
        <f>[6]REKAPITULASI!B45</f>
        <v>3.912263674475E-2</v>
      </c>
      <c r="C74" s="120">
        <f t="shared" si="22"/>
        <v>0.82157537163975003</v>
      </c>
      <c r="D74" s="136">
        <f>[6]REKAPITULASI!D45</f>
        <v>9.0283007872500002E-4</v>
      </c>
      <c r="E74" s="120">
        <f t="shared" si="23"/>
        <v>0.27987732440474999</v>
      </c>
      <c r="F74" s="169">
        <f t="shared" si="24"/>
        <v>1.1014526960444999</v>
      </c>
      <c r="H74" s="89">
        <v>2024</v>
      </c>
      <c r="I74" s="142">
        <f t="shared" si="27"/>
        <v>44.525510978018936</v>
      </c>
      <c r="J74" s="167">
        <f t="shared" si="28"/>
        <v>44525.510978018938</v>
      </c>
    </row>
    <row r="75" spans="1:11" x14ac:dyDescent="0.25">
      <c r="A75" s="89">
        <v>2025</v>
      </c>
      <c r="B75" s="136">
        <f>[6]REKAPITULASI!B46</f>
        <v>4.0279545894900008E-2</v>
      </c>
      <c r="C75" s="120">
        <f t="shared" si="22"/>
        <v>0.84587046379290021</v>
      </c>
      <c r="D75" s="136">
        <f>[6]REKAPITULASI!D46</f>
        <v>9.2952798219000021E-4</v>
      </c>
      <c r="E75" s="120">
        <f t="shared" si="23"/>
        <v>0.28815367447890006</v>
      </c>
      <c r="F75" s="169">
        <f t="shared" si="24"/>
        <v>1.1340241382718004</v>
      </c>
      <c r="H75" s="89">
        <v>2025</v>
      </c>
      <c r="I75" s="142">
        <f t="shared" si="27"/>
        <v>46.052721656168245</v>
      </c>
      <c r="J75" s="167">
        <f t="shared" si="28"/>
        <v>46052.721656168243</v>
      </c>
    </row>
    <row r="76" spans="1:11" x14ac:dyDescent="0.25">
      <c r="A76" s="89">
        <v>2026</v>
      </c>
      <c r="B76" s="136">
        <f>[6]REKAPITULASI!B47</f>
        <v>4.1436455045049995E-2</v>
      </c>
      <c r="C76" s="120">
        <f t="shared" si="22"/>
        <v>0.87016555594604994</v>
      </c>
      <c r="D76" s="136">
        <f>[6]REKAPITULASI!D47</f>
        <v>9.5622588565499997E-4</v>
      </c>
      <c r="E76" s="120">
        <f t="shared" si="23"/>
        <v>0.29643002455305001</v>
      </c>
      <c r="F76" s="169">
        <f t="shared" si="24"/>
        <v>1.1665955804990999</v>
      </c>
      <c r="H76" s="89">
        <v>2026</v>
      </c>
      <c r="I76" s="142">
        <f t="shared" si="27"/>
        <v>47.587537653866676</v>
      </c>
      <c r="J76" s="167">
        <f t="shared" si="28"/>
        <v>47587.537653866675</v>
      </c>
    </row>
    <row r="77" spans="1:11" x14ac:dyDescent="0.25">
      <c r="A77" s="89">
        <v>2027</v>
      </c>
      <c r="B77" s="136">
        <f>[6]REKAPITULASI!B48</f>
        <v>4.259336419519999E-2</v>
      </c>
      <c r="C77" s="120">
        <f t="shared" si="22"/>
        <v>0.89446064809919978</v>
      </c>
      <c r="D77" s="136">
        <f>[6]REKAPITULASI!D48</f>
        <v>9.8292378911999973E-4</v>
      </c>
      <c r="E77" s="120">
        <f t="shared" si="23"/>
        <v>0.30470637462719991</v>
      </c>
      <c r="F77" s="169">
        <f t="shared" si="24"/>
        <v>1.1991670227263997</v>
      </c>
      <c r="H77" s="89">
        <v>2027</v>
      </c>
      <c r="I77" s="142">
        <f t="shared" si="27"/>
        <v>49.128104970927311</v>
      </c>
      <c r="J77" s="167">
        <f t="shared" si="28"/>
        <v>49128.104970927314</v>
      </c>
    </row>
    <row r="78" spans="1:11" x14ac:dyDescent="0.25">
      <c r="A78" s="89">
        <v>2028</v>
      </c>
      <c r="B78" s="136">
        <f>[6]REKAPITULASI!B49</f>
        <v>4.3750273345350005E-2</v>
      </c>
      <c r="C78" s="120">
        <f t="shared" si="22"/>
        <v>0.91875574025235007</v>
      </c>
      <c r="D78" s="136">
        <f>[6]REKAPITULASI!D49</f>
        <v>1.009621692585E-3</v>
      </c>
      <c r="E78" s="120">
        <f t="shared" si="23"/>
        <v>0.31298272470135002</v>
      </c>
      <c r="F78" s="169">
        <f t="shared" si="24"/>
        <v>1.2317384649537</v>
      </c>
      <c r="H78" s="89">
        <v>2028</v>
      </c>
      <c r="I78" s="142">
        <f t="shared" si="27"/>
        <v>50.673118086106292</v>
      </c>
      <c r="J78" s="167">
        <f t="shared" si="28"/>
        <v>50673.118086106289</v>
      </c>
    </row>
    <row r="79" spans="1:11" x14ac:dyDescent="0.25">
      <c r="A79" s="89">
        <v>2029</v>
      </c>
      <c r="B79" s="136">
        <f>[6]REKAPITULASI!B50</f>
        <v>4.4907182495500006E-2</v>
      </c>
      <c r="C79" s="120">
        <f t="shared" si="22"/>
        <v>0.94305083240550014</v>
      </c>
      <c r="D79" s="136">
        <f>[6]REKAPITULASI!D50</f>
        <v>1.0363195960499999E-3</v>
      </c>
      <c r="E79" s="120">
        <f t="shared" si="23"/>
        <v>0.32125907477549998</v>
      </c>
      <c r="F79" s="169">
        <f t="shared" si="24"/>
        <v>1.264309907181</v>
      </c>
      <c r="H79" s="89">
        <v>2029</v>
      </c>
      <c r="I79" s="142">
        <f t="shared" si="27"/>
        <v>52.221646281308885</v>
      </c>
      <c r="J79" s="167">
        <f t="shared" si="28"/>
        <v>52221.646281308887</v>
      </c>
    </row>
    <row r="80" spans="1:11" x14ac:dyDescent="0.25">
      <c r="A80" s="89">
        <v>2030</v>
      </c>
      <c r="B80" s="136">
        <f>[6]REKAPITULASI!B51</f>
        <v>4.6064091645650007E-2</v>
      </c>
      <c r="C80" s="120">
        <f t="shared" si="22"/>
        <v>0.96734592455865021</v>
      </c>
      <c r="D80" s="136">
        <f>[6]REKAPITULASI!D51</f>
        <v>1.063017499515E-3</v>
      </c>
      <c r="E80" s="120">
        <f t="shared" si="23"/>
        <v>0.32953542484964998</v>
      </c>
      <c r="F80" s="169">
        <f t="shared" si="24"/>
        <v>1.2968813494083002</v>
      </c>
      <c r="H80" s="89">
        <v>2030</v>
      </c>
      <c r="I80" s="142">
        <f t="shared" si="27"/>
        <v>53.77301628597256</v>
      </c>
      <c r="J80" s="167">
        <f t="shared" si="28"/>
        <v>53773.016285972561</v>
      </c>
      <c r="K80" s="179">
        <f>(J80-J61)/J80</f>
        <v>0.53755638535201078</v>
      </c>
    </row>
    <row r="81" spans="1:10" x14ac:dyDescent="0.25">
      <c r="A81" s="89">
        <v>2031</v>
      </c>
      <c r="B81" s="119"/>
      <c r="C81" s="120">
        <f t="shared" si="22"/>
        <v>0</v>
      </c>
      <c r="D81" s="119"/>
      <c r="E81" s="120">
        <f t="shared" si="23"/>
        <v>0</v>
      </c>
      <c r="F81" s="121">
        <f t="shared" si="24"/>
        <v>0</v>
      </c>
      <c r="H81" s="89">
        <v>2031</v>
      </c>
      <c r="I81" s="142">
        <f t="shared" si="27"/>
        <v>0</v>
      </c>
      <c r="J81" s="143">
        <f t="shared" si="28"/>
        <v>0</v>
      </c>
    </row>
    <row r="84" spans="1:10" x14ac:dyDescent="0.25">
      <c r="A84" s="122"/>
      <c r="B84" s="100"/>
      <c r="C84" s="101"/>
      <c r="D84" s="100"/>
      <c r="E84" s="101"/>
      <c r="F84" s="101"/>
    </row>
    <row r="85" spans="1:10" ht="15.75" thickBot="1" x14ac:dyDescent="0.3">
      <c r="A85" s="123" t="s">
        <v>143</v>
      </c>
      <c r="B85" s="101"/>
      <c r="C85" s="100"/>
      <c r="D85" s="101"/>
      <c r="G85" s="96">
        <v>1000</v>
      </c>
    </row>
    <row r="86" spans="1:10" ht="18.75" thickBot="1" x14ac:dyDescent="0.3">
      <c r="A86" s="195" t="s">
        <v>11</v>
      </c>
      <c r="B86" s="197" t="s">
        <v>136</v>
      </c>
      <c r="C86" s="198"/>
      <c r="D86" s="190" t="s">
        <v>137</v>
      </c>
      <c r="E86" s="191"/>
      <c r="F86" s="193" t="s">
        <v>95</v>
      </c>
      <c r="G86" s="194"/>
    </row>
    <row r="87" spans="1:10" ht="36.75" thickBot="1" x14ac:dyDescent="0.3">
      <c r="A87" s="196"/>
      <c r="B87" s="124" t="s">
        <v>138</v>
      </c>
      <c r="C87" s="124" t="s">
        <v>139</v>
      </c>
      <c r="D87" s="125" t="s">
        <v>140</v>
      </c>
      <c r="E87" s="125" t="s">
        <v>141</v>
      </c>
      <c r="F87" s="126" t="s">
        <v>142</v>
      </c>
      <c r="G87" s="126" t="s">
        <v>146</v>
      </c>
    </row>
    <row r="88" spans="1:10" ht="15.75" thickBot="1" x14ac:dyDescent="0.3">
      <c r="A88" s="196"/>
      <c r="B88" s="199" t="s">
        <v>101</v>
      </c>
      <c r="C88" s="127" t="s">
        <v>102</v>
      </c>
      <c r="D88" s="128" t="s">
        <v>103</v>
      </c>
      <c r="E88" s="129" t="s">
        <v>104</v>
      </c>
      <c r="F88" s="130" t="s">
        <v>105</v>
      </c>
      <c r="G88" s="130" t="s">
        <v>105</v>
      </c>
    </row>
    <row r="89" spans="1:10" x14ac:dyDescent="0.25">
      <c r="A89" s="196"/>
      <c r="B89" s="200"/>
      <c r="C89" s="131" t="s">
        <v>106</v>
      </c>
      <c r="D89" s="132"/>
      <c r="E89" s="133" t="s">
        <v>107</v>
      </c>
      <c r="F89" s="134" t="s">
        <v>108</v>
      </c>
      <c r="G89" s="134" t="s">
        <v>108</v>
      </c>
    </row>
    <row r="90" spans="1:10" x14ac:dyDescent="0.25">
      <c r="A90" s="89">
        <v>2011</v>
      </c>
      <c r="B90" s="137">
        <f>[6]REKAPITULASI!B59</f>
        <v>0.28142080349999998</v>
      </c>
      <c r="C90" s="140">
        <f>B90*21</f>
        <v>5.9098368734999998</v>
      </c>
      <c r="D90" s="139">
        <f>[6]REKAPITULASI!D59</f>
        <v>9.564120892857143E-3</v>
      </c>
      <c r="E90" s="135">
        <f>D90*310</f>
        <v>2.9648774767857144</v>
      </c>
      <c r="F90" s="138">
        <f>C90+E90</f>
        <v>8.8747143502857142</v>
      </c>
      <c r="G90" s="168">
        <f>F90*$G$85</f>
        <v>8874.7143502857143</v>
      </c>
    </row>
    <row r="91" spans="1:10" x14ac:dyDescent="0.25">
      <c r="A91" s="89">
        <v>2012</v>
      </c>
      <c r="B91" s="137">
        <f>[6]REKAPITULASI!B60</f>
        <v>0.29418620785440003</v>
      </c>
      <c r="C91" s="140">
        <f t="shared" ref="C91:C110" si="29">B91*21</f>
        <v>6.1779103649424005</v>
      </c>
      <c r="D91" s="139">
        <f>[6]REKAPITULASI!D60</f>
        <v>9.63775578857143E-3</v>
      </c>
      <c r="E91" s="135">
        <f t="shared" ref="E91:E110" si="30">D91*310</f>
        <v>2.9877042944571435</v>
      </c>
      <c r="F91" s="138">
        <f t="shared" ref="F91:F110" si="31">C91+E91</f>
        <v>9.1656146593995445</v>
      </c>
      <c r="G91" s="168">
        <f t="shared" ref="G91:G109" si="32">F91*$G$85</f>
        <v>9165.6146593995436</v>
      </c>
    </row>
    <row r="92" spans="1:10" x14ac:dyDescent="0.25">
      <c r="A92" s="89">
        <v>2013</v>
      </c>
      <c r="B92" s="137">
        <f>[6]REKAPITULASI!B61</f>
        <v>0.30737263340160004</v>
      </c>
      <c r="C92" s="140">
        <f t="shared" si="29"/>
        <v>6.4548253014336012</v>
      </c>
      <c r="D92" s="139">
        <f>[6]REKAPITULASI!D61</f>
        <v>9.9273522102857146E-3</v>
      </c>
      <c r="E92" s="135">
        <f t="shared" si="30"/>
        <v>3.0774791851885714</v>
      </c>
      <c r="F92" s="138">
        <f t="shared" si="31"/>
        <v>9.5323044866221736</v>
      </c>
      <c r="G92" s="168">
        <f t="shared" si="32"/>
        <v>9532.3044866221735</v>
      </c>
    </row>
    <row r="93" spans="1:10" x14ac:dyDescent="0.25">
      <c r="A93" s="89">
        <v>2014</v>
      </c>
      <c r="B93" s="137">
        <f>[6]REKAPITULASI!B62</f>
        <v>0.32070114054239995</v>
      </c>
      <c r="C93" s="140">
        <f t="shared" si="29"/>
        <v>6.7347239513903991</v>
      </c>
      <c r="D93" s="139">
        <f>[6]REKAPITULASI!D62</f>
        <v>1.0587767144952383E-2</v>
      </c>
      <c r="E93" s="135">
        <f t="shared" si="30"/>
        <v>3.2822078149352389</v>
      </c>
      <c r="F93" s="138">
        <f t="shared" si="31"/>
        <v>10.016931766325637</v>
      </c>
      <c r="G93" s="168">
        <f t="shared" si="32"/>
        <v>10016.931766325637</v>
      </c>
    </row>
    <row r="94" spans="1:10" x14ac:dyDescent="0.25">
      <c r="A94" s="89">
        <v>2015</v>
      </c>
      <c r="B94" s="137">
        <f>[6]REKAPITULASI!B63</f>
        <v>0.33442977452400002</v>
      </c>
      <c r="C94" s="140">
        <f t="shared" si="29"/>
        <v>7.0230252650040006</v>
      </c>
      <c r="D94" s="139">
        <f>[6]REKAPITULASI!D63</f>
        <v>1.1041010247142859E-2</v>
      </c>
      <c r="E94" s="135">
        <f t="shared" si="30"/>
        <v>3.4227131766142862</v>
      </c>
      <c r="F94" s="138">
        <f t="shared" si="31"/>
        <v>10.445738441618287</v>
      </c>
      <c r="G94" s="168">
        <f t="shared" si="32"/>
        <v>10445.738441618287</v>
      </c>
    </row>
    <row r="95" spans="1:10" x14ac:dyDescent="0.25">
      <c r="A95" s="89">
        <v>2016</v>
      </c>
      <c r="B95" s="137">
        <f>[6]REKAPITULASI!B64</f>
        <v>0.34850838890159996</v>
      </c>
      <c r="C95" s="140">
        <f t="shared" si="29"/>
        <v>7.3186761669335993</v>
      </c>
      <c r="D95" s="139">
        <f>[6]REKAPITULASI!D64</f>
        <v>1.1505807754571429E-2</v>
      </c>
      <c r="E95" s="135">
        <f t="shared" si="30"/>
        <v>3.566800403917143</v>
      </c>
      <c r="F95" s="138">
        <f t="shared" si="31"/>
        <v>10.885476570850741</v>
      </c>
      <c r="G95" s="168">
        <f t="shared" si="32"/>
        <v>10885.476570850742</v>
      </c>
    </row>
    <row r="96" spans="1:10" x14ac:dyDescent="0.25">
      <c r="A96" s="89">
        <v>2017</v>
      </c>
      <c r="B96" s="137">
        <f>[6]REKAPITULASI!B65</f>
        <v>0.35011203041759997</v>
      </c>
      <c r="C96" s="140">
        <f t="shared" si="29"/>
        <v>7.3523526387695997</v>
      </c>
      <c r="D96" s="139">
        <f>[6]REKAPITULASI!D65</f>
        <v>1.1558751074095239E-2</v>
      </c>
      <c r="E96" s="135">
        <f t="shared" si="30"/>
        <v>3.5832128329695241</v>
      </c>
      <c r="F96" s="138">
        <f t="shared" si="31"/>
        <v>10.935565471739125</v>
      </c>
      <c r="G96" s="168">
        <f t="shared" si="32"/>
        <v>10935.565471739124</v>
      </c>
    </row>
    <row r="97" spans="1:7" x14ac:dyDescent="0.25">
      <c r="A97" s="89">
        <v>2018</v>
      </c>
      <c r="B97" s="137">
        <f>[6]REKAPITULASI!B66</f>
        <v>0.36316786626480002</v>
      </c>
      <c r="C97" s="140">
        <f t="shared" si="29"/>
        <v>7.6265251915608001</v>
      </c>
      <c r="D97" s="139">
        <f>[6]REKAPITULASI!D66</f>
        <v>1.1989782125619049E-2</v>
      </c>
      <c r="E97" s="135">
        <f t="shared" si="30"/>
        <v>3.7168324589419051</v>
      </c>
      <c r="F97" s="138">
        <f t="shared" si="31"/>
        <v>11.343357650502705</v>
      </c>
      <c r="G97" s="168">
        <f t="shared" si="32"/>
        <v>11343.357650502705</v>
      </c>
    </row>
    <row r="98" spans="1:7" x14ac:dyDescent="0.25">
      <c r="A98" s="89">
        <v>2019</v>
      </c>
      <c r="B98" s="137">
        <f>[6]REKAPITULASI!B67</f>
        <v>0.37622370211200001</v>
      </c>
      <c r="C98" s="140">
        <f t="shared" si="29"/>
        <v>7.9006977443520006</v>
      </c>
      <c r="D98" s="139">
        <f>[6]REKAPITULASI!D67</f>
        <v>1.2420813177142859E-2</v>
      </c>
      <c r="E98" s="135">
        <f t="shared" si="30"/>
        <v>3.850452084914286</v>
      </c>
      <c r="F98" s="138">
        <f t="shared" si="31"/>
        <v>11.751149829266286</v>
      </c>
      <c r="G98" s="168">
        <f t="shared" si="32"/>
        <v>11751.149829266285</v>
      </c>
    </row>
    <row r="99" spans="1:7" x14ac:dyDescent="0.25">
      <c r="A99" s="89">
        <v>2020</v>
      </c>
      <c r="B99" s="137">
        <f>[6]REKAPITULASI!B68</f>
        <v>0.38927953795919995</v>
      </c>
      <c r="C99" s="140">
        <f t="shared" si="29"/>
        <v>8.1748702971431992</v>
      </c>
      <c r="D99" s="139">
        <f>[6]REKAPITULASI!D68</f>
        <v>1.2851844228666672E-2</v>
      </c>
      <c r="E99" s="135">
        <f t="shared" si="30"/>
        <v>3.9840717108866683</v>
      </c>
      <c r="F99" s="138">
        <f t="shared" si="31"/>
        <v>12.158942008029868</v>
      </c>
      <c r="G99" s="168">
        <f t="shared" si="32"/>
        <v>12158.942008029868</v>
      </c>
    </row>
    <row r="100" spans="1:7" x14ac:dyDescent="0.25">
      <c r="A100" s="89">
        <v>2021</v>
      </c>
      <c r="B100" s="137">
        <f>[6]REKAPITULASI!B69</f>
        <v>0.4023353738064</v>
      </c>
      <c r="C100" s="140">
        <f t="shared" si="29"/>
        <v>8.4490428499344006</v>
      </c>
      <c r="D100" s="139">
        <f>[6]REKAPITULASI!D69</f>
        <v>1.328287528019048E-2</v>
      </c>
      <c r="E100" s="135">
        <f t="shared" si="30"/>
        <v>4.1176913368590489</v>
      </c>
      <c r="F100" s="138">
        <f t="shared" si="31"/>
        <v>12.56673418679345</v>
      </c>
      <c r="G100" s="168">
        <f t="shared" si="32"/>
        <v>12566.73418679345</v>
      </c>
    </row>
    <row r="101" spans="1:7" x14ac:dyDescent="0.25">
      <c r="A101" s="89">
        <v>2022</v>
      </c>
      <c r="B101" s="137">
        <f>[6]REKAPITULASI!B70</f>
        <v>0.41539120965359999</v>
      </c>
      <c r="C101" s="140">
        <f t="shared" si="29"/>
        <v>8.7232154027256001</v>
      </c>
      <c r="D101" s="139">
        <f>[6]REKAPITULASI!D70</f>
        <v>1.3713906331714288E-2</v>
      </c>
      <c r="E101" s="135">
        <f t="shared" si="30"/>
        <v>4.251310962831429</v>
      </c>
      <c r="F101" s="138">
        <f t="shared" si="31"/>
        <v>12.974526365557029</v>
      </c>
      <c r="G101" s="168">
        <f t="shared" si="32"/>
        <v>12974.526365557029</v>
      </c>
    </row>
    <row r="102" spans="1:7" x14ac:dyDescent="0.25">
      <c r="A102" s="89">
        <v>2023</v>
      </c>
      <c r="B102" s="137">
        <f>[6]REKAPITULASI!B71</f>
        <v>0.42844704550079998</v>
      </c>
      <c r="C102" s="140">
        <f t="shared" si="29"/>
        <v>8.9973879555167997</v>
      </c>
      <c r="D102" s="139">
        <f>[6]REKAPITULASI!D71</f>
        <v>1.4144937383238096E-2</v>
      </c>
      <c r="E102" s="135">
        <f t="shared" si="30"/>
        <v>4.3849305888038099</v>
      </c>
      <c r="F102" s="138">
        <f t="shared" si="31"/>
        <v>13.38231854432061</v>
      </c>
      <c r="G102" s="168">
        <f t="shared" si="32"/>
        <v>13382.318544320609</v>
      </c>
    </row>
    <row r="103" spans="1:7" x14ac:dyDescent="0.25">
      <c r="A103" s="89">
        <v>2024</v>
      </c>
      <c r="B103" s="137">
        <f>[6]REKAPITULASI!B72</f>
        <v>0.44150288134800009</v>
      </c>
      <c r="C103" s="140">
        <f t="shared" si="29"/>
        <v>9.271560508308001</v>
      </c>
      <c r="D103" s="139">
        <f>[6]REKAPITULASI!D72</f>
        <v>1.4575968434761909E-2</v>
      </c>
      <c r="E103" s="135">
        <f t="shared" si="30"/>
        <v>4.5185502147761918</v>
      </c>
      <c r="F103" s="138">
        <f t="shared" si="31"/>
        <v>13.790110723084194</v>
      </c>
      <c r="G103" s="168">
        <f t="shared" si="32"/>
        <v>13790.110723084194</v>
      </c>
    </row>
    <row r="104" spans="1:7" x14ac:dyDescent="0.25">
      <c r="A104" s="89">
        <v>2025</v>
      </c>
      <c r="B104" s="137">
        <f>[6]REKAPITULASI!B73</f>
        <v>0.45455871719520002</v>
      </c>
      <c r="C104" s="140">
        <f t="shared" si="29"/>
        <v>9.5457330610992006</v>
      </c>
      <c r="D104" s="139">
        <f>[6]REKAPITULASI!D73</f>
        <v>1.5006999486285717E-2</v>
      </c>
      <c r="E104" s="135">
        <f t="shared" si="30"/>
        <v>4.6521698407485719</v>
      </c>
      <c r="F104" s="138">
        <f t="shared" si="31"/>
        <v>14.197902901847772</v>
      </c>
      <c r="G104" s="168">
        <f t="shared" si="32"/>
        <v>14197.902901847772</v>
      </c>
    </row>
    <row r="105" spans="1:7" x14ac:dyDescent="0.25">
      <c r="A105" s="89">
        <v>2026</v>
      </c>
      <c r="B105" s="137">
        <f>[6]REKAPITULASI!B74</f>
        <v>0.46761455304240002</v>
      </c>
      <c r="C105" s="140">
        <f t="shared" si="29"/>
        <v>9.8199056138904002</v>
      </c>
      <c r="D105" s="139">
        <f>[6]REKAPITULASI!D74</f>
        <v>1.5438030537809528E-2</v>
      </c>
      <c r="E105" s="135">
        <f t="shared" si="30"/>
        <v>4.7857894667209537</v>
      </c>
      <c r="F105" s="138">
        <f t="shared" si="31"/>
        <v>14.605695080611355</v>
      </c>
      <c r="G105" s="168">
        <f t="shared" si="32"/>
        <v>14605.695080611355</v>
      </c>
    </row>
    <row r="106" spans="1:7" x14ac:dyDescent="0.25">
      <c r="A106" s="89">
        <v>2027</v>
      </c>
      <c r="B106" s="137">
        <f>[6]REKAPITULASI!B75</f>
        <v>0.48067038888960006</v>
      </c>
      <c r="C106" s="140">
        <f t="shared" si="29"/>
        <v>10.094078166681602</v>
      </c>
      <c r="D106" s="139">
        <f>[6]REKAPITULASI!D75</f>
        <v>1.5869061589333336E-2</v>
      </c>
      <c r="E106" s="135">
        <f t="shared" si="30"/>
        <v>4.9194090926933338</v>
      </c>
      <c r="F106" s="138">
        <f t="shared" si="31"/>
        <v>15.013487259374935</v>
      </c>
      <c r="G106" s="168">
        <f t="shared" si="32"/>
        <v>15013.487259374935</v>
      </c>
    </row>
    <row r="107" spans="1:7" x14ac:dyDescent="0.25">
      <c r="A107" s="89">
        <v>2028</v>
      </c>
      <c r="B107" s="137">
        <f>[6]REKAPITULASI!B76</f>
        <v>0.4937262247368</v>
      </c>
      <c r="C107" s="140">
        <f t="shared" si="29"/>
        <v>10.368250719472799</v>
      </c>
      <c r="D107" s="139">
        <f>[6]REKAPITULASI!D76</f>
        <v>1.6300092640857144E-2</v>
      </c>
      <c r="E107" s="135">
        <f t="shared" si="30"/>
        <v>5.0530287186657148</v>
      </c>
      <c r="F107" s="138">
        <f t="shared" si="31"/>
        <v>15.421279438138514</v>
      </c>
      <c r="G107" s="168">
        <f t="shared" si="32"/>
        <v>15421.279438138514</v>
      </c>
    </row>
    <row r="108" spans="1:7" x14ac:dyDescent="0.25">
      <c r="A108" s="89">
        <v>2029</v>
      </c>
      <c r="B108" s="137">
        <f>[6]REKAPITULASI!B77</f>
        <v>0.50678206058399999</v>
      </c>
      <c r="C108" s="140">
        <f t="shared" si="29"/>
        <v>10.642423272264001</v>
      </c>
      <c r="D108" s="139">
        <f>[6]REKAPITULASI!D77</f>
        <v>1.6731123692380952E-2</v>
      </c>
      <c r="E108" s="135">
        <f t="shared" si="30"/>
        <v>5.1866483446380949</v>
      </c>
      <c r="F108" s="138">
        <f t="shared" si="31"/>
        <v>15.829071616902095</v>
      </c>
      <c r="G108" s="168">
        <f t="shared" si="32"/>
        <v>15829.071616902094</v>
      </c>
    </row>
    <row r="109" spans="1:7" x14ac:dyDescent="0.25">
      <c r="A109" s="89">
        <v>2030</v>
      </c>
      <c r="B109" s="137">
        <f>[6]REKAPITULASI!B78</f>
        <v>0.51983789643120004</v>
      </c>
      <c r="C109" s="140">
        <f t="shared" si="29"/>
        <v>10.9165958250552</v>
      </c>
      <c r="D109" s="139">
        <f>[6]REKAPITULASI!D78</f>
        <v>1.7162154743904763E-2</v>
      </c>
      <c r="E109" s="135">
        <f t="shared" si="30"/>
        <v>5.3202679706104767</v>
      </c>
      <c r="F109" s="138">
        <f t="shared" si="31"/>
        <v>16.236863795665677</v>
      </c>
      <c r="G109" s="168">
        <f t="shared" si="32"/>
        <v>16236.863795665677</v>
      </c>
    </row>
    <row r="110" spans="1:7" x14ac:dyDescent="0.25">
      <c r="A110" s="89">
        <v>2031</v>
      </c>
      <c r="B110" s="137"/>
      <c r="C110" s="140">
        <f t="shared" si="29"/>
        <v>0</v>
      </c>
      <c r="D110" s="139"/>
      <c r="E110" s="135">
        <f t="shared" si="30"/>
        <v>0</v>
      </c>
      <c r="F110" s="138">
        <f t="shared" si="31"/>
        <v>0</v>
      </c>
      <c r="G110" s="99"/>
    </row>
  </sheetData>
  <mergeCells count="32"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  <mergeCell ref="A6:A8"/>
    <mergeCell ref="B7:C7"/>
    <mergeCell ref="A58:A60"/>
    <mergeCell ref="B58:F58"/>
    <mergeCell ref="B59:C59"/>
    <mergeCell ref="D59:E59"/>
    <mergeCell ref="D7:D8"/>
    <mergeCell ref="B6:D6"/>
    <mergeCell ref="A32:A34"/>
    <mergeCell ref="B32:F32"/>
    <mergeCell ref="B33:C33"/>
    <mergeCell ref="D33:E33"/>
    <mergeCell ref="F33:F34"/>
    <mergeCell ref="D86:E86"/>
    <mergeCell ref="H59:H60"/>
    <mergeCell ref="I59:J59"/>
    <mergeCell ref="F86:G86"/>
    <mergeCell ref="A86:A89"/>
    <mergeCell ref="B86:C86"/>
    <mergeCell ref="B88:B8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8"/>
  <sheetViews>
    <sheetView tabSelected="1" topLeftCell="A6" zoomScale="85" zoomScaleNormal="85" workbookViewId="0">
      <selection activeCell="D9" sqref="D9"/>
    </sheetView>
  </sheetViews>
  <sheetFormatPr defaultRowHeight="15" x14ac:dyDescent="0.25"/>
  <cols>
    <col min="1" max="1" width="24" customWidth="1"/>
    <col min="2" max="2" width="23.28515625" bestFit="1" customWidth="1"/>
    <col min="3" max="3" width="21.42578125" bestFit="1" customWidth="1"/>
    <col min="4" max="4" width="20" bestFit="1" customWidth="1"/>
    <col min="5" max="5" width="19" bestFit="1" customWidth="1"/>
    <col min="6" max="6" width="9" bestFit="1" customWidth="1"/>
    <col min="11" max="21" width="10.5703125" bestFit="1" customWidth="1"/>
    <col min="22" max="22" width="11.5703125" bestFit="1" customWidth="1"/>
  </cols>
  <sheetData>
    <row r="2" spans="1:22" x14ac:dyDescent="0.25">
      <c r="B2" s="173">
        <v>2011</v>
      </c>
      <c r="C2" s="173">
        <v>2012</v>
      </c>
      <c r="D2" s="173">
        <v>2013</v>
      </c>
      <c r="E2" s="173">
        <v>2014</v>
      </c>
      <c r="F2" s="173">
        <v>2015</v>
      </c>
      <c r="G2" s="173">
        <v>2016</v>
      </c>
      <c r="H2" s="173">
        <v>2017</v>
      </c>
      <c r="I2" s="173">
        <v>2018</v>
      </c>
      <c r="J2" s="173">
        <v>2019</v>
      </c>
      <c r="K2" s="173">
        <v>2020</v>
      </c>
      <c r="L2" s="173">
        <v>2021</v>
      </c>
      <c r="M2" s="173">
        <v>2022</v>
      </c>
      <c r="N2" s="173">
        <v>2023</v>
      </c>
      <c r="O2" s="173">
        <v>2024</v>
      </c>
      <c r="P2" s="173">
        <v>2025</v>
      </c>
      <c r="Q2" s="173">
        <v>2026</v>
      </c>
      <c r="R2" s="173">
        <v>2027</v>
      </c>
      <c r="S2" s="173">
        <v>2028</v>
      </c>
      <c r="T2" s="173">
        <v>2029</v>
      </c>
      <c r="U2" s="173">
        <v>2030</v>
      </c>
    </row>
    <row r="3" spans="1:22" x14ac:dyDescent="0.25">
      <c r="A3" t="s">
        <v>153</v>
      </c>
      <c r="B3" s="174">
        <f>'Rekapitulasi BaU Emisi GRK'!J61</f>
        <v>24866.988021810343</v>
      </c>
      <c r="C3" s="174">
        <f>'Rekapitulasi BaU Emisi GRK'!$J62</f>
        <v>26518.4202727593</v>
      </c>
      <c r="D3" s="174">
        <f>'Rekapitulasi BaU Emisi GRK'!$J63</f>
        <v>28132.976018330268</v>
      </c>
      <c r="E3" s="174">
        <f>'Rekapitulasi BaU Emisi GRK'!$J64</f>
        <v>29733.863786966296</v>
      </c>
      <c r="F3" s="174">
        <f>'Rekapitulasi BaU Emisi GRK'!$J65</f>
        <v>31330.557788443097</v>
      </c>
      <c r="G3" s="174">
        <f>'Rekapitulasi BaU Emisi GRK'!$J66</f>
        <v>32936.356678637618</v>
      </c>
      <c r="H3" s="174">
        <f>'Rekapitulasi BaU Emisi GRK'!$J67</f>
        <v>34521.432222831776</v>
      </c>
      <c r="I3" s="174">
        <f>'Rekapitulasi BaU Emisi GRK'!$J68</f>
        <v>35794.78356794743</v>
      </c>
      <c r="J3" s="174">
        <f>'Rekapitulasi BaU Emisi GRK'!$J69</f>
        <v>37152.21725359463</v>
      </c>
      <c r="K3" s="174">
        <f>'Rekapitulasi BaU Emisi GRK'!$J70</f>
        <v>38567.425940065506</v>
      </c>
      <c r="L3" s="174">
        <f>'Rekapitulasi BaU Emisi GRK'!$J71</f>
        <v>40022.618696561687</v>
      </c>
      <c r="M3" s="174">
        <f>'Rekapitulasi BaU Emisi GRK'!$J72</f>
        <v>41505.733446194485</v>
      </c>
      <c r="N3" s="174">
        <f>'Rekapitulasi BaU Emisi GRK'!$J73</f>
        <v>43008.56555816024</v>
      </c>
      <c r="O3" s="174">
        <f>'Rekapitulasi BaU Emisi GRK'!$J74</f>
        <v>44525.510978018938</v>
      </c>
      <c r="P3" s="174">
        <f>'Rekapitulasi BaU Emisi GRK'!$J75</f>
        <v>46052.721656168243</v>
      </c>
      <c r="Q3" s="174">
        <f>'Rekapitulasi BaU Emisi GRK'!$J76</f>
        <v>47587.537653866675</v>
      </c>
      <c r="R3" s="174">
        <f>'Rekapitulasi BaU Emisi GRK'!$J77</f>
        <v>49128.104970927314</v>
      </c>
      <c r="S3" s="174">
        <f>'Rekapitulasi BaU Emisi GRK'!$J78</f>
        <v>50673.118086106289</v>
      </c>
      <c r="T3" s="174">
        <f>'Rekapitulasi BaU Emisi GRK'!$J79</f>
        <v>52221.646281308887</v>
      </c>
      <c r="U3" s="174">
        <f>'Rekapitulasi BaU Emisi GRK'!$J80</f>
        <v>53773.016285972561</v>
      </c>
    </row>
    <row r="4" spans="1:22" x14ac:dyDescent="0.25">
      <c r="A4" t="s">
        <v>154</v>
      </c>
      <c r="B4" s="174">
        <f>'Rekapitulasi BaU Emisi GRK'!$G90</f>
        <v>8874.7143502857143</v>
      </c>
      <c r="C4" s="174">
        <f>'Rekapitulasi BaU Emisi GRK'!$G91</f>
        <v>9165.6146593995436</v>
      </c>
      <c r="D4" s="174">
        <f>'Rekapitulasi BaU Emisi GRK'!$G92</f>
        <v>9532.3044866221735</v>
      </c>
      <c r="E4" s="174">
        <f>'Rekapitulasi BaU Emisi GRK'!$G93</f>
        <v>10016.931766325637</v>
      </c>
      <c r="F4" s="174">
        <f>'Rekapitulasi BaU Emisi GRK'!$G94</f>
        <v>10445.738441618287</v>
      </c>
      <c r="G4" s="174">
        <f>'Rekapitulasi BaU Emisi GRK'!$G95</f>
        <v>10885.476570850742</v>
      </c>
      <c r="H4" s="174">
        <f>'Rekapitulasi BaU Emisi GRK'!$G96</f>
        <v>10935.565471739124</v>
      </c>
      <c r="I4" s="174">
        <f>'Rekapitulasi BaU Emisi GRK'!$G97</f>
        <v>11343.357650502705</v>
      </c>
      <c r="J4" s="174">
        <f>'Rekapitulasi BaU Emisi GRK'!$G98</f>
        <v>11751.149829266285</v>
      </c>
      <c r="K4" s="174">
        <f>'Rekapitulasi BaU Emisi GRK'!$G99</f>
        <v>12158.942008029868</v>
      </c>
      <c r="L4" s="174">
        <f>'Rekapitulasi BaU Emisi GRK'!$G100</f>
        <v>12566.73418679345</v>
      </c>
      <c r="M4" s="174">
        <f>'Rekapitulasi BaU Emisi GRK'!$G101</f>
        <v>12974.526365557029</v>
      </c>
      <c r="N4" s="174">
        <f>'Rekapitulasi BaU Emisi GRK'!$G102</f>
        <v>13382.318544320609</v>
      </c>
      <c r="O4" s="174">
        <f>'Rekapitulasi BaU Emisi GRK'!$G103</f>
        <v>13790.110723084194</v>
      </c>
      <c r="P4" s="174">
        <f>'Rekapitulasi BaU Emisi GRK'!$G104</f>
        <v>14197.902901847772</v>
      </c>
      <c r="Q4" s="174">
        <f>'Rekapitulasi BaU Emisi GRK'!$G105</f>
        <v>14605.695080611355</v>
      </c>
      <c r="R4" s="174">
        <f>'Rekapitulasi BaU Emisi GRK'!$G106</f>
        <v>15013.487259374935</v>
      </c>
      <c r="S4" s="174">
        <f>'Rekapitulasi BaU Emisi GRK'!$G107</f>
        <v>15421.279438138514</v>
      </c>
      <c r="T4" s="174">
        <f>'Rekapitulasi BaU Emisi GRK'!$G108</f>
        <v>15829.071616902094</v>
      </c>
      <c r="U4" s="174">
        <f>'Rekapitulasi BaU Emisi GRK'!$G109</f>
        <v>16236.863795665677</v>
      </c>
    </row>
    <row r="5" spans="1:22" x14ac:dyDescent="0.25">
      <c r="A5" t="s">
        <v>155</v>
      </c>
      <c r="B5" s="174">
        <f>'Rekap BAU Emisi Industri Sawitt'!$D5</f>
        <v>238089.47399999999</v>
      </c>
      <c r="C5" s="174">
        <f>'Rekap BAU Emisi Industri Sawitt'!$D6</f>
        <v>314814.78000000003</v>
      </c>
      <c r="D5" s="174">
        <f>'Rekap BAU Emisi Industri Sawitt'!$D7</f>
        <v>428703.408</v>
      </c>
      <c r="E5" s="174">
        <f>'Rekap BAU Emisi Industri Sawitt'!$D8</f>
        <v>655587.95400000003</v>
      </c>
      <c r="F5" s="174">
        <f>'Rekap BAU Emisi Industri Sawitt'!$D9</f>
        <v>717510.65399999998</v>
      </c>
      <c r="G5" s="174">
        <f>'Rekap BAU Emisi Industri Sawitt'!$D10</f>
        <v>640376.60400000005</v>
      </c>
      <c r="H5" s="174">
        <f>'Rekap BAU Emisi Industri Sawitt'!$D11</f>
        <v>794522.08646999998</v>
      </c>
      <c r="I5" s="174">
        <f>'Rekap BAU Emisi Industri Sawitt'!$D12</f>
        <v>901288.97510399995</v>
      </c>
      <c r="J5" s="174">
        <f>'Rekap BAU Emisi Industri Sawitt'!$D13</f>
        <v>1011713.2423019999</v>
      </c>
      <c r="K5" s="174">
        <f>'Rekap BAU Emisi Industri Sawitt'!$D14</f>
        <v>1125794.8880639998</v>
      </c>
      <c r="L5" s="174">
        <f>'Rekap BAU Emisi Industri Sawitt'!$D15</f>
        <v>1186458.70994</v>
      </c>
      <c r="M5" s="174">
        <f>'Rekap BAU Emisi Industri Sawitt'!$D16</f>
        <v>1248601.8551999999</v>
      </c>
      <c r="N5" s="174">
        <f>'Rekap BAU Emisi Industri Sawitt'!$D17</f>
        <v>1312224.3238439998</v>
      </c>
      <c r="O5" s="174">
        <f>'Rekap BAU Emisi Industri Sawitt'!$D18</f>
        <v>1377326.1158719996</v>
      </c>
      <c r="P5" s="174">
        <f>'Rekap BAU Emisi Industri Sawitt'!$D19</f>
        <v>1443907.2312839997</v>
      </c>
      <c r="Q5" s="174">
        <f>'Rekap BAU Emisi Industri Sawitt'!$D20</f>
        <v>1511967.6700800001</v>
      </c>
      <c r="R5" s="174">
        <f>'Rekap BAU Emisi Industri Sawitt'!$D21</f>
        <v>1581507.4322599997</v>
      </c>
      <c r="S5" s="174">
        <f>'Rekap BAU Emisi Industri Sawitt'!$D22</f>
        <v>1652526.517824</v>
      </c>
      <c r="T5" s="174">
        <f>'Rekap BAU Emisi Industri Sawitt'!$D23</f>
        <v>1725024.9267719996</v>
      </c>
      <c r="U5" s="174">
        <f>'Rekap BAU Emisi Industri Sawitt'!$D24</f>
        <v>1753580.5328159998</v>
      </c>
    </row>
    <row r="6" spans="1:22" x14ac:dyDescent="0.25">
      <c r="A6" t="s">
        <v>156</v>
      </c>
      <c r="B6" s="174">
        <f>SUM(B3:B5)</f>
        <v>271831.17637209606</v>
      </c>
      <c r="C6" s="174">
        <f t="shared" ref="C6:U6" si="0">SUM(C3:C5)</f>
        <v>350498.81493215886</v>
      </c>
      <c r="D6" s="174">
        <f t="shared" si="0"/>
        <v>466368.68850495241</v>
      </c>
      <c r="E6" s="174">
        <f t="shared" si="0"/>
        <v>695338.74955329194</v>
      </c>
      <c r="F6" s="174">
        <f t="shared" si="0"/>
        <v>759286.95023006131</v>
      </c>
      <c r="G6" s="174">
        <f t="shared" si="0"/>
        <v>684198.43724948843</v>
      </c>
      <c r="H6" s="174">
        <f t="shared" si="0"/>
        <v>839979.0841645709</v>
      </c>
      <c r="I6" s="174">
        <f t="shared" si="0"/>
        <v>948427.11632245011</v>
      </c>
      <c r="J6" s="174">
        <f t="shared" si="0"/>
        <v>1060616.6093848608</v>
      </c>
      <c r="K6" s="174">
        <f t="shared" si="0"/>
        <v>1176521.2560120951</v>
      </c>
      <c r="L6" s="174">
        <f t="shared" si="0"/>
        <v>1239048.0628233552</v>
      </c>
      <c r="M6" s="174">
        <f t="shared" si="0"/>
        <v>1303082.1150117514</v>
      </c>
      <c r="N6" s="174">
        <f t="shared" si="0"/>
        <v>1368615.2079464807</v>
      </c>
      <c r="O6" s="174">
        <f t="shared" si="0"/>
        <v>1435641.7375731028</v>
      </c>
      <c r="P6" s="174">
        <f t="shared" si="0"/>
        <v>1504157.8558420157</v>
      </c>
      <c r="Q6" s="174">
        <f t="shared" si="0"/>
        <v>1574160.9028144781</v>
      </c>
      <c r="R6" s="174">
        <f t="shared" si="0"/>
        <v>1645649.024490302</v>
      </c>
      <c r="S6" s="174">
        <f t="shared" si="0"/>
        <v>1718620.9153482448</v>
      </c>
      <c r="T6" s="174">
        <f t="shared" si="0"/>
        <v>1793075.6446702105</v>
      </c>
      <c r="U6" s="174">
        <f t="shared" si="0"/>
        <v>1823590.412897638</v>
      </c>
      <c r="V6" s="175">
        <f>U6-B6</f>
        <v>1551759.2365255421</v>
      </c>
    </row>
    <row r="7" spans="1:22" x14ac:dyDescent="0.25">
      <c r="B7" s="174"/>
      <c r="C7" s="174"/>
      <c r="V7" s="176">
        <f>V6/(U6+B6)</f>
        <v>0.74054750818251269</v>
      </c>
    </row>
    <row r="8" spans="1:22" x14ac:dyDescent="0.25">
      <c r="B8" s="177" t="s">
        <v>153</v>
      </c>
      <c r="C8" s="177" t="s">
        <v>154</v>
      </c>
      <c r="D8" s="177" t="s">
        <v>155</v>
      </c>
      <c r="E8" s="177" t="s">
        <v>156</v>
      </c>
    </row>
    <row r="9" spans="1:22" x14ac:dyDescent="0.25">
      <c r="A9" s="173">
        <v>2011</v>
      </c>
      <c r="B9" s="174">
        <f>'Rekapitulasi BaU Emisi GRK'!J61</f>
        <v>24866.988021810343</v>
      </c>
      <c r="C9" s="174">
        <f>'Rekapitulasi BaU Emisi GRK'!G90</f>
        <v>8874.7143502857143</v>
      </c>
      <c r="D9" s="174">
        <f>'Rekap BAU Emisi Industri Sawitt'!D5</f>
        <v>238089.47399999999</v>
      </c>
      <c r="E9" s="175">
        <f>SUM(B9:D9)</f>
        <v>271831.17637209606</v>
      </c>
    </row>
    <row r="10" spans="1:22" x14ac:dyDescent="0.25">
      <c r="A10" s="173">
        <v>2012</v>
      </c>
      <c r="B10" s="174">
        <f>'Rekapitulasi BaU Emisi GRK'!J62</f>
        <v>26518.4202727593</v>
      </c>
      <c r="C10" s="174">
        <f>'Rekapitulasi BaU Emisi GRK'!G91</f>
        <v>9165.6146593995436</v>
      </c>
      <c r="D10" s="174">
        <f>'Rekap BAU Emisi Industri Sawitt'!D6</f>
        <v>314814.78000000003</v>
      </c>
      <c r="E10" s="175">
        <f t="shared" ref="E10:E28" si="1">SUM(B10:D10)</f>
        <v>350498.81493215886</v>
      </c>
    </row>
    <row r="11" spans="1:22" x14ac:dyDescent="0.25">
      <c r="A11" s="173">
        <v>2013</v>
      </c>
      <c r="B11" s="174">
        <f>'Rekapitulasi BaU Emisi GRK'!J63</f>
        <v>28132.976018330268</v>
      </c>
      <c r="C11" s="174">
        <f>'Rekapitulasi BaU Emisi GRK'!G92</f>
        <v>9532.3044866221735</v>
      </c>
      <c r="D11" s="174">
        <f>'Rekap BAU Emisi Industri Sawitt'!D7</f>
        <v>428703.408</v>
      </c>
      <c r="E11" s="175">
        <f t="shared" si="1"/>
        <v>466368.68850495241</v>
      </c>
    </row>
    <row r="12" spans="1:22" x14ac:dyDescent="0.25">
      <c r="A12" s="173">
        <v>2014</v>
      </c>
      <c r="B12" s="174">
        <f>'Rekapitulasi BaU Emisi GRK'!J64</f>
        <v>29733.863786966296</v>
      </c>
      <c r="C12" s="174">
        <f>'Rekapitulasi BaU Emisi GRK'!G93</f>
        <v>10016.931766325637</v>
      </c>
      <c r="D12" s="174">
        <f>'Rekap BAU Emisi Industri Sawitt'!D8</f>
        <v>655587.95400000003</v>
      </c>
      <c r="E12" s="175">
        <f t="shared" si="1"/>
        <v>695338.74955329194</v>
      </c>
    </row>
    <row r="13" spans="1:22" x14ac:dyDescent="0.25">
      <c r="A13" s="173">
        <v>2015</v>
      </c>
      <c r="B13" s="174">
        <f>'Rekapitulasi BaU Emisi GRK'!J65</f>
        <v>31330.557788443097</v>
      </c>
      <c r="C13" s="174">
        <f>'Rekapitulasi BaU Emisi GRK'!G94</f>
        <v>10445.738441618287</v>
      </c>
      <c r="D13" s="174">
        <f>'Rekap BAU Emisi Industri Sawitt'!D9</f>
        <v>717510.65399999998</v>
      </c>
      <c r="E13" s="175">
        <f t="shared" si="1"/>
        <v>759286.95023006131</v>
      </c>
    </row>
    <row r="14" spans="1:22" x14ac:dyDescent="0.25">
      <c r="A14" s="173">
        <v>2016</v>
      </c>
      <c r="B14" s="174">
        <f>'Rekapitulasi BaU Emisi GRK'!J66</f>
        <v>32936.356678637618</v>
      </c>
      <c r="C14" s="174">
        <f>'Rekapitulasi BaU Emisi GRK'!G95</f>
        <v>10885.476570850742</v>
      </c>
      <c r="D14" s="174">
        <f>'Rekap BAU Emisi Industri Sawitt'!D10</f>
        <v>640376.60400000005</v>
      </c>
      <c r="E14" s="175">
        <f t="shared" si="1"/>
        <v>684198.43724948843</v>
      </c>
    </row>
    <row r="15" spans="1:22" x14ac:dyDescent="0.25">
      <c r="A15" s="173">
        <v>2017</v>
      </c>
      <c r="B15" s="174">
        <f>'Rekapitulasi BaU Emisi GRK'!J67</f>
        <v>34521.432222831776</v>
      </c>
      <c r="C15" s="174">
        <f>'Rekapitulasi BaU Emisi GRK'!G96</f>
        <v>10935.565471739124</v>
      </c>
      <c r="D15" s="174">
        <f>'Rekap BAU Emisi Industri Sawitt'!D11</f>
        <v>794522.08646999998</v>
      </c>
      <c r="E15" s="175">
        <f t="shared" si="1"/>
        <v>839979.0841645709</v>
      </c>
    </row>
    <row r="16" spans="1:22" x14ac:dyDescent="0.25">
      <c r="A16" s="173">
        <v>2018</v>
      </c>
      <c r="B16" s="174">
        <f>'Rekapitulasi BaU Emisi GRK'!J68</f>
        <v>35794.78356794743</v>
      </c>
      <c r="C16" s="174">
        <f>'Rekapitulasi BaU Emisi GRK'!G97</f>
        <v>11343.357650502705</v>
      </c>
      <c r="D16" s="174">
        <f>'Rekap BAU Emisi Industri Sawitt'!D12</f>
        <v>901288.97510399995</v>
      </c>
      <c r="E16" s="175">
        <f t="shared" si="1"/>
        <v>948427.11632245011</v>
      </c>
    </row>
    <row r="17" spans="1:6" x14ac:dyDescent="0.25">
      <c r="A17" s="173">
        <v>2019</v>
      </c>
      <c r="B17" s="174">
        <f>'Rekapitulasi BaU Emisi GRK'!J69</f>
        <v>37152.21725359463</v>
      </c>
      <c r="C17" s="174">
        <f>'Rekapitulasi BaU Emisi GRK'!G98</f>
        <v>11751.149829266285</v>
      </c>
      <c r="D17" s="174">
        <f>'Rekap BAU Emisi Industri Sawitt'!D13</f>
        <v>1011713.2423019999</v>
      </c>
      <c r="E17" s="175">
        <f t="shared" si="1"/>
        <v>1060616.6093848608</v>
      </c>
    </row>
    <row r="18" spans="1:6" x14ac:dyDescent="0.25">
      <c r="A18" s="173">
        <v>2020</v>
      </c>
      <c r="B18" s="174">
        <f>'Rekapitulasi BaU Emisi GRK'!J70</f>
        <v>38567.425940065506</v>
      </c>
      <c r="C18" s="174">
        <f>'Rekapitulasi BaU Emisi GRK'!G99</f>
        <v>12158.942008029868</v>
      </c>
      <c r="D18" s="174">
        <f>'Rekap BAU Emisi Industri Sawitt'!D14</f>
        <v>1125794.8880639998</v>
      </c>
      <c r="E18" s="175">
        <f t="shared" si="1"/>
        <v>1176521.2560120951</v>
      </c>
    </row>
    <row r="19" spans="1:6" x14ac:dyDescent="0.25">
      <c r="A19" s="173">
        <v>2021</v>
      </c>
      <c r="B19" s="174">
        <f>'Rekapitulasi BaU Emisi GRK'!J71</f>
        <v>40022.618696561687</v>
      </c>
      <c r="C19" s="174">
        <f>'Rekapitulasi BaU Emisi GRK'!G100</f>
        <v>12566.73418679345</v>
      </c>
      <c r="D19" s="174">
        <f>'Rekap BAU Emisi Industri Sawitt'!D15</f>
        <v>1186458.70994</v>
      </c>
      <c r="E19" s="175">
        <f t="shared" si="1"/>
        <v>1239048.0628233552</v>
      </c>
    </row>
    <row r="20" spans="1:6" x14ac:dyDescent="0.25">
      <c r="A20" s="173">
        <v>2022</v>
      </c>
      <c r="B20" s="174">
        <f>'Rekapitulasi BaU Emisi GRK'!J72</f>
        <v>41505.733446194485</v>
      </c>
      <c r="C20" s="174">
        <f>'Rekapitulasi BaU Emisi GRK'!G101</f>
        <v>12974.526365557029</v>
      </c>
      <c r="D20" s="174">
        <f>'Rekap BAU Emisi Industri Sawitt'!D16</f>
        <v>1248601.8551999999</v>
      </c>
      <c r="E20" s="175">
        <f t="shared" si="1"/>
        <v>1303082.1150117514</v>
      </c>
    </row>
    <row r="21" spans="1:6" x14ac:dyDescent="0.25">
      <c r="A21" s="173">
        <v>2023</v>
      </c>
      <c r="B21" s="174">
        <f>'Rekapitulasi BaU Emisi GRK'!J73</f>
        <v>43008.56555816024</v>
      </c>
      <c r="C21" s="174">
        <f>'Rekapitulasi BaU Emisi GRK'!G102</f>
        <v>13382.318544320609</v>
      </c>
      <c r="D21" s="174">
        <f>'Rekap BAU Emisi Industri Sawitt'!D17</f>
        <v>1312224.3238439998</v>
      </c>
      <c r="E21" s="175">
        <f t="shared" si="1"/>
        <v>1368615.2079464807</v>
      </c>
    </row>
    <row r="22" spans="1:6" x14ac:dyDescent="0.25">
      <c r="A22" s="173">
        <v>2024</v>
      </c>
      <c r="B22" s="174">
        <f>'Rekapitulasi BaU Emisi GRK'!J74</f>
        <v>44525.510978018938</v>
      </c>
      <c r="C22" s="174">
        <f>'Rekapitulasi BaU Emisi GRK'!G103</f>
        <v>13790.110723084194</v>
      </c>
      <c r="D22" s="174">
        <f>'Rekap BAU Emisi Industri Sawitt'!D18</f>
        <v>1377326.1158719996</v>
      </c>
      <c r="E22" s="175">
        <f t="shared" si="1"/>
        <v>1435641.7375731028</v>
      </c>
    </row>
    <row r="23" spans="1:6" x14ac:dyDescent="0.25">
      <c r="A23" s="173">
        <v>2025</v>
      </c>
      <c r="B23" s="174">
        <f>'Rekapitulasi BaU Emisi GRK'!J75</f>
        <v>46052.721656168243</v>
      </c>
      <c r="C23" s="174">
        <f>'Rekapitulasi BaU Emisi GRK'!G104</f>
        <v>14197.902901847772</v>
      </c>
      <c r="D23" s="174">
        <f>'Rekap BAU Emisi Industri Sawitt'!D19</f>
        <v>1443907.2312839997</v>
      </c>
      <c r="E23" s="175">
        <f t="shared" si="1"/>
        <v>1504157.8558420157</v>
      </c>
    </row>
    <row r="24" spans="1:6" x14ac:dyDescent="0.25">
      <c r="A24" s="173">
        <v>2026</v>
      </c>
      <c r="B24" s="174">
        <f>'Rekapitulasi BaU Emisi GRK'!J76</f>
        <v>47587.537653866675</v>
      </c>
      <c r="C24" s="174">
        <f>'Rekapitulasi BaU Emisi GRK'!G105</f>
        <v>14605.695080611355</v>
      </c>
      <c r="D24" s="174">
        <f>'Rekap BAU Emisi Industri Sawitt'!D20</f>
        <v>1511967.6700800001</v>
      </c>
      <c r="E24" s="175">
        <f t="shared" si="1"/>
        <v>1574160.9028144781</v>
      </c>
    </row>
    <row r="25" spans="1:6" x14ac:dyDescent="0.25">
      <c r="A25" s="173">
        <v>2027</v>
      </c>
      <c r="B25" s="174">
        <f>'Rekapitulasi BaU Emisi GRK'!J77</f>
        <v>49128.104970927314</v>
      </c>
      <c r="C25" s="174">
        <f>'Rekapitulasi BaU Emisi GRK'!G106</f>
        <v>15013.487259374935</v>
      </c>
      <c r="D25" s="174">
        <f>'Rekap BAU Emisi Industri Sawitt'!D21</f>
        <v>1581507.4322599997</v>
      </c>
      <c r="E25" s="175">
        <f t="shared" si="1"/>
        <v>1645649.024490302</v>
      </c>
    </row>
    <row r="26" spans="1:6" x14ac:dyDescent="0.25">
      <c r="A26" s="173">
        <v>2028</v>
      </c>
      <c r="B26" s="174">
        <f>'Rekapitulasi BaU Emisi GRK'!J78</f>
        <v>50673.118086106289</v>
      </c>
      <c r="C26" s="174">
        <f>'Rekapitulasi BaU Emisi GRK'!G107</f>
        <v>15421.279438138514</v>
      </c>
      <c r="D26" s="174">
        <f>'Rekap BAU Emisi Industri Sawitt'!D22</f>
        <v>1652526.517824</v>
      </c>
      <c r="E26" s="175">
        <f t="shared" si="1"/>
        <v>1718620.9153482448</v>
      </c>
    </row>
    <row r="27" spans="1:6" x14ac:dyDescent="0.25">
      <c r="A27" s="173">
        <v>2029</v>
      </c>
      <c r="B27" s="174">
        <f>'Rekapitulasi BaU Emisi GRK'!J79</f>
        <v>52221.646281308887</v>
      </c>
      <c r="C27" s="174">
        <f>'Rekapitulasi BaU Emisi GRK'!G108</f>
        <v>15829.071616902094</v>
      </c>
      <c r="D27" s="174">
        <f>'Rekap BAU Emisi Industri Sawitt'!D23</f>
        <v>1725024.9267719996</v>
      </c>
      <c r="E27" s="175">
        <f t="shared" si="1"/>
        <v>1793075.6446702105</v>
      </c>
    </row>
    <row r="28" spans="1:6" x14ac:dyDescent="0.25">
      <c r="A28" s="173">
        <v>2030</v>
      </c>
      <c r="B28" s="174">
        <f>'Rekapitulasi BaU Emisi GRK'!J80</f>
        <v>53773.016285972561</v>
      </c>
      <c r="C28" s="174">
        <f>'Rekapitulasi BaU Emisi GRK'!G109</f>
        <v>16236.863795665677</v>
      </c>
      <c r="D28" s="174">
        <f>'Rekap BAU Emisi Industri Sawitt'!D24</f>
        <v>1753580.5328159998</v>
      </c>
      <c r="E28" s="175">
        <f t="shared" si="1"/>
        <v>1823590.412897638</v>
      </c>
      <c r="F28" s="176">
        <f>(E28-E9)/E28</f>
        <v>0.85093627689116702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topLeftCell="A7" workbookViewId="0">
      <selection activeCell="D15" sqref="D15:D24"/>
    </sheetView>
  </sheetViews>
  <sheetFormatPr defaultRowHeight="12.75" x14ac:dyDescent="0.25"/>
  <cols>
    <col min="1" max="2" width="9.140625" style="145"/>
    <col min="3" max="3" width="14.5703125" style="145" customWidth="1"/>
    <col min="4" max="4" width="19.140625" style="145" customWidth="1"/>
    <col min="5" max="16384" width="9.140625" style="145"/>
  </cols>
  <sheetData>
    <row r="3" spans="2:4" x14ac:dyDescent="0.25">
      <c r="B3" s="215" t="s">
        <v>11</v>
      </c>
      <c r="C3" s="215" t="s">
        <v>150</v>
      </c>
      <c r="D3" s="215"/>
    </row>
    <row r="4" spans="2:4" x14ac:dyDescent="0.25">
      <c r="B4" s="215"/>
      <c r="C4" s="146" t="s">
        <v>149</v>
      </c>
      <c r="D4" s="146" t="s">
        <v>145</v>
      </c>
    </row>
    <row r="5" spans="2:4" ht="15" x14ac:dyDescent="0.25">
      <c r="B5" s="89">
        <v>2011</v>
      </c>
      <c r="C5" s="165">
        <f>'[7]4D2_CH4_Industrial_Wastewater'!$G12</f>
        <v>11337594</v>
      </c>
      <c r="D5" s="165">
        <f>(C5*21)/1000</f>
        <v>238089.47399999999</v>
      </c>
    </row>
    <row r="6" spans="2:4" ht="15" x14ac:dyDescent="0.25">
      <c r="B6" s="89">
        <v>2012</v>
      </c>
      <c r="C6" s="165">
        <f>'[7]4D2_CH4_Industrial_Wastewater'!$G13</f>
        <v>14991180</v>
      </c>
      <c r="D6" s="165">
        <f t="shared" ref="D6:D15" si="0">(C6*21)/1000</f>
        <v>314814.78000000003</v>
      </c>
    </row>
    <row r="7" spans="2:4" ht="15" x14ac:dyDescent="0.25">
      <c r="B7" s="89">
        <v>2013</v>
      </c>
      <c r="C7" s="165">
        <f>'[7]4D2_CH4_Industrial_Wastewater'!$G14</f>
        <v>20414448</v>
      </c>
      <c r="D7" s="165">
        <f t="shared" si="0"/>
        <v>428703.408</v>
      </c>
    </row>
    <row r="8" spans="2:4" ht="15" x14ac:dyDescent="0.25">
      <c r="B8" s="89">
        <v>2014</v>
      </c>
      <c r="C8" s="165">
        <f>'[7]4D2_CH4_Industrial_Wastewater'!$G15</f>
        <v>31218474</v>
      </c>
      <c r="D8" s="165">
        <f t="shared" si="0"/>
        <v>655587.95400000003</v>
      </c>
    </row>
    <row r="9" spans="2:4" ht="15" x14ac:dyDescent="0.25">
      <c r="B9" s="89">
        <v>2015</v>
      </c>
      <c r="C9" s="165">
        <f>'[7]4D2_CH4_Industrial_Wastewater'!$G16</f>
        <v>34167174</v>
      </c>
      <c r="D9" s="165">
        <f t="shared" si="0"/>
        <v>717510.65399999998</v>
      </c>
    </row>
    <row r="10" spans="2:4" ht="15" x14ac:dyDescent="0.25">
      <c r="B10" s="89">
        <v>2016</v>
      </c>
      <c r="C10" s="165">
        <f>'[7]4D2_CH4_Industrial_Wastewater'!$G17</f>
        <v>30494124</v>
      </c>
      <c r="D10" s="165">
        <f t="shared" si="0"/>
        <v>640376.60400000005</v>
      </c>
    </row>
    <row r="11" spans="2:4" ht="15" x14ac:dyDescent="0.25">
      <c r="B11" s="89">
        <v>2017</v>
      </c>
      <c r="C11" s="165">
        <f>'[7]4D2_CH4_Industrial_Wastewater'!$G18</f>
        <v>37834385.07</v>
      </c>
      <c r="D11" s="165">
        <f t="shared" si="0"/>
        <v>794522.08646999998</v>
      </c>
    </row>
    <row r="12" spans="2:4" ht="15" x14ac:dyDescent="0.25">
      <c r="B12" s="89">
        <v>2018</v>
      </c>
      <c r="C12" s="165">
        <f>'[7]4D2_CH4_Industrial_Wastewater'!$G19</f>
        <v>42918522.623999998</v>
      </c>
      <c r="D12" s="165">
        <f t="shared" si="0"/>
        <v>901288.97510399995</v>
      </c>
    </row>
    <row r="13" spans="2:4" ht="15" x14ac:dyDescent="0.25">
      <c r="B13" s="89">
        <v>2019</v>
      </c>
      <c r="C13" s="165">
        <f>'[7]4D2_CH4_Industrial_Wastewater'!$G20</f>
        <v>48176821.061999999</v>
      </c>
      <c r="D13" s="165">
        <f t="shared" si="0"/>
        <v>1011713.2423019999</v>
      </c>
    </row>
    <row r="14" spans="2:4" ht="15" x14ac:dyDescent="0.25">
      <c r="B14" s="89">
        <v>2020</v>
      </c>
      <c r="C14" s="165">
        <f>'[7]4D2_CH4_Industrial_Wastewater'!$G21</f>
        <v>53609280.383999996</v>
      </c>
      <c r="D14" s="165">
        <f t="shared" si="0"/>
        <v>1125794.8880639998</v>
      </c>
    </row>
    <row r="15" spans="2:4" ht="15" x14ac:dyDescent="0.25">
      <c r="B15" s="89">
        <v>2021</v>
      </c>
      <c r="C15" s="165">
        <f>'[8]4D2_CH4_Industrial_Wastewater'!$G$12</f>
        <v>56498033.806666672</v>
      </c>
      <c r="D15" s="165">
        <f t="shared" si="0"/>
        <v>1186458.70994</v>
      </c>
    </row>
    <row r="16" spans="2:4" ht="15" x14ac:dyDescent="0.25">
      <c r="B16" s="89">
        <v>2022</v>
      </c>
      <c r="C16" s="165">
        <f>'[8]4D2_CH4_Industrial_Wastewater'!$G$13</f>
        <v>59457231.199999988</v>
      </c>
      <c r="D16" s="165">
        <f t="shared" ref="D16:D25" si="1">(C16*21)/1000</f>
        <v>1248601.8551999999</v>
      </c>
    </row>
    <row r="17" spans="2:4" ht="15" x14ac:dyDescent="0.25">
      <c r="B17" s="89">
        <v>2023</v>
      </c>
      <c r="C17" s="165">
        <f>'[8]4D2_CH4_Industrial_Wastewater'!$G$14</f>
        <v>62486872.563999988</v>
      </c>
      <c r="D17" s="165">
        <f t="shared" si="1"/>
        <v>1312224.3238439998</v>
      </c>
    </row>
    <row r="18" spans="2:4" ht="15" x14ac:dyDescent="0.25">
      <c r="B18" s="89">
        <v>2024</v>
      </c>
      <c r="C18" s="165">
        <f>'[8]4D2_CH4_Industrial_Wastewater'!$G$15</f>
        <v>65586957.898666658</v>
      </c>
      <c r="D18" s="165">
        <f t="shared" si="1"/>
        <v>1377326.1158719996</v>
      </c>
    </row>
    <row r="19" spans="2:4" ht="15" x14ac:dyDescent="0.25">
      <c r="B19" s="89">
        <v>2025</v>
      </c>
      <c r="C19" s="165">
        <f>'[8]4D2_CH4_Industrial_Wastewater'!$G$16</f>
        <v>68757487.203999981</v>
      </c>
      <c r="D19" s="165">
        <f t="shared" si="1"/>
        <v>1443907.2312839997</v>
      </c>
    </row>
    <row r="20" spans="2:4" ht="15" x14ac:dyDescent="0.25">
      <c r="B20" s="89">
        <v>2026</v>
      </c>
      <c r="C20" s="165">
        <f>'[8]4D2_CH4_Industrial_Wastewater'!$G$17</f>
        <v>71998460.480000004</v>
      </c>
      <c r="D20" s="165">
        <f t="shared" si="1"/>
        <v>1511967.6700800001</v>
      </c>
    </row>
    <row r="21" spans="2:4" ht="15" x14ac:dyDescent="0.25">
      <c r="B21" s="89">
        <v>2027</v>
      </c>
      <c r="C21" s="165">
        <f>'[8]4D2_CH4_Industrial_Wastewater'!$G$18</f>
        <v>75309877.726666659</v>
      </c>
      <c r="D21" s="165">
        <f t="shared" si="1"/>
        <v>1581507.4322599997</v>
      </c>
    </row>
    <row r="22" spans="2:4" ht="15" x14ac:dyDescent="0.25">
      <c r="B22" s="89">
        <v>2028</v>
      </c>
      <c r="C22" s="165">
        <f>'[8]4D2_CH4_Industrial_Wastewater'!$G$19</f>
        <v>78691738.943999991</v>
      </c>
      <c r="D22" s="165">
        <f t="shared" si="1"/>
        <v>1652526.517824</v>
      </c>
    </row>
    <row r="23" spans="2:4" ht="15" x14ac:dyDescent="0.25">
      <c r="B23" s="89">
        <v>2029</v>
      </c>
      <c r="C23" s="165">
        <f>'[8]4D2_CH4_Industrial_Wastewater'!$G$20</f>
        <v>82144044.131999984</v>
      </c>
      <c r="D23" s="165">
        <f t="shared" si="1"/>
        <v>1725024.9267719996</v>
      </c>
    </row>
    <row r="24" spans="2:4" ht="15" x14ac:dyDescent="0.25">
      <c r="B24" s="89">
        <v>2030</v>
      </c>
      <c r="C24" s="165">
        <f>'[8]4D2_CH4_Industrial_Wastewater'!$G$21</f>
        <v>83503834.895999983</v>
      </c>
      <c r="D24" s="165">
        <f t="shared" si="1"/>
        <v>1753580.5328159998</v>
      </c>
    </row>
    <row r="25" spans="2:4" ht="15" x14ac:dyDescent="0.25">
      <c r="B25" s="89">
        <v>2031</v>
      </c>
      <c r="C25" s="147"/>
      <c r="D25" s="147">
        <f t="shared" si="1"/>
        <v>0</v>
      </c>
    </row>
  </sheetData>
  <mergeCells count="2">
    <mergeCell ref="C3:D3"/>
    <mergeCell ref="B3:B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65</v>
      </c>
    </row>
    <row r="5" spans="1:9" s="20" customFormat="1" ht="47.25" customHeight="1" x14ac:dyDescent="0.25">
      <c r="A5" s="25" t="s">
        <v>46</v>
      </c>
      <c r="B5" s="26" t="s">
        <v>47</v>
      </c>
      <c r="C5" s="21" t="s">
        <v>55</v>
      </c>
      <c r="D5" s="246" t="s">
        <v>54</v>
      </c>
      <c r="E5" s="246"/>
      <c r="F5" s="247" t="s">
        <v>64</v>
      </c>
      <c r="G5" s="247"/>
      <c r="H5" s="247"/>
      <c r="I5" s="247"/>
    </row>
    <row r="6" spans="1:9" s="20" customFormat="1" ht="16.5" customHeight="1" x14ac:dyDescent="0.25">
      <c r="A6" s="243" t="s">
        <v>48</v>
      </c>
      <c r="B6" s="243" t="s">
        <v>50</v>
      </c>
      <c r="C6" s="244"/>
      <c r="D6" s="232" t="s">
        <v>70</v>
      </c>
      <c r="E6" s="232"/>
      <c r="F6" s="233" t="s">
        <v>56</v>
      </c>
      <c r="G6" s="233"/>
      <c r="H6" s="233"/>
      <c r="I6" s="233"/>
    </row>
    <row r="7" spans="1:9" s="20" customFormat="1" ht="29.25" customHeight="1" x14ac:dyDescent="0.25">
      <c r="A7" s="243"/>
      <c r="B7" s="243"/>
      <c r="C7" s="244"/>
      <c r="D7" s="232"/>
      <c r="E7" s="232"/>
      <c r="F7" s="233" t="s">
        <v>57</v>
      </c>
      <c r="G7" s="233"/>
      <c r="H7" s="233"/>
      <c r="I7" s="233"/>
    </row>
    <row r="8" spans="1:9" s="20" customFormat="1" ht="51" customHeight="1" x14ac:dyDescent="0.25">
      <c r="A8" s="243"/>
      <c r="B8" s="29" t="s">
        <v>59</v>
      </c>
      <c r="C8" s="22"/>
      <c r="D8" s="232" t="s">
        <v>58</v>
      </c>
      <c r="E8" s="232"/>
      <c r="F8" s="233" t="s">
        <v>61</v>
      </c>
      <c r="G8" s="233"/>
      <c r="H8" s="233"/>
      <c r="I8" s="233"/>
    </row>
    <row r="9" spans="1:9" s="20" customFormat="1" ht="31.5" customHeight="1" x14ac:dyDescent="0.25">
      <c r="A9" s="243"/>
      <c r="B9" s="231" t="s">
        <v>51</v>
      </c>
      <c r="C9" s="22"/>
      <c r="D9" s="232" t="s">
        <v>60</v>
      </c>
      <c r="E9" s="232"/>
      <c r="F9" s="240" t="s">
        <v>66</v>
      </c>
      <c r="G9" s="241"/>
      <c r="H9" s="241"/>
      <c r="I9" s="242"/>
    </row>
    <row r="10" spans="1:9" s="20" customFormat="1" ht="20.25" customHeight="1" x14ac:dyDescent="0.25">
      <c r="A10" s="243"/>
      <c r="B10" s="231"/>
      <c r="C10" s="22"/>
      <c r="D10" s="232"/>
      <c r="E10" s="232"/>
      <c r="F10" s="233" t="s">
        <v>62</v>
      </c>
      <c r="G10" s="233"/>
      <c r="H10" s="233"/>
      <c r="I10" s="233"/>
    </row>
    <row r="11" spans="1:9" s="20" customFormat="1" ht="17.25" customHeight="1" x14ac:dyDescent="0.25">
      <c r="A11" s="243"/>
      <c r="B11" s="231"/>
      <c r="C11" s="22"/>
      <c r="D11" s="232"/>
      <c r="E11" s="232"/>
      <c r="F11" s="233" t="s">
        <v>63</v>
      </c>
      <c r="G11" s="233"/>
      <c r="H11" s="233"/>
      <c r="I11" s="233"/>
    </row>
    <row r="12" spans="1:9" s="20" customFormat="1" ht="60" customHeight="1" x14ac:dyDescent="0.25">
      <c r="A12" s="243" t="s">
        <v>49</v>
      </c>
      <c r="B12" s="27" t="s">
        <v>52</v>
      </c>
      <c r="C12" s="23"/>
      <c r="D12" s="24"/>
      <c r="E12" s="22"/>
      <c r="F12" s="234" t="s">
        <v>67</v>
      </c>
      <c r="G12" s="235"/>
      <c r="H12" s="235"/>
      <c r="I12" s="236"/>
    </row>
    <row r="13" spans="1:9" s="20" customFormat="1" ht="30" x14ac:dyDescent="0.25">
      <c r="A13" s="243"/>
      <c r="B13" s="28" t="s">
        <v>53</v>
      </c>
      <c r="C13" s="23"/>
      <c r="D13" s="24"/>
      <c r="E13" s="22"/>
      <c r="F13" s="237"/>
      <c r="G13" s="238"/>
      <c r="H13" s="238"/>
      <c r="I13" s="239"/>
    </row>
    <row r="18" spans="1:22" ht="21" x14ac:dyDescent="0.35">
      <c r="A18" s="245" t="s">
        <v>74</v>
      </c>
      <c r="B18" s="245"/>
      <c r="C18" s="245"/>
      <c r="D18" s="245"/>
      <c r="E18" s="245"/>
      <c r="F18" s="245"/>
      <c r="G18" s="245"/>
      <c r="H18" s="245"/>
      <c r="I18" s="245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69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216" t="s">
        <v>8</v>
      </c>
      <c r="B21" s="229" t="s">
        <v>40</v>
      </c>
      <c r="C21" s="229"/>
      <c r="D21" s="229"/>
      <c r="E21" s="229"/>
      <c r="F21" s="229"/>
      <c r="G21" s="229"/>
      <c r="H21" s="229"/>
      <c r="I21" s="230"/>
      <c r="K21" t="s">
        <v>22</v>
      </c>
      <c r="L21" t="s">
        <v>25</v>
      </c>
    </row>
    <row r="22" spans="1:22" ht="38.25" x14ac:dyDescent="0.25">
      <c r="A22" s="216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230"/>
      <c r="O22" s="8" t="s">
        <v>19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41</v>
      </c>
      <c r="K23" s="10" t="s">
        <v>43</v>
      </c>
    </row>
    <row r="24" spans="1:22" ht="15" customHeight="1" x14ac:dyDescent="0.25">
      <c r="A24" s="2">
        <v>2011</v>
      </c>
      <c r="B24" s="222" t="s">
        <v>71</v>
      </c>
      <c r="C24" s="35">
        <v>0</v>
      </c>
      <c r="D24" s="222" t="s">
        <v>73</v>
      </c>
      <c r="E24" s="222" t="s">
        <v>79</v>
      </c>
      <c r="F24" s="222"/>
      <c r="G24" s="222"/>
      <c r="H24" s="222"/>
      <c r="I24" s="34"/>
      <c r="K24" t="s">
        <v>26</v>
      </c>
      <c r="L24" s="15">
        <v>4000</v>
      </c>
      <c r="M24" s="16" t="s">
        <v>33</v>
      </c>
      <c r="N24" s="15">
        <v>6000</v>
      </c>
      <c r="O24" s="8" t="s">
        <v>28</v>
      </c>
      <c r="R24" s="18">
        <f>L24*1000/365</f>
        <v>10958.904109589041</v>
      </c>
      <c r="S24" s="19" t="s">
        <v>33</v>
      </c>
      <c r="T24" s="18">
        <f>N24*1000/365</f>
        <v>16438.35616438356</v>
      </c>
      <c r="U24" s="11" t="s">
        <v>31</v>
      </c>
      <c r="V24" t="s">
        <v>72</v>
      </c>
    </row>
    <row r="25" spans="1:22" ht="60" customHeight="1" x14ac:dyDescent="0.25">
      <c r="A25" s="2">
        <v>2012</v>
      </c>
      <c r="B25" s="222"/>
      <c r="C25" s="35">
        <v>0</v>
      </c>
      <c r="D25" s="222"/>
      <c r="E25" s="222"/>
      <c r="F25" s="222"/>
      <c r="G25" s="222"/>
      <c r="H25" s="222"/>
      <c r="I25" s="34"/>
      <c r="K25" t="s">
        <v>27</v>
      </c>
      <c r="L25" s="220">
        <v>1000</v>
      </c>
      <c r="M25" s="220"/>
      <c r="N25" s="220"/>
      <c r="O25" s="8" t="s">
        <v>28</v>
      </c>
      <c r="R25" s="221">
        <f>L25*1000/365</f>
        <v>2739.7260273972602</v>
      </c>
      <c r="S25" s="221"/>
      <c r="T25" s="221"/>
      <c r="U25" s="11" t="s">
        <v>45</v>
      </c>
    </row>
    <row r="26" spans="1:22" x14ac:dyDescent="0.25">
      <c r="A26" s="2">
        <v>2013</v>
      </c>
      <c r="B26" s="222"/>
      <c r="C26" s="35">
        <v>0</v>
      </c>
      <c r="D26" s="222"/>
      <c r="E26" s="222"/>
      <c r="F26" s="222"/>
      <c r="G26" s="222"/>
      <c r="H26" s="222"/>
      <c r="I26" s="34"/>
      <c r="K26" t="s">
        <v>29</v>
      </c>
      <c r="L26" s="220">
        <v>3000</v>
      </c>
      <c r="M26" s="220"/>
      <c r="N26" s="220"/>
      <c r="O26" s="8" t="s">
        <v>28</v>
      </c>
    </row>
    <row r="27" spans="1:22" x14ac:dyDescent="0.25">
      <c r="A27" s="2">
        <v>2014</v>
      </c>
      <c r="B27" s="222"/>
      <c r="C27" s="35">
        <v>0</v>
      </c>
      <c r="D27" s="222"/>
      <c r="E27" s="222"/>
      <c r="F27" s="222"/>
      <c r="G27" s="222"/>
      <c r="H27" s="222"/>
      <c r="I27" s="34"/>
      <c r="K27" s="9" t="s">
        <v>30</v>
      </c>
      <c r="L27" s="15">
        <v>8000</v>
      </c>
      <c r="M27" s="16" t="s">
        <v>33</v>
      </c>
      <c r="N27" s="15">
        <v>10000</v>
      </c>
      <c r="O27" s="8" t="s">
        <v>19</v>
      </c>
    </row>
    <row r="28" spans="1:22" x14ac:dyDescent="0.25">
      <c r="A28" s="2">
        <v>2015</v>
      </c>
      <c r="B28" s="222"/>
      <c r="C28" s="35">
        <v>0</v>
      </c>
      <c r="D28" s="222"/>
      <c r="E28" s="222"/>
      <c r="F28" s="222"/>
      <c r="G28" s="222"/>
      <c r="H28" s="222"/>
      <c r="I28" s="34"/>
    </row>
    <row r="29" spans="1:22" x14ac:dyDescent="0.25">
      <c r="A29" s="2">
        <v>2016</v>
      </c>
      <c r="B29" s="222"/>
      <c r="C29" s="35">
        <v>0</v>
      </c>
      <c r="D29" s="222"/>
      <c r="E29" s="222"/>
      <c r="F29" s="222"/>
      <c r="G29" s="222"/>
      <c r="H29" s="222"/>
      <c r="I29" s="34"/>
    </row>
    <row r="30" spans="1:22" x14ac:dyDescent="0.25">
      <c r="A30" s="2">
        <v>2017</v>
      </c>
      <c r="B30" s="222"/>
      <c r="C30" s="35">
        <v>0</v>
      </c>
      <c r="D30" s="222"/>
      <c r="E30" s="222"/>
      <c r="F30" s="222"/>
      <c r="G30" s="222"/>
      <c r="H30" s="222"/>
      <c r="I30" s="34"/>
    </row>
    <row r="31" spans="1:22" ht="25.5" x14ac:dyDescent="0.25">
      <c r="A31" s="2">
        <v>2018</v>
      </c>
      <c r="B31" s="222"/>
      <c r="C31" s="35">
        <v>0</v>
      </c>
      <c r="D31" s="222"/>
      <c r="E31" s="222"/>
      <c r="F31" s="222"/>
      <c r="G31" s="222"/>
      <c r="H31" s="222"/>
      <c r="I31" s="34"/>
      <c r="J31" s="9" t="s">
        <v>42</v>
      </c>
      <c r="K31" s="10" t="s">
        <v>44</v>
      </c>
    </row>
    <row r="32" spans="1:22" x14ac:dyDescent="0.25">
      <c r="A32" s="2">
        <v>2019</v>
      </c>
      <c r="B32" s="222"/>
      <c r="C32" s="35">
        <v>0</v>
      </c>
      <c r="D32" s="222"/>
      <c r="E32" s="222"/>
      <c r="F32" s="222"/>
      <c r="G32" s="222"/>
      <c r="H32" s="222"/>
      <c r="I32" s="34"/>
      <c r="K32" t="s">
        <v>26</v>
      </c>
      <c r="L32" s="17">
        <f>0.6*L35</f>
        <v>360</v>
      </c>
      <c r="M32" s="8" t="s">
        <v>28</v>
      </c>
      <c r="R32" s="18">
        <f>L32*1000/365</f>
        <v>986.30136986301375</v>
      </c>
      <c r="S32" s="11" t="s">
        <v>31</v>
      </c>
      <c r="T32" s="11"/>
    </row>
    <row r="33" spans="1:20" x14ac:dyDescent="0.25">
      <c r="A33" s="2">
        <v>2020</v>
      </c>
      <c r="B33" s="222"/>
      <c r="C33" s="35">
        <v>0</v>
      </c>
      <c r="D33" s="222"/>
      <c r="E33" s="222"/>
      <c r="F33" s="222"/>
      <c r="G33" s="222"/>
      <c r="H33" s="222"/>
      <c r="I33" s="34"/>
      <c r="K33" t="s">
        <v>27</v>
      </c>
      <c r="L33" s="17">
        <f>0.1*L35</f>
        <v>60</v>
      </c>
      <c r="M33" s="8" t="s">
        <v>28</v>
      </c>
      <c r="R33" s="18">
        <f>L33*1000/365</f>
        <v>164.38356164383561</v>
      </c>
      <c r="S33" s="11" t="s">
        <v>32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29</v>
      </c>
      <c r="L34" s="17">
        <f>0.3*L35</f>
        <v>180</v>
      </c>
      <c r="M34" s="8" t="s">
        <v>28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30</v>
      </c>
      <c r="L35" s="17">
        <v>600</v>
      </c>
      <c r="M35" s="8" t="s">
        <v>19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68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216" t="s">
        <v>8</v>
      </c>
      <c r="B37" s="223" t="s">
        <v>78</v>
      </c>
      <c r="C37" s="224"/>
      <c r="D37" s="224"/>
      <c r="E37" s="224"/>
      <c r="F37" s="224"/>
      <c r="G37" s="224"/>
      <c r="H37" s="225"/>
      <c r="I37" s="218" t="s">
        <v>40</v>
      </c>
    </row>
    <row r="38" spans="1:20" ht="38.25" x14ac:dyDescent="0.25">
      <c r="A38" s="216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19"/>
    </row>
    <row r="39" spans="1:20" x14ac:dyDescent="0.25">
      <c r="A39" s="2">
        <v>2010</v>
      </c>
      <c r="B39" s="226" t="s">
        <v>75</v>
      </c>
      <c r="C39" s="226" t="s">
        <v>76</v>
      </c>
      <c r="D39" s="226" t="s">
        <v>75</v>
      </c>
      <c r="E39" s="226" t="s">
        <v>76</v>
      </c>
      <c r="F39" s="226" t="s">
        <v>76</v>
      </c>
      <c r="G39" s="226" t="s">
        <v>76</v>
      </c>
      <c r="H39" s="226" t="s">
        <v>76</v>
      </c>
      <c r="I39" s="14">
        <f>'timbulan sampah'!E5</f>
        <v>53.875</v>
      </c>
    </row>
    <row r="40" spans="1:20" x14ac:dyDescent="0.25">
      <c r="A40" s="2">
        <v>2011</v>
      </c>
      <c r="B40" s="227"/>
      <c r="C40" s="227"/>
      <c r="D40" s="227"/>
      <c r="E40" s="227"/>
      <c r="F40" s="227"/>
      <c r="G40" s="227"/>
      <c r="H40" s="227"/>
      <c r="I40" s="14">
        <f>'timbulan sampah'!E6</f>
        <v>56.318800000000003</v>
      </c>
      <c r="K40" t="s">
        <v>20</v>
      </c>
      <c r="O40" s="8" t="s">
        <v>21</v>
      </c>
    </row>
    <row r="41" spans="1:20" x14ac:dyDescent="0.25">
      <c r="A41" s="2">
        <v>2012</v>
      </c>
      <c r="B41" s="227"/>
      <c r="C41" s="227"/>
      <c r="D41" s="227"/>
      <c r="E41" s="227"/>
      <c r="F41" s="227"/>
      <c r="G41" s="227"/>
      <c r="H41" s="227"/>
      <c r="I41" s="14">
        <f>'timbulan sampah'!E7</f>
        <v>58.843200000000003</v>
      </c>
      <c r="K41" t="s">
        <v>23</v>
      </c>
      <c r="O41" s="8" t="s">
        <v>24</v>
      </c>
    </row>
    <row r="42" spans="1:20" x14ac:dyDescent="0.25">
      <c r="A42" s="2">
        <v>2013</v>
      </c>
      <c r="B42" s="227"/>
      <c r="C42" s="227"/>
      <c r="D42" s="227"/>
      <c r="E42" s="227"/>
      <c r="F42" s="227"/>
      <c r="G42" s="227"/>
      <c r="H42" s="227"/>
      <c r="I42" s="14">
        <f>'timbulan sampah'!E8</f>
        <v>61.394800000000004</v>
      </c>
    </row>
    <row r="43" spans="1:20" x14ac:dyDescent="0.25">
      <c r="A43" s="2">
        <v>2014</v>
      </c>
      <c r="B43" s="227"/>
      <c r="C43" s="227"/>
      <c r="D43" s="227"/>
      <c r="E43" s="227"/>
      <c r="F43" s="227"/>
      <c r="G43" s="227"/>
      <c r="H43" s="227"/>
      <c r="I43" s="14">
        <f>'timbulan sampah'!E9</f>
        <v>64.022999999999996</v>
      </c>
    </row>
    <row r="44" spans="1:20" x14ac:dyDescent="0.25">
      <c r="A44" s="2">
        <v>2015</v>
      </c>
      <c r="B44" s="227"/>
      <c r="C44" s="227"/>
      <c r="D44" s="227"/>
      <c r="E44" s="227"/>
      <c r="F44" s="227"/>
      <c r="G44" s="227"/>
      <c r="H44" s="227"/>
      <c r="I44" s="14">
        <f>'timbulan sampah'!E10</f>
        <v>66.718199999999996</v>
      </c>
    </row>
    <row r="45" spans="1:20" x14ac:dyDescent="0.25">
      <c r="A45" s="2">
        <v>2016</v>
      </c>
      <c r="B45" s="227"/>
      <c r="C45" s="227"/>
      <c r="D45" s="227"/>
      <c r="E45" s="227"/>
      <c r="F45" s="227"/>
      <c r="G45" s="227"/>
      <c r="H45" s="227"/>
      <c r="I45" s="14">
        <f>'timbulan sampah'!E11</f>
        <v>67.025199999999998</v>
      </c>
    </row>
    <row r="46" spans="1:20" x14ac:dyDescent="0.25">
      <c r="A46" s="2">
        <v>2017</v>
      </c>
      <c r="B46" s="227"/>
      <c r="C46" s="227"/>
      <c r="D46" s="227"/>
      <c r="E46" s="227"/>
      <c r="F46" s="227"/>
      <c r="G46" s="227"/>
      <c r="H46" s="227"/>
      <c r="I46" s="14">
        <f>'timbulan sampah'!E12</f>
        <v>69.524600000000007</v>
      </c>
    </row>
    <row r="47" spans="1:20" x14ac:dyDescent="0.25">
      <c r="A47" s="2">
        <v>2018</v>
      </c>
      <c r="B47" s="227"/>
      <c r="C47" s="227"/>
      <c r="D47" s="227"/>
      <c r="E47" s="227"/>
      <c r="F47" s="227"/>
      <c r="G47" s="227"/>
      <c r="H47" s="227"/>
      <c r="I47" s="14">
        <f>'timbulan sampah'!E13</f>
        <v>72.024000000000001</v>
      </c>
    </row>
    <row r="48" spans="1:20" x14ac:dyDescent="0.25">
      <c r="A48" s="2">
        <v>2019</v>
      </c>
      <c r="B48" s="227"/>
      <c r="C48" s="227"/>
      <c r="D48" s="227"/>
      <c r="E48" s="227"/>
      <c r="F48" s="227"/>
      <c r="G48" s="227"/>
      <c r="H48" s="227"/>
      <c r="I48" s="14">
        <f>'timbulan sampah'!E14</f>
        <v>74.523400000000009</v>
      </c>
    </row>
    <row r="49" spans="1:21" x14ac:dyDescent="0.25">
      <c r="A49" s="2">
        <v>2020</v>
      </c>
      <c r="B49" s="228"/>
      <c r="C49" s="228"/>
      <c r="D49" s="228"/>
      <c r="E49" s="228"/>
      <c r="F49" s="228"/>
      <c r="G49" s="228"/>
      <c r="H49" s="228"/>
      <c r="I49" s="14">
        <f>'timbulan sampah'!E15</f>
        <v>77.022800000000004</v>
      </c>
    </row>
    <row r="52" spans="1:21" x14ac:dyDescent="0.25">
      <c r="A52" s="216" t="s">
        <v>8</v>
      </c>
      <c r="B52" s="217" t="s">
        <v>0</v>
      </c>
      <c r="C52" s="217"/>
      <c r="D52" s="217"/>
      <c r="E52" s="217"/>
      <c r="F52" s="217"/>
      <c r="G52" s="217"/>
      <c r="H52" s="217"/>
      <c r="I52" s="218" t="s">
        <v>10</v>
      </c>
    </row>
    <row r="53" spans="1:21" ht="42.75" customHeight="1" x14ac:dyDescent="0.25">
      <c r="A53" s="216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19"/>
    </row>
    <row r="54" spans="1:21" ht="17.25" customHeight="1" x14ac:dyDescent="0.25">
      <c r="A54" s="2">
        <v>2010</v>
      </c>
      <c r="B54" s="248" t="s">
        <v>77</v>
      </c>
      <c r="C54" s="248" t="s">
        <v>77</v>
      </c>
      <c r="D54" s="248" t="s">
        <v>77</v>
      </c>
      <c r="E54" s="248" t="s">
        <v>77</v>
      </c>
      <c r="F54" s="248" t="s">
        <v>77</v>
      </c>
      <c r="G54" s="248" t="s">
        <v>77</v>
      </c>
      <c r="H54" s="248" t="s">
        <v>77</v>
      </c>
      <c r="I54" s="3">
        <v>1</v>
      </c>
    </row>
    <row r="55" spans="1:21" x14ac:dyDescent="0.25">
      <c r="A55" s="2">
        <v>2011</v>
      </c>
      <c r="B55" s="249"/>
      <c r="C55" s="249"/>
      <c r="D55" s="249"/>
      <c r="E55" s="249"/>
      <c r="F55" s="249"/>
      <c r="G55" s="249"/>
      <c r="H55" s="249"/>
      <c r="I55" s="3">
        <v>1</v>
      </c>
    </row>
    <row r="56" spans="1:21" x14ac:dyDescent="0.25">
      <c r="A56" s="2">
        <v>2012</v>
      </c>
      <c r="B56" s="249"/>
      <c r="C56" s="249"/>
      <c r="D56" s="249"/>
      <c r="E56" s="249"/>
      <c r="F56" s="249"/>
      <c r="G56" s="249"/>
      <c r="H56" s="249"/>
      <c r="I56" s="3">
        <v>1</v>
      </c>
    </row>
    <row r="57" spans="1:21" x14ac:dyDescent="0.25">
      <c r="A57" s="2">
        <v>2013</v>
      </c>
      <c r="B57" s="249"/>
      <c r="C57" s="249"/>
      <c r="D57" s="249"/>
      <c r="E57" s="249"/>
      <c r="F57" s="249"/>
      <c r="G57" s="249"/>
      <c r="H57" s="249"/>
      <c r="I57" s="3">
        <v>1</v>
      </c>
    </row>
    <row r="58" spans="1:21" x14ac:dyDescent="0.25">
      <c r="A58" s="2">
        <v>2014</v>
      </c>
      <c r="B58" s="249"/>
      <c r="C58" s="249"/>
      <c r="D58" s="249"/>
      <c r="E58" s="249"/>
      <c r="F58" s="249"/>
      <c r="G58" s="249"/>
      <c r="H58" s="249"/>
      <c r="I58" s="3">
        <v>1</v>
      </c>
    </row>
    <row r="59" spans="1:21" x14ac:dyDescent="0.25">
      <c r="A59" s="2">
        <v>2015</v>
      </c>
      <c r="B59" s="249"/>
      <c r="C59" s="249"/>
      <c r="D59" s="249"/>
      <c r="E59" s="249"/>
      <c r="F59" s="249"/>
      <c r="G59" s="249"/>
      <c r="H59" s="249"/>
      <c r="I59" s="3">
        <v>1</v>
      </c>
    </row>
    <row r="60" spans="1:21" x14ac:dyDescent="0.25">
      <c r="A60" s="2">
        <v>2016</v>
      </c>
      <c r="B60" s="249"/>
      <c r="C60" s="249"/>
      <c r="D60" s="249"/>
      <c r="E60" s="249"/>
      <c r="F60" s="249"/>
      <c r="G60" s="249"/>
      <c r="H60" s="249"/>
      <c r="I60" s="3">
        <v>1</v>
      </c>
    </row>
    <row r="61" spans="1:21" x14ac:dyDescent="0.25">
      <c r="A61" s="2">
        <v>2017</v>
      </c>
      <c r="B61" s="249"/>
      <c r="C61" s="249"/>
      <c r="D61" s="249"/>
      <c r="E61" s="249"/>
      <c r="F61" s="249"/>
      <c r="G61" s="249"/>
      <c r="H61" s="249"/>
      <c r="I61" s="3">
        <v>1</v>
      </c>
    </row>
    <row r="62" spans="1:21" x14ac:dyDescent="0.25">
      <c r="A62" s="2">
        <v>2018</v>
      </c>
      <c r="B62" s="249"/>
      <c r="C62" s="249"/>
      <c r="D62" s="249"/>
      <c r="E62" s="249"/>
      <c r="F62" s="249"/>
      <c r="G62" s="249"/>
      <c r="H62" s="249"/>
      <c r="I62" s="3">
        <v>1</v>
      </c>
    </row>
    <row r="63" spans="1:21" x14ac:dyDescent="0.25">
      <c r="A63" s="2">
        <v>2019</v>
      </c>
      <c r="B63" s="249"/>
      <c r="C63" s="249"/>
      <c r="D63" s="249"/>
      <c r="E63" s="249"/>
      <c r="F63" s="249"/>
      <c r="G63" s="249"/>
      <c r="H63" s="249"/>
      <c r="I63" s="3">
        <v>1</v>
      </c>
      <c r="U63" s="4"/>
    </row>
    <row r="64" spans="1:21" x14ac:dyDescent="0.25">
      <c r="A64" s="2">
        <v>2020</v>
      </c>
      <c r="B64" s="250"/>
      <c r="C64" s="250"/>
      <c r="D64" s="250"/>
      <c r="E64" s="250"/>
      <c r="F64" s="250"/>
      <c r="G64" s="250"/>
      <c r="H64" s="250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  <mergeCell ref="D5:E5"/>
    <mergeCell ref="F5:I5"/>
    <mergeCell ref="F6:I6"/>
    <mergeCell ref="F7:I7"/>
    <mergeCell ref="F8:I8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116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109</v>
      </c>
    </row>
    <row r="6" spans="1:19" ht="54" customHeight="1" x14ac:dyDescent="0.25">
      <c r="A6" s="251" t="s">
        <v>11</v>
      </c>
      <c r="B6" s="252" t="s">
        <v>110</v>
      </c>
      <c r="C6" s="252"/>
      <c r="D6" s="252"/>
      <c r="E6" s="71" t="s">
        <v>114</v>
      </c>
      <c r="F6" s="251" t="s">
        <v>11</v>
      </c>
      <c r="G6" s="252" t="s">
        <v>111</v>
      </c>
      <c r="H6" s="252"/>
      <c r="I6" s="252"/>
      <c r="J6" s="72" t="s">
        <v>115</v>
      </c>
      <c r="K6" s="251" t="s">
        <v>11</v>
      </c>
      <c r="L6" s="252" t="s">
        <v>112</v>
      </c>
      <c r="M6" s="252"/>
      <c r="N6" s="252"/>
      <c r="O6" s="72" t="s">
        <v>115</v>
      </c>
      <c r="P6" s="251" t="s">
        <v>11</v>
      </c>
      <c r="Q6" s="252" t="s">
        <v>113</v>
      </c>
      <c r="R6" s="252"/>
      <c r="S6" s="252"/>
    </row>
    <row r="7" spans="1:19" x14ac:dyDescent="0.25">
      <c r="A7" s="251"/>
      <c r="B7" s="251" t="s">
        <v>82</v>
      </c>
      <c r="C7" s="251"/>
      <c r="D7" s="252" t="s">
        <v>84</v>
      </c>
      <c r="E7" s="69"/>
      <c r="F7" s="251"/>
      <c r="G7" s="251" t="s">
        <v>82</v>
      </c>
      <c r="H7" s="251"/>
      <c r="I7" s="252" t="s">
        <v>84</v>
      </c>
      <c r="K7" s="251"/>
      <c r="L7" s="251" t="s">
        <v>82</v>
      </c>
      <c r="M7" s="251"/>
      <c r="N7" s="252" t="s">
        <v>84</v>
      </c>
      <c r="P7" s="251"/>
      <c r="Q7" s="251" t="s">
        <v>82</v>
      </c>
      <c r="R7" s="251"/>
      <c r="S7" s="252" t="s">
        <v>84</v>
      </c>
    </row>
    <row r="8" spans="1:19" x14ac:dyDescent="0.25">
      <c r="A8" s="251"/>
      <c r="B8" s="74" t="s">
        <v>85</v>
      </c>
      <c r="C8" s="74" t="s">
        <v>86</v>
      </c>
      <c r="D8" s="252"/>
      <c r="E8" s="6"/>
      <c r="F8" s="251"/>
      <c r="G8" s="74" t="s">
        <v>85</v>
      </c>
      <c r="H8" s="74" t="s">
        <v>86</v>
      </c>
      <c r="I8" s="252"/>
      <c r="K8" s="251"/>
      <c r="L8" s="74" t="s">
        <v>85</v>
      </c>
      <c r="M8" s="74" t="s">
        <v>86</v>
      </c>
      <c r="N8" s="252"/>
      <c r="P8" s="251"/>
      <c r="Q8" s="74" t="s">
        <v>85</v>
      </c>
      <c r="R8" s="74" t="s">
        <v>86</v>
      </c>
      <c r="S8" s="252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80</v>
      </c>
      <c r="K22" t="s">
        <v>120</v>
      </c>
      <c r="L22">
        <v>16000</v>
      </c>
    </row>
    <row r="23" spans="1:19" ht="15.75" thickBot="1" x14ac:dyDescent="0.3">
      <c r="A23" s="259" t="s">
        <v>11</v>
      </c>
      <c r="B23" s="261" t="s">
        <v>81</v>
      </c>
      <c r="C23" s="262"/>
      <c r="D23" s="262"/>
      <c r="E23" s="262"/>
      <c r="F23" s="263"/>
      <c r="K23" t="s">
        <v>121</v>
      </c>
      <c r="L23">
        <v>280</v>
      </c>
      <c r="M23" t="s">
        <v>123</v>
      </c>
    </row>
    <row r="24" spans="1:19" ht="15.75" thickBot="1" x14ac:dyDescent="0.3">
      <c r="A24" s="260"/>
      <c r="B24" s="261" t="s">
        <v>82</v>
      </c>
      <c r="C24" s="263"/>
      <c r="D24" s="261" t="s">
        <v>83</v>
      </c>
      <c r="E24" s="263"/>
      <c r="F24" s="264" t="s">
        <v>84</v>
      </c>
      <c r="K24" t="s">
        <v>122</v>
      </c>
      <c r="L24">
        <v>4800</v>
      </c>
      <c r="M24" t="s">
        <v>123</v>
      </c>
    </row>
    <row r="25" spans="1:19" x14ac:dyDescent="0.25">
      <c r="A25" s="260"/>
      <c r="B25" s="36" t="s">
        <v>85</v>
      </c>
      <c r="C25" s="36" t="s">
        <v>86</v>
      </c>
      <c r="D25" s="36" t="s">
        <v>87</v>
      </c>
      <c r="E25" s="36" t="s">
        <v>86</v>
      </c>
      <c r="F25" s="265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88</v>
      </c>
    </row>
    <row r="40" spans="1:6" ht="15.75" thickBot="1" x14ac:dyDescent="0.3">
      <c r="A40" s="266" t="s">
        <v>11</v>
      </c>
      <c r="B40" s="42" t="s">
        <v>89</v>
      </c>
      <c r="C40" s="43"/>
      <c r="D40" s="43"/>
      <c r="E40" s="43"/>
      <c r="F40" s="43"/>
    </row>
    <row r="41" spans="1:6" ht="15.75" thickBot="1" x14ac:dyDescent="0.3">
      <c r="A41" s="267"/>
      <c r="B41" s="42" t="s">
        <v>82</v>
      </c>
      <c r="C41" s="44"/>
      <c r="D41" s="42" t="s">
        <v>83</v>
      </c>
      <c r="E41" s="44"/>
      <c r="F41" s="45" t="s">
        <v>90</v>
      </c>
    </row>
    <row r="42" spans="1:6" x14ac:dyDescent="0.25">
      <c r="A42" s="267"/>
      <c r="B42" s="46" t="s">
        <v>85</v>
      </c>
      <c r="C42" s="46" t="s">
        <v>86</v>
      </c>
      <c r="D42" s="46" t="s">
        <v>87</v>
      </c>
      <c r="E42" s="46" t="s">
        <v>86</v>
      </c>
      <c r="F42" s="46" t="s">
        <v>91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'[6]4C2_CO2_OpenBurning'!M14</f>
        <v>0.69516380059632688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'[6]4C2_CO2_OpenBurning'!M15</f>
        <v>0.72632340446262678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'[6]4C2_CO2_OpenBurning'!M16</f>
        <v>0.7578187479998042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'[6]4C2_CO2_OpenBurning'!M17</f>
        <v>0.79025959369835008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'[6]4C2_CO2_OpenBurning'!M18</f>
        <v>0.82352744520383714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'[6]4C2_CO2_OpenBurning'!M19</f>
        <v>0.82731685987146264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'[6]4C2_CO2_OpenBurning'!M20</f>
        <v>0.85816787948144124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'[6]4C2_CO2_OpenBurning'!M21</f>
        <v>0.88901889909141962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'[6]4C2_CO2_OpenBurning'!M22</f>
        <v>0.91986991870139834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'[6]4C2_CO2_OpenBurning'!M23</f>
        <v>0.95072093831137683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'[6]4C2_CO2_OpenBurning'!M24</f>
        <v>0.98157195792135521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92</v>
      </c>
      <c r="B57" s="51"/>
      <c r="C57" s="50"/>
      <c r="D57" s="51"/>
    </row>
    <row r="58" spans="1:6" ht="15.75" thickBot="1" x14ac:dyDescent="0.3">
      <c r="A58" s="253" t="s">
        <v>11</v>
      </c>
      <c r="B58" s="255" t="s">
        <v>93</v>
      </c>
      <c r="C58" s="256"/>
      <c r="D58" s="53" t="s">
        <v>94</v>
      </c>
      <c r="E58" s="54"/>
      <c r="F58" s="55" t="s">
        <v>95</v>
      </c>
    </row>
    <row r="59" spans="1:6" ht="63.75" thickBot="1" x14ac:dyDescent="0.3">
      <c r="A59" s="254"/>
      <c r="B59" s="56" t="s">
        <v>96</v>
      </c>
      <c r="C59" s="56" t="s">
        <v>97</v>
      </c>
      <c r="D59" s="57" t="s">
        <v>98</v>
      </c>
      <c r="E59" s="57" t="s">
        <v>99</v>
      </c>
      <c r="F59" s="58" t="s">
        <v>100</v>
      </c>
    </row>
    <row r="60" spans="1:6" ht="15.75" thickBot="1" x14ac:dyDescent="0.3">
      <c r="A60" s="254"/>
      <c r="B60" s="257" t="s">
        <v>101</v>
      </c>
      <c r="C60" s="59" t="s">
        <v>102</v>
      </c>
      <c r="D60" s="60" t="s">
        <v>103</v>
      </c>
      <c r="E60" s="61" t="s">
        <v>104</v>
      </c>
      <c r="F60" s="62" t="s">
        <v>105</v>
      </c>
    </row>
    <row r="61" spans="1:6" ht="26.25" x14ac:dyDescent="0.25">
      <c r="A61" s="254"/>
      <c r="B61" s="258"/>
      <c r="C61" s="63" t="s">
        <v>106</v>
      </c>
      <c r="D61" s="64"/>
      <c r="E61" s="65" t="s">
        <v>107</v>
      </c>
      <c r="F61" s="66" t="s">
        <v>108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6:A8"/>
    <mergeCell ref="B6:D6"/>
    <mergeCell ref="F6:F8"/>
    <mergeCell ref="G6:I6"/>
    <mergeCell ref="K6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timbulan sampah</vt:lpstr>
      <vt:lpstr>Fraksi pengelolaan sampah BaU</vt:lpstr>
      <vt:lpstr>Rekapitulasi BaU Emisi GRK</vt:lpstr>
      <vt:lpstr>Rekap BAU_Gabung</vt:lpstr>
      <vt:lpstr>Rekap BAU Emisi Industri Sawitt</vt:lpstr>
      <vt:lpstr>Frksi pengelolaan smph Mitigasi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2017-10-03T09:05:19Z</dcterms:modified>
</cp:coreProperties>
</file>