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Samarinda\"/>
    </mc:Choice>
  </mc:AlternateContent>
  <bookViews>
    <workbookView xWindow="360" yWindow="45" windowWidth="21015" windowHeight="9975" tabRatio="843" activeTab="3"/>
  </bookViews>
  <sheets>
    <sheet name="timbulan sampah" sheetId="4" r:id="rId1"/>
    <sheet name="Fraksi pengelolaan sampah BaU" sheetId="1" r:id="rId2"/>
    <sheet name="Rekapitulasi BaU Emisi GRK" sheetId="3" r:id="rId3"/>
    <sheet name="Rekap BAU Emisi Industri Sawitt" sheetId="6" r:id="rId4"/>
    <sheet name="Frksi pengelolaan smph Mitigasi" sheetId="2" state="hidden" r:id="rId5"/>
    <sheet name="Rekaptlasi Mitigasi Emisi GRK" sheetId="5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52511"/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16" i="6" l="1"/>
  <c r="C17" i="6"/>
  <c r="C18" i="6"/>
  <c r="C19" i="6"/>
  <c r="C20" i="6"/>
  <c r="C21" i="6"/>
  <c r="C22" i="6"/>
  <c r="C23" i="6"/>
  <c r="C24" i="6"/>
  <c r="C25" i="6"/>
  <c r="C15" i="6" l="1"/>
  <c r="C14" i="6"/>
  <c r="C13" i="6"/>
  <c r="C12" i="6"/>
  <c r="C11" i="6"/>
  <c r="C10" i="6"/>
  <c r="C9" i="6"/>
  <c r="C8" i="6"/>
  <c r="C7" i="6"/>
  <c r="C6" i="6"/>
  <c r="C5" i="6"/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5" i="4"/>
  <c r="F53" i="5"/>
  <c r="F52" i="5"/>
  <c r="F51" i="5"/>
  <c r="F50" i="5"/>
  <c r="F49" i="5"/>
  <c r="F48" i="5"/>
  <c r="F47" i="5"/>
  <c r="F46" i="5"/>
  <c r="F45" i="5"/>
  <c r="F44" i="5"/>
  <c r="F43" i="5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D16" i="6" l="1"/>
  <c r="D17" i="6"/>
  <c r="D18" i="6"/>
  <c r="D19" i="6"/>
  <c r="D20" i="6"/>
  <c r="D21" i="6"/>
  <c r="D22" i="6"/>
  <c r="D23" i="6"/>
  <c r="D24" i="6"/>
  <c r="D25" i="6"/>
  <c r="J81" i="3"/>
  <c r="I81" i="3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/>
  <c r="M29" i="3"/>
  <c r="N29" i="3"/>
  <c r="H29" i="3"/>
  <c r="I29" i="3"/>
  <c r="C29" i="3"/>
  <c r="D29" i="3"/>
  <c r="D6" i="6" l="1"/>
  <c r="D7" i="6"/>
  <c r="D8" i="6"/>
  <c r="D9" i="6"/>
  <c r="D10" i="6"/>
  <c r="D11" i="6"/>
  <c r="D12" i="6"/>
  <c r="D13" i="6"/>
  <c r="D14" i="6"/>
  <c r="D15" i="6"/>
  <c r="D5" i="6"/>
  <c r="I6" i="1" l="1"/>
  <c r="E91" i="3" l="1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90" i="3"/>
  <c r="F106" i="3" l="1"/>
  <c r="G106" i="3" s="1"/>
  <c r="F98" i="3"/>
  <c r="G98" i="3" s="1"/>
  <c r="F109" i="3"/>
  <c r="G109" i="3" s="1"/>
  <c r="F101" i="3"/>
  <c r="G101" i="3" s="1"/>
  <c r="F93" i="3"/>
  <c r="G93" i="3" s="1"/>
  <c r="F108" i="3"/>
  <c r="G108" i="3" s="1"/>
  <c r="F100" i="3"/>
  <c r="G100" i="3" s="1"/>
  <c r="F92" i="3"/>
  <c r="G92" i="3" s="1"/>
  <c r="F105" i="3"/>
  <c r="G105" i="3" s="1"/>
  <c r="F97" i="3"/>
  <c r="G97" i="3" s="1"/>
  <c r="F104" i="3"/>
  <c r="G104" i="3" s="1"/>
  <c r="F96" i="3"/>
  <c r="G96" i="3" s="1"/>
  <c r="F110" i="3"/>
  <c r="F102" i="3"/>
  <c r="G102" i="3" s="1"/>
  <c r="F94" i="3"/>
  <c r="G94" i="3" s="1"/>
  <c r="F107" i="3"/>
  <c r="G107" i="3" s="1"/>
  <c r="F99" i="3"/>
  <c r="G99" i="3" s="1"/>
  <c r="F91" i="3"/>
  <c r="G91" i="3" s="1"/>
  <c r="F90" i="3"/>
  <c r="G90" i="3" s="1"/>
  <c r="F103" i="3"/>
  <c r="G103" i="3" s="1"/>
  <c r="F95" i="3"/>
  <c r="G95" i="3" s="1"/>
  <c r="E62" i="3" l="1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F81" i="3" s="1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F53" i="3" l="1"/>
  <c r="F49" i="3"/>
  <c r="F52" i="3"/>
  <c r="F48" i="3"/>
  <c r="F73" i="3"/>
  <c r="F54" i="3"/>
  <c r="F77" i="3"/>
  <c r="F80" i="3"/>
  <c r="F72" i="3"/>
  <c r="F79" i="3"/>
  <c r="F78" i="3"/>
  <c r="F71" i="3"/>
  <c r="F63" i="3"/>
  <c r="F70" i="3"/>
  <c r="F66" i="3"/>
  <c r="F65" i="3"/>
  <c r="F64" i="3"/>
  <c r="F69" i="3"/>
  <c r="F68" i="3"/>
  <c r="F67" i="3"/>
  <c r="F76" i="3"/>
  <c r="F75" i="3"/>
  <c r="F74" i="3"/>
  <c r="F51" i="3"/>
  <c r="F50" i="3"/>
  <c r="F46" i="3"/>
  <c r="F47" i="3"/>
  <c r="F55" i="3"/>
  <c r="I17" i="1" l="1"/>
  <c r="I18" i="1"/>
  <c r="I19" i="1"/>
  <c r="I20" i="1"/>
  <c r="I21" i="1"/>
  <c r="I22" i="1"/>
  <c r="I23" i="1"/>
  <c r="I24" i="1"/>
  <c r="I25" i="1"/>
  <c r="D16" i="4" l="1"/>
  <c r="E16" i="4" s="1"/>
  <c r="I40" i="1" s="1"/>
  <c r="D17" i="4"/>
  <c r="E17" i="4" s="1"/>
  <c r="I41" i="1" s="1"/>
  <c r="D18" i="4"/>
  <c r="E18" i="4" s="1"/>
  <c r="I42" i="1" s="1"/>
  <c r="D19" i="4"/>
  <c r="E19" i="4" s="1"/>
  <c r="I43" i="1" s="1"/>
  <c r="D20" i="4"/>
  <c r="E20" i="4" s="1"/>
  <c r="I44" i="1" s="1"/>
  <c r="D21" i="4"/>
  <c r="E21" i="4" s="1"/>
  <c r="I45" i="1" s="1"/>
  <c r="D22" i="4"/>
  <c r="E22" i="4" s="1"/>
  <c r="I46" i="1" s="1"/>
  <c r="D23" i="4"/>
  <c r="E23" i="4" s="1"/>
  <c r="I47" i="1" s="1"/>
  <c r="D24" i="4"/>
  <c r="E24" i="4" s="1"/>
  <c r="I48" i="1" s="1"/>
  <c r="H41" i="1" l="1"/>
  <c r="F41" i="1"/>
  <c r="E41" i="1"/>
  <c r="B41" i="1"/>
  <c r="G41" i="1"/>
  <c r="C41" i="1"/>
  <c r="D41" i="1"/>
  <c r="D40" i="1"/>
  <c r="H40" i="1"/>
  <c r="F40" i="1"/>
  <c r="G40" i="1"/>
  <c r="E40" i="1"/>
  <c r="B40" i="1"/>
  <c r="C40" i="1"/>
  <c r="G47" i="1"/>
  <c r="E47" i="1"/>
  <c r="C47" i="1"/>
  <c r="D47" i="1"/>
  <c r="B47" i="1"/>
  <c r="H47" i="1"/>
  <c r="F47" i="1"/>
  <c r="G43" i="1"/>
  <c r="E43" i="1"/>
  <c r="C43" i="1"/>
  <c r="D43" i="1"/>
  <c r="H43" i="1"/>
  <c r="F43" i="1"/>
  <c r="B43" i="1"/>
  <c r="H45" i="1"/>
  <c r="F45" i="1"/>
  <c r="B45" i="1"/>
  <c r="D45" i="1"/>
  <c r="G45" i="1"/>
  <c r="E45" i="1"/>
  <c r="C45" i="1"/>
  <c r="D48" i="1"/>
  <c r="G48" i="1"/>
  <c r="H48" i="1"/>
  <c r="F48" i="1"/>
  <c r="B48" i="1"/>
  <c r="E48" i="1"/>
  <c r="C48" i="1"/>
  <c r="D44" i="1"/>
  <c r="H44" i="1"/>
  <c r="F44" i="1"/>
  <c r="E44" i="1"/>
  <c r="C44" i="1"/>
  <c r="B44" i="1"/>
  <c r="G44" i="1"/>
  <c r="B46" i="1"/>
  <c r="G46" i="1"/>
  <c r="E46" i="1"/>
  <c r="C46" i="1"/>
  <c r="H46" i="1"/>
  <c r="F46" i="1"/>
  <c r="D46" i="1"/>
  <c r="B42" i="1"/>
  <c r="G42" i="1"/>
  <c r="E42" i="1"/>
  <c r="C42" i="1"/>
  <c r="F42" i="1"/>
  <c r="D42" i="1"/>
  <c r="H42" i="1"/>
  <c r="J44" i="1" l="1"/>
  <c r="J48" i="1"/>
  <c r="J45" i="1"/>
  <c r="J40" i="1"/>
  <c r="J43" i="1"/>
  <c r="J41" i="1"/>
  <c r="J47" i="1"/>
  <c r="J46" i="1"/>
  <c r="J42" i="1"/>
  <c r="M15" i="1"/>
  <c r="M14" i="1" s="1"/>
  <c r="M13" i="1" s="1"/>
  <c r="M12" i="1" s="1"/>
  <c r="M11" i="1" s="1"/>
  <c r="M10" i="1" s="1"/>
  <c r="M9" i="1" s="1"/>
  <c r="M8" i="1" s="1"/>
  <c r="M7" i="1" s="1"/>
  <c r="C62" i="3" l="1"/>
  <c r="F62" i="3" s="1"/>
  <c r="E61" i="3"/>
  <c r="C61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0" i="1" s="1"/>
  <c r="D7" i="4"/>
  <c r="E7" i="4" s="1"/>
  <c r="I41" i="2" s="1"/>
  <c r="D8" i="4"/>
  <c r="E8" i="4" s="1"/>
  <c r="I32" i="1" s="1"/>
  <c r="C32" i="1" s="1"/>
  <c r="D9" i="4"/>
  <c r="E9" i="4" s="1"/>
  <c r="I33" i="1" s="1"/>
  <c r="C33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D5" i="4"/>
  <c r="E5" i="4" s="1"/>
  <c r="I29" i="1" s="1"/>
  <c r="B29" i="1" s="1"/>
  <c r="L7" i="4"/>
  <c r="L8" i="4" s="1"/>
  <c r="J7" i="4"/>
  <c r="J8" i="4" s="1"/>
  <c r="I39" i="2" l="1"/>
  <c r="F61" i="3"/>
  <c r="F40" i="3"/>
  <c r="F27" i="5"/>
  <c r="F29" i="5"/>
  <c r="F65" i="5"/>
  <c r="F69" i="5"/>
  <c r="I49" i="2"/>
  <c r="I39" i="1"/>
  <c r="C39" i="1" s="1"/>
  <c r="F26" i="5"/>
  <c r="F30" i="5"/>
  <c r="F70" i="5"/>
  <c r="F72" i="5"/>
  <c r="F35" i="3"/>
  <c r="F37" i="3"/>
  <c r="F39" i="3"/>
  <c r="F43" i="3"/>
  <c r="F45" i="3"/>
  <c r="F42" i="3"/>
  <c r="F44" i="3"/>
  <c r="F36" i="3"/>
  <c r="D30" i="1"/>
  <c r="C30" i="1"/>
  <c r="I31" i="1"/>
  <c r="I40" i="2"/>
  <c r="I36" i="1"/>
  <c r="I35" i="1"/>
  <c r="F32" i="1"/>
  <c r="E32" i="1"/>
  <c r="I42" i="2"/>
  <c r="B30" i="1"/>
  <c r="F30" i="1"/>
  <c r="E30" i="1"/>
  <c r="I34" i="1"/>
  <c r="I37" i="1"/>
  <c r="C37" i="1" s="1"/>
  <c r="I47" i="2"/>
  <c r="F33" i="1"/>
  <c r="B33" i="1"/>
  <c r="D33" i="1"/>
  <c r="G33" i="1"/>
  <c r="H33" i="1"/>
  <c r="I43" i="2"/>
  <c r="F31" i="5"/>
  <c r="F33" i="5"/>
  <c r="F63" i="5"/>
  <c r="I38" i="1"/>
  <c r="C38" i="1" s="1"/>
  <c r="F35" i="5"/>
  <c r="F67" i="5"/>
  <c r="F38" i="3"/>
  <c r="F41" i="3"/>
  <c r="G30" i="1"/>
  <c r="F36" i="5"/>
  <c r="F66" i="5"/>
  <c r="F71" i="5"/>
  <c r="B32" i="1"/>
  <c r="E33" i="1"/>
  <c r="G32" i="1"/>
  <c r="H32" i="1"/>
  <c r="D32" i="1"/>
  <c r="H30" i="1"/>
  <c r="J32" i="1" l="1"/>
  <c r="J30" i="1"/>
  <c r="J33" i="1"/>
  <c r="E29" i="1"/>
  <c r="F34" i="1"/>
  <c r="C34" i="1"/>
  <c r="F36" i="1"/>
  <c r="C36" i="1"/>
  <c r="E31" i="1"/>
  <c r="C31" i="1"/>
  <c r="E35" i="1"/>
  <c r="C35" i="1"/>
  <c r="G35" i="1"/>
  <c r="H36" i="1"/>
  <c r="G36" i="1"/>
  <c r="E36" i="1"/>
  <c r="D35" i="1"/>
  <c r="D31" i="1"/>
  <c r="H35" i="1"/>
  <c r="D29" i="1"/>
  <c r="G31" i="1"/>
  <c r="H34" i="1"/>
  <c r="G34" i="1"/>
  <c r="B36" i="1"/>
  <c r="F31" i="1"/>
  <c r="H31" i="1"/>
  <c r="D36" i="1"/>
  <c r="B31" i="1"/>
  <c r="E34" i="1"/>
  <c r="F35" i="1"/>
  <c r="B35" i="1"/>
  <c r="D34" i="1"/>
  <c r="B34" i="1"/>
  <c r="D38" i="1"/>
  <c r="B38" i="1"/>
  <c r="E38" i="1"/>
  <c r="F38" i="1"/>
  <c r="G38" i="1"/>
  <c r="F37" i="1"/>
  <c r="D37" i="1"/>
  <c r="E37" i="1"/>
  <c r="B37" i="1"/>
  <c r="G37" i="1"/>
  <c r="H37" i="1"/>
  <c r="H29" i="1"/>
  <c r="C29" i="1"/>
  <c r="G29" i="1"/>
  <c r="H38" i="1"/>
  <c r="E39" i="1"/>
  <c r="G39" i="1"/>
  <c r="F39" i="1"/>
  <c r="H39" i="1"/>
  <c r="D39" i="1"/>
  <c r="B39" i="1"/>
  <c r="F29" i="1"/>
  <c r="I7" i="1"/>
  <c r="I8" i="1"/>
  <c r="I9" i="1"/>
  <c r="I10" i="1"/>
  <c r="I11" i="1"/>
  <c r="I12" i="1"/>
  <c r="I13" i="1"/>
  <c r="I14" i="1"/>
  <c r="I15" i="1"/>
  <c r="I16" i="1"/>
  <c r="J39" i="1" l="1"/>
  <c r="J31" i="1"/>
  <c r="J29" i="1"/>
  <c r="J38" i="1"/>
  <c r="J37" i="1"/>
  <c r="J34" i="1"/>
  <c r="J36" i="1"/>
  <c r="J35" i="1"/>
  <c r="C9" i="3" l="1"/>
  <c r="D9" i="3" s="1"/>
  <c r="C11" i="3" l="1"/>
  <c r="D11" i="3" s="1"/>
  <c r="C10" i="3"/>
  <c r="D10" i="3" s="1"/>
  <c r="C12" i="3" l="1"/>
  <c r="D12" i="3" s="1"/>
  <c r="C13" i="3" l="1"/>
  <c r="D13" i="3" s="1"/>
  <c r="C14" i="3" l="1"/>
  <c r="D14" i="3" s="1"/>
  <c r="C15" i="3" l="1"/>
  <c r="D15" i="3" s="1"/>
  <c r="C16" i="3" l="1"/>
  <c r="D16" i="3" s="1"/>
  <c r="C18" i="3" l="1"/>
  <c r="D18" i="3" s="1"/>
  <c r="C17" i="3"/>
  <c r="D17" i="3" s="1"/>
  <c r="C19" i="3" l="1"/>
  <c r="D19" i="3" s="1"/>
  <c r="C20" i="3" l="1"/>
  <c r="D20" i="3" s="1"/>
  <c r="C21" i="3" l="1"/>
  <c r="D21" i="3" s="1"/>
  <c r="C22" i="3" l="1"/>
  <c r="D22" i="3" s="1"/>
  <c r="C23" i="3" l="1"/>
  <c r="D23" i="3" s="1"/>
  <c r="C24" i="3" l="1"/>
  <c r="D24" i="3" s="1"/>
  <c r="C25" i="3" l="1"/>
  <c r="D25" i="3" s="1"/>
  <c r="C27" i="3" l="1"/>
  <c r="D27" i="3" s="1"/>
  <c r="C26" i="3"/>
  <c r="D26" i="3" s="1"/>
  <c r="C28" i="3" l="1"/>
  <c r="D28" i="3" s="1"/>
  <c r="M9" i="3" l="1"/>
  <c r="N9" i="3" s="1"/>
  <c r="M10" i="3" l="1"/>
  <c r="N10" i="3" s="1"/>
  <c r="M11" i="3" l="1"/>
  <c r="N11" i="3" s="1"/>
  <c r="M12" i="3" l="1"/>
  <c r="N12" i="3" s="1"/>
  <c r="M13" i="3" l="1"/>
  <c r="N13" i="3" s="1"/>
  <c r="M14" i="3" l="1"/>
  <c r="N14" i="3" s="1"/>
  <c r="M15" i="3" l="1"/>
  <c r="N15" i="3" s="1"/>
  <c r="M16" i="3" l="1"/>
  <c r="N16" i="3" s="1"/>
  <c r="M17" i="3" l="1"/>
  <c r="N17" i="3" s="1"/>
  <c r="M18" i="3" l="1"/>
  <c r="N18" i="3" s="1"/>
  <c r="M19" i="3" l="1"/>
  <c r="N19" i="3" s="1"/>
  <c r="M20" i="3" l="1"/>
  <c r="N20" i="3" s="1"/>
  <c r="M21" i="3" l="1"/>
  <c r="N21" i="3" s="1"/>
  <c r="M22" i="3" l="1"/>
  <c r="N22" i="3" s="1"/>
  <c r="M23" i="3" l="1"/>
  <c r="N23" i="3" s="1"/>
  <c r="M24" i="3" l="1"/>
  <c r="N24" i="3" s="1"/>
  <c r="M25" i="3" l="1"/>
  <c r="N25" i="3" s="1"/>
  <c r="M26" i="3" l="1"/>
  <c r="N26" i="3" s="1"/>
  <c r="M27" i="3" l="1"/>
  <c r="N27" i="3" s="1"/>
  <c r="M28" i="3" l="1"/>
  <c r="N28" i="3" s="1"/>
  <c r="H9" i="3" l="1"/>
  <c r="I9" i="3" s="1"/>
  <c r="I61" i="3" s="1"/>
  <c r="J61" i="3" s="1"/>
  <c r="H10" i="3" l="1"/>
  <c r="I10" i="3" s="1"/>
  <c r="I62" i="3" s="1"/>
  <c r="J62" i="3" s="1"/>
  <c r="H11" i="3" l="1"/>
  <c r="I11" i="3" s="1"/>
  <c r="I63" i="3" s="1"/>
  <c r="J63" i="3" s="1"/>
  <c r="H12" i="3" l="1"/>
  <c r="I12" i="3" s="1"/>
  <c r="I64" i="3" s="1"/>
  <c r="J64" i="3" s="1"/>
  <c r="H13" i="3" l="1"/>
  <c r="I13" i="3" s="1"/>
  <c r="I65" i="3" s="1"/>
  <c r="J65" i="3" s="1"/>
  <c r="H14" i="3" l="1"/>
  <c r="I14" i="3" s="1"/>
  <c r="I66" i="3" s="1"/>
  <c r="J66" i="3" s="1"/>
  <c r="H15" i="3" l="1"/>
  <c r="I15" i="3" s="1"/>
  <c r="I67" i="3" s="1"/>
  <c r="J67" i="3" s="1"/>
  <c r="H16" i="3" l="1"/>
  <c r="I16" i="3" s="1"/>
  <c r="I68" i="3" s="1"/>
  <c r="J68" i="3" s="1"/>
  <c r="H17" i="3" l="1"/>
  <c r="I17" i="3" s="1"/>
  <c r="I69" i="3" s="1"/>
  <c r="J69" i="3" s="1"/>
  <c r="H18" i="3" l="1"/>
  <c r="I18" i="3" s="1"/>
  <c r="I70" i="3" s="1"/>
  <c r="J70" i="3" s="1"/>
  <c r="H19" i="3" l="1"/>
  <c r="I19" i="3" s="1"/>
  <c r="I71" i="3" s="1"/>
  <c r="J71" i="3" s="1"/>
  <c r="H20" i="3" l="1"/>
  <c r="I20" i="3" s="1"/>
  <c r="I72" i="3" s="1"/>
  <c r="J72" i="3" s="1"/>
  <c r="H21" i="3" l="1"/>
  <c r="I21" i="3" s="1"/>
  <c r="I73" i="3" s="1"/>
  <c r="J73" i="3" s="1"/>
  <c r="H22" i="3" l="1"/>
  <c r="I22" i="3" s="1"/>
  <c r="I74" i="3" s="1"/>
  <c r="J74" i="3" s="1"/>
  <c r="H23" i="3" l="1"/>
  <c r="I23" i="3" s="1"/>
  <c r="I75" i="3" s="1"/>
  <c r="J75" i="3" s="1"/>
  <c r="H24" i="3" l="1"/>
  <c r="I24" i="3" s="1"/>
  <c r="I76" i="3" s="1"/>
  <c r="J76" i="3" s="1"/>
  <c r="H25" i="3" l="1"/>
  <c r="I25" i="3" s="1"/>
  <c r="I77" i="3" s="1"/>
  <c r="J77" i="3" s="1"/>
  <c r="H26" i="3" l="1"/>
  <c r="I26" i="3" s="1"/>
  <c r="I78" i="3" s="1"/>
  <c r="J78" i="3" s="1"/>
  <c r="H27" i="3" l="1"/>
  <c r="I27" i="3" s="1"/>
  <c r="I79" i="3" s="1"/>
  <c r="J79" i="3" s="1"/>
  <c r="H28" i="3" l="1"/>
  <c r="I28" i="3" s="1"/>
  <c r="I80" i="3" s="1"/>
  <c r="J80" i="3" s="1"/>
</calcChain>
</file>

<file path=xl/comments1.xml><?xml version="1.0" encoding="utf-8"?>
<comments xmlns="http://schemas.openxmlformats.org/spreadsheetml/2006/main">
  <authors>
    <author>Iwied</author>
  </authors>
  <commentList>
    <comment ref="E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</commentList>
</comments>
</file>

<file path=xl/sharedStrings.xml><?xml version="1.0" encoding="utf-8"?>
<sst xmlns="http://schemas.openxmlformats.org/spreadsheetml/2006/main" count="302" uniqueCount="154">
  <si>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</si>
  <si>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</si>
  <si>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</si>
  <si>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</si>
  <si>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</si>
  <si>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</si>
  <si>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</si>
  <si>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</si>
  <si>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</si>
  <si>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KONDISI Business As Usual (BaU)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</si>
  <si>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</si>
  <si>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</si>
  <si>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</si>
  <si>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</si>
  <si>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</si>
  <si>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</si>
  <si>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</si>
  <si>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</si>
  <si>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</si>
  <si>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</si>
  <si>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</si>
  <si>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</si>
  <si>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</si>
  <si>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</si>
  <si>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</si>
  <si>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</si>
  <si>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</si>
  <si>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</si>
  <si>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</si>
  <si>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</si>
  <si>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</si>
  <si>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</si>
  <si>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</si>
  <si>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</si>
  <si>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</si>
  <si>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</si>
  <si>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</si>
  <si>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</si>
  <si>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</si>
  <si>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</si>
  <si>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</si>
  <si>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</si>
  <si>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</si>
  <si>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</si>
  <si>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</si>
  <si>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</si>
  <si>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</si>
  <si>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</si>
  <si>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</si>
  <si>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</si>
  <si>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</si>
  <si>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</si>
  <si>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</si>
  <si>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</si>
  <si>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</si>
  <si>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</si>
  <si>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</si>
  <si>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</si>
  <si>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</si>
  <si>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</si>
  <si>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</si>
  <si>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</si>
  <si>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</si>
  <si>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</si>
  <si>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</si>
  <si>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</si>
  <si>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</si>
  <si>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</si>
  <si>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</si>
  <si>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</si>
  <si>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</si>
  <si>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</si>
  <si>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</si>
  <si>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</si>
  <si>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</si>
  <si>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</si>
  <si>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</si>
  <si>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</si>
  <si>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</si>
  <si>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</si>
  <si>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</si>
  <si>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</si>
  <si>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</si>
  <si>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</si>
  <si>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</si>
  <si>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</si>
  <si>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</si>
  <si>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</si>
  <si>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</si>
  <si>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</si>
  <si>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</si>
  <si>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</si>
  <si>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</si>
  <si>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</si>
  <si>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</si>
  <si>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</si>
  <si>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</si>
  <si>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</si>
  <si>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</si>
  <si>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</si>
  <si>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</si>
  <si>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</si>
  <si>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</si>
  <si>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</si>
  <si>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</si>
  <si>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</si>
  <si>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</si>
  <si>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</si>
  <si>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</si>
  <si>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</si>
  <si>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</si>
  <si>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</si>
  <si>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</si>
  <si>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</si>
  <si>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</si>
  <si>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</si>
  <si>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</si>
  <si>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</si>
  <si>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</si>
  <si>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</si>
  <si>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</si>
  <si>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</si>
  <si>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</si>
  <si>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</si>
  <si>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>KOTA BALIKPAPAN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</si>
  <si>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</si>
  <si>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</si>
  <si>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</si>
  <si>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</si>
  <si>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</si>
  <si>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</si>
  <si>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</si>
  <si>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</si>
  <si>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</si>
  <si>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</si>
  <si>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</si>
  <si>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</si>
  <si>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</si>
  <si>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</si>
  <si>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</si>
  <si>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</si>
  <si>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</si>
  <si>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</si>
  <si>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</si>
  <si>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</si>
  <si>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Emisi CO</t>
    </r>
    <r>
      <rPr>
        <vertAlign val="subscript"/>
        <sz val="11"/>
        <rFont val="Calibri"/>
        <family val="2"/>
        <scheme val="minor"/>
      </rPr>
      <t>2</t>
    </r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</si>
  <si>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</si>
  <si>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</si>
  <si>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</si>
  <si>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Kompos</t>
  </si>
  <si>
    <t>Total timbulan sampah (Gg/tahun)</t>
  </si>
  <si>
    <t>kg CH4</t>
  </si>
  <si>
    <t>Emisi GRK dari Limbah Cair Industri Sawit</t>
  </si>
  <si>
    <t>KOTA SAMARINDA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</si>
</sst>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</numFmts>
  <fonts count="6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Sans Unicode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9" fillId="0" borderId="0" applyFont="0" applyFill="0" applyBorder="0" applyAlignment="0" applyProtection="0"/>
  </cellStyleXfs>
  <cellXfs count="257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0" fontId="6" fillId="8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1" fillId="16" borderId="10" xfId="0" applyFont="1" applyFill="1" applyBorder="1" applyAlignment="1">
      <alignment horizontal="center" vertical="center" wrapText="1"/>
    </xf>
    <xf numFmtId="0" fontId="41" fillId="10" borderId="10" xfId="0" applyFont="1" applyFill="1" applyBorder="1" applyAlignment="1">
      <alignment horizontal="center" vertical="center" wrapText="1"/>
    </xf>
    <xf numFmtId="0" fontId="41" fillId="13" borderId="10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50" fillId="13" borderId="10" xfId="0" applyFont="1" applyFill="1" applyBorder="1" applyAlignment="1">
      <alignment horizontal="center" vertical="center" wrapText="1"/>
    </xf>
    <xf numFmtId="0" fontId="18" fillId="16" borderId="1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50" fillId="13" borderId="11" xfId="0" applyFont="1" applyFill="1" applyBorder="1" applyAlignment="1">
      <alignment horizontal="center" vertical="center" wrapText="1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43" fontId="1" fillId="0" borderId="1" xfId="0" applyNumberFormat="1" applyFont="1" applyBorder="1" applyAlignment="1">
      <alignment vertical="center"/>
    </xf>
    <xf numFmtId="0" fontId="14" fillId="8" borderId="1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3" fillId="18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164" fontId="1" fillId="8" borderId="21" xfId="0" applyNumberFormat="1" applyFont="1" applyFill="1" applyBorder="1" applyAlignment="1">
      <alignment vertical="center"/>
    </xf>
    <xf numFmtId="166" fontId="41" fillId="8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right" vertical="center"/>
    </xf>
    <xf numFmtId="0" fontId="54" fillId="0" borderId="0" xfId="0" applyFont="1" applyFill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Fill="1" applyAlignment="1">
      <alignment vertical="center"/>
    </xf>
    <xf numFmtId="0" fontId="54" fillId="7" borderId="1" xfId="0" applyFont="1" applyFill="1" applyBorder="1" applyAlignment="1">
      <alignment horizontal="center" vertical="center"/>
    </xf>
    <xf numFmtId="9" fontId="54" fillId="7" borderId="1" xfId="0" applyNumberFormat="1" applyFont="1" applyFill="1" applyBorder="1" applyAlignment="1">
      <alignment horizontal="center" vertical="center"/>
    </xf>
    <xf numFmtId="3" fontId="54" fillId="0" borderId="0" xfId="0" applyNumberFormat="1" applyFont="1" applyFill="1" applyAlignment="1">
      <alignment vertical="center"/>
    </xf>
    <xf numFmtId="0" fontId="54" fillId="0" borderId="0" xfId="0" quotePrefix="1" applyFont="1" applyFill="1" applyAlignment="1">
      <alignment vertical="center"/>
    </xf>
    <xf numFmtId="3" fontId="54" fillId="0" borderId="0" xfId="0" applyNumberFormat="1" applyFont="1" applyFill="1" applyAlignment="1">
      <alignment horizontal="center" vertical="center"/>
    </xf>
    <xf numFmtId="2" fontId="54" fillId="0" borderId="1" xfId="0" applyNumberFormat="1" applyFont="1" applyBorder="1" applyAlignment="1">
      <alignment horizontal="center" vertical="center"/>
    </xf>
    <xf numFmtId="2" fontId="54" fillId="8" borderId="1" xfId="0" applyNumberFormat="1" applyFont="1" applyFill="1" applyBorder="1" applyAlignment="1">
      <alignment horizontal="center" vertical="center"/>
    </xf>
    <xf numFmtId="2" fontId="59" fillId="8" borderId="1" xfId="0" applyNumberFormat="1" applyFont="1" applyFill="1" applyBorder="1" applyAlignment="1">
      <alignment horizontal="center" vertical="center"/>
    </xf>
    <xf numFmtId="2" fontId="54" fillId="0" borderId="1" xfId="0" applyNumberFormat="1" applyFont="1" applyFill="1" applyBorder="1" applyAlignment="1">
      <alignment horizontal="center" vertical="center"/>
    </xf>
    <xf numFmtId="2" fontId="54" fillId="0" borderId="0" xfId="0" applyNumberFormat="1" applyFont="1" applyAlignment="1">
      <alignment vertical="center"/>
    </xf>
    <xf numFmtId="168" fontId="54" fillId="0" borderId="1" xfId="1" applyNumberFormat="1" applyFont="1" applyBorder="1" applyAlignment="1">
      <alignment vertical="center"/>
    </xf>
    <xf numFmtId="171" fontId="6" fillId="8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5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8" fillId="3" borderId="6" xfId="0" applyFont="1" applyFill="1" applyBorder="1" applyAlignment="1">
      <alignment horizontal="center" vertical="center"/>
    </xf>
    <xf numFmtId="0" fontId="58" fillId="3" borderId="7" xfId="0" applyFont="1" applyFill="1" applyBorder="1" applyAlignment="1">
      <alignment horizontal="center" vertical="center"/>
    </xf>
    <xf numFmtId="0" fontId="58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41" fillId="10" borderId="19" xfId="0" applyFont="1" applyFill="1" applyBorder="1" applyAlignment="1">
      <alignment horizontal="center" vertical="center" wrapText="1"/>
    </xf>
    <xf numFmtId="0" fontId="41" fillId="10" borderId="9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9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41" fillId="16" borderId="19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53" fillId="18" borderId="1" xfId="0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GRK'!$B$32:$F$32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GRK'!$F$35:$F$45</c:f>
              <c:numCache>
                <c:formatCode>0.00000</c:formatCode>
                <c:ptCount val="11"/>
                <c:pt idx="0">
                  <c:v>0.39778804593</c:v>
                </c:pt>
                <c:pt idx="1">
                  <c:v>0.40210448651999997</c:v>
                </c:pt>
                <c:pt idx="2">
                  <c:v>0.41057177535</c:v>
                </c:pt>
                <c:pt idx="3">
                  <c:v>0.41897808413999993</c:v>
                </c:pt>
                <c:pt idx="4">
                  <c:v>0.42717411693000001</c:v>
                </c:pt>
                <c:pt idx="5">
                  <c:v>0.43543060406999995</c:v>
                </c:pt>
                <c:pt idx="6">
                  <c:v>0.44573570514000005</c:v>
                </c:pt>
                <c:pt idx="7">
                  <c:v>0.45685194588</c:v>
                </c:pt>
                <c:pt idx="8">
                  <c:v>0.46796818662</c:v>
                </c:pt>
                <c:pt idx="9">
                  <c:v>0.47908442736000001</c:v>
                </c:pt>
                <c:pt idx="10">
                  <c:v>0.49020066809999996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dibuang ke badan air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GRK'!$S$9:$S$29</c:f>
              <c:numCache>
                <c:formatCode>0.0000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GRK'!$I$9:$I$29</c:f>
              <c:numCache>
                <c:formatCode>0.00000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GRK'!$D$9:$D$29</c:f>
              <c:numCache>
                <c:formatCode>0.00000</c:formatCode>
                <c:ptCount val="21"/>
                <c:pt idx="0">
                  <c:v>43.379394044065428</c:v>
                </c:pt>
                <c:pt idx="1">
                  <c:v>46.397105102204144</c:v>
                </c:pt>
                <c:pt idx="2">
                  <c:v>48.802337199246224</c:v>
                </c:pt>
                <c:pt idx="3">
                  <c:v>50.930231110485913</c:v>
                </c:pt>
                <c:pt idx="4">
                  <c:v>52.859222409055199</c:v>
                </c:pt>
                <c:pt idx="5">
                  <c:v>54.63773462766423</c:v>
                </c:pt>
                <c:pt idx="6">
                  <c:v>56.309069728200861</c:v>
                </c:pt>
                <c:pt idx="7">
                  <c:v>57.976251790217084</c:v>
                </c:pt>
                <c:pt idx="8">
                  <c:v>59.666704392126185</c:v>
                </c:pt>
                <c:pt idx="9">
                  <c:v>61.370639135948224</c:v>
                </c:pt>
                <c:pt idx="10">
                  <c:v>63.081740980554734</c:v>
                </c:pt>
                <c:pt idx="11">
                  <c:v>64.795990355172535</c:v>
                </c:pt>
                <c:pt idx="12">
                  <c:v>66.510878338180277</c:v>
                </c:pt>
                <c:pt idx="13">
                  <c:v>68.224884600598386</c:v>
                </c:pt>
                <c:pt idx="14">
                  <c:v>69.937130881157415</c:v>
                </c:pt>
                <c:pt idx="15">
                  <c:v>71.647151611753912</c:v>
                </c:pt>
                <c:pt idx="16">
                  <c:v>73.354742637710487</c:v>
                </c:pt>
                <c:pt idx="17">
                  <c:v>75.059861919430759</c:v>
                </c:pt>
                <c:pt idx="18">
                  <c:v>76.762564767165586</c:v>
                </c:pt>
                <c:pt idx="19">
                  <c:v>78.462961960340976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GRK'!$B$58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GRK'!$F$61:$F$71</c:f>
              <c:numCache>
                <c:formatCode>0.000000</c:formatCode>
                <c:ptCount val="11"/>
                <c:pt idx="0">
                  <c:v>2.1694313740080298</c:v>
                </c:pt>
                <c:pt idx="1">
                  <c:v>2.1929721056509202</c:v>
                </c:pt>
                <c:pt idx="2">
                  <c:v>2.2391504718148503</c:v>
                </c:pt>
                <c:pt idx="3">
                  <c:v>2.2849962688799401</c:v>
                </c:pt>
                <c:pt idx="4">
                  <c:v>2.3296952759490299</c:v>
                </c:pt>
                <c:pt idx="5">
                  <c:v>2.3747239851419701</c:v>
                </c:pt>
                <c:pt idx="6">
                  <c:v>2.43092529587094</c:v>
                </c:pt>
                <c:pt idx="7">
                  <c:v>2.4915503490094801</c:v>
                </c:pt>
                <c:pt idx="8">
                  <c:v>2.5521754021480203</c:v>
                </c:pt>
                <c:pt idx="9">
                  <c:v>2.6128004552865605</c:v>
                </c:pt>
                <c:pt idx="10">
                  <c:v>2.6734255084251002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628008"/>
        <c:axId val="305628400"/>
        <c:axId val="0"/>
      </c:bar3DChart>
      <c:catAx>
        <c:axId val="30562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5628400"/>
        <c:crosses val="autoZero"/>
        <c:auto val="1"/>
        <c:lblAlgn val="ctr"/>
        <c:lblOffset val="100"/>
        <c:noMultiLvlLbl val="0"/>
      </c:catAx>
      <c:valAx>
        <c:axId val="3056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5628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Baseline </a:t>
            </a:r>
            <a:r>
              <a:rPr lang="id-ID" baseline="0"/>
              <a:t> Emisi GRK dari </a:t>
            </a:r>
            <a:r>
              <a:rPr lang="en-US" baseline="0"/>
              <a:t>Pengelolaan Air Limbah Domestik</a:t>
            </a:r>
            <a:endParaRPr lang="id-ID" baseline="0"/>
          </a:p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aseline="0"/>
              <a:t>Periode 2000 - 2010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GRK'!$D$86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GRK'!$E$90:$E$100</c:f>
              <c:numCache>
                <c:formatCode>_(* #,##0.00_);_(* \(#,##0.00\);_(* "-"??_);_(@_)</c:formatCode>
                <c:ptCount val="11"/>
                <c:pt idx="0">
                  <c:v>8.3285898544828587</c:v>
                </c:pt>
                <c:pt idx="1">
                  <c:v>8.1156520254857174</c:v>
                </c:pt>
                <c:pt idx="2">
                  <c:v>8.169363344685717</c:v>
                </c:pt>
                <c:pt idx="3">
                  <c:v>8.5216966966266696</c:v>
                </c:pt>
                <c:pt idx="4">
                  <c:v>8.6883977919723812</c:v>
                </c:pt>
                <c:pt idx="5">
                  <c:v>8.8563284829800004</c:v>
                </c:pt>
                <c:pt idx="6">
                  <c:v>9.065926428721907</c:v>
                </c:pt>
                <c:pt idx="7">
                  <c:v>9.2920223406057154</c:v>
                </c:pt>
                <c:pt idx="8">
                  <c:v>9.5181182524895238</c:v>
                </c:pt>
                <c:pt idx="9">
                  <c:v>9.744214164373334</c:v>
                </c:pt>
                <c:pt idx="10">
                  <c:v>9.9703100762571424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GRK'!$B$86:$C$86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GRK'!$C$90:$C$100</c:f>
              <c:numCache>
                <c:formatCode>_(* #,##0.00_);_(* \(#,##0.00\);_(* "-"??_);_(@_)</c:formatCode>
                <c:ptCount val="11"/>
                <c:pt idx="0">
                  <c:v>16.601228149111201</c:v>
                </c:pt>
                <c:pt idx="1">
                  <c:v>16.781369849596796</c:v>
                </c:pt>
                <c:pt idx="2">
                  <c:v>17.134742443644001</c:v>
                </c:pt>
                <c:pt idx="3">
                  <c:v>17.485570105617601</c:v>
                </c:pt>
                <c:pt idx="4">
                  <c:v>17.827622139751199</c:v>
                </c:pt>
                <c:pt idx="5">
                  <c:v>18.1721971668888</c:v>
                </c:pt>
                <c:pt idx="6">
                  <c:v>18.602268748257604</c:v>
                </c:pt>
                <c:pt idx="7">
                  <c:v>19.066192314019201</c:v>
                </c:pt>
                <c:pt idx="8">
                  <c:v>19.530115879780801</c:v>
                </c:pt>
                <c:pt idx="9">
                  <c:v>19.994039445542406</c:v>
                </c:pt>
                <c:pt idx="10">
                  <c:v>20.457963011304003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629576"/>
        <c:axId val="305629968"/>
        <c:axId val="0"/>
      </c:bar3DChart>
      <c:catAx>
        <c:axId val="30562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29968"/>
        <c:crosses val="autoZero"/>
        <c:auto val="1"/>
        <c:lblAlgn val="ctr"/>
        <c:lblOffset val="100"/>
        <c:noMultiLvlLbl val="0"/>
      </c:catAx>
      <c:valAx>
        <c:axId val="3056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29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Cair Domestik</a:t>
            </a:r>
            <a:r>
              <a:rPr lang="id-ID" baseline="0"/>
              <a:t> </a:t>
            </a:r>
          </a:p>
          <a:p>
            <a:pPr>
              <a:defRPr/>
            </a:pPr>
            <a:r>
              <a:rPr lang="id-ID" baseline="0"/>
              <a:t>Periode 2011 - 2030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'Rekapitulasi BaU Emisi GRK'!$A$86:$A$89</c:f>
              <c:strCache>
                <c:ptCount val="4"/>
                <c:pt idx="0">
                  <c:v>Tahun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GRK'!$G$90:$G$109</c:f>
              <c:numCache>
                <c:formatCode>_(* #,##0.00_);_(* \(#,##0.00\);_(* "-"??_);_(@_)</c:formatCode>
                <c:ptCount val="20"/>
                <c:pt idx="0">
                  <c:v>24929.818003594057</c:v>
                </c:pt>
                <c:pt idx="1">
                  <c:v>24897.021875082515</c:v>
                </c:pt>
                <c:pt idx="2">
                  <c:v>25304.105788329718</c:v>
                </c:pt>
                <c:pt idx="3">
                  <c:v>26007.26680224427</c:v>
                </c:pt>
                <c:pt idx="4">
                  <c:v>26516.019931723578</c:v>
                </c:pt>
                <c:pt idx="5">
                  <c:v>27028.5256498688</c:v>
                </c:pt>
                <c:pt idx="6">
                  <c:v>27668.195176979509</c:v>
                </c:pt>
                <c:pt idx="7">
                  <c:v>28358.214654624917</c:v>
                </c:pt>
                <c:pt idx="8">
                  <c:v>29048.234132270325</c:v>
                </c:pt>
                <c:pt idx="9">
                  <c:v>29738.253609915737</c:v>
                </c:pt>
                <c:pt idx="10">
                  <c:v>30428.273087561145</c:v>
                </c:pt>
                <c:pt idx="11">
                  <c:v>31118.292565206553</c:v>
                </c:pt>
                <c:pt idx="12">
                  <c:v>31808.312042851958</c:v>
                </c:pt>
                <c:pt idx="13">
                  <c:v>32498.331520497366</c:v>
                </c:pt>
                <c:pt idx="14">
                  <c:v>33188.350998142785</c:v>
                </c:pt>
                <c:pt idx="15">
                  <c:v>33878.370475788193</c:v>
                </c:pt>
                <c:pt idx="16">
                  <c:v>34568.389953433594</c:v>
                </c:pt>
                <c:pt idx="17">
                  <c:v>35258.409431079017</c:v>
                </c:pt>
                <c:pt idx="18">
                  <c:v>35948.428908724418</c:v>
                </c:pt>
                <c:pt idx="19">
                  <c:v>36638.448386369833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631144"/>
        <c:axId val="305631536"/>
      </c:lineChart>
      <c:catAx>
        <c:axId val="30563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31536"/>
        <c:crosses val="autoZero"/>
        <c:auto val="1"/>
        <c:lblAlgn val="ctr"/>
        <c:lblOffset val="100"/>
        <c:noMultiLvlLbl val="0"/>
      </c:catAx>
      <c:valAx>
        <c:axId val="3056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3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Emisi GRK 2011 - 2030 Limbah Padat Domestik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GRK'!$H$61:$H$80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GRK'!$J$61:$J$80</c:f>
              <c:numCache>
                <c:formatCode>_(* #,##0.00_);_(* \(#,##0.00\);_(* "-"??_);_(@_)</c:formatCode>
                <c:ptCount val="20"/>
                <c:pt idx="0">
                  <c:v>76708.793055644419</c:v>
                </c:pt>
                <c:pt idx="1">
                  <c:v>81894.348982290554</c:v>
                </c:pt>
                <c:pt idx="2">
                  <c:v>86059.879460909753</c:v>
                </c:pt>
                <c:pt idx="3">
                  <c:v>89751.005861248734</c:v>
                </c:pt>
                <c:pt idx="4">
                  <c:v>93100.822251835591</c:v>
                </c:pt>
                <c:pt idx="5">
                  <c:v>96193.838581435572</c:v>
                </c:pt>
                <c:pt idx="6">
                  <c:v>99116.895140073873</c:v>
                </c:pt>
                <c:pt idx="7">
                  <c:v>102038.08844541995</c:v>
                </c:pt>
                <c:pt idx="8">
                  <c:v>104999.05442359908</c:v>
                </c:pt>
                <c:pt idx="9">
                  <c:v>107983.06330589042</c:v>
                </c:pt>
                <c:pt idx="10">
                  <c:v>110979.32178599839</c:v>
                </c:pt>
                <c:pt idx="11">
                  <c:v>113980.95984397373</c:v>
                </c:pt>
                <c:pt idx="12">
                  <c:v>116983.68937480188</c:v>
                </c:pt>
                <c:pt idx="13">
                  <c:v>119984.91191934166</c:v>
                </c:pt>
                <c:pt idx="14">
                  <c:v>122983.12640377639</c:v>
                </c:pt>
                <c:pt idx="15">
                  <c:v>125977.53710579181</c:v>
                </c:pt>
                <c:pt idx="16">
                  <c:v>128967.79509591612</c:v>
                </c:pt>
                <c:pt idx="17">
                  <c:v>131953.82852248117</c:v>
                </c:pt>
                <c:pt idx="18">
                  <c:v>134935.73191859701</c:v>
                </c:pt>
                <c:pt idx="19">
                  <c:v>137913.69462210839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478528"/>
        <c:axId val="307478920"/>
      </c:lineChart>
      <c:catAx>
        <c:axId val="3074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78920"/>
        <c:crosses val="autoZero"/>
        <c:auto val="1"/>
        <c:lblAlgn val="ctr"/>
        <c:lblOffset val="100"/>
        <c:noMultiLvlLbl val="0"/>
      </c:catAx>
      <c:valAx>
        <c:axId val="30747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7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29</xdr:row>
      <xdr:rowOff>118582</xdr:rowOff>
    </xdr:from>
    <xdr:to>
      <xdr:col>18</xdr:col>
      <xdr:colOff>95757</xdr:colOff>
      <xdr:row>42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201706</xdr:colOff>
      <xdr:row>84</xdr:row>
      <xdr:rowOff>134472</xdr:rowOff>
    </xdr:from>
    <xdr:to>
      <xdr:col>18</xdr:col>
      <xdr:colOff>129378</xdr:colOff>
      <xdr:row>97</xdr:row>
      <xdr:rowOff>159939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219314</xdr:colOff>
      <xdr:row>98</xdr:row>
      <xdr:rowOff>112779</xdr:rowOff>
    </xdr:from>
    <xdr:to>
      <xdr:col>18</xdr:col>
      <xdr:colOff>212912</xdr:colOff>
      <xdr:row>115</xdr:row>
      <xdr:rowOff>156882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112057</xdr:colOff>
      <xdr:row>57</xdr:row>
      <xdr:rowOff>169209</xdr:rowOff>
    </xdr:from>
    <xdr:to>
      <xdr:col>18</xdr:col>
      <xdr:colOff>44823</xdr:colOff>
      <xdr:row>71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1_Data%20Jumlah%20Penduduk%20dan%20Pertumbu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MD_IPCC%204A-TPA%20-%201_Diangkut%20TP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MD_IPCC%204A-TPA%20-%203_Dibuang%20Sembaranga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MD_IPCC%204A-TPA%20-%202_Open%20Dumpi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MD_IPCC%204A-TPA%20-%204_Buang%20ke%20sunga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MD_IPCC%204A-TPA%20-%205_Peng%20biologi%20sampah%20+%20pembakaran%20sampah%20+%20Air%20Limbah%20(2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MD_Palm%20Oil%20Wastewater%20Indus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14">
          <cell r="J14">
            <v>756697</v>
          </cell>
        </row>
        <row r="15">
          <cell r="J15">
            <v>764908</v>
          </cell>
        </row>
        <row r="16">
          <cell r="J16">
            <v>781015</v>
          </cell>
        </row>
        <row r="17">
          <cell r="J17">
            <v>797006</v>
          </cell>
        </row>
        <row r="18">
          <cell r="J18">
            <v>812597</v>
          </cell>
        </row>
        <row r="19">
          <cell r="J19">
            <v>828303</v>
          </cell>
        </row>
        <row r="20">
          <cell r="J20">
            <v>847906</v>
          </cell>
        </row>
        <row r="21">
          <cell r="J21">
            <v>869052</v>
          </cell>
        </row>
        <row r="22">
          <cell r="J22">
            <v>890198</v>
          </cell>
        </row>
        <row r="23">
          <cell r="J23">
            <v>911344</v>
          </cell>
        </row>
        <row r="24">
          <cell r="J24">
            <v>932490</v>
          </cell>
        </row>
        <row r="25">
          <cell r="J25">
            <v>953636</v>
          </cell>
        </row>
        <row r="26">
          <cell r="J26">
            <v>974782</v>
          </cell>
        </row>
        <row r="27">
          <cell r="J27">
            <v>995928</v>
          </cell>
        </row>
        <row r="28">
          <cell r="J28">
            <v>1017074</v>
          </cell>
        </row>
        <row r="29">
          <cell r="J29">
            <v>1038220</v>
          </cell>
        </row>
        <row r="30">
          <cell r="J30">
            <v>1059366</v>
          </cell>
        </row>
        <row r="31">
          <cell r="J31">
            <v>1080512</v>
          </cell>
        </row>
        <row r="32">
          <cell r="J32">
            <v>1101658</v>
          </cell>
        </row>
        <row r="33">
          <cell r="J33">
            <v>1122804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2.0656854306697823</v>
          </cell>
        </row>
        <row r="29">
          <cell r="O29">
            <v>2.2093859572478163</v>
          </cell>
        </row>
        <row r="30">
          <cell r="O30">
            <v>2.3239208190117249</v>
          </cell>
        </row>
        <row r="31">
          <cell r="O31">
            <v>2.4252491004993293</v>
          </cell>
        </row>
        <row r="32">
          <cell r="O32">
            <v>2.5171058290026287</v>
          </cell>
        </row>
        <row r="33">
          <cell r="O33">
            <v>2.6017968870316301</v>
          </cell>
        </row>
        <row r="34">
          <cell r="O34">
            <v>2.6813842727714694</v>
          </cell>
        </row>
        <row r="35">
          <cell r="O35">
            <v>2.760773894772242</v>
          </cell>
        </row>
        <row r="36">
          <cell r="O36">
            <v>2.8412716377202947</v>
          </cell>
        </row>
        <row r="37">
          <cell r="O37">
            <v>2.9224113874261057</v>
          </cell>
        </row>
        <row r="38">
          <cell r="O38">
            <v>3.0038924276454635</v>
          </cell>
        </row>
        <row r="39">
          <cell r="O39">
            <v>3.0855233502463109</v>
          </cell>
        </row>
        <row r="40">
          <cell r="O40">
            <v>3.1671846827704897</v>
          </cell>
        </row>
        <row r="41">
          <cell r="O41">
            <v>3.2488040285999231</v>
          </cell>
        </row>
        <row r="42">
          <cell r="O42">
            <v>3.3303395657694006</v>
          </cell>
        </row>
        <row r="43">
          <cell r="O43">
            <v>3.4117691243692336</v>
          </cell>
        </row>
        <row r="44">
          <cell r="O44">
            <v>3.4930829827481182</v>
          </cell>
        </row>
        <row r="45">
          <cell r="O45">
            <v>3.5742791390205122</v>
          </cell>
        </row>
        <row r="46">
          <cell r="O46">
            <v>3.6553602270078853</v>
          </cell>
        </row>
        <row r="47">
          <cell r="O47">
            <v>3.7363315219209987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1.464865694840046</v>
          </cell>
        </row>
        <row r="29">
          <cell r="O29">
            <v>1.5667698708531181</v>
          </cell>
        </row>
        <row r="30">
          <cell r="O30">
            <v>1.6479914292618421</v>
          </cell>
        </row>
        <row r="31">
          <cell r="O31">
            <v>1.7198476379877561</v>
          </cell>
        </row>
        <row r="32">
          <cell r="O32">
            <v>1.7849871642810167</v>
          </cell>
        </row>
        <row r="33">
          <cell r="O33">
            <v>1.8450452078361603</v>
          </cell>
        </row>
        <row r="34">
          <cell r="O34">
            <v>1.9014840195648612</v>
          </cell>
        </row>
        <row r="35">
          <cell r="O35">
            <v>1.957782588586352</v>
          </cell>
        </row>
        <row r="36">
          <cell r="O36">
            <v>2.0148669734621363</v>
          </cell>
        </row>
        <row r="37">
          <cell r="O37">
            <v>2.0724066327283643</v>
          </cell>
        </row>
        <row r="38">
          <cell r="O38">
            <v>2.1301883156627879</v>
          </cell>
        </row>
        <row r="39">
          <cell r="O39">
            <v>2.1880762865903609</v>
          </cell>
        </row>
        <row r="40">
          <cell r="O40">
            <v>2.2459858224923535</v>
          </cell>
        </row>
        <row r="41">
          <cell r="O41">
            <v>2.3038655838372639</v>
          </cell>
        </row>
        <row r="42">
          <cell r="O42">
            <v>2.3616859128847487</v>
          </cell>
        </row>
        <row r="43">
          <cell r="O43">
            <v>2.4194310880057186</v>
          </cell>
        </row>
        <row r="44">
          <cell r="O44">
            <v>2.4770942151623481</v>
          </cell>
        </row>
        <row r="45">
          <cell r="O45">
            <v>2.5346738747321673</v>
          </cell>
        </row>
        <row r="46">
          <cell r="O46">
            <v>2.592171934470382</v>
          </cell>
        </row>
        <row r="47">
          <cell r="O47">
            <v>2.649592135254069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REKAPITULASI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</sheetNames>
    <sheetDataSet>
      <sheetData sheetId="0"/>
      <sheetData sheetId="1"/>
      <sheetData sheetId="2"/>
      <sheetData sheetId="3">
        <row r="6">
          <cell r="B6">
            <v>8.9895603600000009E-3</v>
          </cell>
          <cell r="D6">
            <v>6.7421702699999996E-4</v>
          </cell>
        </row>
        <row r="7">
          <cell r="B7">
            <v>9.0871070400000004E-3</v>
          </cell>
          <cell r="D7">
            <v>6.8153302800000001E-4</v>
          </cell>
        </row>
        <row r="8">
          <cell r="B8">
            <v>9.278458199999999E-3</v>
          </cell>
          <cell r="D8">
            <v>6.9588436499999997E-4</v>
          </cell>
        </row>
        <row r="9">
          <cell r="B9">
            <v>9.4684312799999983E-3</v>
          </cell>
          <cell r="D9">
            <v>7.1013234599999985E-4</v>
          </cell>
        </row>
        <row r="10">
          <cell r="B10">
            <v>9.6536523600000007E-3</v>
          </cell>
          <cell r="D10">
            <v>7.2402392700000005E-4</v>
          </cell>
        </row>
        <row r="11">
          <cell r="B11">
            <v>9.8402396399999998E-3</v>
          </cell>
          <cell r="D11">
            <v>7.380179729999999E-4</v>
          </cell>
        </row>
        <row r="12">
          <cell r="B12">
            <v>1.007312328E-2</v>
          </cell>
          <cell r="D12">
            <v>7.5548424600000005E-4</v>
          </cell>
        </row>
        <row r="13">
          <cell r="B13">
            <v>1.032433776E-2</v>
          </cell>
          <cell r="D13">
            <v>7.7432533199999994E-4</v>
          </cell>
        </row>
        <row r="14">
          <cell r="B14">
            <v>1.0575552240000001E-2</v>
          </cell>
          <cell r="D14">
            <v>7.9316641799999994E-4</v>
          </cell>
        </row>
        <row r="15">
          <cell r="B15">
            <v>1.082676672E-2</v>
          </cell>
          <cell r="D15">
            <v>8.1200750399999994E-4</v>
          </cell>
        </row>
        <row r="16">
          <cell r="B16">
            <v>1.10779812E-2</v>
          </cell>
          <cell r="D16">
            <v>8.3084858999999994E-4</v>
          </cell>
        </row>
        <row r="17">
          <cell r="B17">
            <v>1.1329195679999999E-2</v>
          </cell>
          <cell r="D17">
            <v>8.4968967600000005E-4</v>
          </cell>
        </row>
        <row r="18">
          <cell r="B18">
            <v>1.1580410160000002E-2</v>
          </cell>
          <cell r="D18">
            <v>8.6853076200000016E-4</v>
          </cell>
        </row>
        <row r="19">
          <cell r="B19">
            <v>1.1831624640000002E-2</v>
          </cell>
          <cell r="D19">
            <v>8.8737184800000005E-4</v>
          </cell>
        </row>
        <row r="20">
          <cell r="B20">
            <v>1.2082839120000001E-2</v>
          </cell>
          <cell r="D20">
            <v>9.0621293400000005E-4</v>
          </cell>
        </row>
        <row r="21">
          <cell r="B21">
            <v>1.23340536E-2</v>
          </cell>
          <cell r="D21">
            <v>9.2505402000000005E-4</v>
          </cell>
        </row>
        <row r="22">
          <cell r="B22">
            <v>1.258526808E-2</v>
          </cell>
          <cell r="D22">
            <v>9.4389510600000005E-4</v>
          </cell>
        </row>
        <row r="23">
          <cell r="B23">
            <v>1.2836482560000001E-2</v>
          </cell>
          <cell r="D23">
            <v>9.6273619199999994E-4</v>
          </cell>
        </row>
        <row r="24">
          <cell r="B24">
            <v>1.308769704E-2</v>
          </cell>
          <cell r="D24">
            <v>9.8157727799999994E-4</v>
          </cell>
        </row>
        <row r="25">
          <cell r="B25">
            <v>1.333891152E-2</v>
          </cell>
          <cell r="D25">
            <v>1.0004183639999999E-3</v>
          </cell>
        </row>
        <row r="32">
          <cell r="B32">
            <v>7.705630563416499E-2</v>
          </cell>
          <cell r="D32">
            <v>1.7782224377115E-3</v>
          </cell>
        </row>
        <row r="33">
          <cell r="B33">
            <v>7.7892451840060009E-2</v>
          </cell>
          <cell r="D33">
            <v>1.7975181193860001E-3</v>
          </cell>
        </row>
        <row r="34">
          <cell r="B34">
            <v>7.9532667031675011E-2</v>
          </cell>
          <cell r="D34">
            <v>1.8353692391925003E-3</v>
          </cell>
        </row>
        <row r="35">
          <cell r="B35">
            <v>8.1161069659670002E-2</v>
          </cell>
          <cell r="D35">
            <v>1.8729477613769999E-3</v>
          </cell>
        </row>
        <row r="36">
          <cell r="B36">
            <v>8.274873930966499E-2</v>
          </cell>
          <cell r="D36">
            <v>1.9095862917614997E-3</v>
          </cell>
        </row>
        <row r="37">
          <cell r="B37">
            <v>8.4348119690835013E-2</v>
          </cell>
          <cell r="D37">
            <v>1.9464950697885002E-3</v>
          </cell>
        </row>
        <row r="38">
          <cell r="B38">
            <v>8.6344341110170003E-2</v>
          </cell>
          <cell r="D38">
            <v>1.9925617179269999E-3</v>
          </cell>
        </row>
        <row r="39">
          <cell r="B39">
            <v>8.849768999214E-2</v>
          </cell>
          <cell r="D39">
            <v>2.0422543844340001E-3</v>
          </cell>
        </row>
        <row r="40">
          <cell r="B40">
            <v>9.065103887411001E-2</v>
          </cell>
          <cell r="D40">
            <v>2.0919470509410004E-3</v>
          </cell>
        </row>
        <row r="41">
          <cell r="B41">
            <v>9.280438775608002E-2</v>
          </cell>
          <cell r="D41">
            <v>2.1416397174480002E-3</v>
          </cell>
        </row>
        <row r="42">
          <cell r="B42">
            <v>9.4957736638050003E-2</v>
          </cell>
          <cell r="D42">
            <v>2.1913323839550004E-3</v>
          </cell>
        </row>
        <row r="43">
          <cell r="B43">
            <v>9.7111085520020013E-2</v>
          </cell>
          <cell r="D43">
            <v>2.2410250504620003E-3</v>
          </cell>
        </row>
        <row r="44">
          <cell r="B44">
            <v>9.9264434401989995E-2</v>
          </cell>
          <cell r="D44">
            <v>2.2907177169690001E-3</v>
          </cell>
        </row>
        <row r="45">
          <cell r="B45">
            <v>0.10141778328396002</v>
          </cell>
          <cell r="D45">
            <v>2.3404103834760003E-3</v>
          </cell>
        </row>
        <row r="46">
          <cell r="B46">
            <v>0.10357113216593</v>
          </cell>
          <cell r="D46">
            <v>2.3901030499830001E-3</v>
          </cell>
        </row>
        <row r="47">
          <cell r="B47">
            <v>0.1057244810479</v>
          </cell>
          <cell r="D47">
            <v>2.43979571649E-3</v>
          </cell>
        </row>
        <row r="48">
          <cell r="B48">
            <v>0.10787782992986999</v>
          </cell>
          <cell r="D48">
            <v>2.4894883829969998E-3</v>
          </cell>
        </row>
        <row r="49">
          <cell r="B49">
            <v>0.11003117881184001</v>
          </cell>
          <cell r="D49">
            <v>2.539181049504E-3</v>
          </cell>
        </row>
        <row r="50">
          <cell r="B50">
            <v>0.11218452769381</v>
          </cell>
          <cell r="D50">
            <v>2.5888737160109998E-3</v>
          </cell>
        </row>
        <row r="51">
          <cell r="B51">
            <v>0.11433787657578</v>
          </cell>
          <cell r="D51">
            <v>2.6385663825180001E-3</v>
          </cell>
        </row>
        <row r="59">
          <cell r="B59">
            <v>0.79053467376719999</v>
          </cell>
          <cell r="D59">
            <v>2.6866418885428577E-2</v>
          </cell>
        </row>
        <row r="60">
          <cell r="B60">
            <v>0.7991128499807999</v>
          </cell>
          <cell r="D60">
            <v>2.6179522662857151E-2</v>
          </cell>
        </row>
        <row r="61">
          <cell r="B61">
            <v>0.8159401163640001</v>
          </cell>
          <cell r="D61">
            <v>2.635278498285715E-2</v>
          </cell>
        </row>
        <row r="62">
          <cell r="B62">
            <v>0.83264619550560004</v>
          </cell>
          <cell r="D62">
            <v>2.7489344182666676E-2</v>
          </cell>
        </row>
        <row r="63">
          <cell r="B63">
            <v>0.84893438760719997</v>
          </cell>
          <cell r="D63">
            <v>2.8027089651523812E-2</v>
          </cell>
        </row>
        <row r="64">
          <cell r="B64">
            <v>0.86534272223279995</v>
          </cell>
          <cell r="D64">
            <v>2.8568801558000002E-2</v>
          </cell>
        </row>
        <row r="65">
          <cell r="B65">
            <v>0.88582232134560013</v>
          </cell>
          <cell r="D65">
            <v>2.9244923963619055E-2</v>
          </cell>
        </row>
        <row r="66">
          <cell r="B66">
            <v>0.90791391971519997</v>
          </cell>
          <cell r="D66">
            <v>2.9974265614857144E-2</v>
          </cell>
        </row>
        <row r="67">
          <cell r="B67">
            <v>0.93000551808480003</v>
          </cell>
          <cell r="D67">
            <v>3.070360726609524E-2</v>
          </cell>
        </row>
        <row r="68">
          <cell r="B68">
            <v>0.95209711645440032</v>
          </cell>
          <cell r="D68">
            <v>3.1432948917333337E-2</v>
          </cell>
        </row>
        <row r="69">
          <cell r="B69">
            <v>0.97418871482400005</v>
          </cell>
          <cell r="D69">
            <v>3.2162290568571429E-2</v>
          </cell>
        </row>
        <row r="70">
          <cell r="B70">
            <v>0.9962803131936</v>
          </cell>
          <cell r="D70">
            <v>3.2891632219809529E-2</v>
          </cell>
        </row>
        <row r="71">
          <cell r="B71">
            <v>1.0183719115631999</v>
          </cell>
          <cell r="D71">
            <v>3.3620973871047614E-2</v>
          </cell>
        </row>
        <row r="72">
          <cell r="B72">
            <v>1.0404635099327999</v>
          </cell>
          <cell r="D72">
            <v>3.4350315522285714E-2</v>
          </cell>
        </row>
        <row r="73">
          <cell r="B73">
            <v>1.0625551083024001</v>
          </cell>
          <cell r="D73">
            <v>3.5079657173523821E-2</v>
          </cell>
        </row>
        <row r="74">
          <cell r="B74">
            <v>1.084646706672</v>
          </cell>
          <cell r="D74">
            <v>3.5808998824761913E-2</v>
          </cell>
        </row>
        <row r="75">
          <cell r="B75">
            <v>1.1067383050416</v>
          </cell>
          <cell r="D75">
            <v>3.6538340475999999E-2</v>
          </cell>
        </row>
        <row r="76">
          <cell r="B76">
            <v>1.1288299034112002</v>
          </cell>
          <cell r="D76">
            <v>3.7267682127238098E-2</v>
          </cell>
        </row>
        <row r="77">
          <cell r="B77">
            <v>1.1509215017807999</v>
          </cell>
          <cell r="D77">
            <v>3.7997023778476191E-2</v>
          </cell>
        </row>
        <row r="78">
          <cell r="B78">
            <v>1.1730131001504001</v>
          </cell>
          <cell r="D78">
            <v>3.8726365429714284E-2</v>
          </cell>
        </row>
      </sheetData>
      <sheetData sheetId="4"/>
      <sheetData sheetId="5">
        <row r="14">
          <cell r="M14">
            <v>2.0771393837410908</v>
          </cell>
        </row>
        <row r="15">
          <cell r="M15">
            <v>2.1208786099668826</v>
          </cell>
        </row>
        <row r="16">
          <cell r="M16">
            <v>2.1643028333838212</v>
          </cell>
        </row>
        <row r="17">
          <cell r="M17">
            <v>2.2066408402185087</v>
          </cell>
        </row>
        <row r="18">
          <cell r="M18">
            <v>2.2492911343205941</v>
          </cell>
        </row>
        <row r="19">
          <cell r="M19">
            <v>2.3025238934752585</v>
          </cell>
        </row>
        <row r="20">
          <cell r="M20">
            <v>2.3599467330959567</v>
          </cell>
        </row>
        <row r="21">
          <cell r="M21">
            <v>2.4173695727166558</v>
          </cell>
        </row>
        <row r="22">
          <cell r="M22">
            <v>2.4747924123373539</v>
          </cell>
        </row>
        <row r="23">
          <cell r="M23">
            <v>2.5322152519580525</v>
          </cell>
        </row>
        <row r="24">
          <cell r="M24">
            <v>2.5896380915787507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6384</v>
          </cell>
        </row>
        <row r="13">
          <cell r="G13">
            <v>31464</v>
          </cell>
        </row>
        <row r="14">
          <cell r="G14">
            <v>35466</v>
          </cell>
        </row>
        <row r="15">
          <cell r="G15">
            <v>33984</v>
          </cell>
        </row>
        <row r="16">
          <cell r="G16">
            <v>42564</v>
          </cell>
        </row>
        <row r="17">
          <cell r="G17">
            <v>35700</v>
          </cell>
        </row>
        <row r="18">
          <cell r="G18">
            <v>193995.43596</v>
          </cell>
        </row>
        <row r="19">
          <cell r="G19">
            <v>250077.57924095995</v>
          </cell>
        </row>
        <row r="20">
          <cell r="G20">
            <v>322240.45957778767</v>
          </cell>
        </row>
        <row r="21">
          <cell r="G21">
            <v>415063.39889326872</v>
          </cell>
        </row>
        <row r="22">
          <cell r="G22">
            <v>534422.15394015692</v>
          </cell>
        </row>
        <row r="23">
          <cell r="G23">
            <v>687854.09390365973</v>
          </cell>
        </row>
        <row r="24">
          <cell r="G24">
            <v>885025.78832207806</v>
          </cell>
        </row>
        <row r="25">
          <cell r="G25">
            <v>1138331.6141833623</v>
          </cell>
        </row>
        <row r="26">
          <cell r="G26">
            <v>1463659.9556952326</v>
          </cell>
        </row>
        <row r="27">
          <cell r="G27">
            <v>1881373.7454208974</v>
          </cell>
        </row>
        <row r="28">
          <cell r="G28">
            <v>2417565.0930667785</v>
          </cell>
        </row>
        <row r="29">
          <cell r="G29">
            <v>3105660.3489773753</v>
          </cell>
        </row>
        <row r="30">
          <cell r="G30">
            <v>3988473.1495746095</v>
          </cell>
        </row>
        <row r="31">
          <cell r="G31">
            <v>5126037.407999998</v>
          </cell>
        </row>
        <row r="32">
          <cell r="G32"/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3" zoomScale="85" zoomScaleNormal="85" workbookViewId="0">
      <selection activeCell="B5" sqref="B5:B24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124</v>
      </c>
    </row>
    <row r="2" spans="1:14" ht="21" x14ac:dyDescent="0.25">
      <c r="G2" s="80" t="s">
        <v>18</v>
      </c>
    </row>
    <row r="3" spans="1:14" ht="15.75" customHeight="1" x14ac:dyDescent="0.25">
      <c r="A3" s="170" t="s">
        <v>11</v>
      </c>
      <c r="B3" s="170" t="s">
        <v>125</v>
      </c>
      <c r="C3" s="78" t="s">
        <v>12</v>
      </c>
      <c r="D3" s="169" t="s">
        <v>12</v>
      </c>
      <c r="E3" s="169"/>
      <c r="G3" s="81" t="s">
        <v>16</v>
      </c>
      <c r="H3" s="81"/>
      <c r="I3" s="81"/>
    </row>
    <row r="4" spans="1:14" x14ac:dyDescent="0.25">
      <c r="A4" s="171"/>
      <c r="B4" s="171"/>
      <c r="C4" s="78" t="s">
        <v>119</v>
      </c>
      <c r="D4" s="78" t="s">
        <v>14</v>
      </c>
      <c r="E4" s="78" t="s">
        <v>15</v>
      </c>
      <c r="G4" s="81" t="s">
        <v>17</v>
      </c>
      <c r="H4" s="81"/>
      <c r="I4" s="81"/>
    </row>
    <row r="5" spans="1:14" x14ac:dyDescent="0.25">
      <c r="A5" s="89">
        <v>2011</v>
      </c>
      <c r="B5" s="90">
        <f>[1]Sheet3!J14</f>
        <v>756697</v>
      </c>
      <c r="C5" s="82">
        <v>0.22</v>
      </c>
      <c r="D5" s="153">
        <f t="shared" ref="D5:D24" si="0">C5*B5</f>
        <v>166473.34</v>
      </c>
      <c r="E5" s="153">
        <f>D5/1000</f>
        <v>166.47334000000001</v>
      </c>
    </row>
    <row r="6" spans="1:14" x14ac:dyDescent="0.25">
      <c r="A6" s="89">
        <v>2012</v>
      </c>
      <c r="B6" s="90">
        <f>[1]Sheet3!J15</f>
        <v>764908</v>
      </c>
      <c r="C6" s="82">
        <v>0.22</v>
      </c>
      <c r="D6" s="153">
        <f t="shared" si="0"/>
        <v>168279.76</v>
      </c>
      <c r="E6" s="153">
        <f t="shared" ref="E6:E24" si="1">D6/1000</f>
        <v>168.27976000000001</v>
      </c>
      <c r="G6" s="83" t="s">
        <v>37</v>
      </c>
      <c r="H6" s="83"/>
      <c r="I6" s="83"/>
      <c r="J6" s="84">
        <v>2</v>
      </c>
      <c r="K6" s="85" t="s">
        <v>33</v>
      </c>
      <c r="L6" s="84">
        <v>3</v>
      </c>
      <c r="M6" s="83" t="s">
        <v>38</v>
      </c>
      <c r="N6" s="83"/>
    </row>
    <row r="7" spans="1:14" x14ac:dyDescent="0.25">
      <c r="A7" s="89">
        <v>2013</v>
      </c>
      <c r="B7" s="90">
        <f>[1]Sheet3!J16</f>
        <v>781015</v>
      </c>
      <c r="C7" s="82">
        <v>0.22</v>
      </c>
      <c r="D7" s="153">
        <f t="shared" si="0"/>
        <v>171823.3</v>
      </c>
      <c r="E7" s="153">
        <f t="shared" si="1"/>
        <v>171.82329999999999</v>
      </c>
      <c r="G7" s="83"/>
      <c r="H7" s="83"/>
      <c r="I7" s="83"/>
      <c r="J7" s="84">
        <f>(2*250)/1000</f>
        <v>0.5</v>
      </c>
      <c r="K7" s="85" t="s">
        <v>33</v>
      </c>
      <c r="L7" s="84">
        <f>(3*250)/1000</f>
        <v>0.75</v>
      </c>
      <c r="M7" s="83" t="s">
        <v>13</v>
      </c>
      <c r="N7" s="83"/>
    </row>
    <row r="8" spans="1:14" x14ac:dyDescent="0.25">
      <c r="A8" s="89">
        <v>2014</v>
      </c>
      <c r="B8" s="90">
        <f>[1]Sheet3!J17</f>
        <v>797006</v>
      </c>
      <c r="C8" s="82">
        <v>0.22</v>
      </c>
      <c r="D8" s="153">
        <f t="shared" si="0"/>
        <v>175341.32</v>
      </c>
      <c r="E8" s="153">
        <f t="shared" si="1"/>
        <v>175.34132</v>
      </c>
      <c r="G8" s="83"/>
      <c r="H8" s="83"/>
      <c r="I8" s="83"/>
      <c r="J8" s="86">
        <f>J7*(365/1000)</f>
        <v>0.1825</v>
      </c>
      <c r="K8" s="87" t="s">
        <v>33</v>
      </c>
      <c r="L8" s="86">
        <f>L7*(365/1000)</f>
        <v>0.27374999999999999</v>
      </c>
      <c r="M8" s="83" t="s">
        <v>39</v>
      </c>
      <c r="N8" s="83"/>
    </row>
    <row r="9" spans="1:14" x14ac:dyDescent="0.25">
      <c r="A9" s="89">
        <v>2015</v>
      </c>
      <c r="B9" s="90">
        <f>[1]Sheet3!J18</f>
        <v>812597</v>
      </c>
      <c r="C9" s="82">
        <v>0.22</v>
      </c>
      <c r="D9" s="153">
        <f t="shared" si="0"/>
        <v>178771.34</v>
      </c>
      <c r="E9" s="153">
        <f t="shared" si="1"/>
        <v>178.77134000000001</v>
      </c>
    </row>
    <row r="10" spans="1:14" x14ac:dyDescent="0.25">
      <c r="A10" s="89">
        <v>2016</v>
      </c>
      <c r="B10" s="90">
        <f>[1]Sheet3!J19</f>
        <v>828303</v>
      </c>
      <c r="C10" s="82">
        <v>0.22</v>
      </c>
      <c r="D10" s="153">
        <f t="shared" si="0"/>
        <v>182226.66</v>
      </c>
      <c r="E10" s="153">
        <f t="shared" si="1"/>
        <v>182.22666000000001</v>
      </c>
      <c r="G10" s="88" t="s">
        <v>34</v>
      </c>
      <c r="H10" s="88"/>
      <c r="I10" s="88" t="s">
        <v>35</v>
      </c>
      <c r="J10" s="88"/>
      <c r="K10" s="88"/>
    </row>
    <row r="11" spans="1:14" x14ac:dyDescent="0.25">
      <c r="A11" s="89">
        <v>2017</v>
      </c>
      <c r="B11" s="90">
        <f>[1]Sheet3!J20</f>
        <v>847906</v>
      </c>
      <c r="C11" s="82">
        <v>0.22</v>
      </c>
      <c r="D11" s="153">
        <f t="shared" si="0"/>
        <v>186539.32</v>
      </c>
      <c r="E11" s="153">
        <f t="shared" si="1"/>
        <v>186.53932</v>
      </c>
      <c r="G11" s="88"/>
      <c r="H11" s="88"/>
      <c r="I11" s="88" t="s">
        <v>36</v>
      </c>
      <c r="J11" s="88"/>
      <c r="K11" s="88"/>
    </row>
    <row r="12" spans="1:14" x14ac:dyDescent="0.25">
      <c r="A12" s="89">
        <v>2018</v>
      </c>
      <c r="B12" s="90">
        <f>[1]Sheet3!J21</f>
        <v>869052</v>
      </c>
      <c r="C12" s="82">
        <v>0.22</v>
      </c>
      <c r="D12" s="153">
        <f t="shared" si="0"/>
        <v>191191.44</v>
      </c>
      <c r="E12" s="153">
        <f t="shared" si="1"/>
        <v>191.19144</v>
      </c>
    </row>
    <row r="13" spans="1:14" x14ac:dyDescent="0.25">
      <c r="A13" s="89">
        <v>2019</v>
      </c>
      <c r="B13" s="90">
        <f>[1]Sheet3!J22</f>
        <v>890198</v>
      </c>
      <c r="C13" s="82">
        <v>0.22</v>
      </c>
      <c r="D13" s="153">
        <f t="shared" si="0"/>
        <v>195843.56</v>
      </c>
      <c r="E13" s="153">
        <f t="shared" si="1"/>
        <v>195.84356</v>
      </c>
    </row>
    <row r="14" spans="1:14" x14ac:dyDescent="0.25">
      <c r="A14" s="89">
        <v>2020</v>
      </c>
      <c r="B14" s="90">
        <f>[1]Sheet3!J23</f>
        <v>911344</v>
      </c>
      <c r="C14" s="82">
        <v>0.22</v>
      </c>
      <c r="D14" s="153">
        <f t="shared" si="0"/>
        <v>200495.68</v>
      </c>
      <c r="E14" s="153">
        <f t="shared" si="1"/>
        <v>200.49567999999999</v>
      </c>
    </row>
    <row r="15" spans="1:14" x14ac:dyDescent="0.25">
      <c r="A15" s="89">
        <v>2021</v>
      </c>
      <c r="B15" s="90">
        <f>[1]Sheet3!J24</f>
        <v>932490</v>
      </c>
      <c r="C15" s="82">
        <v>0.22</v>
      </c>
      <c r="D15" s="153">
        <f t="shared" si="0"/>
        <v>205147.8</v>
      </c>
      <c r="E15" s="153">
        <f t="shared" si="1"/>
        <v>205.14779999999999</v>
      </c>
    </row>
    <row r="16" spans="1:14" x14ac:dyDescent="0.25">
      <c r="A16" s="89">
        <v>2022</v>
      </c>
      <c r="B16" s="90">
        <f>[1]Sheet3!J25</f>
        <v>953636</v>
      </c>
      <c r="C16" s="82">
        <v>0.22</v>
      </c>
      <c r="D16" s="153">
        <f t="shared" si="0"/>
        <v>209799.92</v>
      </c>
      <c r="E16" s="153">
        <f t="shared" si="1"/>
        <v>209.79992000000001</v>
      </c>
    </row>
    <row r="17" spans="1:10" x14ac:dyDescent="0.25">
      <c r="A17" s="89">
        <v>2023</v>
      </c>
      <c r="B17" s="90">
        <f>[1]Sheet3!J26</f>
        <v>974782</v>
      </c>
      <c r="C17" s="82">
        <v>0.22</v>
      </c>
      <c r="D17" s="153">
        <f t="shared" si="0"/>
        <v>214452.04</v>
      </c>
      <c r="E17" s="153">
        <f t="shared" si="1"/>
        <v>214.45204000000001</v>
      </c>
      <c r="G17" s="91"/>
      <c r="H17" s="91"/>
      <c r="I17" s="91"/>
      <c r="J17" s="91"/>
    </row>
    <row r="18" spans="1:10" x14ac:dyDescent="0.25">
      <c r="A18" s="89">
        <v>2024</v>
      </c>
      <c r="B18" s="90">
        <f>[1]Sheet3!J27</f>
        <v>995928</v>
      </c>
      <c r="C18" s="82">
        <v>0.22</v>
      </c>
      <c r="D18" s="153">
        <f t="shared" si="0"/>
        <v>219104.16</v>
      </c>
      <c r="E18" s="153">
        <f t="shared" si="1"/>
        <v>219.10416000000001</v>
      </c>
      <c r="G18" s="91"/>
      <c r="H18" s="91"/>
      <c r="I18" s="91"/>
      <c r="J18" s="91"/>
    </row>
    <row r="19" spans="1:10" x14ac:dyDescent="0.25">
      <c r="A19" s="89">
        <v>2025</v>
      </c>
      <c r="B19" s="90">
        <f>[1]Sheet3!J28</f>
        <v>1017074</v>
      </c>
      <c r="C19" s="82">
        <v>0.22</v>
      </c>
      <c r="D19" s="153">
        <f t="shared" si="0"/>
        <v>223756.28</v>
      </c>
      <c r="E19" s="153">
        <f t="shared" si="1"/>
        <v>223.75628</v>
      </c>
      <c r="G19" s="91"/>
      <c r="H19" s="91"/>
      <c r="I19" s="91"/>
      <c r="J19" s="91"/>
    </row>
    <row r="20" spans="1:10" x14ac:dyDescent="0.25">
      <c r="A20" s="89">
        <v>2026</v>
      </c>
      <c r="B20" s="90">
        <f>[1]Sheet3!J29</f>
        <v>1038220</v>
      </c>
      <c r="C20" s="82">
        <v>0.22</v>
      </c>
      <c r="D20" s="153">
        <f t="shared" si="0"/>
        <v>228408.4</v>
      </c>
      <c r="E20" s="153">
        <f t="shared" si="1"/>
        <v>228.4084</v>
      </c>
      <c r="G20" s="91"/>
      <c r="H20" s="91"/>
      <c r="I20" s="91"/>
      <c r="J20" s="91"/>
    </row>
    <row r="21" spans="1:10" x14ac:dyDescent="0.25">
      <c r="A21" s="89">
        <v>2027</v>
      </c>
      <c r="B21" s="90">
        <f>[1]Sheet3!J30</f>
        <v>1059366</v>
      </c>
      <c r="C21" s="82">
        <v>0.22</v>
      </c>
      <c r="D21" s="153">
        <f t="shared" si="0"/>
        <v>233060.52</v>
      </c>
      <c r="E21" s="153">
        <f t="shared" si="1"/>
        <v>233.06052</v>
      </c>
      <c r="G21" s="91"/>
      <c r="H21" s="91"/>
      <c r="I21" s="91"/>
      <c r="J21" s="91"/>
    </row>
    <row r="22" spans="1:10" x14ac:dyDescent="0.25">
      <c r="A22" s="89">
        <v>2028</v>
      </c>
      <c r="B22" s="90">
        <f>[1]Sheet3!J31</f>
        <v>1080512</v>
      </c>
      <c r="C22" s="82">
        <v>0.22</v>
      </c>
      <c r="D22" s="153">
        <f t="shared" si="0"/>
        <v>237712.64000000001</v>
      </c>
      <c r="E22" s="153">
        <f t="shared" si="1"/>
        <v>237.71264000000002</v>
      </c>
      <c r="G22" s="91"/>
      <c r="H22" s="91"/>
      <c r="I22" s="91"/>
      <c r="J22" s="91"/>
    </row>
    <row r="23" spans="1:10" x14ac:dyDescent="0.25">
      <c r="A23" s="89">
        <v>2029</v>
      </c>
      <c r="B23" s="90">
        <f>[1]Sheet3!J32</f>
        <v>1101658</v>
      </c>
      <c r="C23" s="82">
        <v>0.22</v>
      </c>
      <c r="D23" s="153">
        <f t="shared" si="0"/>
        <v>242364.76</v>
      </c>
      <c r="E23" s="153">
        <f t="shared" si="1"/>
        <v>242.36476000000002</v>
      </c>
      <c r="G23" s="91"/>
      <c r="H23" s="91"/>
      <c r="I23" s="91"/>
      <c r="J23" s="91"/>
    </row>
    <row r="24" spans="1:10" x14ac:dyDescent="0.25">
      <c r="A24" s="89">
        <v>2030</v>
      </c>
      <c r="B24" s="90">
        <f>[1]Sheet3!J33</f>
        <v>1122804</v>
      </c>
      <c r="C24" s="82">
        <v>0.22</v>
      </c>
      <c r="D24" s="153">
        <f t="shared" si="0"/>
        <v>247016.88</v>
      </c>
      <c r="E24" s="153">
        <f t="shared" si="1"/>
        <v>247.01688000000001</v>
      </c>
      <c r="G24" s="91"/>
      <c r="H24" s="91"/>
      <c r="I24" s="91"/>
      <c r="J24" s="91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48"/>
  <sheetViews>
    <sheetView zoomScaleNormal="100" workbookViewId="0">
      <selection activeCell="A4" sqref="A4:A5"/>
    </sheetView>
  </sheetViews>
  <sheetFormatPr defaultRowHeight="12.75" x14ac:dyDescent="0.25"/>
  <cols>
    <col min="1" max="1" width="9.140625" style="147"/>
    <col min="2" max="2" width="15.5703125" style="147" customWidth="1"/>
    <col min="3" max="3" width="11" style="147" customWidth="1"/>
    <col min="4" max="6" width="9.140625" style="147"/>
    <col min="7" max="7" width="12.28515625" style="147" customWidth="1"/>
    <col min="8" max="8" width="9.140625" style="147"/>
    <col min="9" max="9" width="16.85546875" style="147" customWidth="1"/>
    <col min="10" max="11" width="9.140625" style="147"/>
    <col min="12" max="12" width="9" style="154" bestFit="1" customWidth="1"/>
    <col min="13" max="13" width="12" style="154" bestFit="1" customWidth="1"/>
    <col min="14" max="14" width="2.42578125" style="154" customWidth="1"/>
    <col min="15" max="15" width="7.140625" style="154" customWidth="1"/>
    <col min="16" max="19" width="9.140625" style="154"/>
    <col min="20" max="20" width="1.42578125" style="154" customWidth="1"/>
    <col min="21" max="21" width="7.140625" style="154" customWidth="1"/>
    <col min="22" max="22" width="50.28515625" style="154" customWidth="1"/>
    <col min="23" max="25" width="9.140625" style="154"/>
    <col min="26" max="16384" width="9.140625" style="147"/>
  </cols>
  <sheetData>
    <row r="2" spans="1:21" x14ac:dyDescent="0.25">
      <c r="A2" s="172" t="s">
        <v>9</v>
      </c>
      <c r="B2" s="172"/>
      <c r="C2" s="172"/>
      <c r="D2" s="172"/>
      <c r="E2" s="172"/>
      <c r="F2" s="172"/>
      <c r="G2" s="172"/>
      <c r="H2" s="172"/>
      <c r="I2" s="172"/>
    </row>
    <row r="3" spans="1:21" x14ac:dyDescent="0.25">
      <c r="A3" s="155" t="s">
        <v>153</v>
      </c>
    </row>
    <row r="4" spans="1:21" x14ac:dyDescent="0.25">
      <c r="A4" s="173" t="s">
        <v>8</v>
      </c>
      <c r="B4" s="173" t="s">
        <v>0</v>
      </c>
      <c r="C4" s="173"/>
      <c r="D4" s="173"/>
      <c r="E4" s="173"/>
      <c r="F4" s="173"/>
      <c r="G4" s="173"/>
      <c r="H4" s="173"/>
      <c r="I4" s="177" t="s">
        <v>10</v>
      </c>
    </row>
    <row r="5" spans="1:21" ht="25.5" x14ac:dyDescent="0.25">
      <c r="A5" s="173"/>
      <c r="B5" s="152" t="s">
        <v>1</v>
      </c>
      <c r="C5" s="152" t="s">
        <v>2</v>
      </c>
      <c r="D5" s="152" t="s">
        <v>149</v>
      </c>
      <c r="E5" s="152" t="s">
        <v>4</v>
      </c>
      <c r="F5" s="152" t="s">
        <v>5</v>
      </c>
      <c r="G5" s="152" t="s">
        <v>128</v>
      </c>
      <c r="H5" s="152" t="s">
        <v>7</v>
      </c>
      <c r="I5" s="178"/>
      <c r="P5" s="156"/>
    </row>
    <row r="6" spans="1:21" ht="17.25" customHeight="1" x14ac:dyDescent="0.25">
      <c r="A6" s="157">
        <v>2011</v>
      </c>
      <c r="B6" s="168">
        <v>0.31609999999999999</v>
      </c>
      <c r="C6" s="168">
        <f>4%+9.35%+8.46%+6.21%</f>
        <v>0.2802</v>
      </c>
      <c r="D6" s="168">
        <v>1.35E-2</v>
      </c>
      <c r="E6" s="168">
        <v>0.39019999999999999</v>
      </c>
      <c r="F6" s="92"/>
      <c r="G6" s="92"/>
      <c r="H6" s="92"/>
      <c r="I6" s="158">
        <f>SUM(B6:H6)</f>
        <v>1</v>
      </c>
      <c r="L6" s="93"/>
    </row>
    <row r="7" spans="1:21" x14ac:dyDescent="0.25">
      <c r="A7" s="157">
        <v>2012</v>
      </c>
      <c r="B7" s="168">
        <v>0.31609999999999999</v>
      </c>
      <c r="C7" s="168">
        <f t="shared" ref="C7:C25" si="0">4%+9.35%+8.46%+6.21%</f>
        <v>0.2802</v>
      </c>
      <c r="D7" s="168">
        <v>1.35E-2</v>
      </c>
      <c r="E7" s="168">
        <v>0.39019999999999999</v>
      </c>
      <c r="F7" s="92"/>
      <c r="G7" s="92"/>
      <c r="H7" s="92"/>
      <c r="I7" s="158">
        <f t="shared" ref="I7:I25" si="1">SUM(B7:H7)</f>
        <v>1</v>
      </c>
      <c r="L7" s="154">
        <v>2000</v>
      </c>
      <c r="M7" s="154">
        <f>M8-(M8*0.024)</f>
        <v>0</v>
      </c>
      <c r="N7" s="94"/>
      <c r="O7" s="95"/>
      <c r="P7" s="156"/>
      <c r="S7" s="159"/>
      <c r="T7" s="160"/>
      <c r="U7" s="159"/>
    </row>
    <row r="8" spans="1:21" x14ac:dyDescent="0.25">
      <c r="A8" s="157">
        <v>2013</v>
      </c>
      <c r="B8" s="168">
        <v>0.31609999999999999</v>
      </c>
      <c r="C8" s="168">
        <f t="shared" si="0"/>
        <v>0.2802</v>
      </c>
      <c r="D8" s="168">
        <v>1.35E-2</v>
      </c>
      <c r="E8" s="168">
        <v>0.39019999999999999</v>
      </c>
      <c r="F8" s="92"/>
      <c r="G8" s="92"/>
      <c r="H8" s="92"/>
      <c r="I8" s="158">
        <f t="shared" si="1"/>
        <v>1</v>
      </c>
      <c r="L8" s="154">
        <v>2001</v>
      </c>
      <c r="M8" s="154">
        <f t="shared" ref="M8:M10" si="2">M9-(M9*0.024)</f>
        <v>0</v>
      </c>
      <c r="N8" s="95"/>
      <c r="O8" s="95"/>
      <c r="P8" s="156"/>
      <c r="S8" s="161"/>
      <c r="T8" s="161"/>
      <c r="U8" s="161"/>
    </row>
    <row r="9" spans="1:21" x14ac:dyDescent="0.25">
      <c r="A9" s="157">
        <v>2014</v>
      </c>
      <c r="B9" s="168">
        <v>0.31609999999999999</v>
      </c>
      <c r="C9" s="168">
        <f t="shared" si="0"/>
        <v>0.2802</v>
      </c>
      <c r="D9" s="168">
        <v>1.35E-2</v>
      </c>
      <c r="E9" s="168">
        <v>0.39019999999999999</v>
      </c>
      <c r="F9" s="92"/>
      <c r="G9" s="92"/>
      <c r="H9" s="92"/>
      <c r="I9" s="158">
        <f t="shared" si="1"/>
        <v>1</v>
      </c>
      <c r="L9" s="154">
        <v>2002</v>
      </c>
      <c r="M9" s="154">
        <f t="shared" si="2"/>
        <v>0</v>
      </c>
      <c r="N9" s="95"/>
      <c r="O9" s="95"/>
      <c r="P9" s="156"/>
    </row>
    <row r="10" spans="1:21" x14ac:dyDescent="0.25">
      <c r="A10" s="157">
        <v>2015</v>
      </c>
      <c r="B10" s="168">
        <v>0.31609999999999999</v>
      </c>
      <c r="C10" s="168">
        <f t="shared" si="0"/>
        <v>0.2802</v>
      </c>
      <c r="D10" s="168">
        <v>1.35E-2</v>
      </c>
      <c r="E10" s="168">
        <v>0.39019999999999999</v>
      </c>
      <c r="F10" s="92"/>
      <c r="G10" s="92"/>
      <c r="H10" s="92"/>
      <c r="I10" s="158">
        <f t="shared" si="1"/>
        <v>1</v>
      </c>
      <c r="L10" s="154">
        <v>2003</v>
      </c>
      <c r="M10" s="154">
        <f t="shared" si="2"/>
        <v>0</v>
      </c>
      <c r="N10" s="94"/>
      <c r="O10" s="95"/>
      <c r="P10" s="156"/>
    </row>
    <row r="11" spans="1:21" x14ac:dyDescent="0.25">
      <c r="A11" s="157">
        <v>2016</v>
      </c>
      <c r="B11" s="168">
        <v>0.31609999999999999</v>
      </c>
      <c r="C11" s="168">
        <f t="shared" si="0"/>
        <v>0.2802</v>
      </c>
      <c r="D11" s="168">
        <v>1.35E-2</v>
      </c>
      <c r="E11" s="168">
        <v>0.39019999999999999</v>
      </c>
      <c r="F11" s="92"/>
      <c r="G11" s="92"/>
      <c r="H11" s="92"/>
      <c r="I11" s="158">
        <f t="shared" si="1"/>
        <v>1</v>
      </c>
      <c r="L11" s="154">
        <v>2004</v>
      </c>
      <c r="M11" s="154">
        <f>M12-(M12*0.024)</f>
        <v>0</v>
      </c>
    </row>
    <row r="12" spans="1:21" x14ac:dyDescent="0.25">
      <c r="A12" s="157">
        <v>2017</v>
      </c>
      <c r="B12" s="168">
        <v>0.31609999999999999</v>
      </c>
      <c r="C12" s="168">
        <f t="shared" si="0"/>
        <v>0.2802</v>
      </c>
      <c r="D12" s="168">
        <v>1.35E-2</v>
      </c>
      <c r="E12" s="168">
        <v>0.39019999999999999</v>
      </c>
      <c r="F12" s="92"/>
      <c r="G12" s="92"/>
      <c r="H12" s="92"/>
      <c r="I12" s="158">
        <f t="shared" si="1"/>
        <v>1</v>
      </c>
      <c r="L12" s="154">
        <v>2005</v>
      </c>
      <c r="M12" s="154">
        <f>M13-(M13*O29)</f>
        <v>0</v>
      </c>
    </row>
    <row r="13" spans="1:21" x14ac:dyDescent="0.25">
      <c r="A13" s="157">
        <v>2018</v>
      </c>
      <c r="B13" s="168">
        <v>0.31609999999999999</v>
      </c>
      <c r="C13" s="168">
        <f t="shared" si="0"/>
        <v>0.2802</v>
      </c>
      <c r="D13" s="168">
        <v>1.35E-2</v>
      </c>
      <c r="E13" s="168">
        <v>0.39019999999999999</v>
      </c>
      <c r="F13" s="92"/>
      <c r="G13" s="92"/>
      <c r="H13" s="92"/>
      <c r="I13" s="158">
        <f t="shared" si="1"/>
        <v>1</v>
      </c>
      <c r="L13" s="154">
        <v>2006</v>
      </c>
      <c r="M13" s="154">
        <f>M14-(M14*O29)</f>
        <v>0</v>
      </c>
    </row>
    <row r="14" spans="1:21" x14ac:dyDescent="0.25">
      <c r="A14" s="157">
        <v>2019</v>
      </c>
      <c r="B14" s="168">
        <v>0.31609999999999999</v>
      </c>
      <c r="C14" s="168">
        <f t="shared" si="0"/>
        <v>0.2802</v>
      </c>
      <c r="D14" s="168">
        <v>1.35E-2</v>
      </c>
      <c r="E14" s="168">
        <v>0.39019999999999999</v>
      </c>
      <c r="F14" s="92"/>
      <c r="G14" s="92"/>
      <c r="H14" s="92"/>
      <c r="I14" s="158">
        <f t="shared" si="1"/>
        <v>1</v>
      </c>
      <c r="L14" s="154">
        <v>2007</v>
      </c>
      <c r="M14" s="154">
        <f>M15-(M15*O29)</f>
        <v>0</v>
      </c>
      <c r="P14" s="156"/>
    </row>
    <row r="15" spans="1:21" x14ac:dyDescent="0.25">
      <c r="A15" s="157">
        <v>2020</v>
      </c>
      <c r="B15" s="168">
        <v>0.31609999999999999</v>
      </c>
      <c r="C15" s="168">
        <f t="shared" si="0"/>
        <v>0.2802</v>
      </c>
      <c r="D15" s="168">
        <v>1.35E-2</v>
      </c>
      <c r="E15" s="168">
        <v>0.39019999999999999</v>
      </c>
      <c r="F15" s="92"/>
      <c r="G15" s="92"/>
      <c r="H15" s="92"/>
      <c r="I15" s="158">
        <f t="shared" si="1"/>
        <v>1</v>
      </c>
      <c r="L15" s="154">
        <v>2008</v>
      </c>
      <c r="M15" s="154">
        <f>M27-(M27*O29)</f>
        <v>0</v>
      </c>
      <c r="S15" s="159"/>
    </row>
    <row r="16" spans="1:21" x14ac:dyDescent="0.25">
      <c r="A16" s="157">
        <v>2021</v>
      </c>
      <c r="B16" s="168">
        <v>0.31609999999999999</v>
      </c>
      <c r="C16" s="168">
        <f t="shared" si="0"/>
        <v>0.2802</v>
      </c>
      <c r="D16" s="168">
        <v>1.35E-2</v>
      </c>
      <c r="E16" s="168">
        <v>0.39019999999999999</v>
      </c>
      <c r="F16" s="92"/>
      <c r="G16" s="92"/>
      <c r="H16" s="92"/>
      <c r="I16" s="158">
        <f t="shared" si="1"/>
        <v>1</v>
      </c>
      <c r="S16" s="159"/>
    </row>
    <row r="17" spans="1:19" x14ac:dyDescent="0.25">
      <c r="A17" s="157">
        <v>2022</v>
      </c>
      <c r="B17" s="168">
        <v>0.31609999999999999</v>
      </c>
      <c r="C17" s="168">
        <f t="shared" si="0"/>
        <v>0.2802</v>
      </c>
      <c r="D17" s="168">
        <v>1.35E-2</v>
      </c>
      <c r="E17" s="168">
        <v>0.39019999999999999</v>
      </c>
      <c r="F17" s="92"/>
      <c r="G17" s="92"/>
      <c r="H17" s="92"/>
      <c r="I17" s="158">
        <f t="shared" si="1"/>
        <v>1</v>
      </c>
      <c r="S17" s="159"/>
    </row>
    <row r="18" spans="1:19" x14ac:dyDescent="0.25">
      <c r="A18" s="157">
        <v>2023</v>
      </c>
      <c r="B18" s="168">
        <v>0.31609999999999999</v>
      </c>
      <c r="C18" s="168">
        <f t="shared" si="0"/>
        <v>0.2802</v>
      </c>
      <c r="D18" s="168">
        <v>1.35E-2</v>
      </c>
      <c r="E18" s="168">
        <v>0.39019999999999999</v>
      </c>
      <c r="F18" s="92"/>
      <c r="G18" s="92"/>
      <c r="H18" s="92"/>
      <c r="I18" s="158">
        <f t="shared" si="1"/>
        <v>1</v>
      </c>
      <c r="S18" s="159"/>
    </row>
    <row r="19" spans="1:19" x14ac:dyDescent="0.25">
      <c r="A19" s="157">
        <v>2024</v>
      </c>
      <c r="B19" s="168">
        <v>0.31609999999999999</v>
      </c>
      <c r="C19" s="168">
        <f t="shared" si="0"/>
        <v>0.2802</v>
      </c>
      <c r="D19" s="168">
        <v>1.35E-2</v>
      </c>
      <c r="E19" s="168">
        <v>0.39019999999999999</v>
      </c>
      <c r="F19" s="92"/>
      <c r="G19" s="92"/>
      <c r="H19" s="92"/>
      <c r="I19" s="158">
        <f t="shared" si="1"/>
        <v>1</v>
      </c>
      <c r="S19" s="159"/>
    </row>
    <row r="20" spans="1:19" x14ac:dyDescent="0.25">
      <c r="A20" s="157">
        <v>2025</v>
      </c>
      <c r="B20" s="168">
        <v>0.31609999999999999</v>
      </c>
      <c r="C20" s="168">
        <f t="shared" si="0"/>
        <v>0.2802</v>
      </c>
      <c r="D20" s="168">
        <v>1.35E-2</v>
      </c>
      <c r="E20" s="168">
        <v>0.39019999999999999</v>
      </c>
      <c r="F20" s="92"/>
      <c r="G20" s="92"/>
      <c r="H20" s="92"/>
      <c r="I20" s="158">
        <f t="shared" si="1"/>
        <v>1</v>
      </c>
      <c r="S20" s="159"/>
    </row>
    <row r="21" spans="1:19" x14ac:dyDescent="0.25">
      <c r="A21" s="157">
        <v>2026</v>
      </c>
      <c r="B21" s="168">
        <v>0.31609999999999999</v>
      </c>
      <c r="C21" s="168">
        <f t="shared" si="0"/>
        <v>0.2802</v>
      </c>
      <c r="D21" s="168">
        <v>1.35E-2</v>
      </c>
      <c r="E21" s="168">
        <v>0.39019999999999999</v>
      </c>
      <c r="F21" s="92"/>
      <c r="G21" s="92"/>
      <c r="H21" s="92"/>
      <c r="I21" s="158">
        <f t="shared" si="1"/>
        <v>1</v>
      </c>
      <c r="S21" s="159"/>
    </row>
    <row r="22" spans="1:19" x14ac:dyDescent="0.25">
      <c r="A22" s="157">
        <v>2027</v>
      </c>
      <c r="B22" s="168">
        <v>0.31609999999999999</v>
      </c>
      <c r="C22" s="168">
        <f t="shared" si="0"/>
        <v>0.2802</v>
      </c>
      <c r="D22" s="168">
        <v>1.35E-2</v>
      </c>
      <c r="E22" s="168">
        <v>0.39019999999999999</v>
      </c>
      <c r="F22" s="92"/>
      <c r="G22" s="92"/>
      <c r="H22" s="92"/>
      <c r="I22" s="158">
        <f t="shared" si="1"/>
        <v>1</v>
      </c>
      <c r="S22" s="159"/>
    </row>
    <row r="23" spans="1:19" x14ac:dyDescent="0.25">
      <c r="A23" s="157">
        <v>2028</v>
      </c>
      <c r="B23" s="168">
        <v>0.31609999999999999</v>
      </c>
      <c r="C23" s="168">
        <f t="shared" si="0"/>
        <v>0.2802</v>
      </c>
      <c r="D23" s="168">
        <v>1.35E-2</v>
      </c>
      <c r="E23" s="168">
        <v>0.39019999999999999</v>
      </c>
      <c r="F23" s="92"/>
      <c r="G23" s="92"/>
      <c r="H23" s="92"/>
      <c r="I23" s="158">
        <f t="shared" si="1"/>
        <v>1</v>
      </c>
      <c r="S23" s="159"/>
    </row>
    <row r="24" spans="1:19" x14ac:dyDescent="0.25">
      <c r="A24" s="157">
        <v>2029</v>
      </c>
      <c r="B24" s="168">
        <v>0.31609999999999999</v>
      </c>
      <c r="C24" s="168">
        <f t="shared" si="0"/>
        <v>0.2802</v>
      </c>
      <c r="D24" s="168">
        <v>1.35E-2</v>
      </c>
      <c r="E24" s="168">
        <v>0.39019999999999999</v>
      </c>
      <c r="F24" s="92"/>
      <c r="G24" s="92"/>
      <c r="H24" s="92"/>
      <c r="I24" s="158">
        <f t="shared" si="1"/>
        <v>1</v>
      </c>
      <c r="S24" s="159"/>
    </row>
    <row r="25" spans="1:19" x14ac:dyDescent="0.25">
      <c r="A25" s="157">
        <v>2030</v>
      </c>
      <c r="B25" s="168">
        <v>0.31609999999999999</v>
      </c>
      <c r="C25" s="168">
        <f t="shared" si="0"/>
        <v>0.2802</v>
      </c>
      <c r="D25" s="168">
        <v>1.35E-2</v>
      </c>
      <c r="E25" s="168">
        <v>0.39019999999999999</v>
      </c>
      <c r="F25" s="92"/>
      <c r="G25" s="92"/>
      <c r="H25" s="92"/>
      <c r="I25" s="158">
        <f t="shared" si="1"/>
        <v>1</v>
      </c>
      <c r="S25" s="159"/>
    </row>
    <row r="26" spans="1:19" ht="14.25" customHeight="1" x14ac:dyDescent="0.25"/>
    <row r="27" spans="1:19" x14ac:dyDescent="0.25">
      <c r="A27" s="173" t="s">
        <v>11</v>
      </c>
      <c r="B27" s="174" t="s">
        <v>150</v>
      </c>
      <c r="C27" s="175"/>
      <c r="D27" s="175"/>
      <c r="E27" s="175"/>
      <c r="F27" s="175"/>
      <c r="G27" s="175"/>
      <c r="H27" s="176"/>
      <c r="I27" s="177" t="s">
        <v>40</v>
      </c>
    </row>
    <row r="28" spans="1:19" ht="25.5" x14ac:dyDescent="0.25">
      <c r="A28" s="173"/>
      <c r="B28" s="152" t="s">
        <v>1</v>
      </c>
      <c r="C28" s="152" t="s">
        <v>2</v>
      </c>
      <c r="D28" s="152" t="s">
        <v>149</v>
      </c>
      <c r="E28" s="146" t="s">
        <v>4</v>
      </c>
      <c r="F28" s="152" t="s">
        <v>5</v>
      </c>
      <c r="G28" s="152" t="s">
        <v>128</v>
      </c>
      <c r="H28" s="146" t="s">
        <v>7</v>
      </c>
      <c r="I28" s="178"/>
    </row>
    <row r="29" spans="1:19" x14ac:dyDescent="0.25">
      <c r="A29" s="157">
        <v>2011</v>
      </c>
      <c r="B29" s="162">
        <f t="shared" ref="B29:H29" si="3">$I$29*B6</f>
        <v>52.622222774000001</v>
      </c>
      <c r="C29" s="162">
        <f t="shared" si="3"/>
        <v>46.645829868</v>
      </c>
      <c r="D29" s="162">
        <f t="shared" si="3"/>
        <v>2.2473900900000001</v>
      </c>
      <c r="E29" s="163">
        <f t="shared" si="3"/>
        <v>64.957897267999996</v>
      </c>
      <c r="F29" s="162">
        <f t="shared" si="3"/>
        <v>0</v>
      </c>
      <c r="G29" s="162">
        <f t="shared" si="3"/>
        <v>0</v>
      </c>
      <c r="H29" s="164">
        <f t="shared" si="3"/>
        <v>0</v>
      </c>
      <c r="I29" s="165">
        <f>'timbulan sampah'!E5</f>
        <v>166.47334000000001</v>
      </c>
      <c r="J29" s="166">
        <f>SUM(B29:H29)</f>
        <v>166.47334000000001</v>
      </c>
    </row>
    <row r="30" spans="1:19" x14ac:dyDescent="0.25">
      <c r="A30" s="157">
        <v>2012</v>
      </c>
      <c r="B30" s="162">
        <f t="shared" ref="B30:H30" si="4">$I$30*B7</f>
        <v>53.193232135999999</v>
      </c>
      <c r="C30" s="162">
        <f t="shared" si="4"/>
        <v>47.151988752000001</v>
      </c>
      <c r="D30" s="162">
        <f t="shared" si="4"/>
        <v>2.2717767600000003</v>
      </c>
      <c r="E30" s="163">
        <f t="shared" si="4"/>
        <v>65.662762352000001</v>
      </c>
      <c r="F30" s="162">
        <f t="shared" si="4"/>
        <v>0</v>
      </c>
      <c r="G30" s="162">
        <f t="shared" si="4"/>
        <v>0</v>
      </c>
      <c r="H30" s="164">
        <f t="shared" si="4"/>
        <v>0</v>
      </c>
      <c r="I30" s="165">
        <f>'timbulan sampah'!E6</f>
        <v>168.27976000000001</v>
      </c>
      <c r="J30" s="166">
        <f t="shared" ref="J30:J48" si="5">SUM(B30:H30)</f>
        <v>168.27976000000001</v>
      </c>
    </row>
    <row r="31" spans="1:19" x14ac:dyDescent="0.25">
      <c r="A31" s="157">
        <v>2013</v>
      </c>
      <c r="B31" s="162">
        <f t="shared" ref="B31:H31" si="6">$I$31*B8</f>
        <v>54.313345129999995</v>
      </c>
      <c r="C31" s="162">
        <f t="shared" si="6"/>
        <v>48.144888659999999</v>
      </c>
      <c r="D31" s="162">
        <f t="shared" si="6"/>
        <v>2.3196145499999998</v>
      </c>
      <c r="E31" s="163">
        <f t="shared" si="6"/>
        <v>67.045451659999998</v>
      </c>
      <c r="F31" s="162">
        <f t="shared" si="6"/>
        <v>0</v>
      </c>
      <c r="G31" s="162">
        <f t="shared" si="6"/>
        <v>0</v>
      </c>
      <c r="H31" s="164">
        <f t="shared" si="6"/>
        <v>0</v>
      </c>
      <c r="I31" s="165">
        <f>'timbulan sampah'!E7</f>
        <v>171.82329999999999</v>
      </c>
      <c r="J31" s="166">
        <f t="shared" si="5"/>
        <v>171.82329999999999</v>
      </c>
    </row>
    <row r="32" spans="1:19" x14ac:dyDescent="0.25">
      <c r="A32" s="157">
        <v>2014</v>
      </c>
      <c r="B32" s="162">
        <f t="shared" ref="B32:H32" si="7">$I$32*B9</f>
        <v>55.425391251999997</v>
      </c>
      <c r="C32" s="162">
        <f t="shared" si="7"/>
        <v>49.130637864000001</v>
      </c>
      <c r="D32" s="162">
        <f t="shared" si="7"/>
        <v>2.3671078199999998</v>
      </c>
      <c r="E32" s="163">
        <f t="shared" si="7"/>
        <v>68.41818306399999</v>
      </c>
      <c r="F32" s="162">
        <f t="shared" si="7"/>
        <v>0</v>
      </c>
      <c r="G32" s="162">
        <f t="shared" si="7"/>
        <v>0</v>
      </c>
      <c r="H32" s="164">
        <f t="shared" si="7"/>
        <v>0</v>
      </c>
      <c r="I32" s="165">
        <f>'timbulan sampah'!E8</f>
        <v>175.34132</v>
      </c>
      <c r="J32" s="166">
        <f t="shared" si="5"/>
        <v>175.34132</v>
      </c>
      <c r="P32" s="156"/>
    </row>
    <row r="33" spans="1:16" x14ac:dyDescent="0.25">
      <c r="A33" s="157">
        <v>2015</v>
      </c>
      <c r="B33" s="162">
        <f t="shared" ref="B33:H33" si="8">$I$33*B10</f>
        <v>56.509620574000003</v>
      </c>
      <c r="C33" s="162">
        <f t="shared" si="8"/>
        <v>50.091729468000004</v>
      </c>
      <c r="D33" s="162">
        <f t="shared" si="8"/>
        <v>2.4134130900000001</v>
      </c>
      <c r="E33" s="163">
        <f t="shared" si="8"/>
        <v>69.756576867999996</v>
      </c>
      <c r="F33" s="162">
        <f t="shared" si="8"/>
        <v>0</v>
      </c>
      <c r="G33" s="162">
        <f t="shared" si="8"/>
        <v>0</v>
      </c>
      <c r="H33" s="164">
        <f t="shared" si="8"/>
        <v>0</v>
      </c>
      <c r="I33" s="165">
        <f>'timbulan sampah'!E9</f>
        <v>178.77134000000001</v>
      </c>
      <c r="J33" s="166">
        <f t="shared" si="5"/>
        <v>178.77134000000001</v>
      </c>
      <c r="P33" s="156"/>
    </row>
    <row r="34" spans="1:16" x14ac:dyDescent="0.25">
      <c r="A34" s="157">
        <v>2016</v>
      </c>
      <c r="B34" s="162">
        <f t="shared" ref="B34:H34" si="9">$I$34*B11</f>
        <v>57.601847226000004</v>
      </c>
      <c r="C34" s="162">
        <f t="shared" si="9"/>
        <v>51.059910132000006</v>
      </c>
      <c r="D34" s="162">
        <f t="shared" si="9"/>
        <v>2.46005991</v>
      </c>
      <c r="E34" s="163">
        <f t="shared" si="9"/>
        <v>71.104842732000009</v>
      </c>
      <c r="F34" s="162">
        <f t="shared" si="9"/>
        <v>0</v>
      </c>
      <c r="G34" s="162">
        <f t="shared" si="9"/>
        <v>0</v>
      </c>
      <c r="H34" s="164">
        <f t="shared" si="9"/>
        <v>0</v>
      </c>
      <c r="I34" s="165">
        <f>'timbulan sampah'!E10</f>
        <v>182.22666000000001</v>
      </c>
      <c r="J34" s="166">
        <f t="shared" si="5"/>
        <v>182.22666000000004</v>
      </c>
    </row>
    <row r="35" spans="1:16" x14ac:dyDescent="0.25">
      <c r="A35" s="157">
        <v>2017</v>
      </c>
      <c r="B35" s="162">
        <f t="shared" ref="B35:H35" si="10">$I$35*B12</f>
        <v>58.965079052</v>
      </c>
      <c r="C35" s="162">
        <f t="shared" si="10"/>
        <v>52.268317463999999</v>
      </c>
      <c r="D35" s="162">
        <f t="shared" si="10"/>
        <v>2.5182808200000002</v>
      </c>
      <c r="E35" s="163">
        <f t="shared" si="10"/>
        <v>72.787642664000003</v>
      </c>
      <c r="F35" s="162">
        <f t="shared" si="10"/>
        <v>0</v>
      </c>
      <c r="G35" s="162">
        <f t="shared" si="10"/>
        <v>0</v>
      </c>
      <c r="H35" s="164">
        <f t="shared" si="10"/>
        <v>0</v>
      </c>
      <c r="I35" s="165">
        <f>'timbulan sampah'!E11</f>
        <v>186.53932</v>
      </c>
      <c r="J35" s="166">
        <f t="shared" si="5"/>
        <v>186.53932</v>
      </c>
    </row>
    <row r="36" spans="1:16" x14ac:dyDescent="0.25">
      <c r="A36" s="157">
        <v>2018</v>
      </c>
      <c r="B36" s="162">
        <f t="shared" ref="B36:H36" si="11">$I$36*B13</f>
        <v>60.435614183999995</v>
      </c>
      <c r="C36" s="162">
        <f t="shared" si="11"/>
        <v>53.571841488000004</v>
      </c>
      <c r="D36" s="162">
        <f t="shared" si="11"/>
        <v>2.5810844400000001</v>
      </c>
      <c r="E36" s="163">
        <f t="shared" si="11"/>
        <v>74.602899887999996</v>
      </c>
      <c r="F36" s="162">
        <f t="shared" si="11"/>
        <v>0</v>
      </c>
      <c r="G36" s="162">
        <f t="shared" si="11"/>
        <v>0</v>
      </c>
      <c r="H36" s="164">
        <f t="shared" si="11"/>
        <v>0</v>
      </c>
      <c r="I36" s="165">
        <f>'timbulan sampah'!E12</f>
        <v>191.19144</v>
      </c>
      <c r="J36" s="166">
        <f t="shared" si="5"/>
        <v>191.19144</v>
      </c>
    </row>
    <row r="37" spans="1:16" x14ac:dyDescent="0.25">
      <c r="A37" s="157">
        <v>2019</v>
      </c>
      <c r="B37" s="162">
        <f t="shared" ref="B37:H37" si="12">$I$37*B14</f>
        <v>61.906149315999997</v>
      </c>
      <c r="C37" s="162">
        <f t="shared" si="12"/>
        <v>54.875365512000002</v>
      </c>
      <c r="D37" s="162">
        <f t="shared" si="12"/>
        <v>2.6438880600000001</v>
      </c>
      <c r="E37" s="163">
        <f t="shared" si="12"/>
        <v>76.418157112000003</v>
      </c>
      <c r="F37" s="162">
        <f t="shared" si="12"/>
        <v>0</v>
      </c>
      <c r="G37" s="162">
        <f t="shared" si="12"/>
        <v>0</v>
      </c>
      <c r="H37" s="164">
        <f t="shared" si="12"/>
        <v>0</v>
      </c>
      <c r="I37" s="165">
        <f>'timbulan sampah'!E13</f>
        <v>195.84356</v>
      </c>
      <c r="J37" s="166">
        <f t="shared" si="5"/>
        <v>195.84356</v>
      </c>
    </row>
    <row r="38" spans="1:16" x14ac:dyDescent="0.25">
      <c r="A38" s="157">
        <v>2020</v>
      </c>
      <c r="B38" s="162">
        <f t="shared" ref="B38:H38" si="13">$I$38*B15</f>
        <v>63.376684447999999</v>
      </c>
      <c r="C38" s="162">
        <f t="shared" si="13"/>
        <v>56.178889536</v>
      </c>
      <c r="D38" s="162">
        <f t="shared" si="13"/>
        <v>2.70669168</v>
      </c>
      <c r="E38" s="163">
        <f t="shared" si="13"/>
        <v>78.233414335999996</v>
      </c>
      <c r="F38" s="162">
        <f t="shared" si="13"/>
        <v>0</v>
      </c>
      <c r="G38" s="162">
        <f t="shared" si="13"/>
        <v>0</v>
      </c>
      <c r="H38" s="164">
        <f t="shared" si="13"/>
        <v>0</v>
      </c>
      <c r="I38" s="165">
        <f>'timbulan sampah'!E14</f>
        <v>200.49567999999999</v>
      </c>
      <c r="J38" s="166">
        <f t="shared" si="5"/>
        <v>200.49567999999999</v>
      </c>
    </row>
    <row r="39" spans="1:16" x14ac:dyDescent="0.25">
      <c r="A39" s="157">
        <v>2021</v>
      </c>
      <c r="B39" s="162">
        <f t="shared" ref="B39:H39" si="14">$I$39*B16</f>
        <v>64.847219580000001</v>
      </c>
      <c r="C39" s="162">
        <f t="shared" si="14"/>
        <v>57.482413559999998</v>
      </c>
      <c r="D39" s="162">
        <f t="shared" si="14"/>
        <v>2.7694953</v>
      </c>
      <c r="E39" s="163">
        <f t="shared" si="14"/>
        <v>80.048671559999988</v>
      </c>
      <c r="F39" s="162">
        <f t="shared" si="14"/>
        <v>0</v>
      </c>
      <c r="G39" s="162">
        <f t="shared" si="14"/>
        <v>0</v>
      </c>
      <c r="H39" s="164">
        <f t="shared" si="14"/>
        <v>0</v>
      </c>
      <c r="I39" s="165">
        <f>'timbulan sampah'!E15</f>
        <v>205.14779999999999</v>
      </c>
      <c r="J39" s="166">
        <f t="shared" si="5"/>
        <v>205.14779999999999</v>
      </c>
    </row>
    <row r="40" spans="1:16" x14ac:dyDescent="0.25">
      <c r="A40" s="157">
        <v>2022</v>
      </c>
      <c r="B40" s="162">
        <f t="shared" ref="B40:H40" si="15">$I$40*B17</f>
        <v>66.31775471200001</v>
      </c>
      <c r="C40" s="162">
        <f t="shared" si="15"/>
        <v>58.785937584000003</v>
      </c>
      <c r="D40" s="162">
        <f t="shared" si="15"/>
        <v>2.8322989199999999</v>
      </c>
      <c r="E40" s="163">
        <f t="shared" si="15"/>
        <v>81.863928784000009</v>
      </c>
      <c r="F40" s="162">
        <f t="shared" si="15"/>
        <v>0</v>
      </c>
      <c r="G40" s="162">
        <f t="shared" si="15"/>
        <v>0</v>
      </c>
      <c r="H40" s="164">
        <f t="shared" si="15"/>
        <v>0</v>
      </c>
      <c r="I40" s="165">
        <f>'timbulan sampah'!E16</f>
        <v>209.79992000000001</v>
      </c>
      <c r="J40" s="166">
        <f t="shared" si="5"/>
        <v>209.79992000000004</v>
      </c>
    </row>
    <row r="41" spans="1:16" x14ac:dyDescent="0.25">
      <c r="A41" s="157">
        <v>2023</v>
      </c>
      <c r="B41" s="162">
        <f t="shared" ref="B41:H41" si="16">$I$41*B18</f>
        <v>67.788289844000005</v>
      </c>
      <c r="C41" s="162">
        <f t="shared" si="16"/>
        <v>60.089461608000001</v>
      </c>
      <c r="D41" s="162">
        <f t="shared" si="16"/>
        <v>2.8951025400000003</v>
      </c>
      <c r="E41" s="163">
        <f t="shared" si="16"/>
        <v>83.679186008000002</v>
      </c>
      <c r="F41" s="162">
        <f t="shared" si="16"/>
        <v>0</v>
      </c>
      <c r="G41" s="162">
        <f t="shared" si="16"/>
        <v>0</v>
      </c>
      <c r="H41" s="164">
        <f t="shared" si="16"/>
        <v>0</v>
      </c>
      <c r="I41" s="165">
        <f>'timbulan sampah'!E17</f>
        <v>214.45204000000001</v>
      </c>
      <c r="J41" s="166">
        <f t="shared" si="5"/>
        <v>214.45204000000001</v>
      </c>
    </row>
    <row r="42" spans="1:16" x14ac:dyDescent="0.25">
      <c r="A42" s="157">
        <v>2024</v>
      </c>
      <c r="B42" s="162">
        <f t="shared" ref="B42:H42" si="17">$I$42*B19</f>
        <v>69.258824976</v>
      </c>
      <c r="C42" s="162">
        <f t="shared" si="17"/>
        <v>61.392985632000006</v>
      </c>
      <c r="D42" s="162">
        <f t="shared" si="17"/>
        <v>2.9579061600000003</v>
      </c>
      <c r="E42" s="163">
        <f t="shared" si="17"/>
        <v>85.494443231999995</v>
      </c>
      <c r="F42" s="162">
        <f t="shared" si="17"/>
        <v>0</v>
      </c>
      <c r="G42" s="162">
        <f t="shared" si="17"/>
        <v>0</v>
      </c>
      <c r="H42" s="164">
        <f t="shared" si="17"/>
        <v>0</v>
      </c>
      <c r="I42" s="165">
        <f>'timbulan sampah'!E18</f>
        <v>219.10416000000001</v>
      </c>
      <c r="J42" s="166">
        <f t="shared" si="5"/>
        <v>219.10415999999998</v>
      </c>
    </row>
    <row r="43" spans="1:16" x14ac:dyDescent="0.25">
      <c r="A43" s="157">
        <v>2025</v>
      </c>
      <c r="B43" s="162">
        <f t="shared" ref="B43:H43" si="18">$I$43*B20</f>
        <v>70.729360107999995</v>
      </c>
      <c r="C43" s="162">
        <f t="shared" si="18"/>
        <v>62.696509656000003</v>
      </c>
      <c r="D43" s="162">
        <f t="shared" si="18"/>
        <v>3.0207097800000002</v>
      </c>
      <c r="E43" s="163">
        <f t="shared" si="18"/>
        <v>87.309700456000002</v>
      </c>
      <c r="F43" s="162">
        <f t="shared" si="18"/>
        <v>0</v>
      </c>
      <c r="G43" s="162">
        <f t="shared" si="18"/>
        <v>0</v>
      </c>
      <c r="H43" s="164">
        <f t="shared" si="18"/>
        <v>0</v>
      </c>
      <c r="I43" s="165">
        <f>'timbulan sampah'!E19</f>
        <v>223.75628</v>
      </c>
      <c r="J43" s="166">
        <f t="shared" si="5"/>
        <v>223.75628</v>
      </c>
    </row>
    <row r="44" spans="1:16" x14ac:dyDescent="0.25">
      <c r="A44" s="157">
        <v>2026</v>
      </c>
      <c r="B44" s="162">
        <f t="shared" ref="B44:H44" si="19">$I$44*B21</f>
        <v>72.199895240000004</v>
      </c>
      <c r="C44" s="162">
        <f t="shared" si="19"/>
        <v>64.000033680000001</v>
      </c>
      <c r="D44" s="162">
        <f t="shared" si="19"/>
        <v>3.0835134000000002</v>
      </c>
      <c r="E44" s="163">
        <f t="shared" si="19"/>
        <v>89.124957679999994</v>
      </c>
      <c r="F44" s="162">
        <f t="shared" si="19"/>
        <v>0</v>
      </c>
      <c r="G44" s="162">
        <f t="shared" si="19"/>
        <v>0</v>
      </c>
      <c r="H44" s="164">
        <f t="shared" si="19"/>
        <v>0</v>
      </c>
      <c r="I44" s="165">
        <f>'timbulan sampah'!E20</f>
        <v>228.4084</v>
      </c>
      <c r="J44" s="166">
        <f t="shared" si="5"/>
        <v>228.40839999999997</v>
      </c>
    </row>
    <row r="45" spans="1:16" x14ac:dyDescent="0.25">
      <c r="A45" s="157">
        <v>2027</v>
      </c>
      <c r="B45" s="162">
        <f t="shared" ref="B45:H45" si="20">$I$45*B22</f>
        <v>73.670430371999998</v>
      </c>
      <c r="C45" s="162">
        <f t="shared" si="20"/>
        <v>65.303557703999999</v>
      </c>
      <c r="D45" s="162">
        <f t="shared" si="20"/>
        <v>3.1463170200000001</v>
      </c>
      <c r="E45" s="163">
        <f t="shared" si="20"/>
        <v>90.940214904000001</v>
      </c>
      <c r="F45" s="162">
        <f t="shared" si="20"/>
        <v>0</v>
      </c>
      <c r="G45" s="162">
        <f t="shared" si="20"/>
        <v>0</v>
      </c>
      <c r="H45" s="164">
        <f t="shared" si="20"/>
        <v>0</v>
      </c>
      <c r="I45" s="165">
        <f>'timbulan sampah'!E21</f>
        <v>233.06052</v>
      </c>
      <c r="J45" s="166">
        <f t="shared" si="5"/>
        <v>233.06052</v>
      </c>
    </row>
    <row r="46" spans="1:16" x14ac:dyDescent="0.25">
      <c r="A46" s="157">
        <v>2028</v>
      </c>
      <c r="B46" s="162">
        <f t="shared" ref="B46:H46" si="21">$I$46*B23</f>
        <v>75.140965504000008</v>
      </c>
      <c r="C46" s="162">
        <f t="shared" si="21"/>
        <v>66.607081728000011</v>
      </c>
      <c r="D46" s="162">
        <f t="shared" si="21"/>
        <v>3.2091206400000001</v>
      </c>
      <c r="E46" s="163">
        <f t="shared" si="21"/>
        <v>92.755472128000008</v>
      </c>
      <c r="F46" s="162">
        <f t="shared" si="21"/>
        <v>0</v>
      </c>
      <c r="G46" s="162">
        <f t="shared" si="21"/>
        <v>0</v>
      </c>
      <c r="H46" s="163">
        <f t="shared" si="21"/>
        <v>0</v>
      </c>
      <c r="I46" s="165">
        <f>'timbulan sampah'!E22</f>
        <v>237.71264000000002</v>
      </c>
      <c r="J46" s="166">
        <f t="shared" si="5"/>
        <v>237.71264000000005</v>
      </c>
    </row>
    <row r="47" spans="1:16" x14ac:dyDescent="0.25">
      <c r="A47" s="157">
        <v>2029</v>
      </c>
      <c r="B47" s="162">
        <f t="shared" ref="B47:H47" si="22">$I$47*B24</f>
        <v>76.611500636000002</v>
      </c>
      <c r="C47" s="162">
        <f t="shared" si="22"/>
        <v>67.910605752000009</v>
      </c>
      <c r="D47" s="162">
        <f t="shared" si="22"/>
        <v>3.27192426</v>
      </c>
      <c r="E47" s="163">
        <f t="shared" si="22"/>
        <v>94.570729352000001</v>
      </c>
      <c r="F47" s="162">
        <f t="shared" si="22"/>
        <v>0</v>
      </c>
      <c r="G47" s="162">
        <f t="shared" si="22"/>
        <v>0</v>
      </c>
      <c r="H47" s="163">
        <f t="shared" si="22"/>
        <v>0</v>
      </c>
      <c r="I47" s="165">
        <f>'timbulan sampah'!E23</f>
        <v>242.36476000000002</v>
      </c>
      <c r="J47" s="166">
        <f t="shared" si="5"/>
        <v>242.36475999999999</v>
      </c>
    </row>
    <row r="48" spans="1:16" x14ac:dyDescent="0.25">
      <c r="A48" s="157">
        <v>2030</v>
      </c>
      <c r="B48" s="162">
        <f t="shared" ref="B48:H48" si="23">$I$48*B25</f>
        <v>78.082035767999997</v>
      </c>
      <c r="C48" s="162">
        <f t="shared" si="23"/>
        <v>69.214129776000007</v>
      </c>
      <c r="D48" s="162">
        <f t="shared" si="23"/>
        <v>3.33472788</v>
      </c>
      <c r="E48" s="163">
        <f t="shared" si="23"/>
        <v>96.385986576000008</v>
      </c>
      <c r="F48" s="162">
        <f t="shared" si="23"/>
        <v>0</v>
      </c>
      <c r="G48" s="162">
        <f t="shared" si="23"/>
        <v>0</v>
      </c>
      <c r="H48" s="163">
        <f t="shared" si="23"/>
        <v>0</v>
      </c>
      <c r="I48" s="165">
        <f>'timbulan sampah'!E24</f>
        <v>247.01688000000001</v>
      </c>
      <c r="J48" s="166">
        <f t="shared" si="5"/>
        <v>247.01688000000001</v>
      </c>
    </row>
  </sheetData>
  <mergeCells count="7">
    <mergeCell ref="A2:I2"/>
    <mergeCell ref="A27:A28"/>
    <mergeCell ref="B27:H27"/>
    <mergeCell ref="I4:I5"/>
    <mergeCell ref="I27:I28"/>
    <mergeCell ref="A4:A5"/>
    <mergeCell ref="B4:H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0"/>
  <sheetViews>
    <sheetView topLeftCell="A8" zoomScale="85" zoomScaleNormal="85" workbookViewId="0">
      <selection activeCell="M81" sqref="M81"/>
    </sheetView>
  </sheetViews>
  <sheetFormatPr defaultRowHeight="15" x14ac:dyDescent="0.25"/>
  <cols>
    <col min="1" max="1" width="9.42578125" style="96" bestFit="1" customWidth="1"/>
    <col min="2" max="2" width="11.5703125" style="96" bestFit="1" customWidth="1"/>
    <col min="3" max="3" width="11" style="96" bestFit="1" customWidth="1"/>
    <col min="4" max="4" width="12.7109375" style="96" bestFit="1" customWidth="1"/>
    <col min="5" max="5" width="12.42578125" style="96" customWidth="1"/>
    <col min="6" max="6" width="15.28515625" style="96" customWidth="1"/>
    <col min="7" max="7" width="14.7109375" style="96" customWidth="1"/>
    <col min="8" max="8" width="9.42578125" style="96" bestFit="1" customWidth="1"/>
    <col min="9" max="9" width="13.42578125" style="96" customWidth="1"/>
    <col min="10" max="10" width="11.28515625" style="96" bestFit="1" customWidth="1"/>
    <col min="11" max="14" width="9.42578125" style="96" bestFit="1" customWidth="1"/>
    <col min="15" max="15" width="9.140625" style="96"/>
    <col min="16" max="19" width="9.42578125" style="96" bestFit="1" customWidth="1"/>
    <col min="20" max="23" width="9.140625" style="96"/>
    <col min="24" max="24" width="9.5703125" style="96" bestFit="1" customWidth="1"/>
    <col min="25" max="16384" width="9.140625" style="96"/>
  </cols>
  <sheetData>
    <row r="2" spans="1:24" x14ac:dyDescent="0.25">
      <c r="A2" s="103" t="s">
        <v>117</v>
      </c>
      <c r="B2" s="103"/>
      <c r="C2" s="103"/>
      <c r="D2" s="104"/>
      <c r="E2" s="104"/>
      <c r="F2" s="104"/>
      <c r="G2" s="104"/>
      <c r="H2" s="104"/>
      <c r="I2" s="104"/>
    </row>
    <row r="3" spans="1:24" x14ac:dyDescent="0.25">
      <c r="A3" s="105"/>
    </row>
    <row r="4" spans="1:24" x14ac:dyDescent="0.25">
      <c r="A4" s="106" t="s">
        <v>126</v>
      </c>
    </row>
    <row r="6" spans="1:24" ht="35.25" customHeight="1" x14ac:dyDescent="0.25">
      <c r="A6" s="179" t="s">
        <v>11</v>
      </c>
      <c r="B6" s="180" t="s">
        <v>118</v>
      </c>
      <c r="C6" s="180"/>
      <c r="D6" s="180"/>
      <c r="E6" s="107" t="s">
        <v>114</v>
      </c>
      <c r="F6" s="179" t="s">
        <v>11</v>
      </c>
      <c r="G6" s="180" t="s">
        <v>111</v>
      </c>
      <c r="H6" s="180"/>
      <c r="I6" s="180"/>
      <c r="J6" s="97" t="s">
        <v>115</v>
      </c>
      <c r="K6" s="179" t="s">
        <v>11</v>
      </c>
      <c r="L6" s="180" t="s">
        <v>112</v>
      </c>
      <c r="M6" s="180"/>
      <c r="N6" s="180"/>
      <c r="O6" s="97" t="s">
        <v>115</v>
      </c>
      <c r="P6" s="179" t="s">
        <v>11</v>
      </c>
      <c r="Q6" s="180" t="s">
        <v>113</v>
      </c>
      <c r="R6" s="180"/>
      <c r="S6" s="180"/>
      <c r="X6" s="98"/>
    </row>
    <row r="7" spans="1:24" ht="18" x14ac:dyDescent="0.25">
      <c r="A7" s="179"/>
      <c r="B7" s="179" t="s">
        <v>129</v>
      </c>
      <c r="C7" s="179"/>
      <c r="D7" s="180" t="s">
        <v>130</v>
      </c>
      <c r="E7" s="108"/>
      <c r="F7" s="179"/>
      <c r="G7" s="179" t="s">
        <v>129</v>
      </c>
      <c r="H7" s="179"/>
      <c r="I7" s="180" t="s">
        <v>130</v>
      </c>
      <c r="K7" s="179"/>
      <c r="L7" s="179" t="s">
        <v>129</v>
      </c>
      <c r="M7" s="179"/>
      <c r="N7" s="180" t="s">
        <v>130</v>
      </c>
      <c r="P7" s="179"/>
      <c r="Q7" s="179" t="s">
        <v>129</v>
      </c>
      <c r="R7" s="179"/>
      <c r="S7" s="180" t="s">
        <v>130</v>
      </c>
      <c r="X7" s="98"/>
    </row>
    <row r="8" spans="1:24" ht="18" x14ac:dyDescent="0.25">
      <c r="A8" s="179"/>
      <c r="B8" s="109" t="s">
        <v>131</v>
      </c>
      <c r="C8" s="109" t="s">
        <v>132</v>
      </c>
      <c r="D8" s="180"/>
      <c r="E8" s="110"/>
      <c r="F8" s="179"/>
      <c r="G8" s="109" t="s">
        <v>131</v>
      </c>
      <c r="H8" s="109" t="s">
        <v>132</v>
      </c>
      <c r="I8" s="180"/>
      <c r="K8" s="179"/>
      <c r="L8" s="109" t="s">
        <v>131</v>
      </c>
      <c r="M8" s="109" t="s">
        <v>132</v>
      </c>
      <c r="N8" s="180"/>
      <c r="P8" s="179"/>
      <c r="Q8" s="109" t="s">
        <v>131</v>
      </c>
      <c r="R8" s="109" t="s">
        <v>132</v>
      </c>
      <c r="S8" s="180"/>
    </row>
    <row r="9" spans="1:24" x14ac:dyDescent="0.25">
      <c r="A9" s="89">
        <v>2011</v>
      </c>
      <c r="B9" s="151">
        <f>[2]Results!O28</f>
        <v>2.0656854306697823</v>
      </c>
      <c r="C9" s="111">
        <f>B9*21</f>
        <v>43.379394044065428</v>
      </c>
      <c r="D9" s="112">
        <f t="shared" ref="D9:D14" si="0">E9+C9</f>
        <v>43.379394044065428</v>
      </c>
      <c r="E9" s="113"/>
      <c r="F9" s="89">
        <v>2011</v>
      </c>
      <c r="G9" s="151">
        <f>[3]Results!O28</f>
        <v>0</v>
      </c>
      <c r="H9" s="111">
        <f>G9*21</f>
        <v>0</v>
      </c>
      <c r="I9" s="112">
        <f t="shared" ref="I9:I14" si="1">J9+H9</f>
        <v>0</v>
      </c>
      <c r="K9" s="89">
        <v>2011</v>
      </c>
      <c r="L9" s="150">
        <f>[4]Results!O28</f>
        <v>1.464865694840046</v>
      </c>
      <c r="M9" s="111">
        <f>L9*21</f>
        <v>30.762179591640965</v>
      </c>
      <c r="N9" s="112">
        <f>O9+M9</f>
        <v>30.762179591640965</v>
      </c>
      <c r="P9" s="89">
        <v>2011</v>
      </c>
      <c r="Q9" s="150">
        <f>[5]Results!O28</f>
        <v>0</v>
      </c>
      <c r="R9" s="114">
        <f>Q9*21</f>
        <v>0</v>
      </c>
      <c r="S9" s="115">
        <f>T9+R9</f>
        <v>0</v>
      </c>
    </row>
    <row r="10" spans="1:24" x14ac:dyDescent="0.25">
      <c r="A10" s="89">
        <v>2012</v>
      </c>
      <c r="B10" s="151">
        <f>[2]Results!O29</f>
        <v>2.2093859572478163</v>
      </c>
      <c r="C10" s="111">
        <f t="shared" ref="C10:C14" si="2">B10*21</f>
        <v>46.397105102204144</v>
      </c>
      <c r="D10" s="112">
        <f t="shared" si="0"/>
        <v>46.397105102204144</v>
      </c>
      <c r="E10" s="113"/>
      <c r="F10" s="89">
        <v>2012</v>
      </c>
      <c r="G10" s="151">
        <f>[3]Results!O29</f>
        <v>0</v>
      </c>
      <c r="H10" s="111">
        <f t="shared" ref="H10:H14" si="3">G10*21</f>
        <v>0</v>
      </c>
      <c r="I10" s="112">
        <f t="shared" si="1"/>
        <v>0</v>
      </c>
      <c r="K10" s="89">
        <v>2012</v>
      </c>
      <c r="L10" s="150">
        <f>[4]Results!O29</f>
        <v>1.5667698708531181</v>
      </c>
      <c r="M10" s="111">
        <f t="shared" ref="M10:M14" si="4">L10*21</f>
        <v>32.902167287915482</v>
      </c>
      <c r="N10" s="112">
        <f t="shared" ref="N10:N14" si="5">O10+M10</f>
        <v>32.902167287915482</v>
      </c>
      <c r="P10" s="89">
        <v>2012</v>
      </c>
      <c r="Q10" s="150">
        <f>[5]Results!O29</f>
        <v>0</v>
      </c>
      <c r="R10" s="114">
        <f t="shared" ref="R10:R14" si="6">Q10*21</f>
        <v>0</v>
      </c>
      <c r="S10" s="115">
        <f t="shared" ref="S10:S14" si="7">T10+R10</f>
        <v>0</v>
      </c>
    </row>
    <row r="11" spans="1:24" x14ac:dyDescent="0.25">
      <c r="A11" s="89">
        <v>2013</v>
      </c>
      <c r="B11" s="151">
        <f>[2]Results!O30</f>
        <v>2.3239208190117249</v>
      </c>
      <c r="C11" s="111">
        <f t="shared" si="2"/>
        <v>48.802337199246224</v>
      </c>
      <c r="D11" s="112">
        <f t="shared" si="0"/>
        <v>48.802337199246224</v>
      </c>
      <c r="E11" s="113"/>
      <c r="F11" s="89">
        <v>2013</v>
      </c>
      <c r="G11" s="151">
        <f>[3]Results!O30</f>
        <v>0</v>
      </c>
      <c r="H11" s="111">
        <f t="shared" si="3"/>
        <v>0</v>
      </c>
      <c r="I11" s="112">
        <f t="shared" si="1"/>
        <v>0</v>
      </c>
      <c r="K11" s="89">
        <v>2013</v>
      </c>
      <c r="L11" s="150">
        <f>[4]Results!O30</f>
        <v>1.6479914292618421</v>
      </c>
      <c r="M11" s="111">
        <f t="shared" si="4"/>
        <v>34.607820014498685</v>
      </c>
      <c r="N11" s="112">
        <f t="shared" si="5"/>
        <v>34.607820014498685</v>
      </c>
      <c r="P11" s="89">
        <v>2013</v>
      </c>
      <c r="Q11" s="150">
        <f>[5]Results!O30</f>
        <v>0</v>
      </c>
      <c r="R11" s="114">
        <f t="shared" si="6"/>
        <v>0</v>
      </c>
      <c r="S11" s="115">
        <f t="shared" si="7"/>
        <v>0</v>
      </c>
    </row>
    <row r="12" spans="1:24" x14ac:dyDescent="0.25">
      <c r="A12" s="89">
        <v>2014</v>
      </c>
      <c r="B12" s="151">
        <f>[2]Results!O31</f>
        <v>2.4252491004993293</v>
      </c>
      <c r="C12" s="111">
        <f t="shared" si="2"/>
        <v>50.930231110485913</v>
      </c>
      <c r="D12" s="112">
        <f t="shared" si="0"/>
        <v>50.930231110485913</v>
      </c>
      <c r="E12" s="113"/>
      <c r="F12" s="89">
        <v>2014</v>
      </c>
      <c r="G12" s="151">
        <f>[3]Results!O31</f>
        <v>0</v>
      </c>
      <c r="H12" s="111">
        <f t="shared" si="3"/>
        <v>0</v>
      </c>
      <c r="I12" s="112">
        <f t="shared" si="1"/>
        <v>0</v>
      </c>
      <c r="K12" s="89">
        <v>2014</v>
      </c>
      <c r="L12" s="150">
        <f>[4]Results!O31</f>
        <v>1.7198476379877561</v>
      </c>
      <c r="M12" s="111">
        <f t="shared" si="4"/>
        <v>36.116800397742878</v>
      </c>
      <c r="N12" s="112">
        <f t="shared" si="5"/>
        <v>36.116800397742878</v>
      </c>
      <c r="P12" s="89">
        <v>2014</v>
      </c>
      <c r="Q12" s="150">
        <f>[5]Results!O31</f>
        <v>0</v>
      </c>
      <c r="R12" s="114">
        <f t="shared" si="6"/>
        <v>0</v>
      </c>
      <c r="S12" s="115">
        <f t="shared" si="7"/>
        <v>0</v>
      </c>
    </row>
    <row r="13" spans="1:24" x14ac:dyDescent="0.25">
      <c r="A13" s="89">
        <v>2015</v>
      </c>
      <c r="B13" s="151">
        <f>[2]Results!O32</f>
        <v>2.5171058290026287</v>
      </c>
      <c r="C13" s="111">
        <f t="shared" si="2"/>
        <v>52.859222409055199</v>
      </c>
      <c r="D13" s="112">
        <f t="shared" si="0"/>
        <v>52.859222409055199</v>
      </c>
      <c r="E13" s="113"/>
      <c r="F13" s="89">
        <v>2015</v>
      </c>
      <c r="G13" s="151">
        <f>[3]Results!O32</f>
        <v>0</v>
      </c>
      <c r="H13" s="111">
        <f t="shared" si="3"/>
        <v>0</v>
      </c>
      <c r="I13" s="112">
        <f t="shared" si="1"/>
        <v>0</v>
      </c>
      <c r="K13" s="89">
        <v>2015</v>
      </c>
      <c r="L13" s="150">
        <f>[4]Results!O32</f>
        <v>1.7849871642810167</v>
      </c>
      <c r="M13" s="111">
        <f t="shared" si="4"/>
        <v>37.484730449901349</v>
      </c>
      <c r="N13" s="112">
        <f t="shared" si="5"/>
        <v>37.484730449901349</v>
      </c>
      <c r="P13" s="89">
        <v>2015</v>
      </c>
      <c r="Q13" s="150">
        <f>[5]Results!O32</f>
        <v>0</v>
      </c>
      <c r="R13" s="114">
        <f t="shared" si="6"/>
        <v>0</v>
      </c>
      <c r="S13" s="115">
        <f t="shared" si="7"/>
        <v>0</v>
      </c>
    </row>
    <row r="14" spans="1:24" x14ac:dyDescent="0.25">
      <c r="A14" s="89">
        <v>2016</v>
      </c>
      <c r="B14" s="151">
        <f>[2]Results!O33</f>
        <v>2.6017968870316301</v>
      </c>
      <c r="C14" s="111">
        <f t="shared" si="2"/>
        <v>54.63773462766423</v>
      </c>
      <c r="D14" s="112">
        <f t="shared" si="0"/>
        <v>54.63773462766423</v>
      </c>
      <c r="E14" s="113"/>
      <c r="F14" s="89">
        <v>2016</v>
      </c>
      <c r="G14" s="151">
        <f>[3]Results!O33</f>
        <v>0</v>
      </c>
      <c r="H14" s="111">
        <f t="shared" si="3"/>
        <v>0</v>
      </c>
      <c r="I14" s="112">
        <f t="shared" si="1"/>
        <v>0</v>
      </c>
      <c r="K14" s="89">
        <v>2016</v>
      </c>
      <c r="L14" s="150">
        <f>[4]Results!O33</f>
        <v>1.8450452078361603</v>
      </c>
      <c r="M14" s="111">
        <f t="shared" si="4"/>
        <v>38.745949364559365</v>
      </c>
      <c r="N14" s="112">
        <f t="shared" si="5"/>
        <v>38.745949364559365</v>
      </c>
      <c r="P14" s="89">
        <v>2016</v>
      </c>
      <c r="Q14" s="150">
        <f>[5]Results!O33</f>
        <v>0</v>
      </c>
      <c r="R14" s="114">
        <f t="shared" si="6"/>
        <v>0</v>
      </c>
      <c r="S14" s="115">
        <f t="shared" si="7"/>
        <v>0</v>
      </c>
    </row>
    <row r="15" spans="1:24" x14ac:dyDescent="0.25">
      <c r="A15" s="89">
        <v>2017</v>
      </c>
      <c r="B15" s="151">
        <f>[2]Results!O34</f>
        <v>2.6813842727714694</v>
      </c>
      <c r="C15" s="111">
        <f t="shared" ref="C15:C29" si="8">B15*21</f>
        <v>56.309069728200861</v>
      </c>
      <c r="D15" s="112">
        <f t="shared" ref="D15:D29" si="9">E15+C15</f>
        <v>56.309069728200861</v>
      </c>
      <c r="E15" s="113"/>
      <c r="F15" s="89">
        <v>2017</v>
      </c>
      <c r="G15" s="151">
        <f>[3]Results!O34</f>
        <v>0</v>
      </c>
      <c r="H15" s="111">
        <f t="shared" ref="H15:H29" si="10">G15*21</f>
        <v>0</v>
      </c>
      <c r="I15" s="112">
        <f t="shared" ref="I15:I29" si="11">J15+H15</f>
        <v>0</v>
      </c>
      <c r="K15" s="89">
        <v>2017</v>
      </c>
      <c r="L15" s="150">
        <f>[4]Results!O34</f>
        <v>1.9014840195648612</v>
      </c>
      <c r="M15" s="111">
        <f t="shared" ref="M15:M29" si="12">L15*21</f>
        <v>39.931164410862088</v>
      </c>
      <c r="N15" s="112">
        <f t="shared" ref="N15:N29" si="13">O15+M15</f>
        <v>39.931164410862088</v>
      </c>
      <c r="P15" s="89">
        <v>2017</v>
      </c>
      <c r="Q15" s="150">
        <f>[5]Results!O34</f>
        <v>0</v>
      </c>
      <c r="R15" s="114">
        <f t="shared" ref="R15:R29" si="14">Q15*21</f>
        <v>0</v>
      </c>
      <c r="S15" s="115">
        <f t="shared" ref="S15:S29" si="15">T15+R15</f>
        <v>0</v>
      </c>
    </row>
    <row r="16" spans="1:24" x14ac:dyDescent="0.25">
      <c r="A16" s="89">
        <v>2018</v>
      </c>
      <c r="B16" s="151">
        <f>[2]Results!O35</f>
        <v>2.760773894772242</v>
      </c>
      <c r="C16" s="111">
        <f t="shared" si="8"/>
        <v>57.976251790217084</v>
      </c>
      <c r="D16" s="112">
        <f t="shared" si="9"/>
        <v>57.976251790217084</v>
      </c>
      <c r="E16" s="113"/>
      <c r="F16" s="89">
        <v>2018</v>
      </c>
      <c r="G16" s="151">
        <f>[3]Results!O35</f>
        <v>0</v>
      </c>
      <c r="H16" s="111">
        <f t="shared" si="10"/>
        <v>0</v>
      </c>
      <c r="I16" s="112">
        <f t="shared" si="11"/>
        <v>0</v>
      </c>
      <c r="K16" s="89">
        <v>2018</v>
      </c>
      <c r="L16" s="150">
        <f>[4]Results!O35</f>
        <v>1.957782588586352</v>
      </c>
      <c r="M16" s="111">
        <f t="shared" si="12"/>
        <v>41.113434360313391</v>
      </c>
      <c r="N16" s="112">
        <f t="shared" si="13"/>
        <v>41.113434360313391</v>
      </c>
      <c r="P16" s="89">
        <v>2018</v>
      </c>
      <c r="Q16" s="150">
        <f>[5]Results!O35</f>
        <v>0</v>
      </c>
      <c r="R16" s="114">
        <f t="shared" si="14"/>
        <v>0</v>
      </c>
      <c r="S16" s="115">
        <f t="shared" si="15"/>
        <v>0</v>
      </c>
    </row>
    <row r="17" spans="1:19" x14ac:dyDescent="0.25">
      <c r="A17" s="89">
        <v>2019</v>
      </c>
      <c r="B17" s="151">
        <f>[2]Results!O36</f>
        <v>2.8412716377202947</v>
      </c>
      <c r="C17" s="111">
        <f t="shared" si="8"/>
        <v>59.666704392126185</v>
      </c>
      <c r="D17" s="112">
        <f t="shared" si="9"/>
        <v>59.666704392126185</v>
      </c>
      <c r="E17" s="113"/>
      <c r="F17" s="89">
        <v>2019</v>
      </c>
      <c r="G17" s="151">
        <f>[3]Results!O36</f>
        <v>0</v>
      </c>
      <c r="H17" s="111">
        <f t="shared" si="10"/>
        <v>0</v>
      </c>
      <c r="I17" s="112">
        <f t="shared" si="11"/>
        <v>0</v>
      </c>
      <c r="K17" s="89">
        <v>2019</v>
      </c>
      <c r="L17" s="150">
        <f>[4]Results!O36</f>
        <v>2.0148669734621363</v>
      </c>
      <c r="M17" s="111">
        <f t="shared" si="12"/>
        <v>42.312206442704863</v>
      </c>
      <c r="N17" s="112">
        <f t="shared" si="13"/>
        <v>42.312206442704863</v>
      </c>
      <c r="P17" s="89">
        <v>2019</v>
      </c>
      <c r="Q17" s="150">
        <f>[5]Results!O36</f>
        <v>0</v>
      </c>
      <c r="R17" s="114">
        <f t="shared" si="14"/>
        <v>0</v>
      </c>
      <c r="S17" s="115">
        <f t="shared" si="15"/>
        <v>0</v>
      </c>
    </row>
    <row r="18" spans="1:19" x14ac:dyDescent="0.25">
      <c r="A18" s="89">
        <v>2020</v>
      </c>
      <c r="B18" s="151">
        <f>[2]Results!O37</f>
        <v>2.9224113874261057</v>
      </c>
      <c r="C18" s="111">
        <f t="shared" si="8"/>
        <v>61.370639135948224</v>
      </c>
      <c r="D18" s="112">
        <f t="shared" si="9"/>
        <v>61.370639135948224</v>
      </c>
      <c r="E18" s="113"/>
      <c r="F18" s="89">
        <v>2020</v>
      </c>
      <c r="G18" s="151">
        <f>[3]Results!O37</f>
        <v>0</v>
      </c>
      <c r="H18" s="111">
        <f t="shared" si="10"/>
        <v>0</v>
      </c>
      <c r="I18" s="112">
        <f t="shared" si="11"/>
        <v>0</v>
      </c>
      <c r="K18" s="89">
        <v>2020</v>
      </c>
      <c r="L18" s="150">
        <f>[4]Results!O37</f>
        <v>2.0724066327283643</v>
      </c>
      <c r="M18" s="111">
        <f t="shared" si="12"/>
        <v>43.520539287295648</v>
      </c>
      <c r="N18" s="112">
        <f t="shared" si="13"/>
        <v>43.520539287295648</v>
      </c>
      <c r="P18" s="89">
        <v>2020</v>
      </c>
      <c r="Q18" s="150">
        <f>[5]Results!O37</f>
        <v>0</v>
      </c>
      <c r="R18" s="114">
        <f t="shared" si="14"/>
        <v>0</v>
      </c>
      <c r="S18" s="115">
        <f t="shared" si="15"/>
        <v>0</v>
      </c>
    </row>
    <row r="19" spans="1:19" x14ac:dyDescent="0.25">
      <c r="A19" s="89">
        <v>2021</v>
      </c>
      <c r="B19" s="151">
        <f>[2]Results!O38</f>
        <v>3.0038924276454635</v>
      </c>
      <c r="C19" s="111">
        <f t="shared" si="8"/>
        <v>63.081740980554734</v>
      </c>
      <c r="D19" s="112">
        <f t="shared" si="9"/>
        <v>63.081740980554734</v>
      </c>
      <c r="E19" s="113"/>
      <c r="F19" s="89">
        <v>2021</v>
      </c>
      <c r="G19" s="151">
        <f>[3]Results!O38</f>
        <v>0</v>
      </c>
      <c r="H19" s="111">
        <f t="shared" si="10"/>
        <v>0</v>
      </c>
      <c r="I19" s="112">
        <f t="shared" si="11"/>
        <v>0</v>
      </c>
      <c r="K19" s="89">
        <v>2021</v>
      </c>
      <c r="L19" s="150">
        <f>[4]Results!O38</f>
        <v>2.1301883156627879</v>
      </c>
      <c r="M19" s="111">
        <f t="shared" si="12"/>
        <v>44.733954628918546</v>
      </c>
      <c r="N19" s="112">
        <f t="shared" si="13"/>
        <v>44.733954628918546</v>
      </c>
      <c r="P19" s="89">
        <v>2021</v>
      </c>
      <c r="Q19" s="150">
        <f>[5]Results!O38</f>
        <v>0</v>
      </c>
      <c r="R19" s="114">
        <f t="shared" si="14"/>
        <v>0</v>
      </c>
      <c r="S19" s="115">
        <f t="shared" si="15"/>
        <v>0</v>
      </c>
    </row>
    <row r="20" spans="1:19" x14ac:dyDescent="0.25">
      <c r="A20" s="89">
        <v>2022</v>
      </c>
      <c r="B20" s="151">
        <f>[2]Results!O39</f>
        <v>3.0855233502463109</v>
      </c>
      <c r="C20" s="111">
        <f t="shared" si="8"/>
        <v>64.795990355172535</v>
      </c>
      <c r="D20" s="112">
        <f t="shared" si="9"/>
        <v>64.795990355172535</v>
      </c>
      <c r="E20" s="113"/>
      <c r="F20" s="89">
        <v>2022</v>
      </c>
      <c r="G20" s="151">
        <f>[3]Results!O39</f>
        <v>0</v>
      </c>
      <c r="H20" s="111">
        <f t="shared" si="10"/>
        <v>0</v>
      </c>
      <c r="I20" s="112">
        <f t="shared" si="11"/>
        <v>0</v>
      </c>
      <c r="K20" s="89">
        <v>2022</v>
      </c>
      <c r="L20" s="150">
        <f>[4]Results!O39</f>
        <v>2.1880762865903609</v>
      </c>
      <c r="M20" s="111">
        <f t="shared" si="12"/>
        <v>45.949602018397577</v>
      </c>
      <c r="N20" s="112">
        <f t="shared" si="13"/>
        <v>45.949602018397577</v>
      </c>
      <c r="P20" s="89">
        <v>2022</v>
      </c>
      <c r="Q20" s="150">
        <f>[5]Results!O39</f>
        <v>0</v>
      </c>
      <c r="R20" s="114">
        <f t="shared" si="14"/>
        <v>0</v>
      </c>
      <c r="S20" s="115">
        <f t="shared" si="15"/>
        <v>0</v>
      </c>
    </row>
    <row r="21" spans="1:19" x14ac:dyDescent="0.25">
      <c r="A21" s="89">
        <v>2023</v>
      </c>
      <c r="B21" s="151">
        <f>[2]Results!O40</f>
        <v>3.1671846827704897</v>
      </c>
      <c r="C21" s="111">
        <f t="shared" si="8"/>
        <v>66.510878338180277</v>
      </c>
      <c r="D21" s="112">
        <f t="shared" si="9"/>
        <v>66.510878338180277</v>
      </c>
      <c r="E21" s="113"/>
      <c r="F21" s="89">
        <v>2023</v>
      </c>
      <c r="G21" s="151">
        <f>[3]Results!O40</f>
        <v>0</v>
      </c>
      <c r="H21" s="111">
        <f t="shared" si="10"/>
        <v>0</v>
      </c>
      <c r="I21" s="112">
        <f t="shared" si="11"/>
        <v>0</v>
      </c>
      <c r="K21" s="89">
        <v>2023</v>
      </c>
      <c r="L21" s="150">
        <f>[4]Results!O40</f>
        <v>2.2459858224923535</v>
      </c>
      <c r="M21" s="111">
        <f t="shared" si="12"/>
        <v>47.165702272339423</v>
      </c>
      <c r="N21" s="112">
        <f t="shared" si="13"/>
        <v>47.165702272339423</v>
      </c>
      <c r="P21" s="89">
        <v>2023</v>
      </c>
      <c r="Q21" s="150">
        <f>[5]Results!O40</f>
        <v>0</v>
      </c>
      <c r="R21" s="114">
        <f t="shared" si="14"/>
        <v>0</v>
      </c>
      <c r="S21" s="115">
        <f t="shared" si="15"/>
        <v>0</v>
      </c>
    </row>
    <row r="22" spans="1:19" x14ac:dyDescent="0.25">
      <c r="A22" s="89">
        <v>2024</v>
      </c>
      <c r="B22" s="151">
        <f>[2]Results!O41</f>
        <v>3.2488040285999231</v>
      </c>
      <c r="C22" s="111">
        <f t="shared" si="8"/>
        <v>68.224884600598386</v>
      </c>
      <c r="D22" s="112">
        <f t="shared" si="9"/>
        <v>68.224884600598386</v>
      </c>
      <c r="E22" s="113"/>
      <c r="F22" s="89">
        <v>2024</v>
      </c>
      <c r="G22" s="151">
        <f>[3]Results!O41</f>
        <v>0</v>
      </c>
      <c r="H22" s="111">
        <f t="shared" si="10"/>
        <v>0</v>
      </c>
      <c r="I22" s="112">
        <f t="shared" si="11"/>
        <v>0</v>
      </c>
      <c r="K22" s="89">
        <v>2024</v>
      </c>
      <c r="L22" s="150">
        <f>[4]Results!O41</f>
        <v>2.3038655838372639</v>
      </c>
      <c r="M22" s="111">
        <f t="shared" si="12"/>
        <v>48.38117726058254</v>
      </c>
      <c r="N22" s="112">
        <f t="shared" si="13"/>
        <v>48.38117726058254</v>
      </c>
      <c r="P22" s="89">
        <v>2024</v>
      </c>
      <c r="Q22" s="150">
        <f>[5]Results!O41</f>
        <v>0</v>
      </c>
      <c r="R22" s="114">
        <f t="shared" si="14"/>
        <v>0</v>
      </c>
      <c r="S22" s="115">
        <f t="shared" si="15"/>
        <v>0</v>
      </c>
    </row>
    <row r="23" spans="1:19" x14ac:dyDescent="0.25">
      <c r="A23" s="89">
        <v>2025</v>
      </c>
      <c r="B23" s="151">
        <f>[2]Results!O42</f>
        <v>3.3303395657694006</v>
      </c>
      <c r="C23" s="111">
        <f t="shared" si="8"/>
        <v>69.937130881157415</v>
      </c>
      <c r="D23" s="112">
        <f t="shared" si="9"/>
        <v>69.937130881157415</v>
      </c>
      <c r="E23" s="113"/>
      <c r="F23" s="89">
        <v>2025</v>
      </c>
      <c r="G23" s="151">
        <f>[3]Results!O42</f>
        <v>0</v>
      </c>
      <c r="H23" s="111">
        <f t="shared" si="10"/>
        <v>0</v>
      </c>
      <c r="I23" s="112">
        <f t="shared" si="11"/>
        <v>0</v>
      </c>
      <c r="K23" s="89">
        <v>2025</v>
      </c>
      <c r="L23" s="150">
        <f>[4]Results!O42</f>
        <v>2.3616859128847487</v>
      </c>
      <c r="M23" s="111">
        <f t="shared" si="12"/>
        <v>49.595404170579727</v>
      </c>
      <c r="N23" s="112">
        <f t="shared" si="13"/>
        <v>49.595404170579727</v>
      </c>
      <c r="P23" s="89">
        <v>2025</v>
      </c>
      <c r="Q23" s="150">
        <f>[5]Results!O42</f>
        <v>0</v>
      </c>
      <c r="R23" s="114">
        <f t="shared" si="14"/>
        <v>0</v>
      </c>
      <c r="S23" s="115">
        <f t="shared" si="15"/>
        <v>0</v>
      </c>
    </row>
    <row r="24" spans="1:19" x14ac:dyDescent="0.25">
      <c r="A24" s="89">
        <v>2026</v>
      </c>
      <c r="B24" s="151">
        <f>[2]Results!O43</f>
        <v>3.4117691243692336</v>
      </c>
      <c r="C24" s="111">
        <f t="shared" si="8"/>
        <v>71.647151611753912</v>
      </c>
      <c r="D24" s="112">
        <f t="shared" si="9"/>
        <v>71.647151611753912</v>
      </c>
      <c r="E24" s="113"/>
      <c r="F24" s="89">
        <v>2026</v>
      </c>
      <c r="G24" s="151">
        <f>[3]Results!O43</f>
        <v>0</v>
      </c>
      <c r="H24" s="111">
        <f t="shared" si="10"/>
        <v>0</v>
      </c>
      <c r="I24" s="112">
        <f t="shared" si="11"/>
        <v>0</v>
      </c>
      <c r="K24" s="89">
        <v>2026</v>
      </c>
      <c r="L24" s="150">
        <f>[4]Results!O43</f>
        <v>2.4194310880057186</v>
      </c>
      <c r="M24" s="111">
        <f t="shared" si="12"/>
        <v>50.808052848120091</v>
      </c>
      <c r="N24" s="112">
        <f t="shared" si="13"/>
        <v>50.808052848120091</v>
      </c>
      <c r="P24" s="89">
        <v>2026</v>
      </c>
      <c r="Q24" s="150">
        <f>[5]Results!O43</f>
        <v>0</v>
      </c>
      <c r="R24" s="114">
        <f t="shared" si="14"/>
        <v>0</v>
      </c>
      <c r="S24" s="115">
        <f t="shared" si="15"/>
        <v>0</v>
      </c>
    </row>
    <row r="25" spans="1:19" x14ac:dyDescent="0.25">
      <c r="A25" s="89">
        <v>2027</v>
      </c>
      <c r="B25" s="151">
        <f>[2]Results!O44</f>
        <v>3.4930829827481182</v>
      </c>
      <c r="C25" s="111">
        <f t="shared" si="8"/>
        <v>73.354742637710487</v>
      </c>
      <c r="D25" s="112">
        <f t="shared" si="9"/>
        <v>73.354742637710487</v>
      </c>
      <c r="E25" s="113"/>
      <c r="F25" s="89">
        <v>2027</v>
      </c>
      <c r="G25" s="151">
        <f>[3]Results!O44</f>
        <v>0</v>
      </c>
      <c r="H25" s="111">
        <f t="shared" si="10"/>
        <v>0</v>
      </c>
      <c r="I25" s="112">
        <f t="shared" si="11"/>
        <v>0</v>
      </c>
      <c r="K25" s="89">
        <v>2027</v>
      </c>
      <c r="L25" s="150">
        <f>[4]Results!O44</f>
        <v>2.4770942151623481</v>
      </c>
      <c r="M25" s="111">
        <f t="shared" si="12"/>
        <v>52.018978518409313</v>
      </c>
      <c r="N25" s="112">
        <f t="shared" si="13"/>
        <v>52.018978518409313</v>
      </c>
      <c r="P25" s="89">
        <v>2027</v>
      </c>
      <c r="Q25" s="150">
        <f>[5]Results!O44</f>
        <v>0</v>
      </c>
      <c r="R25" s="114">
        <f t="shared" si="14"/>
        <v>0</v>
      </c>
      <c r="S25" s="115">
        <f t="shared" si="15"/>
        <v>0</v>
      </c>
    </row>
    <row r="26" spans="1:19" x14ac:dyDescent="0.25">
      <c r="A26" s="89">
        <v>2028</v>
      </c>
      <c r="B26" s="151">
        <f>[2]Results!O45</f>
        <v>3.5742791390205122</v>
      </c>
      <c r="C26" s="111">
        <f t="shared" si="8"/>
        <v>75.059861919430759</v>
      </c>
      <c r="D26" s="112">
        <f t="shared" si="9"/>
        <v>75.059861919430759</v>
      </c>
      <c r="E26" s="113"/>
      <c r="F26" s="89">
        <v>2028</v>
      </c>
      <c r="G26" s="151">
        <f>[3]Results!O45</f>
        <v>0</v>
      </c>
      <c r="H26" s="111">
        <f t="shared" si="10"/>
        <v>0</v>
      </c>
      <c r="I26" s="112">
        <f t="shared" si="11"/>
        <v>0</v>
      </c>
      <c r="K26" s="89">
        <v>2028</v>
      </c>
      <c r="L26" s="150">
        <f>[4]Results!O45</f>
        <v>2.5346738747321673</v>
      </c>
      <c r="M26" s="111">
        <f t="shared" si="12"/>
        <v>53.22815136937551</v>
      </c>
      <c r="N26" s="112">
        <f t="shared" si="13"/>
        <v>53.22815136937551</v>
      </c>
      <c r="P26" s="89">
        <v>2028</v>
      </c>
      <c r="Q26" s="150">
        <f>[5]Results!O45</f>
        <v>0</v>
      </c>
      <c r="R26" s="114">
        <f t="shared" si="14"/>
        <v>0</v>
      </c>
      <c r="S26" s="115">
        <f t="shared" si="15"/>
        <v>0</v>
      </c>
    </row>
    <row r="27" spans="1:19" x14ac:dyDescent="0.25">
      <c r="A27" s="89">
        <v>2029</v>
      </c>
      <c r="B27" s="151">
        <f>[2]Results!O46</f>
        <v>3.6553602270078853</v>
      </c>
      <c r="C27" s="111">
        <f t="shared" si="8"/>
        <v>76.762564767165586</v>
      </c>
      <c r="D27" s="112">
        <f t="shared" si="9"/>
        <v>76.762564767165586</v>
      </c>
      <c r="E27" s="113"/>
      <c r="F27" s="89">
        <v>2029</v>
      </c>
      <c r="G27" s="151">
        <f>[3]Results!O46</f>
        <v>0</v>
      </c>
      <c r="H27" s="111">
        <f t="shared" si="10"/>
        <v>0</v>
      </c>
      <c r="I27" s="112">
        <f t="shared" si="11"/>
        <v>0</v>
      </c>
      <c r="K27" s="89">
        <v>2029</v>
      </c>
      <c r="L27" s="150">
        <f>[4]Results!O46</f>
        <v>2.592171934470382</v>
      </c>
      <c r="M27" s="111">
        <f t="shared" si="12"/>
        <v>54.43561062387802</v>
      </c>
      <c r="N27" s="112">
        <f t="shared" si="13"/>
        <v>54.43561062387802</v>
      </c>
      <c r="P27" s="89">
        <v>2029</v>
      </c>
      <c r="Q27" s="150">
        <f>[5]Results!O46</f>
        <v>0</v>
      </c>
      <c r="R27" s="114">
        <f t="shared" si="14"/>
        <v>0</v>
      </c>
      <c r="S27" s="115">
        <f t="shared" si="15"/>
        <v>0</v>
      </c>
    </row>
    <row r="28" spans="1:19" x14ac:dyDescent="0.25">
      <c r="A28" s="89">
        <v>2030</v>
      </c>
      <c r="B28" s="151">
        <f>[2]Results!O47</f>
        <v>3.7363315219209987</v>
      </c>
      <c r="C28" s="111">
        <f t="shared" si="8"/>
        <v>78.462961960340976</v>
      </c>
      <c r="D28" s="112">
        <f t="shared" si="9"/>
        <v>78.462961960340976</v>
      </c>
      <c r="E28" s="113"/>
      <c r="F28" s="89">
        <v>2030</v>
      </c>
      <c r="G28" s="151">
        <f>[3]Results!O47</f>
        <v>0</v>
      </c>
      <c r="H28" s="111">
        <f t="shared" si="10"/>
        <v>0</v>
      </c>
      <c r="I28" s="112">
        <f t="shared" si="11"/>
        <v>0</v>
      </c>
      <c r="K28" s="89">
        <v>2030</v>
      </c>
      <c r="L28" s="150">
        <f>[4]Results!O47</f>
        <v>2.649592135254069</v>
      </c>
      <c r="M28" s="111">
        <f t="shared" si="12"/>
        <v>55.64143484033545</v>
      </c>
      <c r="N28" s="112">
        <f t="shared" si="13"/>
        <v>55.64143484033545</v>
      </c>
      <c r="P28" s="89">
        <v>2030</v>
      </c>
      <c r="Q28" s="150">
        <f>[5]Results!O47</f>
        <v>0</v>
      </c>
      <c r="R28" s="114">
        <f t="shared" si="14"/>
        <v>0</v>
      </c>
      <c r="S28" s="115">
        <f t="shared" si="15"/>
        <v>0</v>
      </c>
    </row>
    <row r="29" spans="1:19" x14ac:dyDescent="0.25">
      <c r="A29" s="89">
        <v>2031</v>
      </c>
      <c r="B29" s="151"/>
      <c r="C29" s="111">
        <f t="shared" si="8"/>
        <v>0</v>
      </c>
      <c r="D29" s="112">
        <f t="shared" si="9"/>
        <v>0</v>
      </c>
      <c r="E29" s="113"/>
      <c r="F29" s="89">
        <v>2031</v>
      </c>
      <c r="G29" s="151"/>
      <c r="H29" s="111">
        <f t="shared" si="10"/>
        <v>0</v>
      </c>
      <c r="I29" s="112">
        <f t="shared" si="11"/>
        <v>0</v>
      </c>
      <c r="K29" s="89">
        <v>2031</v>
      </c>
      <c r="L29" s="150"/>
      <c r="M29" s="111">
        <f t="shared" si="12"/>
        <v>0</v>
      </c>
      <c r="N29" s="112">
        <f t="shared" si="13"/>
        <v>0</v>
      </c>
      <c r="P29" s="89">
        <v>2031</v>
      </c>
      <c r="Q29" s="150"/>
      <c r="R29" s="114">
        <f t="shared" si="14"/>
        <v>0</v>
      </c>
      <c r="S29" s="115">
        <f t="shared" si="15"/>
        <v>0</v>
      </c>
    </row>
    <row r="31" spans="1:19" ht="15.75" thickBot="1" x14ac:dyDescent="0.3">
      <c r="A31" s="116" t="s">
        <v>127</v>
      </c>
    </row>
    <row r="32" spans="1:19" ht="15.75" thickBot="1" x14ac:dyDescent="0.3">
      <c r="A32" s="186" t="s">
        <v>11</v>
      </c>
      <c r="B32" s="188" t="s">
        <v>81</v>
      </c>
      <c r="C32" s="189"/>
      <c r="D32" s="189"/>
      <c r="E32" s="189"/>
      <c r="F32" s="190"/>
    </row>
    <row r="33" spans="1:6" ht="18.75" thickBot="1" x14ac:dyDescent="0.3">
      <c r="A33" s="187"/>
      <c r="B33" s="188" t="s">
        <v>129</v>
      </c>
      <c r="C33" s="190"/>
      <c r="D33" s="188" t="s">
        <v>133</v>
      </c>
      <c r="E33" s="190"/>
      <c r="F33" s="191" t="s">
        <v>130</v>
      </c>
    </row>
    <row r="34" spans="1:6" ht="18" x14ac:dyDescent="0.25">
      <c r="A34" s="187"/>
      <c r="B34" s="117" t="s">
        <v>131</v>
      </c>
      <c r="C34" s="117" t="s">
        <v>132</v>
      </c>
      <c r="D34" s="117" t="s">
        <v>134</v>
      </c>
      <c r="E34" s="117" t="s">
        <v>132</v>
      </c>
      <c r="F34" s="192"/>
    </row>
    <row r="35" spans="1:6" x14ac:dyDescent="0.25">
      <c r="A35" s="89">
        <v>2011</v>
      </c>
      <c r="B35" s="111">
        <f>[6]REKAPITULASI!B6</f>
        <v>8.9895603600000009E-3</v>
      </c>
      <c r="C35" s="111">
        <f>B35*21</f>
        <v>0.18878076756000001</v>
      </c>
      <c r="D35" s="111">
        <f>[6]REKAPITULASI!D6</f>
        <v>6.7421702699999996E-4</v>
      </c>
      <c r="E35" s="111">
        <f>D35*310</f>
        <v>0.20900727836999999</v>
      </c>
      <c r="F35" s="112">
        <f>E35+C35</f>
        <v>0.39778804593</v>
      </c>
    </row>
    <row r="36" spans="1:6" x14ac:dyDescent="0.25">
      <c r="A36" s="89">
        <v>2012</v>
      </c>
      <c r="B36" s="111">
        <f>[6]REKAPITULASI!B7</f>
        <v>9.0871070400000004E-3</v>
      </c>
      <c r="C36" s="111">
        <f t="shared" ref="C36:C45" si="16">B36*21</f>
        <v>0.19082924783999999</v>
      </c>
      <c r="D36" s="111">
        <f>[6]REKAPITULASI!D7</f>
        <v>6.8153302800000001E-4</v>
      </c>
      <c r="E36" s="111">
        <f t="shared" ref="E36:E45" si="17">D36*310</f>
        <v>0.21127523868</v>
      </c>
      <c r="F36" s="112">
        <f t="shared" ref="F36:F45" si="18">E36+C36</f>
        <v>0.40210448651999997</v>
      </c>
    </row>
    <row r="37" spans="1:6" x14ac:dyDescent="0.25">
      <c r="A37" s="89">
        <v>2013</v>
      </c>
      <c r="B37" s="111">
        <f>[6]REKAPITULASI!B8</f>
        <v>9.278458199999999E-3</v>
      </c>
      <c r="C37" s="111">
        <f t="shared" si="16"/>
        <v>0.19484762219999999</v>
      </c>
      <c r="D37" s="111">
        <f>[6]REKAPITULASI!D8</f>
        <v>6.9588436499999997E-4</v>
      </c>
      <c r="E37" s="111">
        <f t="shared" si="17"/>
        <v>0.21572415314999999</v>
      </c>
      <c r="F37" s="112">
        <f t="shared" si="18"/>
        <v>0.41057177535</v>
      </c>
    </row>
    <row r="38" spans="1:6" x14ac:dyDescent="0.25">
      <c r="A38" s="89">
        <v>2014</v>
      </c>
      <c r="B38" s="111">
        <f>[6]REKAPITULASI!B9</f>
        <v>9.4684312799999983E-3</v>
      </c>
      <c r="C38" s="111">
        <f t="shared" si="16"/>
        <v>0.19883705687999997</v>
      </c>
      <c r="D38" s="111">
        <f>[6]REKAPITULASI!D9</f>
        <v>7.1013234599999985E-4</v>
      </c>
      <c r="E38" s="111">
        <f t="shared" si="17"/>
        <v>0.22014102725999996</v>
      </c>
      <c r="F38" s="112">
        <f t="shared" si="18"/>
        <v>0.41897808413999993</v>
      </c>
    </row>
    <row r="39" spans="1:6" x14ac:dyDescent="0.25">
      <c r="A39" s="89">
        <v>2015</v>
      </c>
      <c r="B39" s="111">
        <f>[6]REKAPITULASI!B10</f>
        <v>9.6536523600000007E-3</v>
      </c>
      <c r="C39" s="111">
        <f t="shared" si="16"/>
        <v>0.20272669956</v>
      </c>
      <c r="D39" s="111">
        <f>[6]REKAPITULASI!D10</f>
        <v>7.2402392700000005E-4</v>
      </c>
      <c r="E39" s="111">
        <f t="shared" si="17"/>
        <v>0.22444741737000001</v>
      </c>
      <c r="F39" s="112">
        <f t="shared" si="18"/>
        <v>0.42717411693000001</v>
      </c>
    </row>
    <row r="40" spans="1:6" x14ac:dyDescent="0.25">
      <c r="A40" s="89">
        <v>2016</v>
      </c>
      <c r="B40" s="111">
        <f>[6]REKAPITULASI!B11</f>
        <v>9.8402396399999998E-3</v>
      </c>
      <c r="C40" s="111">
        <f t="shared" si="16"/>
        <v>0.20664503243999999</v>
      </c>
      <c r="D40" s="111">
        <f>[6]REKAPITULASI!D11</f>
        <v>7.380179729999999E-4</v>
      </c>
      <c r="E40" s="111">
        <f t="shared" si="17"/>
        <v>0.22878557162999996</v>
      </c>
      <c r="F40" s="112">
        <f t="shared" si="18"/>
        <v>0.43543060406999995</v>
      </c>
    </row>
    <row r="41" spans="1:6" x14ac:dyDescent="0.25">
      <c r="A41" s="89">
        <v>2017</v>
      </c>
      <c r="B41" s="111">
        <f>[6]REKAPITULASI!B12</f>
        <v>1.007312328E-2</v>
      </c>
      <c r="C41" s="111">
        <f t="shared" si="16"/>
        <v>0.21153558888000001</v>
      </c>
      <c r="D41" s="111">
        <f>[6]REKAPITULASI!D12</f>
        <v>7.5548424600000005E-4</v>
      </c>
      <c r="E41" s="111">
        <f t="shared" si="17"/>
        <v>0.23420011626000001</v>
      </c>
      <c r="F41" s="112">
        <f t="shared" si="18"/>
        <v>0.44573570514000005</v>
      </c>
    </row>
    <row r="42" spans="1:6" x14ac:dyDescent="0.25">
      <c r="A42" s="89">
        <v>2018</v>
      </c>
      <c r="B42" s="111">
        <f>[6]REKAPITULASI!B13</f>
        <v>1.032433776E-2</v>
      </c>
      <c r="C42" s="111">
        <f t="shared" si="16"/>
        <v>0.21681109296000001</v>
      </c>
      <c r="D42" s="111">
        <f>[6]REKAPITULASI!D13</f>
        <v>7.7432533199999994E-4</v>
      </c>
      <c r="E42" s="111">
        <f t="shared" si="17"/>
        <v>0.24004085291999999</v>
      </c>
      <c r="F42" s="112">
        <f t="shared" si="18"/>
        <v>0.45685194588</v>
      </c>
    </row>
    <row r="43" spans="1:6" x14ac:dyDescent="0.25">
      <c r="A43" s="89">
        <v>2019</v>
      </c>
      <c r="B43" s="111">
        <f>[6]REKAPITULASI!B14</f>
        <v>1.0575552240000001E-2</v>
      </c>
      <c r="C43" s="111">
        <f t="shared" si="16"/>
        <v>0.22208659704000003</v>
      </c>
      <c r="D43" s="111">
        <f>[6]REKAPITULASI!D14</f>
        <v>7.9316641799999994E-4</v>
      </c>
      <c r="E43" s="111">
        <f t="shared" si="17"/>
        <v>0.24588158957999998</v>
      </c>
      <c r="F43" s="112">
        <f t="shared" si="18"/>
        <v>0.46796818662</v>
      </c>
    </row>
    <row r="44" spans="1:6" x14ac:dyDescent="0.25">
      <c r="A44" s="89">
        <v>2020</v>
      </c>
      <c r="B44" s="111">
        <f>[6]REKAPITULASI!B15</f>
        <v>1.082676672E-2</v>
      </c>
      <c r="C44" s="111">
        <f t="shared" si="16"/>
        <v>0.22736210112000002</v>
      </c>
      <c r="D44" s="111">
        <f>[6]REKAPITULASI!D15</f>
        <v>8.1200750399999994E-4</v>
      </c>
      <c r="E44" s="111">
        <f t="shared" si="17"/>
        <v>0.25172232623999996</v>
      </c>
      <c r="F44" s="112">
        <f t="shared" si="18"/>
        <v>0.47908442736000001</v>
      </c>
    </row>
    <row r="45" spans="1:6" x14ac:dyDescent="0.25">
      <c r="A45" s="89">
        <v>2021</v>
      </c>
      <c r="B45" s="111">
        <f>[6]REKAPITULASI!B16</f>
        <v>1.10779812E-2</v>
      </c>
      <c r="C45" s="111">
        <f t="shared" si="16"/>
        <v>0.23263760519999999</v>
      </c>
      <c r="D45" s="111">
        <f>[6]REKAPITULASI!D16</f>
        <v>8.3084858999999994E-4</v>
      </c>
      <c r="E45" s="111">
        <f t="shared" si="17"/>
        <v>0.25756306289999997</v>
      </c>
      <c r="F45" s="112">
        <f t="shared" si="18"/>
        <v>0.49020066809999996</v>
      </c>
    </row>
    <row r="46" spans="1:6" x14ac:dyDescent="0.25">
      <c r="A46" s="89">
        <v>2022</v>
      </c>
      <c r="B46" s="111">
        <f>[6]REKAPITULASI!B17</f>
        <v>1.1329195679999999E-2</v>
      </c>
      <c r="C46" s="111">
        <f t="shared" ref="C46:C55" si="19">B46*21</f>
        <v>0.23791310927999998</v>
      </c>
      <c r="D46" s="111">
        <f>[6]REKAPITULASI!D17</f>
        <v>8.4968967600000005E-4</v>
      </c>
      <c r="E46" s="111">
        <f t="shared" ref="E46:E55" si="20">D46*310</f>
        <v>0.26340379956000004</v>
      </c>
      <c r="F46" s="112">
        <f t="shared" ref="F46:F55" si="21">E46+C46</f>
        <v>0.50131690884000002</v>
      </c>
    </row>
    <row r="47" spans="1:6" x14ac:dyDescent="0.25">
      <c r="A47" s="89">
        <v>2023</v>
      </c>
      <c r="B47" s="111">
        <f>[6]REKAPITULASI!B18</f>
        <v>1.1580410160000002E-2</v>
      </c>
      <c r="C47" s="111">
        <f t="shared" si="19"/>
        <v>0.24318861336000006</v>
      </c>
      <c r="D47" s="111">
        <f>[6]REKAPITULASI!D18</f>
        <v>8.6853076200000016E-4</v>
      </c>
      <c r="E47" s="111">
        <f t="shared" si="20"/>
        <v>0.26924453622000005</v>
      </c>
      <c r="F47" s="112">
        <f t="shared" si="21"/>
        <v>0.51243314958000008</v>
      </c>
    </row>
    <row r="48" spans="1:6" x14ac:dyDescent="0.25">
      <c r="A48" s="89">
        <v>2024</v>
      </c>
      <c r="B48" s="111">
        <f>[6]REKAPITULASI!B19</f>
        <v>1.1831624640000002E-2</v>
      </c>
      <c r="C48" s="111">
        <f t="shared" si="19"/>
        <v>0.24846411744000002</v>
      </c>
      <c r="D48" s="111">
        <f>[6]REKAPITULASI!D19</f>
        <v>8.8737184800000005E-4</v>
      </c>
      <c r="E48" s="111">
        <f t="shared" si="20"/>
        <v>0.27508527288000001</v>
      </c>
      <c r="F48" s="112">
        <f t="shared" si="21"/>
        <v>0.52354939032000003</v>
      </c>
    </row>
    <row r="49" spans="1:10" x14ac:dyDescent="0.25">
      <c r="A49" s="89">
        <v>2025</v>
      </c>
      <c r="B49" s="111">
        <f>[6]REKAPITULASI!B20</f>
        <v>1.2082839120000001E-2</v>
      </c>
      <c r="C49" s="111">
        <f t="shared" si="19"/>
        <v>0.25373962152000001</v>
      </c>
      <c r="D49" s="111">
        <f>[6]REKAPITULASI!D20</f>
        <v>9.0621293400000005E-4</v>
      </c>
      <c r="E49" s="111">
        <f t="shared" si="20"/>
        <v>0.28092600954000002</v>
      </c>
      <c r="F49" s="112">
        <f t="shared" si="21"/>
        <v>0.53466563105999998</v>
      </c>
    </row>
    <row r="50" spans="1:10" x14ac:dyDescent="0.25">
      <c r="A50" s="89">
        <v>2026</v>
      </c>
      <c r="B50" s="111">
        <f>[6]REKAPITULASI!B21</f>
        <v>1.23340536E-2</v>
      </c>
      <c r="C50" s="111">
        <f t="shared" si="19"/>
        <v>0.25901512560000001</v>
      </c>
      <c r="D50" s="111">
        <f>[6]REKAPITULASI!D21</f>
        <v>9.2505402000000005E-4</v>
      </c>
      <c r="E50" s="111">
        <f t="shared" si="20"/>
        <v>0.28676674620000003</v>
      </c>
      <c r="F50" s="112">
        <f t="shared" si="21"/>
        <v>0.54578187180000004</v>
      </c>
    </row>
    <row r="51" spans="1:10" x14ac:dyDescent="0.25">
      <c r="A51" s="89">
        <v>2027</v>
      </c>
      <c r="B51" s="111">
        <f>[6]REKAPITULASI!B22</f>
        <v>1.258526808E-2</v>
      </c>
      <c r="C51" s="111">
        <f t="shared" si="19"/>
        <v>0.26429062968</v>
      </c>
      <c r="D51" s="111">
        <f>[6]REKAPITULASI!D22</f>
        <v>9.4389510600000005E-4</v>
      </c>
      <c r="E51" s="111">
        <f t="shared" si="20"/>
        <v>0.29260748285999999</v>
      </c>
      <c r="F51" s="112">
        <f t="shared" si="21"/>
        <v>0.55689811253999999</v>
      </c>
    </row>
    <row r="52" spans="1:10" x14ac:dyDescent="0.25">
      <c r="A52" s="89">
        <v>2028</v>
      </c>
      <c r="B52" s="111">
        <f>[6]REKAPITULASI!B23</f>
        <v>1.2836482560000001E-2</v>
      </c>
      <c r="C52" s="111">
        <f t="shared" si="19"/>
        <v>0.26956613376000005</v>
      </c>
      <c r="D52" s="111">
        <f>[6]REKAPITULASI!D23</f>
        <v>9.6273619199999994E-4</v>
      </c>
      <c r="E52" s="111">
        <f t="shared" si="20"/>
        <v>0.29844821952</v>
      </c>
      <c r="F52" s="112">
        <f t="shared" si="21"/>
        <v>0.56801435328000005</v>
      </c>
    </row>
    <row r="53" spans="1:10" x14ac:dyDescent="0.25">
      <c r="A53" s="89">
        <v>2029</v>
      </c>
      <c r="B53" s="111">
        <f>[6]REKAPITULASI!B24</f>
        <v>1.308769704E-2</v>
      </c>
      <c r="C53" s="111">
        <f t="shared" si="19"/>
        <v>0.27484163783999999</v>
      </c>
      <c r="D53" s="111">
        <f>[6]REKAPITULASI!D24</f>
        <v>9.8157727799999994E-4</v>
      </c>
      <c r="E53" s="111">
        <f t="shared" si="20"/>
        <v>0.30428895617999996</v>
      </c>
      <c r="F53" s="112">
        <f t="shared" si="21"/>
        <v>0.57913059402</v>
      </c>
    </row>
    <row r="54" spans="1:10" x14ac:dyDescent="0.25">
      <c r="A54" s="89">
        <v>2030</v>
      </c>
      <c r="B54" s="111">
        <f>[6]REKAPITULASI!B25</f>
        <v>1.333891152E-2</v>
      </c>
      <c r="C54" s="111">
        <f t="shared" si="19"/>
        <v>0.28011714191999998</v>
      </c>
      <c r="D54" s="111">
        <f>[6]REKAPITULASI!D25</f>
        <v>1.0004183639999999E-3</v>
      </c>
      <c r="E54" s="111">
        <f t="shared" si="20"/>
        <v>0.31012969283999997</v>
      </c>
      <c r="F54" s="112">
        <f t="shared" si="21"/>
        <v>0.59024683475999995</v>
      </c>
    </row>
    <row r="55" spans="1:10" x14ac:dyDescent="0.25">
      <c r="A55" s="89">
        <v>2031</v>
      </c>
      <c r="B55" s="100"/>
      <c r="C55" s="111">
        <f t="shared" si="19"/>
        <v>0</v>
      </c>
      <c r="D55" s="111"/>
      <c r="E55" s="111">
        <f t="shared" si="20"/>
        <v>0</v>
      </c>
      <c r="F55" s="112">
        <f t="shared" si="21"/>
        <v>0</v>
      </c>
    </row>
    <row r="57" spans="1:10" ht="15.75" thickBot="1" x14ac:dyDescent="0.3">
      <c r="A57" s="105" t="s">
        <v>88</v>
      </c>
      <c r="J57" s="96">
        <v>1000</v>
      </c>
    </row>
    <row r="58" spans="1:10" ht="15.75" thickBot="1" x14ac:dyDescent="0.3">
      <c r="A58" s="181" t="s">
        <v>11</v>
      </c>
      <c r="B58" s="183" t="s">
        <v>89</v>
      </c>
      <c r="C58" s="184"/>
      <c r="D58" s="184"/>
      <c r="E58" s="184"/>
      <c r="F58" s="184"/>
    </row>
    <row r="59" spans="1:10" ht="18.75" thickBot="1" x14ac:dyDescent="0.3">
      <c r="A59" s="182"/>
      <c r="B59" s="183" t="s">
        <v>129</v>
      </c>
      <c r="C59" s="185"/>
      <c r="D59" s="183" t="s">
        <v>133</v>
      </c>
      <c r="E59" s="185"/>
      <c r="F59" s="118" t="s">
        <v>135</v>
      </c>
      <c r="H59" s="195" t="s">
        <v>11</v>
      </c>
      <c r="I59" s="195" t="s">
        <v>145</v>
      </c>
      <c r="J59" s="195"/>
    </row>
    <row r="60" spans="1:10" ht="18" x14ac:dyDescent="0.25">
      <c r="A60" s="182"/>
      <c r="B60" s="119" t="s">
        <v>131</v>
      </c>
      <c r="C60" s="119" t="s">
        <v>132</v>
      </c>
      <c r="D60" s="119" t="s">
        <v>134</v>
      </c>
      <c r="E60" s="119" t="s">
        <v>132</v>
      </c>
      <c r="F60" s="119" t="s">
        <v>136</v>
      </c>
      <c r="H60" s="195"/>
      <c r="I60" s="142" t="s">
        <v>146</v>
      </c>
      <c r="J60" s="142" t="s">
        <v>147</v>
      </c>
    </row>
    <row r="61" spans="1:10" x14ac:dyDescent="0.25">
      <c r="A61" s="89">
        <v>2011</v>
      </c>
      <c r="B61" s="137">
        <f>[6]REKAPITULASI!B32</f>
        <v>7.705630563416499E-2</v>
      </c>
      <c r="C61" s="121">
        <f>B61*21</f>
        <v>1.6181824183174647</v>
      </c>
      <c r="D61" s="137">
        <f>[6]REKAPITULASI!D32</f>
        <v>1.7782224377115E-3</v>
      </c>
      <c r="E61" s="121">
        <f>D61*310</f>
        <v>0.55124895569056498</v>
      </c>
      <c r="F61" s="122">
        <f>SUM(C61+E61)</f>
        <v>2.1694313740080298</v>
      </c>
      <c r="H61" s="89">
        <v>2011</v>
      </c>
      <c r="I61" s="143">
        <f t="shared" ref="I61:I66" si="22">D9+I9+N9+S9+F35+F61</f>
        <v>76.708793055644421</v>
      </c>
      <c r="J61" s="144">
        <f>I61*$J$57</f>
        <v>76708.793055644419</v>
      </c>
    </row>
    <row r="62" spans="1:10" x14ac:dyDescent="0.25">
      <c r="A62" s="89">
        <v>2012</v>
      </c>
      <c r="B62" s="137">
        <f>[6]REKAPITULASI!B33</f>
        <v>7.7892451840060009E-2</v>
      </c>
      <c r="C62" s="121">
        <f t="shared" ref="C62:C81" si="23">B62*21</f>
        <v>1.6357414886412602</v>
      </c>
      <c r="D62" s="137">
        <f>[6]REKAPITULASI!D33</f>
        <v>1.7975181193860001E-3</v>
      </c>
      <c r="E62" s="121">
        <f t="shared" ref="E62:E81" si="24">D62*310</f>
        <v>0.55723061700966003</v>
      </c>
      <c r="F62" s="122">
        <f t="shared" ref="F62:F81" si="25">SUM(C62+E62)</f>
        <v>2.1929721056509202</v>
      </c>
      <c r="H62" s="89">
        <v>2012</v>
      </c>
      <c r="I62" s="143">
        <f t="shared" si="22"/>
        <v>81.894348982290552</v>
      </c>
      <c r="J62" s="144">
        <f t="shared" ref="J62:J70" si="26">I62*$J$57</f>
        <v>81894.348982290554</v>
      </c>
    </row>
    <row r="63" spans="1:10" x14ac:dyDescent="0.25">
      <c r="A63" s="89">
        <v>2013</v>
      </c>
      <c r="B63" s="137">
        <f>[6]REKAPITULASI!B34</f>
        <v>7.9532667031675011E-2</v>
      </c>
      <c r="C63" s="121">
        <f t="shared" si="23"/>
        <v>1.6701860076651753</v>
      </c>
      <c r="D63" s="137">
        <f>[6]REKAPITULASI!D34</f>
        <v>1.8353692391925003E-3</v>
      </c>
      <c r="E63" s="121">
        <f t="shared" si="24"/>
        <v>0.56896446414967505</v>
      </c>
      <c r="F63" s="122">
        <f t="shared" si="25"/>
        <v>2.2391504718148503</v>
      </c>
      <c r="H63" s="89">
        <v>2013</v>
      </c>
      <c r="I63" s="143">
        <f t="shared" si="22"/>
        <v>86.059879460909755</v>
      </c>
      <c r="J63" s="144">
        <f t="shared" si="26"/>
        <v>86059.879460909753</v>
      </c>
    </row>
    <row r="64" spans="1:10" x14ac:dyDescent="0.25">
      <c r="A64" s="89">
        <v>2014</v>
      </c>
      <c r="B64" s="137">
        <f>[6]REKAPITULASI!B35</f>
        <v>8.1161069659670002E-2</v>
      </c>
      <c r="C64" s="121">
        <f t="shared" si="23"/>
        <v>1.7043824628530699</v>
      </c>
      <c r="D64" s="137">
        <f>[6]REKAPITULASI!D35</f>
        <v>1.8729477613769999E-3</v>
      </c>
      <c r="E64" s="121">
        <f t="shared" si="24"/>
        <v>0.58061380602686996</v>
      </c>
      <c r="F64" s="122">
        <f t="shared" si="25"/>
        <v>2.2849962688799401</v>
      </c>
      <c r="H64" s="89">
        <v>2014</v>
      </c>
      <c r="I64" s="143">
        <f t="shared" si="22"/>
        <v>89.751005861248728</v>
      </c>
      <c r="J64" s="144">
        <f t="shared" si="26"/>
        <v>89751.005861248734</v>
      </c>
    </row>
    <row r="65" spans="1:10" x14ac:dyDescent="0.25">
      <c r="A65" s="89">
        <v>2015</v>
      </c>
      <c r="B65" s="137">
        <f>[6]REKAPITULASI!B36</f>
        <v>8.274873930966499E-2</v>
      </c>
      <c r="C65" s="121">
        <f t="shared" si="23"/>
        <v>1.7377235255029648</v>
      </c>
      <c r="D65" s="137">
        <f>[6]REKAPITULASI!D36</f>
        <v>1.9095862917614997E-3</v>
      </c>
      <c r="E65" s="121">
        <f t="shared" si="24"/>
        <v>0.59197175044606487</v>
      </c>
      <c r="F65" s="122">
        <f t="shared" si="25"/>
        <v>2.3296952759490299</v>
      </c>
      <c r="H65" s="89">
        <v>2015</v>
      </c>
      <c r="I65" s="143">
        <f t="shared" si="22"/>
        <v>93.100822251835595</v>
      </c>
      <c r="J65" s="144">
        <f t="shared" si="26"/>
        <v>93100.822251835591</v>
      </c>
    </row>
    <row r="66" spans="1:10" x14ac:dyDescent="0.25">
      <c r="A66" s="89">
        <v>2016</v>
      </c>
      <c r="B66" s="137">
        <f>[6]REKAPITULASI!B37</f>
        <v>8.4348119690835013E-2</v>
      </c>
      <c r="C66" s="121">
        <f t="shared" si="23"/>
        <v>1.7713105135075353</v>
      </c>
      <c r="D66" s="137">
        <f>[6]REKAPITULASI!D37</f>
        <v>1.9464950697885002E-3</v>
      </c>
      <c r="E66" s="121">
        <f t="shared" si="24"/>
        <v>0.60341347163443504</v>
      </c>
      <c r="F66" s="122">
        <f t="shared" si="25"/>
        <v>2.3747239851419701</v>
      </c>
      <c r="H66" s="89">
        <v>2016</v>
      </c>
      <c r="I66" s="143">
        <f t="shared" si="22"/>
        <v>96.193838581435571</v>
      </c>
      <c r="J66" s="144">
        <f t="shared" si="26"/>
        <v>96193.838581435572</v>
      </c>
    </row>
    <row r="67" spans="1:10" x14ac:dyDescent="0.25">
      <c r="A67" s="89">
        <v>2017</v>
      </c>
      <c r="B67" s="137">
        <f>[6]REKAPITULASI!B38</f>
        <v>8.6344341110170003E-2</v>
      </c>
      <c r="C67" s="121">
        <f t="shared" si="23"/>
        <v>1.81323116331357</v>
      </c>
      <c r="D67" s="137">
        <f>[6]REKAPITULASI!D38</f>
        <v>1.9925617179269999E-3</v>
      </c>
      <c r="E67" s="121">
        <f t="shared" si="24"/>
        <v>0.61769413255736993</v>
      </c>
      <c r="F67" s="122">
        <f t="shared" si="25"/>
        <v>2.43092529587094</v>
      </c>
      <c r="H67" s="89">
        <v>2017</v>
      </c>
      <c r="I67" s="143">
        <f t="shared" ref="I67:I81" si="27">D15+I15+N15+S15+F41+F67</f>
        <v>99.116895140073879</v>
      </c>
      <c r="J67" s="144">
        <f t="shared" si="26"/>
        <v>99116.895140073873</v>
      </c>
    </row>
    <row r="68" spans="1:10" x14ac:dyDescent="0.25">
      <c r="A68" s="89">
        <v>2018</v>
      </c>
      <c r="B68" s="137">
        <f>[6]REKAPITULASI!B39</f>
        <v>8.849768999214E-2</v>
      </c>
      <c r="C68" s="121">
        <f t="shared" si="23"/>
        <v>1.85845148983494</v>
      </c>
      <c r="D68" s="137">
        <f>[6]REKAPITULASI!D39</f>
        <v>2.0422543844340001E-3</v>
      </c>
      <c r="E68" s="121">
        <f t="shared" si="24"/>
        <v>0.63309885917454001</v>
      </c>
      <c r="F68" s="122">
        <f t="shared" si="25"/>
        <v>2.4915503490094801</v>
      </c>
      <c r="H68" s="89">
        <v>2018</v>
      </c>
      <c r="I68" s="143">
        <f t="shared" si="27"/>
        <v>102.03808844541996</v>
      </c>
      <c r="J68" s="144">
        <f t="shared" si="26"/>
        <v>102038.08844541995</v>
      </c>
    </row>
    <row r="69" spans="1:10" x14ac:dyDescent="0.25">
      <c r="A69" s="89">
        <v>2019</v>
      </c>
      <c r="B69" s="137">
        <f>[6]REKAPITULASI!B40</f>
        <v>9.065103887411001E-2</v>
      </c>
      <c r="C69" s="121">
        <f t="shared" si="23"/>
        <v>1.9036718163563102</v>
      </c>
      <c r="D69" s="137">
        <f>[6]REKAPITULASI!D40</f>
        <v>2.0919470509410004E-3</v>
      </c>
      <c r="E69" s="121">
        <f t="shared" si="24"/>
        <v>0.64850358579171008</v>
      </c>
      <c r="F69" s="122">
        <f t="shared" si="25"/>
        <v>2.5521754021480203</v>
      </c>
      <c r="H69" s="89">
        <v>2019</v>
      </c>
      <c r="I69" s="143">
        <f t="shared" si="27"/>
        <v>104.99905442359908</v>
      </c>
      <c r="J69" s="144">
        <f t="shared" si="26"/>
        <v>104999.05442359908</v>
      </c>
    </row>
    <row r="70" spans="1:10" x14ac:dyDescent="0.25">
      <c r="A70" s="89">
        <v>2020</v>
      </c>
      <c r="B70" s="137">
        <f>[6]REKAPITULASI!B41</f>
        <v>9.280438775608002E-2</v>
      </c>
      <c r="C70" s="121">
        <f t="shared" si="23"/>
        <v>1.9488921428776804</v>
      </c>
      <c r="D70" s="137">
        <f>[6]REKAPITULASI!D41</f>
        <v>2.1416397174480002E-3</v>
      </c>
      <c r="E70" s="121">
        <f t="shared" si="24"/>
        <v>0.66390831240888004</v>
      </c>
      <c r="F70" s="122">
        <f t="shared" si="25"/>
        <v>2.6128004552865605</v>
      </c>
      <c r="H70" s="89">
        <v>2020</v>
      </c>
      <c r="I70" s="143">
        <f t="shared" si="27"/>
        <v>107.98306330589043</v>
      </c>
      <c r="J70" s="144">
        <f t="shared" si="26"/>
        <v>107983.06330589042</v>
      </c>
    </row>
    <row r="71" spans="1:10" x14ac:dyDescent="0.25">
      <c r="A71" s="89">
        <v>2021</v>
      </c>
      <c r="B71" s="137">
        <f>[6]REKAPITULASI!B42</f>
        <v>9.4957736638050003E-2</v>
      </c>
      <c r="C71" s="121">
        <f t="shared" si="23"/>
        <v>1.99411246939905</v>
      </c>
      <c r="D71" s="137">
        <f>[6]REKAPITULASI!D42</f>
        <v>2.1913323839550004E-3</v>
      </c>
      <c r="E71" s="121">
        <f t="shared" si="24"/>
        <v>0.67931303902605011</v>
      </c>
      <c r="F71" s="122">
        <f t="shared" si="25"/>
        <v>2.6734255084251002</v>
      </c>
      <c r="H71" s="89">
        <v>2021</v>
      </c>
      <c r="I71" s="143">
        <f>D19+I19+N19+S19+F45+F71</f>
        <v>110.97932178599838</v>
      </c>
      <c r="J71" s="144">
        <f>I71*$J$57</f>
        <v>110979.32178599839</v>
      </c>
    </row>
    <row r="72" spans="1:10" x14ac:dyDescent="0.25">
      <c r="A72" s="89">
        <v>2022</v>
      </c>
      <c r="B72" s="137">
        <f>[6]REKAPITULASI!B43</f>
        <v>9.7111085520020013E-2</v>
      </c>
      <c r="C72" s="121">
        <f t="shared" si="23"/>
        <v>2.0393327959204202</v>
      </c>
      <c r="D72" s="137">
        <f>[6]REKAPITULASI!D43</f>
        <v>2.2410250504620003E-3</v>
      </c>
      <c r="E72" s="121">
        <f t="shared" si="24"/>
        <v>0.69471776564322008</v>
      </c>
      <c r="F72" s="122">
        <f t="shared" si="25"/>
        <v>2.7340505615636403</v>
      </c>
      <c r="H72" s="89">
        <v>2022</v>
      </c>
      <c r="I72" s="143">
        <f t="shared" si="27"/>
        <v>113.98095984397374</v>
      </c>
      <c r="J72" s="144">
        <f t="shared" ref="J72:J81" si="28">I72*$J$57</f>
        <v>113980.95984397373</v>
      </c>
    </row>
    <row r="73" spans="1:10" x14ac:dyDescent="0.25">
      <c r="A73" s="89">
        <v>2023</v>
      </c>
      <c r="B73" s="137">
        <f>[6]REKAPITULASI!B44</f>
        <v>9.9264434401989995E-2</v>
      </c>
      <c r="C73" s="121">
        <f t="shared" si="23"/>
        <v>2.0845531224417897</v>
      </c>
      <c r="D73" s="137">
        <f>[6]REKAPITULASI!D44</f>
        <v>2.2907177169690001E-3</v>
      </c>
      <c r="E73" s="121">
        <f t="shared" si="24"/>
        <v>0.71012249226039004</v>
      </c>
      <c r="F73" s="122">
        <f t="shared" si="25"/>
        <v>2.7946756147021796</v>
      </c>
      <c r="H73" s="89">
        <v>2023</v>
      </c>
      <c r="I73" s="143">
        <f t="shared" si="27"/>
        <v>116.98368937480188</v>
      </c>
      <c r="J73" s="144">
        <f t="shared" si="28"/>
        <v>116983.68937480188</v>
      </c>
    </row>
    <row r="74" spans="1:10" x14ac:dyDescent="0.25">
      <c r="A74" s="89">
        <v>2024</v>
      </c>
      <c r="B74" s="137">
        <f>[6]REKAPITULASI!B45</f>
        <v>0.10141778328396002</v>
      </c>
      <c r="C74" s="121">
        <f t="shared" si="23"/>
        <v>2.1297734489631606</v>
      </c>
      <c r="D74" s="137">
        <f>[6]REKAPITULASI!D45</f>
        <v>2.3404103834760003E-3</v>
      </c>
      <c r="E74" s="121">
        <f t="shared" si="24"/>
        <v>0.72552721887756011</v>
      </c>
      <c r="F74" s="122">
        <f t="shared" si="25"/>
        <v>2.8553006678407207</v>
      </c>
      <c r="H74" s="89">
        <v>2024</v>
      </c>
      <c r="I74" s="143">
        <f t="shared" si="27"/>
        <v>119.98491191934166</v>
      </c>
      <c r="J74" s="144">
        <f t="shared" si="28"/>
        <v>119984.91191934166</v>
      </c>
    </row>
    <row r="75" spans="1:10" x14ac:dyDescent="0.25">
      <c r="A75" s="89">
        <v>2025</v>
      </c>
      <c r="B75" s="137">
        <f>[6]REKAPITULASI!B46</f>
        <v>0.10357113216593</v>
      </c>
      <c r="C75" s="121">
        <f t="shared" si="23"/>
        <v>2.1749937754845301</v>
      </c>
      <c r="D75" s="137">
        <f>[6]REKAPITULASI!D46</f>
        <v>2.3901030499830001E-3</v>
      </c>
      <c r="E75" s="121">
        <f t="shared" si="24"/>
        <v>0.74093194549473007</v>
      </c>
      <c r="F75" s="122">
        <f t="shared" si="25"/>
        <v>2.9159257209792599</v>
      </c>
      <c r="H75" s="89">
        <v>2025</v>
      </c>
      <c r="I75" s="143">
        <f t="shared" si="27"/>
        <v>122.9831264037764</v>
      </c>
      <c r="J75" s="144">
        <f t="shared" si="28"/>
        <v>122983.12640377639</v>
      </c>
    </row>
    <row r="76" spans="1:10" x14ac:dyDescent="0.25">
      <c r="A76" s="89">
        <v>2026</v>
      </c>
      <c r="B76" s="137">
        <f>[6]REKAPITULASI!B47</f>
        <v>0.1057244810479</v>
      </c>
      <c r="C76" s="121">
        <f t="shared" si="23"/>
        <v>2.2202141020059001</v>
      </c>
      <c r="D76" s="137">
        <f>[6]REKAPITULASI!D47</f>
        <v>2.43979571649E-3</v>
      </c>
      <c r="E76" s="121">
        <f t="shared" si="24"/>
        <v>0.75633667211190003</v>
      </c>
      <c r="F76" s="122">
        <f t="shared" si="25"/>
        <v>2.9765507741178001</v>
      </c>
      <c r="H76" s="89">
        <v>2026</v>
      </c>
      <c r="I76" s="143">
        <f t="shared" si="27"/>
        <v>125.97753710579181</v>
      </c>
      <c r="J76" s="144">
        <f t="shared" si="28"/>
        <v>125977.53710579181</v>
      </c>
    </row>
    <row r="77" spans="1:10" x14ac:dyDescent="0.25">
      <c r="A77" s="89">
        <v>2027</v>
      </c>
      <c r="B77" s="137">
        <f>[6]REKAPITULASI!B48</f>
        <v>0.10787782992986999</v>
      </c>
      <c r="C77" s="121">
        <f t="shared" si="23"/>
        <v>2.2654344285272701</v>
      </c>
      <c r="D77" s="137">
        <f>[6]REKAPITULASI!D48</f>
        <v>2.4894883829969998E-3</v>
      </c>
      <c r="E77" s="121">
        <f t="shared" si="24"/>
        <v>0.77174139872906988</v>
      </c>
      <c r="F77" s="122">
        <f t="shared" si="25"/>
        <v>3.0371758272563398</v>
      </c>
      <c r="H77" s="89">
        <v>2027</v>
      </c>
      <c r="I77" s="143">
        <f t="shared" si="27"/>
        <v>128.96779509591613</v>
      </c>
      <c r="J77" s="144">
        <f t="shared" si="28"/>
        <v>128967.79509591612</v>
      </c>
    </row>
    <row r="78" spans="1:10" x14ac:dyDescent="0.25">
      <c r="A78" s="89">
        <v>2028</v>
      </c>
      <c r="B78" s="137">
        <f>[6]REKAPITULASI!B49</f>
        <v>0.11003117881184001</v>
      </c>
      <c r="C78" s="121">
        <f t="shared" si="23"/>
        <v>2.31065475504864</v>
      </c>
      <c r="D78" s="137">
        <f>[6]REKAPITULASI!D49</f>
        <v>2.539181049504E-3</v>
      </c>
      <c r="E78" s="121">
        <f t="shared" si="24"/>
        <v>0.78714612534623996</v>
      </c>
      <c r="F78" s="122">
        <f t="shared" si="25"/>
        <v>3.09780088039488</v>
      </c>
      <c r="H78" s="89">
        <v>2028</v>
      </c>
      <c r="I78" s="143">
        <f t="shared" si="27"/>
        <v>131.95382852248116</v>
      </c>
      <c r="J78" s="144">
        <f t="shared" si="28"/>
        <v>131953.82852248117</v>
      </c>
    </row>
    <row r="79" spans="1:10" x14ac:dyDescent="0.25">
      <c r="A79" s="89">
        <v>2029</v>
      </c>
      <c r="B79" s="137">
        <f>[6]REKAPITULASI!B50</f>
        <v>0.11218452769381</v>
      </c>
      <c r="C79" s="121">
        <f t="shared" si="23"/>
        <v>2.35587508157001</v>
      </c>
      <c r="D79" s="137">
        <f>[6]REKAPITULASI!D50</f>
        <v>2.5888737160109998E-3</v>
      </c>
      <c r="E79" s="121">
        <f t="shared" si="24"/>
        <v>0.80255085196340992</v>
      </c>
      <c r="F79" s="122">
        <f t="shared" si="25"/>
        <v>3.1584259335334197</v>
      </c>
      <c r="H79" s="89">
        <v>2029</v>
      </c>
      <c r="I79" s="143">
        <f t="shared" si="27"/>
        <v>134.93573191859701</v>
      </c>
      <c r="J79" s="144">
        <f t="shared" si="28"/>
        <v>134935.73191859701</v>
      </c>
    </row>
    <row r="80" spans="1:10" x14ac:dyDescent="0.25">
      <c r="A80" s="89">
        <v>2030</v>
      </c>
      <c r="B80" s="137">
        <f>[6]REKAPITULASI!B51</f>
        <v>0.11433787657578</v>
      </c>
      <c r="C80" s="121">
        <f t="shared" si="23"/>
        <v>2.40109540809138</v>
      </c>
      <c r="D80" s="137">
        <f>[6]REKAPITULASI!D51</f>
        <v>2.6385663825180001E-3</v>
      </c>
      <c r="E80" s="121">
        <f t="shared" si="24"/>
        <v>0.81795557858057999</v>
      </c>
      <c r="F80" s="122">
        <f t="shared" si="25"/>
        <v>3.2190509866719599</v>
      </c>
      <c r="H80" s="89">
        <v>2030</v>
      </c>
      <c r="I80" s="143">
        <f t="shared" si="27"/>
        <v>137.91369462210838</v>
      </c>
      <c r="J80" s="144">
        <f t="shared" si="28"/>
        <v>137913.69462210839</v>
      </c>
    </row>
    <row r="81" spans="1:10" x14ac:dyDescent="0.25">
      <c r="A81" s="89">
        <v>2031</v>
      </c>
      <c r="B81" s="120"/>
      <c r="C81" s="121">
        <f t="shared" si="23"/>
        <v>0</v>
      </c>
      <c r="D81" s="120"/>
      <c r="E81" s="121">
        <f t="shared" si="24"/>
        <v>0</v>
      </c>
      <c r="F81" s="122">
        <f t="shared" si="25"/>
        <v>0</v>
      </c>
      <c r="H81" s="89">
        <v>2031</v>
      </c>
      <c r="I81" s="143">
        <f t="shared" si="27"/>
        <v>0</v>
      </c>
      <c r="J81" s="144">
        <f t="shared" si="28"/>
        <v>0</v>
      </c>
    </row>
    <row r="84" spans="1:10" x14ac:dyDescent="0.25">
      <c r="A84" s="123"/>
      <c r="B84" s="101"/>
      <c r="C84" s="102"/>
      <c r="D84" s="101"/>
      <c r="E84" s="102"/>
      <c r="F84" s="102"/>
    </row>
    <row r="85" spans="1:10" ht="15.75" thickBot="1" x14ac:dyDescent="0.3">
      <c r="A85" s="124" t="s">
        <v>144</v>
      </c>
      <c r="B85" s="102"/>
      <c r="C85" s="101"/>
      <c r="D85" s="102"/>
      <c r="G85" s="96">
        <v>1000</v>
      </c>
    </row>
    <row r="86" spans="1:10" ht="18.75" thickBot="1" x14ac:dyDescent="0.3">
      <c r="A86" s="198" t="s">
        <v>11</v>
      </c>
      <c r="B86" s="200" t="s">
        <v>137</v>
      </c>
      <c r="C86" s="201"/>
      <c r="D86" s="193" t="s">
        <v>138</v>
      </c>
      <c r="E86" s="194"/>
      <c r="F86" s="196" t="s">
        <v>95</v>
      </c>
      <c r="G86" s="197"/>
    </row>
    <row r="87" spans="1:10" ht="81.75" thickBot="1" x14ac:dyDescent="0.3">
      <c r="A87" s="199"/>
      <c r="B87" s="125" t="s">
        <v>139</v>
      </c>
      <c r="C87" s="125" t="s">
        <v>140</v>
      </c>
      <c r="D87" s="126" t="s">
        <v>141</v>
      </c>
      <c r="E87" s="126" t="s">
        <v>142</v>
      </c>
      <c r="F87" s="127" t="s">
        <v>143</v>
      </c>
      <c r="G87" s="127" t="s">
        <v>148</v>
      </c>
    </row>
    <row r="88" spans="1:10" ht="15.75" thickBot="1" x14ac:dyDescent="0.3">
      <c r="A88" s="199"/>
      <c r="B88" s="202" t="s">
        <v>101</v>
      </c>
      <c r="C88" s="128" t="s">
        <v>102</v>
      </c>
      <c r="D88" s="129" t="s">
        <v>103</v>
      </c>
      <c r="E88" s="130" t="s">
        <v>104</v>
      </c>
      <c r="F88" s="131" t="s">
        <v>105</v>
      </c>
      <c r="G88" s="131" t="s">
        <v>105</v>
      </c>
    </row>
    <row r="89" spans="1:10" x14ac:dyDescent="0.25">
      <c r="A89" s="199"/>
      <c r="B89" s="203"/>
      <c r="C89" s="132" t="s">
        <v>106</v>
      </c>
      <c r="D89" s="133"/>
      <c r="E89" s="134" t="s">
        <v>107</v>
      </c>
      <c r="F89" s="135" t="s">
        <v>108</v>
      </c>
      <c r="G89" s="135" t="s">
        <v>108</v>
      </c>
    </row>
    <row r="90" spans="1:10" x14ac:dyDescent="0.25">
      <c r="A90" s="89">
        <v>2011</v>
      </c>
      <c r="B90" s="138">
        <f>[6]REKAPITULASI!B59</f>
        <v>0.79053467376719999</v>
      </c>
      <c r="C90" s="141">
        <f>B90*21</f>
        <v>16.601228149111201</v>
      </c>
      <c r="D90" s="140">
        <f>[6]REKAPITULASI!D59</f>
        <v>2.6866418885428577E-2</v>
      </c>
      <c r="E90" s="136">
        <f>D90*310</f>
        <v>8.3285898544828587</v>
      </c>
      <c r="F90" s="139">
        <f>C90+E90</f>
        <v>24.929818003594058</v>
      </c>
      <c r="G90" s="145">
        <f>F90*$G$85</f>
        <v>24929.818003594057</v>
      </c>
    </row>
    <row r="91" spans="1:10" x14ac:dyDescent="0.25">
      <c r="A91" s="89">
        <v>2012</v>
      </c>
      <c r="B91" s="138">
        <f>[6]REKAPITULASI!B60</f>
        <v>0.7991128499807999</v>
      </c>
      <c r="C91" s="141">
        <f t="shared" ref="C91:C110" si="29">B91*21</f>
        <v>16.781369849596796</v>
      </c>
      <c r="D91" s="140">
        <f>[6]REKAPITULASI!D60</f>
        <v>2.6179522662857151E-2</v>
      </c>
      <c r="E91" s="136">
        <f t="shared" ref="E91:E110" si="30">D91*310</f>
        <v>8.1156520254857174</v>
      </c>
      <c r="F91" s="139">
        <f t="shared" ref="F91:F110" si="31">C91+E91</f>
        <v>24.897021875082515</v>
      </c>
      <c r="G91" s="145">
        <f t="shared" ref="G91:G109" si="32">F91*$G$85</f>
        <v>24897.021875082515</v>
      </c>
    </row>
    <row r="92" spans="1:10" x14ac:dyDescent="0.25">
      <c r="A92" s="89">
        <v>2013</v>
      </c>
      <c r="B92" s="138">
        <f>[6]REKAPITULASI!B61</f>
        <v>0.8159401163640001</v>
      </c>
      <c r="C92" s="141">
        <f t="shared" si="29"/>
        <v>17.134742443644001</v>
      </c>
      <c r="D92" s="140">
        <f>[6]REKAPITULASI!D61</f>
        <v>2.635278498285715E-2</v>
      </c>
      <c r="E92" s="136">
        <f t="shared" si="30"/>
        <v>8.169363344685717</v>
      </c>
      <c r="F92" s="139">
        <f t="shared" si="31"/>
        <v>25.304105788329718</v>
      </c>
      <c r="G92" s="145">
        <f t="shared" si="32"/>
        <v>25304.105788329718</v>
      </c>
    </row>
    <row r="93" spans="1:10" x14ac:dyDescent="0.25">
      <c r="A93" s="89">
        <v>2014</v>
      </c>
      <c r="B93" s="138">
        <f>[6]REKAPITULASI!B62</f>
        <v>0.83264619550560004</v>
      </c>
      <c r="C93" s="141">
        <f t="shared" si="29"/>
        <v>17.485570105617601</v>
      </c>
      <c r="D93" s="140">
        <f>[6]REKAPITULASI!D62</f>
        <v>2.7489344182666676E-2</v>
      </c>
      <c r="E93" s="136">
        <f t="shared" si="30"/>
        <v>8.5216966966266696</v>
      </c>
      <c r="F93" s="139">
        <f t="shared" si="31"/>
        <v>26.007266802244271</v>
      </c>
      <c r="G93" s="145">
        <f t="shared" si="32"/>
        <v>26007.26680224427</v>
      </c>
    </row>
    <row r="94" spans="1:10" x14ac:dyDescent="0.25">
      <c r="A94" s="89">
        <v>2015</v>
      </c>
      <c r="B94" s="138">
        <f>[6]REKAPITULASI!B63</f>
        <v>0.84893438760719997</v>
      </c>
      <c r="C94" s="141">
        <f t="shared" si="29"/>
        <v>17.827622139751199</v>
      </c>
      <c r="D94" s="140">
        <f>[6]REKAPITULASI!D63</f>
        <v>2.8027089651523812E-2</v>
      </c>
      <c r="E94" s="136">
        <f t="shared" si="30"/>
        <v>8.6883977919723812</v>
      </c>
      <c r="F94" s="139">
        <f t="shared" si="31"/>
        <v>26.51601993172358</v>
      </c>
      <c r="G94" s="145">
        <f t="shared" si="32"/>
        <v>26516.019931723578</v>
      </c>
    </row>
    <row r="95" spans="1:10" x14ac:dyDescent="0.25">
      <c r="A95" s="89">
        <v>2016</v>
      </c>
      <c r="B95" s="138">
        <f>[6]REKAPITULASI!B64</f>
        <v>0.86534272223279995</v>
      </c>
      <c r="C95" s="141">
        <f t="shared" si="29"/>
        <v>18.1721971668888</v>
      </c>
      <c r="D95" s="140">
        <f>[6]REKAPITULASI!D64</f>
        <v>2.8568801558000002E-2</v>
      </c>
      <c r="E95" s="136">
        <f t="shared" si="30"/>
        <v>8.8563284829800004</v>
      </c>
      <c r="F95" s="139">
        <f t="shared" si="31"/>
        <v>27.028525649868801</v>
      </c>
      <c r="G95" s="145">
        <f t="shared" si="32"/>
        <v>27028.5256498688</v>
      </c>
    </row>
    <row r="96" spans="1:10" x14ac:dyDescent="0.25">
      <c r="A96" s="89">
        <v>2017</v>
      </c>
      <c r="B96" s="138">
        <f>[6]REKAPITULASI!B65</f>
        <v>0.88582232134560013</v>
      </c>
      <c r="C96" s="141">
        <f t="shared" si="29"/>
        <v>18.602268748257604</v>
      </c>
      <c r="D96" s="140">
        <f>[6]REKAPITULASI!D65</f>
        <v>2.9244923963619055E-2</v>
      </c>
      <c r="E96" s="136">
        <f t="shared" si="30"/>
        <v>9.065926428721907</v>
      </c>
      <c r="F96" s="139">
        <f t="shared" si="31"/>
        <v>27.668195176979509</v>
      </c>
      <c r="G96" s="145">
        <f t="shared" si="32"/>
        <v>27668.195176979509</v>
      </c>
    </row>
    <row r="97" spans="1:7" x14ac:dyDescent="0.25">
      <c r="A97" s="89">
        <v>2018</v>
      </c>
      <c r="B97" s="138">
        <f>[6]REKAPITULASI!B66</f>
        <v>0.90791391971519997</v>
      </c>
      <c r="C97" s="141">
        <f t="shared" si="29"/>
        <v>19.066192314019201</v>
      </c>
      <c r="D97" s="140">
        <f>[6]REKAPITULASI!D66</f>
        <v>2.9974265614857144E-2</v>
      </c>
      <c r="E97" s="136">
        <f t="shared" si="30"/>
        <v>9.2920223406057154</v>
      </c>
      <c r="F97" s="139">
        <f t="shared" si="31"/>
        <v>28.358214654624916</v>
      </c>
      <c r="G97" s="145">
        <f t="shared" si="32"/>
        <v>28358.214654624917</v>
      </c>
    </row>
    <row r="98" spans="1:7" x14ac:dyDescent="0.25">
      <c r="A98" s="89">
        <v>2019</v>
      </c>
      <c r="B98" s="138">
        <f>[6]REKAPITULASI!B67</f>
        <v>0.93000551808480003</v>
      </c>
      <c r="C98" s="141">
        <f t="shared" si="29"/>
        <v>19.530115879780801</v>
      </c>
      <c r="D98" s="140">
        <f>[6]REKAPITULASI!D67</f>
        <v>3.070360726609524E-2</v>
      </c>
      <c r="E98" s="136">
        <f t="shared" si="30"/>
        <v>9.5181182524895238</v>
      </c>
      <c r="F98" s="139">
        <f t="shared" si="31"/>
        <v>29.048234132270323</v>
      </c>
      <c r="G98" s="145">
        <f t="shared" si="32"/>
        <v>29048.234132270325</v>
      </c>
    </row>
    <row r="99" spans="1:7" x14ac:dyDescent="0.25">
      <c r="A99" s="89">
        <v>2020</v>
      </c>
      <c r="B99" s="138">
        <f>[6]REKAPITULASI!B68</f>
        <v>0.95209711645440032</v>
      </c>
      <c r="C99" s="141">
        <f t="shared" si="29"/>
        <v>19.994039445542406</v>
      </c>
      <c r="D99" s="140">
        <f>[6]REKAPITULASI!D68</f>
        <v>3.1432948917333337E-2</v>
      </c>
      <c r="E99" s="136">
        <f t="shared" si="30"/>
        <v>9.744214164373334</v>
      </c>
      <c r="F99" s="139">
        <f t="shared" si="31"/>
        <v>29.738253609915738</v>
      </c>
      <c r="G99" s="145">
        <f t="shared" si="32"/>
        <v>29738.253609915737</v>
      </c>
    </row>
    <row r="100" spans="1:7" x14ac:dyDescent="0.25">
      <c r="A100" s="89">
        <v>2021</v>
      </c>
      <c r="B100" s="138">
        <f>[6]REKAPITULASI!B69</f>
        <v>0.97418871482400005</v>
      </c>
      <c r="C100" s="141">
        <f t="shared" si="29"/>
        <v>20.457963011304003</v>
      </c>
      <c r="D100" s="140">
        <f>[6]REKAPITULASI!D69</f>
        <v>3.2162290568571429E-2</v>
      </c>
      <c r="E100" s="136">
        <f t="shared" si="30"/>
        <v>9.9703100762571424</v>
      </c>
      <c r="F100" s="139">
        <f t="shared" si="31"/>
        <v>30.428273087561145</v>
      </c>
      <c r="G100" s="145">
        <f t="shared" si="32"/>
        <v>30428.273087561145</v>
      </c>
    </row>
    <row r="101" spans="1:7" x14ac:dyDescent="0.25">
      <c r="A101" s="89">
        <v>2022</v>
      </c>
      <c r="B101" s="138">
        <f>[6]REKAPITULASI!B70</f>
        <v>0.9962803131936</v>
      </c>
      <c r="C101" s="141">
        <f t="shared" si="29"/>
        <v>20.9218865770656</v>
      </c>
      <c r="D101" s="140">
        <f>[6]REKAPITULASI!D70</f>
        <v>3.2891632219809529E-2</v>
      </c>
      <c r="E101" s="136">
        <f t="shared" si="30"/>
        <v>10.196405988140954</v>
      </c>
      <c r="F101" s="139">
        <f t="shared" si="31"/>
        <v>31.118292565206552</v>
      </c>
      <c r="G101" s="145">
        <f t="shared" si="32"/>
        <v>31118.292565206553</v>
      </c>
    </row>
    <row r="102" spans="1:7" x14ac:dyDescent="0.25">
      <c r="A102" s="89">
        <v>2023</v>
      </c>
      <c r="B102" s="138">
        <f>[6]REKAPITULASI!B71</f>
        <v>1.0183719115631999</v>
      </c>
      <c r="C102" s="141">
        <f t="shared" si="29"/>
        <v>21.3858101428272</v>
      </c>
      <c r="D102" s="140">
        <f>[6]REKAPITULASI!D71</f>
        <v>3.3620973871047614E-2</v>
      </c>
      <c r="E102" s="136">
        <f t="shared" si="30"/>
        <v>10.422501900024761</v>
      </c>
      <c r="F102" s="139">
        <f t="shared" si="31"/>
        <v>31.808312042851959</v>
      </c>
      <c r="G102" s="145">
        <f t="shared" si="32"/>
        <v>31808.312042851958</v>
      </c>
    </row>
    <row r="103" spans="1:7" x14ac:dyDescent="0.25">
      <c r="A103" s="89">
        <v>2024</v>
      </c>
      <c r="B103" s="138">
        <f>[6]REKAPITULASI!B72</f>
        <v>1.0404635099327999</v>
      </c>
      <c r="C103" s="141">
        <f t="shared" si="29"/>
        <v>21.849733708588797</v>
      </c>
      <c r="D103" s="140">
        <f>[6]REKAPITULASI!D72</f>
        <v>3.4350315522285714E-2</v>
      </c>
      <c r="E103" s="136">
        <f t="shared" si="30"/>
        <v>10.648597811908571</v>
      </c>
      <c r="F103" s="139">
        <f t="shared" si="31"/>
        <v>32.498331520497366</v>
      </c>
      <c r="G103" s="145">
        <f t="shared" si="32"/>
        <v>32498.331520497366</v>
      </c>
    </row>
    <row r="104" spans="1:7" x14ac:dyDescent="0.25">
      <c r="A104" s="89">
        <v>2025</v>
      </c>
      <c r="B104" s="138">
        <f>[6]REKAPITULASI!B73</f>
        <v>1.0625551083024001</v>
      </c>
      <c r="C104" s="141">
        <f t="shared" si="29"/>
        <v>22.313657274350401</v>
      </c>
      <c r="D104" s="140">
        <f>[6]REKAPITULASI!D73</f>
        <v>3.5079657173523821E-2</v>
      </c>
      <c r="E104" s="136">
        <f t="shared" si="30"/>
        <v>10.874693723792385</v>
      </c>
      <c r="F104" s="139">
        <f t="shared" si="31"/>
        <v>33.188350998142788</v>
      </c>
      <c r="G104" s="145">
        <f t="shared" si="32"/>
        <v>33188.350998142785</v>
      </c>
    </row>
    <row r="105" spans="1:7" x14ac:dyDescent="0.25">
      <c r="A105" s="89">
        <v>2026</v>
      </c>
      <c r="B105" s="138">
        <f>[6]REKAPITULASI!B74</f>
        <v>1.084646706672</v>
      </c>
      <c r="C105" s="141">
        <f t="shared" si="29"/>
        <v>22.777580840112002</v>
      </c>
      <c r="D105" s="140">
        <f>[6]REKAPITULASI!D74</f>
        <v>3.5808998824761913E-2</v>
      </c>
      <c r="E105" s="136">
        <f t="shared" si="30"/>
        <v>11.100789635676193</v>
      </c>
      <c r="F105" s="139">
        <f t="shared" si="31"/>
        <v>33.878370475788195</v>
      </c>
      <c r="G105" s="145">
        <f t="shared" si="32"/>
        <v>33878.370475788193</v>
      </c>
    </row>
    <row r="106" spans="1:7" x14ac:dyDescent="0.25">
      <c r="A106" s="89">
        <v>2027</v>
      </c>
      <c r="B106" s="138">
        <f>[6]REKAPITULASI!B75</f>
        <v>1.1067383050416</v>
      </c>
      <c r="C106" s="141">
        <f t="shared" si="29"/>
        <v>23.241504405873599</v>
      </c>
      <c r="D106" s="140">
        <f>[6]REKAPITULASI!D75</f>
        <v>3.6538340475999999E-2</v>
      </c>
      <c r="E106" s="136">
        <f t="shared" si="30"/>
        <v>11.32688554756</v>
      </c>
      <c r="F106" s="139">
        <f t="shared" si="31"/>
        <v>34.568389953433595</v>
      </c>
      <c r="G106" s="145">
        <f t="shared" si="32"/>
        <v>34568.389953433594</v>
      </c>
    </row>
    <row r="107" spans="1:7" x14ac:dyDescent="0.25">
      <c r="A107" s="89">
        <v>2028</v>
      </c>
      <c r="B107" s="138">
        <f>[6]REKAPITULASI!B76</f>
        <v>1.1288299034112002</v>
      </c>
      <c r="C107" s="141">
        <f t="shared" si="29"/>
        <v>23.705427971635203</v>
      </c>
      <c r="D107" s="140">
        <f>[6]REKAPITULASI!D76</f>
        <v>3.7267682127238098E-2</v>
      </c>
      <c r="E107" s="136">
        <f t="shared" si="30"/>
        <v>11.55298145944381</v>
      </c>
      <c r="F107" s="139">
        <f t="shared" si="31"/>
        <v>35.258409431079016</v>
      </c>
      <c r="G107" s="145">
        <f t="shared" si="32"/>
        <v>35258.409431079017</v>
      </c>
    </row>
    <row r="108" spans="1:7" x14ac:dyDescent="0.25">
      <c r="A108" s="89">
        <v>2029</v>
      </c>
      <c r="B108" s="138">
        <f>[6]REKAPITULASI!B77</f>
        <v>1.1509215017807999</v>
      </c>
      <c r="C108" s="141">
        <f t="shared" si="29"/>
        <v>24.169351537396796</v>
      </c>
      <c r="D108" s="140">
        <f>[6]REKAPITULASI!D77</f>
        <v>3.7997023778476191E-2</v>
      </c>
      <c r="E108" s="136">
        <f t="shared" si="30"/>
        <v>11.779077371327618</v>
      </c>
      <c r="F108" s="139">
        <f t="shared" si="31"/>
        <v>35.948428908724416</v>
      </c>
      <c r="G108" s="145">
        <f t="shared" si="32"/>
        <v>35948.428908724418</v>
      </c>
    </row>
    <row r="109" spans="1:7" x14ac:dyDescent="0.25">
      <c r="A109" s="89">
        <v>2030</v>
      </c>
      <c r="B109" s="138">
        <f>[6]REKAPITULASI!B78</f>
        <v>1.1730131001504001</v>
      </c>
      <c r="C109" s="141">
        <f t="shared" si="29"/>
        <v>24.6332751031584</v>
      </c>
      <c r="D109" s="140">
        <f>[6]REKAPITULASI!D78</f>
        <v>3.8726365429714284E-2</v>
      </c>
      <c r="E109" s="136">
        <f t="shared" si="30"/>
        <v>12.005173283211429</v>
      </c>
      <c r="F109" s="139">
        <f t="shared" si="31"/>
        <v>36.638448386369831</v>
      </c>
      <c r="G109" s="145">
        <f t="shared" si="32"/>
        <v>36638.448386369833</v>
      </c>
    </row>
    <row r="110" spans="1:7" x14ac:dyDescent="0.25">
      <c r="A110" s="89">
        <v>2031</v>
      </c>
      <c r="B110" s="138"/>
      <c r="C110" s="141">
        <f t="shared" si="29"/>
        <v>0</v>
      </c>
      <c r="D110" s="140"/>
      <c r="E110" s="136">
        <f t="shared" si="30"/>
        <v>0</v>
      </c>
      <c r="F110" s="139">
        <f t="shared" si="31"/>
        <v>0</v>
      </c>
      <c r="G110" s="99"/>
    </row>
  </sheetData>
  <mergeCells count="32">
    <mergeCell ref="D86:E86"/>
    <mergeCell ref="H59:H60"/>
    <mergeCell ref="I59:J59"/>
    <mergeCell ref="F86:G86"/>
    <mergeCell ref="A86:A89"/>
    <mergeCell ref="B86:C86"/>
    <mergeCell ref="B88:B89"/>
    <mergeCell ref="A6:A8"/>
    <mergeCell ref="B7:C7"/>
    <mergeCell ref="A58:A60"/>
    <mergeCell ref="B58:F58"/>
    <mergeCell ref="B59:C59"/>
    <mergeCell ref="D59:E59"/>
    <mergeCell ref="D7:D8"/>
    <mergeCell ref="B6:D6"/>
    <mergeCell ref="A32:A34"/>
    <mergeCell ref="B32:F32"/>
    <mergeCell ref="B33:C33"/>
    <mergeCell ref="D33:E33"/>
    <mergeCell ref="F33:F34"/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tabSelected="1" topLeftCell="A7" workbookViewId="0">
      <selection activeCell="F24" sqref="F24"/>
    </sheetView>
  </sheetViews>
  <sheetFormatPr defaultRowHeight="12.75" x14ac:dyDescent="0.25"/>
  <cols>
    <col min="1" max="2" width="9.140625" style="147"/>
    <col min="3" max="3" width="14.5703125" style="147" customWidth="1"/>
    <col min="4" max="4" width="19.140625" style="147" customWidth="1"/>
    <col min="5" max="16384" width="9.140625" style="147"/>
  </cols>
  <sheetData>
    <row r="3" spans="2:4" x14ac:dyDescent="0.25">
      <c r="B3" s="204" t="s">
        <v>11</v>
      </c>
      <c r="C3" s="204" t="s">
        <v>152</v>
      </c>
      <c r="D3" s="204"/>
    </row>
    <row r="4" spans="2:4" x14ac:dyDescent="0.25">
      <c r="B4" s="204"/>
      <c r="C4" s="148" t="s">
        <v>151</v>
      </c>
      <c r="D4" s="148" t="s">
        <v>147</v>
      </c>
    </row>
    <row r="5" spans="2:4" ht="15" x14ac:dyDescent="0.25">
      <c r="B5" s="89">
        <v>2011</v>
      </c>
      <c r="C5" s="167">
        <f>'[7]4D2_CH4_Industrial_Wastewater'!$G12</f>
        <v>6384</v>
      </c>
      <c r="D5" s="167">
        <f>(C5*21)/1000</f>
        <v>134.06399999999999</v>
      </c>
    </row>
    <row r="6" spans="2:4" ht="15" x14ac:dyDescent="0.25">
      <c r="B6" s="89">
        <v>2012</v>
      </c>
      <c r="C6" s="167">
        <f>'[7]4D2_CH4_Industrial_Wastewater'!$G13</f>
        <v>31464</v>
      </c>
      <c r="D6" s="167">
        <f t="shared" ref="D6:D15" si="0">(C6*21)/1000</f>
        <v>660.74400000000003</v>
      </c>
    </row>
    <row r="7" spans="2:4" ht="15" x14ac:dyDescent="0.25">
      <c r="B7" s="89">
        <v>2013</v>
      </c>
      <c r="C7" s="167">
        <f>'[7]4D2_CH4_Industrial_Wastewater'!$G14</f>
        <v>35466</v>
      </c>
      <c r="D7" s="167">
        <f t="shared" si="0"/>
        <v>744.78599999999994</v>
      </c>
    </row>
    <row r="8" spans="2:4" ht="15" x14ac:dyDescent="0.25">
      <c r="B8" s="89">
        <v>2014</v>
      </c>
      <c r="C8" s="167">
        <f>'[7]4D2_CH4_Industrial_Wastewater'!$G15</f>
        <v>33984</v>
      </c>
      <c r="D8" s="167">
        <f t="shared" si="0"/>
        <v>713.66399999999999</v>
      </c>
    </row>
    <row r="9" spans="2:4" ht="15" x14ac:dyDescent="0.25">
      <c r="B9" s="89">
        <v>2015</v>
      </c>
      <c r="C9" s="167">
        <f>'[7]4D2_CH4_Industrial_Wastewater'!$G16</f>
        <v>42564</v>
      </c>
      <c r="D9" s="167">
        <f t="shared" si="0"/>
        <v>893.84400000000005</v>
      </c>
    </row>
    <row r="10" spans="2:4" ht="15" x14ac:dyDescent="0.25">
      <c r="B10" s="89">
        <v>2016</v>
      </c>
      <c r="C10" s="167">
        <f>'[7]4D2_CH4_Industrial_Wastewater'!$G17</f>
        <v>35700</v>
      </c>
      <c r="D10" s="167">
        <f t="shared" si="0"/>
        <v>749.7</v>
      </c>
    </row>
    <row r="11" spans="2:4" ht="15" x14ac:dyDescent="0.25">
      <c r="B11" s="89">
        <v>2017</v>
      </c>
      <c r="C11" s="167">
        <f>'[7]4D2_CH4_Industrial_Wastewater'!$G18</f>
        <v>193995.43596</v>
      </c>
      <c r="D11" s="167">
        <f t="shared" si="0"/>
        <v>4073.9041551600003</v>
      </c>
    </row>
    <row r="12" spans="2:4" ht="15" x14ac:dyDescent="0.25">
      <c r="B12" s="89">
        <v>2018</v>
      </c>
      <c r="C12" s="167">
        <f>'[7]4D2_CH4_Industrial_Wastewater'!$G19</f>
        <v>250077.57924095995</v>
      </c>
      <c r="D12" s="167">
        <f t="shared" si="0"/>
        <v>5251.6291640601585</v>
      </c>
    </row>
    <row r="13" spans="2:4" ht="15" x14ac:dyDescent="0.25">
      <c r="B13" s="89">
        <v>2019</v>
      </c>
      <c r="C13" s="167">
        <f>'[7]4D2_CH4_Industrial_Wastewater'!$G20</f>
        <v>322240.45957778767</v>
      </c>
      <c r="D13" s="167">
        <f t="shared" si="0"/>
        <v>6767.0496511335414</v>
      </c>
    </row>
    <row r="14" spans="2:4" ht="15" x14ac:dyDescent="0.25">
      <c r="B14" s="89">
        <v>2020</v>
      </c>
      <c r="C14" s="167">
        <f>'[7]4D2_CH4_Industrial_Wastewater'!$G21</f>
        <v>415063.39889326872</v>
      </c>
      <c r="D14" s="167">
        <f t="shared" si="0"/>
        <v>8716.3313767586424</v>
      </c>
    </row>
    <row r="15" spans="2:4" ht="15" x14ac:dyDescent="0.25">
      <c r="B15" s="89">
        <v>2021</v>
      </c>
      <c r="C15" s="167">
        <f>'[7]4D2_CH4_Industrial_Wastewater'!$G22</f>
        <v>534422.15394015692</v>
      </c>
      <c r="D15" s="167">
        <f t="shared" si="0"/>
        <v>11222.865232743296</v>
      </c>
    </row>
    <row r="16" spans="2:4" ht="15" x14ac:dyDescent="0.25">
      <c r="B16" s="89">
        <v>2022</v>
      </c>
      <c r="C16" s="167">
        <f>'[7]4D2_CH4_Industrial_Wastewater'!$G23</f>
        <v>687854.09390365973</v>
      </c>
      <c r="D16" s="167">
        <f t="shared" ref="D16:D25" si="1">(C16*21)/1000</f>
        <v>14444.935971976854</v>
      </c>
    </row>
    <row r="17" spans="2:4" ht="15" x14ac:dyDescent="0.25">
      <c r="B17" s="89">
        <v>2023</v>
      </c>
      <c r="C17" s="167">
        <f>'[7]4D2_CH4_Industrial_Wastewater'!$G24</f>
        <v>885025.78832207806</v>
      </c>
      <c r="D17" s="167">
        <f t="shared" si="1"/>
        <v>18585.541554763637</v>
      </c>
    </row>
    <row r="18" spans="2:4" ht="15" x14ac:dyDescent="0.25">
      <c r="B18" s="89">
        <v>2024</v>
      </c>
      <c r="C18" s="167">
        <f>'[7]4D2_CH4_Industrial_Wastewater'!$G25</f>
        <v>1138331.6141833623</v>
      </c>
      <c r="D18" s="167">
        <f t="shared" si="1"/>
        <v>23904.963897850612</v>
      </c>
    </row>
    <row r="19" spans="2:4" ht="15" x14ac:dyDescent="0.25">
      <c r="B19" s="89">
        <v>2025</v>
      </c>
      <c r="C19" s="167">
        <f>'[7]4D2_CH4_Industrial_Wastewater'!$G26</f>
        <v>1463659.9556952326</v>
      </c>
      <c r="D19" s="167">
        <f t="shared" si="1"/>
        <v>30736.859069599886</v>
      </c>
    </row>
    <row r="20" spans="2:4" ht="15" x14ac:dyDescent="0.25">
      <c r="B20" s="89">
        <v>2026</v>
      </c>
      <c r="C20" s="167">
        <f>'[7]4D2_CH4_Industrial_Wastewater'!$G27</f>
        <v>1881373.7454208974</v>
      </c>
      <c r="D20" s="167">
        <f t="shared" si="1"/>
        <v>39508.848653838846</v>
      </c>
    </row>
    <row r="21" spans="2:4" ht="15" x14ac:dyDescent="0.25">
      <c r="B21" s="89">
        <v>2027</v>
      </c>
      <c r="C21" s="167">
        <f>'[7]4D2_CH4_Industrial_Wastewater'!$G28</f>
        <v>2417565.0930667785</v>
      </c>
      <c r="D21" s="167">
        <f t="shared" si="1"/>
        <v>50768.866954402351</v>
      </c>
    </row>
    <row r="22" spans="2:4" ht="15" x14ac:dyDescent="0.25">
      <c r="B22" s="89">
        <v>2028</v>
      </c>
      <c r="C22" s="167">
        <f>'[7]4D2_CH4_Industrial_Wastewater'!$G29</f>
        <v>3105660.3489773753</v>
      </c>
      <c r="D22" s="167">
        <f t="shared" si="1"/>
        <v>65218.867328524881</v>
      </c>
    </row>
    <row r="23" spans="2:4" ht="15" x14ac:dyDescent="0.25">
      <c r="B23" s="89">
        <v>2029</v>
      </c>
      <c r="C23" s="167">
        <f>'[7]4D2_CH4_Industrial_Wastewater'!$G30</f>
        <v>3988473.1495746095</v>
      </c>
      <c r="D23" s="167">
        <f t="shared" si="1"/>
        <v>83757.936141066806</v>
      </c>
    </row>
    <row r="24" spans="2:4" ht="15" x14ac:dyDescent="0.25">
      <c r="B24" s="89">
        <v>2030</v>
      </c>
      <c r="C24" s="167">
        <f>'[7]4D2_CH4_Industrial_Wastewater'!$G31</f>
        <v>5126037.407999998</v>
      </c>
      <c r="D24" s="167">
        <f t="shared" si="1"/>
        <v>107646.78556799996</v>
      </c>
    </row>
    <row r="25" spans="2:4" ht="15" x14ac:dyDescent="0.25">
      <c r="B25" s="89">
        <v>2031</v>
      </c>
      <c r="C25" s="167">
        <f>'[7]4D2_CH4_Industrial_Wastewater'!$G32</f>
        <v>0</v>
      </c>
      <c r="D25" s="149">
        <f t="shared" si="1"/>
        <v>0</v>
      </c>
    </row>
  </sheetData>
  <mergeCells count="2">
    <mergeCell ref="C3:D3"/>
    <mergeCell ref="B3:B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65</v>
      </c>
    </row>
    <row r="5" spans="1:9" s="20" customFormat="1" ht="47.25" customHeight="1" x14ac:dyDescent="0.25">
      <c r="A5" s="25" t="s">
        <v>46</v>
      </c>
      <c r="B5" s="26" t="s">
        <v>47</v>
      </c>
      <c r="C5" s="21" t="s">
        <v>55</v>
      </c>
      <c r="D5" s="211" t="s">
        <v>54</v>
      </c>
      <c r="E5" s="211"/>
      <c r="F5" s="212" t="s">
        <v>64</v>
      </c>
      <c r="G5" s="212"/>
      <c r="H5" s="212"/>
      <c r="I5" s="212"/>
    </row>
    <row r="6" spans="1:9" s="20" customFormat="1" ht="16.5" customHeight="1" x14ac:dyDescent="0.25">
      <c r="A6" s="228" t="s">
        <v>48</v>
      </c>
      <c r="B6" s="228" t="s">
        <v>50</v>
      </c>
      <c r="C6" s="229"/>
      <c r="D6" s="218" t="s">
        <v>70</v>
      </c>
      <c r="E6" s="218"/>
      <c r="F6" s="213" t="s">
        <v>56</v>
      </c>
      <c r="G6" s="213"/>
      <c r="H6" s="213"/>
      <c r="I6" s="213"/>
    </row>
    <row r="7" spans="1:9" s="20" customFormat="1" ht="29.25" customHeight="1" x14ac:dyDescent="0.25">
      <c r="A7" s="228"/>
      <c r="B7" s="228"/>
      <c r="C7" s="229"/>
      <c r="D7" s="218"/>
      <c r="E7" s="218"/>
      <c r="F7" s="213" t="s">
        <v>57</v>
      </c>
      <c r="G7" s="213"/>
      <c r="H7" s="213"/>
      <c r="I7" s="213"/>
    </row>
    <row r="8" spans="1:9" s="20" customFormat="1" ht="51" customHeight="1" x14ac:dyDescent="0.25">
      <c r="A8" s="228"/>
      <c r="B8" s="29" t="s">
        <v>59</v>
      </c>
      <c r="C8" s="22"/>
      <c r="D8" s="218" t="s">
        <v>58</v>
      </c>
      <c r="E8" s="218"/>
      <c r="F8" s="213" t="s">
        <v>61</v>
      </c>
      <c r="G8" s="213"/>
      <c r="H8" s="213"/>
      <c r="I8" s="213"/>
    </row>
    <row r="9" spans="1:9" s="20" customFormat="1" ht="31.5" customHeight="1" x14ac:dyDescent="0.25">
      <c r="A9" s="228"/>
      <c r="B9" s="217" t="s">
        <v>51</v>
      </c>
      <c r="C9" s="22"/>
      <c r="D9" s="218" t="s">
        <v>60</v>
      </c>
      <c r="E9" s="218"/>
      <c r="F9" s="225" t="s">
        <v>66</v>
      </c>
      <c r="G9" s="226"/>
      <c r="H9" s="226"/>
      <c r="I9" s="227"/>
    </row>
    <row r="10" spans="1:9" s="20" customFormat="1" ht="20.25" customHeight="1" x14ac:dyDescent="0.25">
      <c r="A10" s="228"/>
      <c r="B10" s="217"/>
      <c r="C10" s="22"/>
      <c r="D10" s="218"/>
      <c r="E10" s="218"/>
      <c r="F10" s="213" t="s">
        <v>62</v>
      </c>
      <c r="G10" s="213"/>
      <c r="H10" s="213"/>
      <c r="I10" s="213"/>
    </row>
    <row r="11" spans="1:9" s="20" customFormat="1" ht="17.25" customHeight="1" x14ac:dyDescent="0.25">
      <c r="A11" s="228"/>
      <c r="B11" s="217"/>
      <c r="C11" s="22"/>
      <c r="D11" s="218"/>
      <c r="E11" s="218"/>
      <c r="F11" s="213" t="s">
        <v>63</v>
      </c>
      <c r="G11" s="213"/>
      <c r="H11" s="213"/>
      <c r="I11" s="213"/>
    </row>
    <row r="12" spans="1:9" s="20" customFormat="1" ht="60" customHeight="1" x14ac:dyDescent="0.25">
      <c r="A12" s="228" t="s">
        <v>49</v>
      </c>
      <c r="B12" s="27" t="s">
        <v>52</v>
      </c>
      <c r="C12" s="23"/>
      <c r="D12" s="24"/>
      <c r="E12" s="22"/>
      <c r="F12" s="219" t="s">
        <v>67</v>
      </c>
      <c r="G12" s="220"/>
      <c r="H12" s="220"/>
      <c r="I12" s="221"/>
    </row>
    <row r="13" spans="1:9" s="20" customFormat="1" ht="30" x14ac:dyDescent="0.25">
      <c r="A13" s="228"/>
      <c r="B13" s="28" t="s">
        <v>53</v>
      </c>
      <c r="C13" s="23"/>
      <c r="D13" s="24"/>
      <c r="E13" s="22"/>
      <c r="F13" s="222"/>
      <c r="G13" s="223"/>
      <c r="H13" s="223"/>
      <c r="I13" s="224"/>
    </row>
    <row r="18" spans="1:22" ht="21" x14ac:dyDescent="0.35">
      <c r="A18" s="230" t="s">
        <v>74</v>
      </c>
      <c r="B18" s="230"/>
      <c r="C18" s="230"/>
      <c r="D18" s="230"/>
      <c r="E18" s="230"/>
      <c r="F18" s="230"/>
      <c r="G18" s="230"/>
      <c r="H18" s="230"/>
      <c r="I18" s="230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69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214" t="s">
        <v>8</v>
      </c>
      <c r="B21" s="215" t="s">
        <v>40</v>
      </c>
      <c r="C21" s="215"/>
      <c r="D21" s="215"/>
      <c r="E21" s="215"/>
      <c r="F21" s="215"/>
      <c r="G21" s="215"/>
      <c r="H21" s="215"/>
      <c r="I21" s="216"/>
      <c r="K21" t="s">
        <v>22</v>
      </c>
      <c r="L21" t="s">
        <v>25</v>
      </c>
    </row>
    <row r="22" spans="1:22" ht="38.25" x14ac:dyDescent="0.25">
      <c r="A22" s="214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216"/>
      <c r="O22" s="8" t="s">
        <v>19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41</v>
      </c>
      <c r="K23" s="10" t="s">
        <v>43</v>
      </c>
    </row>
    <row r="24" spans="1:22" ht="15" customHeight="1" x14ac:dyDescent="0.25">
      <c r="A24" s="2">
        <v>2011</v>
      </c>
      <c r="B24" s="236" t="s">
        <v>71</v>
      </c>
      <c r="C24" s="35">
        <v>0</v>
      </c>
      <c r="D24" s="236" t="s">
        <v>73</v>
      </c>
      <c r="E24" s="236" t="s">
        <v>79</v>
      </c>
      <c r="F24" s="236"/>
      <c r="G24" s="236"/>
      <c r="H24" s="236"/>
      <c r="I24" s="34"/>
      <c r="K24" t="s">
        <v>26</v>
      </c>
      <c r="L24" s="15">
        <v>4000</v>
      </c>
      <c r="M24" s="16" t="s">
        <v>33</v>
      </c>
      <c r="N24" s="15">
        <v>6000</v>
      </c>
      <c r="O24" s="8" t="s">
        <v>28</v>
      </c>
      <c r="R24" s="18">
        <f>L24*1000/365</f>
        <v>10958.904109589041</v>
      </c>
      <c r="S24" s="19" t="s">
        <v>33</v>
      </c>
      <c r="T24" s="18">
        <f>N24*1000/365</f>
        <v>16438.35616438356</v>
      </c>
      <c r="U24" s="11" t="s">
        <v>31</v>
      </c>
      <c r="V24" t="s">
        <v>72</v>
      </c>
    </row>
    <row r="25" spans="1:22" ht="60" customHeight="1" x14ac:dyDescent="0.25">
      <c r="A25" s="2">
        <v>2012</v>
      </c>
      <c r="B25" s="236"/>
      <c r="C25" s="35">
        <v>0</v>
      </c>
      <c r="D25" s="236"/>
      <c r="E25" s="236"/>
      <c r="F25" s="236"/>
      <c r="G25" s="236"/>
      <c r="H25" s="236"/>
      <c r="I25" s="34"/>
      <c r="K25" t="s">
        <v>27</v>
      </c>
      <c r="L25" s="234">
        <v>1000</v>
      </c>
      <c r="M25" s="234"/>
      <c r="N25" s="234"/>
      <c r="O25" s="8" t="s">
        <v>28</v>
      </c>
      <c r="R25" s="235">
        <f>L25*1000/365</f>
        <v>2739.7260273972602</v>
      </c>
      <c r="S25" s="235"/>
      <c r="T25" s="235"/>
      <c r="U25" s="11" t="s">
        <v>45</v>
      </c>
    </row>
    <row r="26" spans="1:22" x14ac:dyDescent="0.25">
      <c r="A26" s="2">
        <v>2013</v>
      </c>
      <c r="B26" s="236"/>
      <c r="C26" s="35">
        <v>0</v>
      </c>
      <c r="D26" s="236"/>
      <c r="E26" s="236"/>
      <c r="F26" s="236"/>
      <c r="G26" s="236"/>
      <c r="H26" s="236"/>
      <c r="I26" s="34"/>
      <c r="K26" t="s">
        <v>29</v>
      </c>
      <c r="L26" s="234">
        <v>3000</v>
      </c>
      <c r="M26" s="234"/>
      <c r="N26" s="234"/>
      <c r="O26" s="8" t="s">
        <v>28</v>
      </c>
    </row>
    <row r="27" spans="1:22" x14ac:dyDescent="0.25">
      <c r="A27" s="2">
        <v>2014</v>
      </c>
      <c r="B27" s="236"/>
      <c r="C27" s="35">
        <v>0</v>
      </c>
      <c r="D27" s="236"/>
      <c r="E27" s="236"/>
      <c r="F27" s="236"/>
      <c r="G27" s="236"/>
      <c r="H27" s="236"/>
      <c r="I27" s="34"/>
      <c r="K27" s="9" t="s">
        <v>30</v>
      </c>
      <c r="L27" s="15">
        <v>8000</v>
      </c>
      <c r="M27" s="16" t="s">
        <v>33</v>
      </c>
      <c r="N27" s="15">
        <v>10000</v>
      </c>
      <c r="O27" s="8" t="s">
        <v>19</v>
      </c>
    </row>
    <row r="28" spans="1:22" x14ac:dyDescent="0.25">
      <c r="A28" s="2">
        <v>2015</v>
      </c>
      <c r="B28" s="236"/>
      <c r="C28" s="35">
        <v>0</v>
      </c>
      <c r="D28" s="236"/>
      <c r="E28" s="236"/>
      <c r="F28" s="236"/>
      <c r="G28" s="236"/>
      <c r="H28" s="236"/>
      <c r="I28" s="34"/>
    </row>
    <row r="29" spans="1:22" x14ac:dyDescent="0.25">
      <c r="A29" s="2">
        <v>2016</v>
      </c>
      <c r="B29" s="236"/>
      <c r="C29" s="35">
        <v>0</v>
      </c>
      <c r="D29" s="236"/>
      <c r="E29" s="236"/>
      <c r="F29" s="236"/>
      <c r="G29" s="236"/>
      <c r="H29" s="236"/>
      <c r="I29" s="34"/>
    </row>
    <row r="30" spans="1:22" x14ac:dyDescent="0.25">
      <c r="A30" s="2">
        <v>2017</v>
      </c>
      <c r="B30" s="236"/>
      <c r="C30" s="35">
        <v>0</v>
      </c>
      <c r="D30" s="236"/>
      <c r="E30" s="236"/>
      <c r="F30" s="236"/>
      <c r="G30" s="236"/>
      <c r="H30" s="236"/>
      <c r="I30" s="34"/>
    </row>
    <row r="31" spans="1:22" ht="25.5" x14ac:dyDescent="0.25">
      <c r="A31" s="2">
        <v>2018</v>
      </c>
      <c r="B31" s="236"/>
      <c r="C31" s="35">
        <v>0</v>
      </c>
      <c r="D31" s="236"/>
      <c r="E31" s="236"/>
      <c r="F31" s="236"/>
      <c r="G31" s="236"/>
      <c r="H31" s="236"/>
      <c r="I31" s="34"/>
      <c r="J31" s="9" t="s">
        <v>42</v>
      </c>
      <c r="K31" s="10" t="s">
        <v>44</v>
      </c>
    </row>
    <row r="32" spans="1:22" x14ac:dyDescent="0.25">
      <c r="A32" s="2">
        <v>2019</v>
      </c>
      <c r="B32" s="236"/>
      <c r="C32" s="35">
        <v>0</v>
      </c>
      <c r="D32" s="236"/>
      <c r="E32" s="236"/>
      <c r="F32" s="236"/>
      <c r="G32" s="236"/>
      <c r="H32" s="236"/>
      <c r="I32" s="34"/>
      <c r="K32" t="s">
        <v>26</v>
      </c>
      <c r="L32" s="17">
        <f>0.6*L35</f>
        <v>360</v>
      </c>
      <c r="M32" s="8" t="s">
        <v>28</v>
      </c>
      <c r="R32" s="18">
        <f>L32*1000/365</f>
        <v>986.30136986301375</v>
      </c>
      <c r="S32" s="11" t="s">
        <v>31</v>
      </c>
      <c r="T32" s="11"/>
    </row>
    <row r="33" spans="1:20" x14ac:dyDescent="0.25">
      <c r="A33" s="2">
        <v>2020</v>
      </c>
      <c r="B33" s="236"/>
      <c r="C33" s="35">
        <v>0</v>
      </c>
      <c r="D33" s="236"/>
      <c r="E33" s="236"/>
      <c r="F33" s="236"/>
      <c r="G33" s="236"/>
      <c r="H33" s="236"/>
      <c r="I33" s="34"/>
      <c r="K33" t="s">
        <v>27</v>
      </c>
      <c r="L33" s="17">
        <f>0.1*L35</f>
        <v>60</v>
      </c>
      <c r="M33" s="8" t="s">
        <v>28</v>
      </c>
      <c r="R33" s="18">
        <f>L33*1000/365</f>
        <v>164.38356164383561</v>
      </c>
      <c r="S33" s="11" t="s">
        <v>32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29</v>
      </c>
      <c r="L34" s="17">
        <f>0.3*L35</f>
        <v>180</v>
      </c>
      <c r="M34" s="8" t="s">
        <v>28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30</v>
      </c>
      <c r="L35" s="17">
        <v>600</v>
      </c>
      <c r="M35" s="8" t="s">
        <v>19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68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214" t="s">
        <v>8</v>
      </c>
      <c r="B37" s="237" t="s">
        <v>78</v>
      </c>
      <c r="C37" s="238"/>
      <c r="D37" s="238"/>
      <c r="E37" s="238"/>
      <c r="F37" s="238"/>
      <c r="G37" s="238"/>
      <c r="H37" s="239"/>
      <c r="I37" s="232" t="s">
        <v>40</v>
      </c>
    </row>
    <row r="38" spans="1:20" ht="38.25" x14ac:dyDescent="0.25">
      <c r="A38" s="214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33"/>
    </row>
    <row r="39" spans="1:20" x14ac:dyDescent="0.25">
      <c r="A39" s="2">
        <v>2010</v>
      </c>
      <c r="B39" s="205" t="s">
        <v>75</v>
      </c>
      <c r="C39" s="205" t="s">
        <v>76</v>
      </c>
      <c r="D39" s="205" t="s">
        <v>75</v>
      </c>
      <c r="E39" s="205" t="s">
        <v>76</v>
      </c>
      <c r="F39" s="205" t="s">
        <v>76</v>
      </c>
      <c r="G39" s="205" t="s">
        <v>76</v>
      </c>
      <c r="H39" s="205" t="s">
        <v>76</v>
      </c>
      <c r="I39" s="14">
        <f>'timbulan sampah'!E5</f>
        <v>166.47334000000001</v>
      </c>
    </row>
    <row r="40" spans="1:20" x14ac:dyDescent="0.25">
      <c r="A40" s="2">
        <v>2011</v>
      </c>
      <c r="B40" s="206"/>
      <c r="C40" s="206"/>
      <c r="D40" s="206"/>
      <c r="E40" s="206"/>
      <c r="F40" s="206"/>
      <c r="G40" s="206"/>
      <c r="H40" s="206"/>
      <c r="I40" s="14">
        <f>'timbulan sampah'!E6</f>
        <v>168.27976000000001</v>
      </c>
      <c r="K40" t="s">
        <v>20</v>
      </c>
      <c r="O40" s="8" t="s">
        <v>21</v>
      </c>
    </row>
    <row r="41" spans="1:20" x14ac:dyDescent="0.25">
      <c r="A41" s="2">
        <v>2012</v>
      </c>
      <c r="B41" s="206"/>
      <c r="C41" s="206"/>
      <c r="D41" s="206"/>
      <c r="E41" s="206"/>
      <c r="F41" s="206"/>
      <c r="G41" s="206"/>
      <c r="H41" s="206"/>
      <c r="I41" s="14">
        <f>'timbulan sampah'!E7</f>
        <v>171.82329999999999</v>
      </c>
      <c r="K41" t="s">
        <v>23</v>
      </c>
      <c r="O41" s="8" t="s">
        <v>24</v>
      </c>
    </row>
    <row r="42" spans="1:20" x14ac:dyDescent="0.25">
      <c r="A42" s="2">
        <v>2013</v>
      </c>
      <c r="B42" s="206"/>
      <c r="C42" s="206"/>
      <c r="D42" s="206"/>
      <c r="E42" s="206"/>
      <c r="F42" s="206"/>
      <c r="G42" s="206"/>
      <c r="H42" s="206"/>
      <c r="I42" s="14">
        <f>'timbulan sampah'!E8</f>
        <v>175.34132</v>
      </c>
    </row>
    <row r="43" spans="1:20" x14ac:dyDescent="0.25">
      <c r="A43" s="2">
        <v>2014</v>
      </c>
      <c r="B43" s="206"/>
      <c r="C43" s="206"/>
      <c r="D43" s="206"/>
      <c r="E43" s="206"/>
      <c r="F43" s="206"/>
      <c r="G43" s="206"/>
      <c r="H43" s="206"/>
      <c r="I43" s="14">
        <f>'timbulan sampah'!E9</f>
        <v>178.77134000000001</v>
      </c>
    </row>
    <row r="44" spans="1:20" x14ac:dyDescent="0.25">
      <c r="A44" s="2">
        <v>2015</v>
      </c>
      <c r="B44" s="206"/>
      <c r="C44" s="206"/>
      <c r="D44" s="206"/>
      <c r="E44" s="206"/>
      <c r="F44" s="206"/>
      <c r="G44" s="206"/>
      <c r="H44" s="206"/>
      <c r="I44" s="14">
        <f>'timbulan sampah'!E10</f>
        <v>182.22666000000001</v>
      </c>
    </row>
    <row r="45" spans="1:20" x14ac:dyDescent="0.25">
      <c r="A45" s="2">
        <v>2016</v>
      </c>
      <c r="B45" s="206"/>
      <c r="C45" s="206"/>
      <c r="D45" s="206"/>
      <c r="E45" s="206"/>
      <c r="F45" s="206"/>
      <c r="G45" s="206"/>
      <c r="H45" s="206"/>
      <c r="I45" s="14">
        <f>'timbulan sampah'!E11</f>
        <v>186.53932</v>
      </c>
    </row>
    <row r="46" spans="1:20" x14ac:dyDescent="0.25">
      <c r="A46" s="2">
        <v>2017</v>
      </c>
      <c r="B46" s="206"/>
      <c r="C46" s="206"/>
      <c r="D46" s="206"/>
      <c r="E46" s="206"/>
      <c r="F46" s="206"/>
      <c r="G46" s="206"/>
      <c r="H46" s="206"/>
      <c r="I46" s="14">
        <f>'timbulan sampah'!E12</f>
        <v>191.19144</v>
      </c>
    </row>
    <row r="47" spans="1:20" x14ac:dyDescent="0.25">
      <c r="A47" s="2">
        <v>2018</v>
      </c>
      <c r="B47" s="206"/>
      <c r="C47" s="206"/>
      <c r="D47" s="206"/>
      <c r="E47" s="206"/>
      <c r="F47" s="206"/>
      <c r="G47" s="206"/>
      <c r="H47" s="206"/>
      <c r="I47" s="14">
        <f>'timbulan sampah'!E13</f>
        <v>195.84356</v>
      </c>
    </row>
    <row r="48" spans="1:20" x14ac:dyDescent="0.25">
      <c r="A48" s="2">
        <v>2019</v>
      </c>
      <c r="B48" s="206"/>
      <c r="C48" s="206"/>
      <c r="D48" s="206"/>
      <c r="E48" s="206"/>
      <c r="F48" s="206"/>
      <c r="G48" s="206"/>
      <c r="H48" s="206"/>
      <c r="I48" s="14">
        <f>'timbulan sampah'!E14</f>
        <v>200.49567999999999</v>
      </c>
    </row>
    <row r="49" spans="1:21" x14ac:dyDescent="0.25">
      <c r="A49" s="2">
        <v>2020</v>
      </c>
      <c r="B49" s="207"/>
      <c r="C49" s="207"/>
      <c r="D49" s="207"/>
      <c r="E49" s="207"/>
      <c r="F49" s="207"/>
      <c r="G49" s="207"/>
      <c r="H49" s="207"/>
      <c r="I49" s="14">
        <f>'timbulan sampah'!E15</f>
        <v>205.14779999999999</v>
      </c>
    </row>
    <row r="52" spans="1:21" x14ac:dyDescent="0.25">
      <c r="A52" s="214" t="s">
        <v>8</v>
      </c>
      <c r="B52" s="231" t="s">
        <v>0</v>
      </c>
      <c r="C52" s="231"/>
      <c r="D52" s="231"/>
      <c r="E52" s="231"/>
      <c r="F52" s="231"/>
      <c r="G52" s="231"/>
      <c r="H52" s="231"/>
      <c r="I52" s="232" t="s">
        <v>10</v>
      </c>
    </row>
    <row r="53" spans="1:21" ht="42.75" customHeight="1" x14ac:dyDescent="0.25">
      <c r="A53" s="214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33"/>
    </row>
    <row r="54" spans="1:21" ht="17.25" customHeight="1" x14ac:dyDescent="0.25">
      <c r="A54" s="2">
        <v>2010</v>
      </c>
      <c r="B54" s="208" t="s">
        <v>77</v>
      </c>
      <c r="C54" s="208" t="s">
        <v>77</v>
      </c>
      <c r="D54" s="208" t="s">
        <v>77</v>
      </c>
      <c r="E54" s="208" t="s">
        <v>77</v>
      </c>
      <c r="F54" s="208" t="s">
        <v>77</v>
      </c>
      <c r="G54" s="208" t="s">
        <v>77</v>
      </c>
      <c r="H54" s="208" t="s">
        <v>77</v>
      </c>
      <c r="I54" s="3">
        <v>1</v>
      </c>
    </row>
    <row r="55" spans="1:21" x14ac:dyDescent="0.25">
      <c r="A55" s="2">
        <v>2011</v>
      </c>
      <c r="B55" s="209"/>
      <c r="C55" s="209"/>
      <c r="D55" s="209"/>
      <c r="E55" s="209"/>
      <c r="F55" s="209"/>
      <c r="G55" s="209"/>
      <c r="H55" s="209"/>
      <c r="I55" s="3">
        <v>1</v>
      </c>
    </row>
    <row r="56" spans="1:21" x14ac:dyDescent="0.25">
      <c r="A56" s="2">
        <v>2012</v>
      </c>
      <c r="B56" s="209"/>
      <c r="C56" s="209"/>
      <c r="D56" s="209"/>
      <c r="E56" s="209"/>
      <c r="F56" s="209"/>
      <c r="G56" s="209"/>
      <c r="H56" s="209"/>
      <c r="I56" s="3">
        <v>1</v>
      </c>
    </row>
    <row r="57" spans="1:21" x14ac:dyDescent="0.25">
      <c r="A57" s="2">
        <v>2013</v>
      </c>
      <c r="B57" s="209"/>
      <c r="C57" s="209"/>
      <c r="D57" s="209"/>
      <c r="E57" s="209"/>
      <c r="F57" s="209"/>
      <c r="G57" s="209"/>
      <c r="H57" s="209"/>
      <c r="I57" s="3">
        <v>1</v>
      </c>
    </row>
    <row r="58" spans="1:21" x14ac:dyDescent="0.25">
      <c r="A58" s="2">
        <v>2014</v>
      </c>
      <c r="B58" s="209"/>
      <c r="C58" s="209"/>
      <c r="D58" s="209"/>
      <c r="E58" s="209"/>
      <c r="F58" s="209"/>
      <c r="G58" s="209"/>
      <c r="H58" s="209"/>
      <c r="I58" s="3">
        <v>1</v>
      </c>
    </row>
    <row r="59" spans="1:21" x14ac:dyDescent="0.25">
      <c r="A59" s="2">
        <v>2015</v>
      </c>
      <c r="B59" s="209"/>
      <c r="C59" s="209"/>
      <c r="D59" s="209"/>
      <c r="E59" s="209"/>
      <c r="F59" s="209"/>
      <c r="G59" s="209"/>
      <c r="H59" s="209"/>
      <c r="I59" s="3">
        <v>1</v>
      </c>
    </row>
    <row r="60" spans="1:21" x14ac:dyDescent="0.25">
      <c r="A60" s="2">
        <v>2016</v>
      </c>
      <c r="B60" s="209"/>
      <c r="C60" s="209"/>
      <c r="D60" s="209"/>
      <c r="E60" s="209"/>
      <c r="F60" s="209"/>
      <c r="G60" s="209"/>
      <c r="H60" s="209"/>
      <c r="I60" s="3">
        <v>1</v>
      </c>
    </row>
    <row r="61" spans="1:21" x14ac:dyDescent="0.25">
      <c r="A61" s="2">
        <v>2017</v>
      </c>
      <c r="B61" s="209"/>
      <c r="C61" s="209"/>
      <c r="D61" s="209"/>
      <c r="E61" s="209"/>
      <c r="F61" s="209"/>
      <c r="G61" s="209"/>
      <c r="H61" s="209"/>
      <c r="I61" s="3">
        <v>1</v>
      </c>
    </row>
    <row r="62" spans="1:21" x14ac:dyDescent="0.25">
      <c r="A62" s="2">
        <v>2018</v>
      </c>
      <c r="B62" s="209"/>
      <c r="C62" s="209"/>
      <c r="D62" s="209"/>
      <c r="E62" s="209"/>
      <c r="F62" s="209"/>
      <c r="G62" s="209"/>
      <c r="H62" s="209"/>
      <c r="I62" s="3">
        <v>1</v>
      </c>
    </row>
    <row r="63" spans="1:21" x14ac:dyDescent="0.25">
      <c r="A63" s="2">
        <v>2019</v>
      </c>
      <c r="B63" s="209"/>
      <c r="C63" s="209"/>
      <c r="D63" s="209"/>
      <c r="E63" s="209"/>
      <c r="F63" s="209"/>
      <c r="G63" s="209"/>
      <c r="H63" s="209"/>
      <c r="I63" s="3">
        <v>1</v>
      </c>
      <c r="U63" s="4"/>
    </row>
    <row r="64" spans="1:21" x14ac:dyDescent="0.25">
      <c r="A64" s="2">
        <v>2020</v>
      </c>
      <c r="B64" s="210"/>
      <c r="C64" s="210"/>
      <c r="D64" s="210"/>
      <c r="E64" s="210"/>
      <c r="F64" s="210"/>
      <c r="G64" s="210"/>
      <c r="H64" s="210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D5:E5"/>
    <mergeCell ref="F5:I5"/>
    <mergeCell ref="F6:I6"/>
    <mergeCell ref="F7:I7"/>
    <mergeCell ref="F8:I8"/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116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109</v>
      </c>
    </row>
    <row r="6" spans="1:19" ht="54" customHeight="1" x14ac:dyDescent="0.25">
      <c r="A6" s="255" t="s">
        <v>11</v>
      </c>
      <c r="B6" s="256" t="s">
        <v>110</v>
      </c>
      <c r="C6" s="256"/>
      <c r="D6" s="256"/>
      <c r="E6" s="71" t="s">
        <v>114</v>
      </c>
      <c r="F6" s="255" t="s">
        <v>11</v>
      </c>
      <c r="G6" s="256" t="s">
        <v>111</v>
      </c>
      <c r="H6" s="256"/>
      <c r="I6" s="256"/>
      <c r="J6" s="72" t="s">
        <v>115</v>
      </c>
      <c r="K6" s="255" t="s">
        <v>11</v>
      </c>
      <c r="L6" s="256" t="s">
        <v>112</v>
      </c>
      <c r="M6" s="256"/>
      <c r="N6" s="256"/>
      <c r="O6" s="72" t="s">
        <v>115</v>
      </c>
      <c r="P6" s="255" t="s">
        <v>11</v>
      </c>
      <c r="Q6" s="256" t="s">
        <v>113</v>
      </c>
      <c r="R6" s="256"/>
      <c r="S6" s="256"/>
    </row>
    <row r="7" spans="1:19" x14ac:dyDescent="0.25">
      <c r="A7" s="255"/>
      <c r="B7" s="255" t="s">
        <v>82</v>
      </c>
      <c r="C7" s="255"/>
      <c r="D7" s="256" t="s">
        <v>84</v>
      </c>
      <c r="E7" s="69"/>
      <c r="F7" s="255"/>
      <c r="G7" s="255" t="s">
        <v>82</v>
      </c>
      <c r="H7" s="255"/>
      <c r="I7" s="256" t="s">
        <v>84</v>
      </c>
      <c r="K7" s="255"/>
      <c r="L7" s="255" t="s">
        <v>82</v>
      </c>
      <c r="M7" s="255"/>
      <c r="N7" s="256" t="s">
        <v>84</v>
      </c>
      <c r="P7" s="255"/>
      <c r="Q7" s="255" t="s">
        <v>82</v>
      </c>
      <c r="R7" s="255"/>
      <c r="S7" s="256" t="s">
        <v>84</v>
      </c>
    </row>
    <row r="8" spans="1:19" x14ac:dyDescent="0.25">
      <c r="A8" s="255"/>
      <c r="B8" s="74" t="s">
        <v>85</v>
      </c>
      <c r="C8" s="74" t="s">
        <v>86</v>
      </c>
      <c r="D8" s="256"/>
      <c r="E8" s="6"/>
      <c r="F8" s="255"/>
      <c r="G8" s="74" t="s">
        <v>85</v>
      </c>
      <c r="H8" s="74" t="s">
        <v>86</v>
      </c>
      <c r="I8" s="256"/>
      <c r="K8" s="255"/>
      <c r="L8" s="74" t="s">
        <v>85</v>
      </c>
      <c r="M8" s="74" t="s">
        <v>86</v>
      </c>
      <c r="N8" s="256"/>
      <c r="P8" s="255"/>
      <c r="Q8" s="74" t="s">
        <v>85</v>
      </c>
      <c r="R8" s="74" t="s">
        <v>86</v>
      </c>
      <c r="S8" s="256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80</v>
      </c>
      <c r="K22" t="s">
        <v>120</v>
      </c>
      <c r="L22">
        <v>16000</v>
      </c>
    </row>
    <row r="23" spans="1:19" ht="15.75" thickBot="1" x14ac:dyDescent="0.3">
      <c r="A23" s="246" t="s">
        <v>11</v>
      </c>
      <c r="B23" s="248" t="s">
        <v>81</v>
      </c>
      <c r="C23" s="249"/>
      <c r="D23" s="249"/>
      <c r="E23" s="249"/>
      <c r="F23" s="250"/>
      <c r="K23" t="s">
        <v>121</v>
      </c>
      <c r="L23">
        <v>280</v>
      </c>
      <c r="M23" t="s">
        <v>123</v>
      </c>
    </row>
    <row r="24" spans="1:19" ht="15.75" thickBot="1" x14ac:dyDescent="0.3">
      <c r="A24" s="247"/>
      <c r="B24" s="248" t="s">
        <v>82</v>
      </c>
      <c r="C24" s="250"/>
      <c r="D24" s="248" t="s">
        <v>83</v>
      </c>
      <c r="E24" s="250"/>
      <c r="F24" s="251" t="s">
        <v>84</v>
      </c>
      <c r="K24" t="s">
        <v>122</v>
      </c>
      <c r="L24">
        <v>4800</v>
      </c>
      <c r="M24" t="s">
        <v>123</v>
      </c>
    </row>
    <row r="25" spans="1:19" x14ac:dyDescent="0.25">
      <c r="A25" s="247"/>
      <c r="B25" s="36" t="s">
        <v>85</v>
      </c>
      <c r="C25" s="36" t="s">
        <v>86</v>
      </c>
      <c r="D25" s="36" t="s">
        <v>87</v>
      </c>
      <c r="E25" s="36" t="s">
        <v>86</v>
      </c>
      <c r="F25" s="252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88</v>
      </c>
    </row>
    <row r="40" spans="1:6" ht="15.75" thickBot="1" x14ac:dyDescent="0.3">
      <c r="A40" s="253" t="s">
        <v>11</v>
      </c>
      <c r="B40" s="42" t="s">
        <v>89</v>
      </c>
      <c r="C40" s="43"/>
      <c r="D40" s="43"/>
      <c r="E40" s="43"/>
      <c r="F40" s="43"/>
    </row>
    <row r="41" spans="1:6" ht="15.75" thickBot="1" x14ac:dyDescent="0.3">
      <c r="A41" s="254"/>
      <c r="B41" s="42" t="s">
        <v>82</v>
      </c>
      <c r="C41" s="44"/>
      <c r="D41" s="42" t="s">
        <v>83</v>
      </c>
      <c r="E41" s="44"/>
      <c r="F41" s="45" t="s">
        <v>90</v>
      </c>
    </row>
    <row r="42" spans="1:6" x14ac:dyDescent="0.25">
      <c r="A42" s="254"/>
      <c r="B42" s="46" t="s">
        <v>85</v>
      </c>
      <c r="C42" s="46" t="s">
        <v>86</v>
      </c>
      <c r="D42" s="46" t="s">
        <v>87</v>
      </c>
      <c r="E42" s="46" t="s">
        <v>86</v>
      </c>
      <c r="F42" s="46" t="s">
        <v>91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'[6]4C2_CO2_OpenBurning'!M14</f>
        <v>2.0771393837410908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'[6]4C2_CO2_OpenBurning'!M15</f>
        <v>2.1208786099668826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'[6]4C2_CO2_OpenBurning'!M16</f>
        <v>2.1643028333838212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'[6]4C2_CO2_OpenBurning'!M17</f>
        <v>2.2066408402185087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'[6]4C2_CO2_OpenBurning'!M18</f>
        <v>2.2492911343205941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'[6]4C2_CO2_OpenBurning'!M19</f>
        <v>2.3025238934752585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'[6]4C2_CO2_OpenBurning'!M20</f>
        <v>2.3599467330959567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'[6]4C2_CO2_OpenBurning'!M21</f>
        <v>2.4173695727166558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'[6]4C2_CO2_OpenBurning'!M22</f>
        <v>2.4747924123373539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'[6]4C2_CO2_OpenBurning'!M23</f>
        <v>2.5322152519580525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'[6]4C2_CO2_OpenBurning'!M24</f>
        <v>2.5896380915787507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92</v>
      </c>
      <c r="B57" s="51"/>
      <c r="C57" s="50"/>
      <c r="D57" s="51"/>
    </row>
    <row r="58" spans="1:6" ht="15.75" thickBot="1" x14ac:dyDescent="0.3">
      <c r="A58" s="240" t="s">
        <v>11</v>
      </c>
      <c r="B58" s="242" t="s">
        <v>93</v>
      </c>
      <c r="C58" s="243"/>
      <c r="D58" s="53" t="s">
        <v>94</v>
      </c>
      <c r="E58" s="54"/>
      <c r="F58" s="55" t="s">
        <v>95</v>
      </c>
    </row>
    <row r="59" spans="1:6" ht="63.75" thickBot="1" x14ac:dyDescent="0.3">
      <c r="A59" s="241"/>
      <c r="B59" s="56" t="s">
        <v>96</v>
      </c>
      <c r="C59" s="56" t="s">
        <v>97</v>
      </c>
      <c r="D59" s="57" t="s">
        <v>98</v>
      </c>
      <c r="E59" s="57" t="s">
        <v>99</v>
      </c>
      <c r="F59" s="58" t="s">
        <v>100</v>
      </c>
    </row>
    <row r="60" spans="1:6" ht="15.75" thickBot="1" x14ac:dyDescent="0.3">
      <c r="A60" s="241"/>
      <c r="B60" s="244" t="s">
        <v>101</v>
      </c>
      <c r="C60" s="59" t="s">
        <v>102</v>
      </c>
      <c r="D60" s="60" t="s">
        <v>103</v>
      </c>
      <c r="E60" s="61" t="s">
        <v>104</v>
      </c>
      <c r="F60" s="62" t="s">
        <v>105</v>
      </c>
    </row>
    <row r="61" spans="1:6" ht="26.25" x14ac:dyDescent="0.25">
      <c r="A61" s="241"/>
      <c r="B61" s="245"/>
      <c r="C61" s="63" t="s">
        <v>106</v>
      </c>
      <c r="D61" s="64"/>
      <c r="E61" s="65" t="s">
        <v>107</v>
      </c>
      <c r="F61" s="66" t="s">
        <v>108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6:A8"/>
    <mergeCell ref="B6:D6"/>
    <mergeCell ref="F6:F8"/>
    <mergeCell ref="G6:I6"/>
    <mergeCell ref="K6:K8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timbulan sampah</vt:lpstr>
      <vt:lpstr>Fraksi pengelolaan sampah BaU</vt:lpstr>
      <vt:lpstr>Rekapitulasi BaU Emisi GRK</vt:lpstr>
      <vt:lpstr>Rekap BAU Emisi Industri Sawitt</vt:lpstr>
      <vt:lpstr>Frksi pengelolaan smph Mitigasi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2017-09-27T07:20:25Z</dcterms:modified>
</cp:coreProperties>
</file>