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alikpapan\"/>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E25" i="4" s="1"/>
  <c r="O25" i="4" s="1"/>
  <c r="D24" i="4"/>
  <c r="E24" i="4" s="1"/>
  <c r="O24" i="4" s="1"/>
  <c r="D23" i="4"/>
  <c r="E23" i="4" s="1"/>
  <c r="O23" i="4" s="1"/>
  <c r="D22" i="4"/>
  <c r="E22" i="4"/>
  <c r="O22" i="4" s="1"/>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R26" i="33" l="1"/>
  <c r="T26" i="33" s="1"/>
  <c r="R22" i="31"/>
  <c r="T22" i="31" s="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R84" i="18"/>
  <c r="T84" i="18" s="1"/>
  <c r="F61" i="34"/>
  <c r="G61" i="34" s="1"/>
  <c r="F44" i="32"/>
  <c r="R42" i="33"/>
  <c r="T42" i="33" s="1"/>
  <c r="R22" i="37"/>
  <c r="S22" i="37" s="1"/>
  <c r="R44" i="31"/>
  <c r="R44" i="37"/>
  <c r="F43" i="32"/>
  <c r="F25" i="34"/>
  <c r="H25" i="34" s="1"/>
  <c r="F21" i="34"/>
  <c r="G21" i="34" s="1"/>
  <c r="F38" i="32"/>
  <c r="F28" i="32"/>
  <c r="R21" i="37"/>
  <c r="S21" i="37" s="1"/>
  <c r="R38" i="31"/>
  <c r="F68" i="37"/>
  <c r="G68" i="34"/>
  <c r="H68" i="34"/>
  <c r="M81" i="39"/>
  <c r="E75" i="38" s="1"/>
  <c r="F53" i="31"/>
  <c r="H53" i="31" s="1"/>
  <c r="F86" i="36"/>
  <c r="F90" i="36"/>
  <c r="C24" i="39"/>
  <c r="F48" i="34"/>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36" i="33"/>
  <c r="G36" i="33"/>
  <c r="T84" i="33"/>
  <c r="S84" i="33"/>
  <c r="T40" i="33"/>
  <c r="L93" i="39"/>
  <c r="D87" i="38" s="1"/>
  <c r="F32" i="18"/>
  <c r="G32" i="18" s="1"/>
  <c r="F20" i="35"/>
  <c r="G20" i="35" s="1"/>
  <c r="I20" i="35" s="1"/>
  <c r="F26" i="32"/>
  <c r="F92" i="32"/>
  <c r="C26" i="39"/>
  <c r="R27" i="18"/>
  <c r="S27" i="18" s="1"/>
  <c r="F83" i="34"/>
  <c r="G83" i="34" s="1"/>
  <c r="F19" i="34"/>
  <c r="H19" i="34" s="1"/>
  <c r="J19" i="34"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67" i="31"/>
  <c r="H84" i="31"/>
  <c r="F49" i="31"/>
  <c r="F89" i="31"/>
  <c r="F23" i="35"/>
  <c r="H23" i="35" s="1"/>
  <c r="F95" i="35"/>
  <c r="G95" i="35" s="1"/>
  <c r="G76" i="18"/>
  <c r="R25" i="18"/>
  <c r="S25" i="18" s="1"/>
  <c r="T28" i="35"/>
  <c r="T24" i="35"/>
  <c r="H21" i="35"/>
  <c r="G24" i="35"/>
  <c r="G58" i="37"/>
  <c r="T48" i="33"/>
  <c r="S48" i="33"/>
  <c r="S29" i="33"/>
  <c r="T29" i="33"/>
  <c r="G69" i="34"/>
  <c r="T45" i="33"/>
  <c r="T73" i="33"/>
  <c r="G33" i="35"/>
  <c r="T79" i="37"/>
  <c r="S79" i="37"/>
  <c r="R46" i="18"/>
  <c r="T46" i="18" s="1"/>
  <c r="T81" i="33"/>
  <c r="S70" i="34"/>
  <c r="T67" i="35"/>
  <c r="H68" i="37"/>
  <c r="G68" i="37"/>
  <c r="T97" i="37"/>
  <c r="S41" i="37"/>
  <c r="G56" i="31"/>
  <c r="H56" i="31"/>
  <c r="G27" i="34"/>
  <c r="H27" i="34"/>
  <c r="T43" i="33"/>
  <c r="G53" i="31"/>
  <c r="G42" i="31"/>
  <c r="T67" i="37"/>
  <c r="R75" i="18"/>
  <c r="S75" i="18" s="1"/>
  <c r="S41" i="35"/>
  <c r="T78" i="35"/>
  <c r="G96" i="31"/>
  <c r="T37" i="33"/>
  <c r="H69" i="31"/>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K19" i="34"/>
  <c r="G17" i="17" s="1"/>
  <c r="L12" i="38"/>
  <c r="G36" i="35"/>
  <c r="H19" i="35"/>
  <c r="J19" i="35" s="1"/>
  <c r="K19" i="35" s="1"/>
  <c r="E17" i="17" s="1"/>
  <c r="H20" i="3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H84" i="34"/>
  <c r="G84" i="34"/>
  <c r="F25" i="33"/>
  <c r="H24" i="39"/>
  <c r="L58" i="39"/>
  <c r="F59" i="40"/>
  <c r="D58" i="39"/>
  <c r="F59" i="18"/>
  <c r="F81" i="33"/>
  <c r="H80" i="39"/>
  <c r="H67" i="34"/>
  <c r="G67" i="34"/>
  <c r="F79" i="33"/>
  <c r="H78" i="39"/>
  <c r="D74" i="39"/>
  <c r="F75" i="18"/>
  <c r="G48" i="34"/>
  <c r="H48" i="34"/>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59" i="36"/>
  <c r="G86" i="36"/>
  <c r="H86" i="36"/>
  <c r="H19" i="36"/>
  <c r="J19" i="36" s="1"/>
  <c r="K19" i="36" s="1"/>
  <c r="I17" i="17" s="1"/>
  <c r="S43" i="35"/>
  <c r="T43" i="35"/>
  <c r="T97" i="35"/>
  <c r="S97" i="35"/>
  <c r="T40" i="35"/>
  <c r="S40" i="35"/>
  <c r="G52" i="18"/>
  <c r="H52" i="18"/>
  <c r="G61" i="18"/>
  <c r="H61" i="18"/>
  <c r="G66" i="18"/>
  <c r="H66" i="18"/>
  <c r="H22" i="37"/>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83"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60" i="18"/>
  <c r="G34" i="37"/>
  <c r="H34" i="37"/>
  <c r="H38" i="37"/>
  <c r="S91" i="35"/>
  <c r="S76" i="35"/>
  <c r="T73" i="35"/>
  <c r="S59" i="35"/>
  <c r="D40" i="38"/>
  <c r="H82" i="37"/>
  <c r="S79" i="18"/>
  <c r="T67" i="18"/>
  <c r="T73" i="18"/>
  <c r="T87" i="18"/>
  <c r="S76" i="18"/>
  <c r="T25" i="35"/>
  <c r="T96" i="18"/>
  <c r="T81" i="18"/>
  <c r="S82" i="18"/>
  <c r="G64" i="37"/>
  <c r="S54" i="18"/>
  <c r="T52" i="18"/>
  <c r="S35" i="18"/>
  <c r="T56" i="35"/>
  <c r="G80" i="31"/>
  <c r="T88" i="18"/>
  <c r="G36"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G84" i="37"/>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G70" i="18"/>
  <c r="H65"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G90" i="36"/>
  <c r="H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J20" i="31" l="1"/>
  <c r="G20" i="34"/>
  <c r="I20" i="34" s="1"/>
  <c r="I21" i="34" s="1"/>
  <c r="H22" i="31"/>
  <c r="G19" i="18"/>
  <c r="I19" i="18" s="1"/>
  <c r="H19" i="18"/>
  <c r="J19" i="18" s="1"/>
  <c r="K19" i="18" s="1"/>
  <c r="C17" i="17" s="1"/>
  <c r="S19" i="18"/>
  <c r="U19" i="18" s="1"/>
  <c r="U20" i="18" s="1"/>
  <c r="V21" i="18" s="1"/>
  <c r="W21" i="18" s="1"/>
  <c r="T19" i="17" s="1"/>
  <c r="G27" i="37"/>
  <c r="T27" i="18"/>
  <c r="H21" i="34"/>
  <c r="G28" i="18"/>
  <c r="T20" i="18"/>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G20" i="18"/>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18" l="1"/>
  <c r="J21" i="18" s="1"/>
  <c r="K21" i="18" s="1"/>
  <c r="C19" i="17" s="1"/>
  <c r="J22" i="31"/>
  <c r="K15" i="38" s="1"/>
  <c r="V20" i="18"/>
  <c r="W20" i="18" s="1"/>
  <c r="T18" i="17" s="1"/>
  <c r="G16" i="38"/>
  <c r="G17" i="38" s="1"/>
  <c r="G18" i="38" s="1"/>
  <c r="G19" i="38" s="1"/>
  <c r="G20" i="38" s="1"/>
  <c r="K20" i="34"/>
  <c r="G18" i="17" s="1"/>
  <c r="I22" i="34"/>
  <c r="J23" i="34" s="1"/>
  <c r="L16" i="38" s="1"/>
  <c r="J22" i="34"/>
  <c r="L15" i="38"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K23" i="34"/>
  <c r="G21" i="17" s="1"/>
  <c r="I21" i="40"/>
  <c r="J22" i="40" s="1"/>
  <c r="K22" i="40" s="1"/>
  <c r="K20" i="17" s="1"/>
  <c r="V20" i="40"/>
  <c r="W20" i="40" s="1"/>
  <c r="AB18" i="17" s="1"/>
  <c r="U20" i="32"/>
  <c r="V21" i="32" s="1"/>
  <c r="W21" i="32" s="1"/>
  <c r="W19" i="17" s="1"/>
  <c r="K22" i="31" l="1"/>
  <c r="D20" i="17" s="1"/>
  <c r="I23" i="34"/>
  <c r="J24" i="34" s="1"/>
  <c r="K24" i="34" s="1"/>
  <c r="G22" i="17" s="1"/>
  <c r="K22" i="34"/>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V22" i="36"/>
  <c r="W22" i="36" s="1"/>
  <c r="Z20" i="17" s="1"/>
  <c r="U22" i="36"/>
  <c r="J23" i="35"/>
  <c r="K23" i="35" s="1"/>
  <c r="E21" i="17" s="1"/>
  <c r="I23" i="35"/>
  <c r="I22" i="40"/>
  <c r="I21" i="32"/>
  <c r="J23" i="37"/>
  <c r="K23" i="37" s="1"/>
  <c r="J21" i="17" s="1"/>
  <c r="I23" i="37"/>
  <c r="L17" i="38" l="1"/>
  <c r="L19" i="17"/>
  <c r="O19" i="17"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I23" i="40"/>
  <c r="J23" i="40"/>
  <c r="K23" i="40" s="1"/>
  <c r="K21" i="17" s="1"/>
  <c r="V24" i="34"/>
  <c r="W24" i="34" s="1"/>
  <c r="X22" i="17" s="1"/>
  <c r="U24" i="34"/>
  <c r="J22" i="32"/>
  <c r="I22" i="32"/>
  <c r="V25" i="35"/>
  <c r="W25" i="35" s="1"/>
  <c r="V23" i="17" s="1"/>
  <c r="U25" i="35"/>
  <c r="I24" i="37"/>
  <c r="J24" i="37"/>
  <c r="K24" i="37" s="1"/>
  <c r="J22" i="17" s="1"/>
  <c r="E14" i="28" l="1"/>
  <c r="M14" i="38" s="1"/>
  <c r="J24" i="33"/>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I25" i="35"/>
  <c r="J25" i="35"/>
  <c r="K25" i="35" s="1"/>
  <c r="E23" i="17" s="1"/>
  <c r="V24" i="36"/>
  <c r="W24" i="36" s="1"/>
  <c r="Z22" i="17" s="1"/>
  <c r="U24" i="36"/>
  <c r="U26" i="35"/>
  <c r="V26" i="35"/>
  <c r="W26" i="35" s="1"/>
  <c r="V24" i="17" s="1"/>
  <c r="J25" i="37"/>
  <c r="K25" i="37" s="1"/>
  <c r="J23" i="17" s="1"/>
  <c r="I25" i="37"/>
  <c r="O14" i="38" l="1"/>
  <c r="N14" i="38"/>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c r="K29" i="36" s="1"/>
  <c r="I27" i="17" s="1"/>
  <c r="V27" i="37" l="1"/>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<sst xmlns="http://schemas.openxmlformats.org/spreadsheetml/2006/main" count="1446" uniqueCount="339">
  <si>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</si>
  <si>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</si>
  <si>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</si>
  <si>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</si>
  <si>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</si>
  <si>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</si>
  <si>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</si>
  <si>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</si>
  <si>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</si>
  <si>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</si>
  <si>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</si>
  <si>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</si>
  <si>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</si>
  <si>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</si>
  <si>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</si>
  <si>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</si>
  <si>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</si>
  <si>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</si>
  <si>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</si>
  <si>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</si>
  <si>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</si>
  <si>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</si>
  <si>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</si>
  <si>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</si>
  <si>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</si>
  <si>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</si>
  <si>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</si>
  <si>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</si>
  <si>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</si>
  <si>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</si>
  <si>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</si>
  <si>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</si>
  <si>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</si>
  <si>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</si>
  <si>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</si>
  <si>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</si>
  <si>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</si>
  <si>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</si>
  <si>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</si>
  <si>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</si>
  <si>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</si>
  <si>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</si>
  <si>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</si>
  <si>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</si>
  <si>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</si>
  <si>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</si>
  <si>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</si>
  <si>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</si>
  <si>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</si>
  <si>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</si>
  <si>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</si>
  <si>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</si>
  <si>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</si>
  <si>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</si>
  <si>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</si>
  <si>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</si>
  <si>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</si>
  <si>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</si>
  <si>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</si>
  <si>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</si>
  <si>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</si>
  <si>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</si>
  <si>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</si>
  <si>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</si>
  <si>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</si>
  <si>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</si>
  <si>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</si>
  <si>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</si>
  <si>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</si>
  <si>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</si>
  <si>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</si>
  <si>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</si>
  <si>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</si>
  <si>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</si>
  <si>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</si>
  <si>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</si>
  <si>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</si>
  <si>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</si>
  <si>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</si>
  <si>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</si>
  <si>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</si>
  <si>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</si>
  <si>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</si>
  <si>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</si>
  <si>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</si>
  <si>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</si>
  <si>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</si>
  <si>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</si>
  <si>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</si>
  <si>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</si>
  <si>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</si>
  <si>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</si>
  <si>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</si>
  <si>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</si>
  <si>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</si>
  <si>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</si>
  <si>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</si>
  <si>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</si>
  <si>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</si>
  <si>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</si>
  <si>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</si>
  <si>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</si>
  <si>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</si>
  <si>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</si>
  <si>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</si>
  <si>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</si>
  <si>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</si>
  <si>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</si>
  <si>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</si>
  <si>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</si>
  <si>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</si>
  <si>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</si>
  <si>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</si>
  <si>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</si>
  <si>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</si>
  <si>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</si>
  <si>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</si>
  <si>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</si>
  <si>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</si>
  <si>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</si>
  <si>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</si>
  <si>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</si>
  <si>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</si>
  <si>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</si>
  <si>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</si>
  <si>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</si>
  <si>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</si>
  <si>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</si>
  <si>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</si>
  <si>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</si>
  <si>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</si>
  <si>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</si>
  <si>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</si>
  <si>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</si>
  <si>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</si>
  <si>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</si>
  <si>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</si>
  <si>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</si>
  <si>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</si>
  <si>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</si>
  <si>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</si>
  <si>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</si>
  <si>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</si>
  <si>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</si>
  <si>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</si>
  <si>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</si>
  <si>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</si>
  <si>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</si>
  <si>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</si>
  <si>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</si>
  <si>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</si>
  <si>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</si>
  <si>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</si>
  <si>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</si>
  <si>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</si>
  <si>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</si>
  <si>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</si>
  <si>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</si>
  <si>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</si>
  <si>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</si>
  <si>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</si>
  <si>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</si>
  <si>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</si>
  <si>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</si>
  <si>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</si>
  <si>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</si>
  <si>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</si>
  <si>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</si>
  <si>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</si>
  <si>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</si>
  <si>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</si>
  <si>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</si>
  <si>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</si>
  <si>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</si>
  <si>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</si>
  <si>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</si>
  <si>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</si>
  <si>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</si>
  <si>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</si>
  <si>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</si>
  <si>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</si>
  <si>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</si>
  <si>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</si>
  <si>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</si>
  <si>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</si>
  <si>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</si>
  <si>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</si>
  <si>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</si>
  <si>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</si>
  <si>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</si>
  <si>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</si>
  <si>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</si>
  <si>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</si>
  <si>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</si>
  <si>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</si>
  <si>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</si>
  <si>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</si>
  <si>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</si>
  <si>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</si>
  <si>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</si>
  <si>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</si>
  <si>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</si>
  <si>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</si>
  <si>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</si>
  <si>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</si>
  <si>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</si>
  <si>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</si>
  <si>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</si>
  <si>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</si>
  <si>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</si>
  <si>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</si>
  <si>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</si>
  <si>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</si>
  <si>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</si>
  <si>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</si>
  <si>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</si>
  <si>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</si>
  <si>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</si>
  <si>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</si>
  <si>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</si>
  <si>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</si>
  <si>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</si>
  <si>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</si>
  <si>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</si>
  <si>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</si>
  <si>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</si>
  <si>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</si>
  <si>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</si>
  <si>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</si>
  <si>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</si>
  <si>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</si>
  <si>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</si>
  <si>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</si>
  <si>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</si>
  <si>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</si>
  <si>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</si>
  <si>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</si>
  <si>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</si>
  <si>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</si>
  <si>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</si>
  <si>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</si>
  <si>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</si>
  <si>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</si>
  <si>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</si>
  <si>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</si>
  <si>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</si>
  <si>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</si>
  <si>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</si>
  <si>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</si>
  <si>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</si>
  <si>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</si>
  <si>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</si>
  <si>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</si>
  <si>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</si>
  <si>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</si>
  <si>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</si>
  <si>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</si>
  <si>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</si>
  <si>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</si>
  <si>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</si>
  <si>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</si>
  <si>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</si>
  <si>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</si>
  <si>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</si>
  <si>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</si>
  <si>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</si>
  <si>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</si>
  <si>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</si>
  <si>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</si>
  <si>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</si>
  <si>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</si>
  <si>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</si>
  <si>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</si>
  <si>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</si>
  <si>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</si>
  <si>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</si>
  <si>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</si>
  <si>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</si>
  <si>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</si>
  <si>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</si>
  <si>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</si>
  <si>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</si>
  <si>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</si>
  <si>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</si>
  <si>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</si>
  <si>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</si>
  <si>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</si>
  <si>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</si>
  <si>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</si>
  <si>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</si>
  <si>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</si>
  <si>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</si>
  <si>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</si>
  <si>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</si>
  <si>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</si>
  <si>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</si>
  <si>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</si>
  <si>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</si>
  <si>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</si>
  <si>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</si>
  <si>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</si>
  <si>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</si>
  <si>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</si>
  <si>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</si>
  <si>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</si>
  <si>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</si>
  <si>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</si>
  <si>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</si>
  <si>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</si>
  <si>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</si>
  <si>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</si>
  <si>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</si>
  <si>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</si>
  <si>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</si>
  <si>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</si>
  <si>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</si>
  <si>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</si>
  <si>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</si>
  <si>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</si>
  <si>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</si>
  <si>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</si>
  <si>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</si>
  <si>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</si>
  <si>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</si>
  <si>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</si>
  <si>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</si>
  <si>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</si>
  <si>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</si>
  <si>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</si>
  <si>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</si>
  <si>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</si>
  <si>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</si>
  <si>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</si>
  <si>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</si>
  <si>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</si>
  <si>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</si>
  <si>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</si>
  <si>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</si>
  <si>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Balikpapan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</si>
</sst>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PP_Hitungan%20BaU-skenario-Rekap%20Emisi_2000-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30">
          <cell r="B30">
            <v>28.291980486</v>
          </cell>
        </row>
        <row r="31">
          <cell r="B31">
            <v>28.654433389999994</v>
          </cell>
        </row>
        <row r="32">
          <cell r="B32">
            <v>29.300130859999999</v>
          </cell>
        </row>
        <row r="33">
          <cell r="B33">
            <v>29.820930898</v>
          </cell>
        </row>
        <row r="34">
          <cell r="B34">
            <v>29.980460246</v>
          </cell>
        </row>
        <row r="35">
          <cell r="B35">
            <v>33.208391259999999</v>
          </cell>
        </row>
        <row r="36">
          <cell r="B36">
            <v>33.891502326000001</v>
          </cell>
        </row>
        <row r="37">
          <cell r="B37">
            <v>34.574057056000001</v>
          </cell>
        </row>
        <row r="38">
          <cell r="B38">
            <v>35.251882930000001</v>
          </cell>
        </row>
        <row r="39">
          <cell r="B39">
            <v>35.919972924</v>
          </cell>
        </row>
        <row r="40">
          <cell r="B40">
            <v>38.775158818000001</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Balikpapan</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1.408728438349155</v>
      </c>
      <c r="E18" s="535">
        <f>Amnt_Deposited!F14*$F$11*(1-DOCF)*Garden!E19</f>
        <v>0</v>
      </c>
      <c r="F18" s="535">
        <f>Amnt_Deposited!D14*$D$11*(1-DOCF)*Paper!E19</f>
        <v>0.72710389849020007</v>
      </c>
      <c r="G18" s="535">
        <f>Amnt_Deposited!G14*$D$12*(1-DOCF)*Wood!E19</f>
        <v>0</v>
      </c>
      <c r="H18" s="535">
        <f>Amnt_Deposited!H14*$F$12*(1-DOCF)*Textiles!E19</f>
        <v>2.7499805032391998E-2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2.1633321418717473</v>
      </c>
      <c r="O18" s="473">
        <f t="shared" ref="O18:O81" si="1">O17+N18</f>
        <v>2.1633321418717473</v>
      </c>
    </row>
    <row r="19" spans="2:15">
      <c r="B19" s="470">
        <f>B18+1</f>
        <v>1951</v>
      </c>
      <c r="C19" s="533">
        <f>Amnt_Deposited!O15*$D$10*(1-DOCF)*MSW!E20</f>
        <v>0</v>
      </c>
      <c r="D19" s="534">
        <f>Amnt_Deposited!C15*$F$10*(1-DOCF)*Food!E20</f>
        <v>1.4267758745715748</v>
      </c>
      <c r="E19" s="535">
        <f>Amnt_Deposited!F15*$F$11*(1-DOCF)*Garden!E20</f>
        <v>0</v>
      </c>
      <c r="F19" s="535">
        <f>Amnt_Deposited!D15*$D$11*(1-DOCF)*Paper!E20</f>
        <v>0.73641893812299986</v>
      </c>
      <c r="G19" s="535">
        <f>Amnt_Deposited!G15*$D$12*(1-DOCF)*Wood!E20</f>
        <v>0</v>
      </c>
      <c r="H19" s="535">
        <f>Amnt_Deposited!H15*$F$12*(1-DOCF)*Textiles!E20</f>
        <v>2.7852109255079992E-2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2.1910469219496544</v>
      </c>
      <c r="O19" s="473">
        <f t="shared" si="1"/>
        <v>4.3543790638214013</v>
      </c>
    </row>
    <row r="20" spans="2:15">
      <c r="B20" s="470">
        <f t="shared" ref="B20:B83" si="2">B19+1</f>
        <v>1952</v>
      </c>
      <c r="C20" s="533">
        <f>Amnt_Deposited!O16*$D$10*(1-DOCF)*MSW!E21</f>
        <v>0</v>
      </c>
      <c r="D20" s="534">
        <f>Amnt_Deposited!C16*$F$10*(1-DOCF)*Food!E21</f>
        <v>1.4589267658465499</v>
      </c>
      <c r="E20" s="535">
        <f>Amnt_Deposited!F16*$F$11*(1-DOCF)*Garden!E21</f>
        <v>0</v>
      </c>
      <c r="F20" s="535">
        <f>Amnt_Deposited!D16*$D$11*(1-DOCF)*Paper!E21</f>
        <v>0.75301336310200007</v>
      </c>
      <c r="G20" s="535">
        <f>Amnt_Deposited!G16*$D$12*(1-DOCF)*Wood!E21</f>
        <v>0</v>
      </c>
      <c r="H20" s="535">
        <f>Amnt_Deposited!H16*$F$12*(1-DOCF)*Textiles!E21</f>
        <v>2.8479727195919999E-2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2.2404198561444697</v>
      </c>
      <c r="O20" s="473">
        <f t="shared" si="1"/>
        <v>6.5947989199658714</v>
      </c>
    </row>
    <row r="21" spans="2:15">
      <c r="B21" s="470">
        <f t="shared" si="2"/>
        <v>1953</v>
      </c>
      <c r="C21" s="533">
        <f>Amnt_Deposited!O17*$D$10*(1-DOCF)*MSW!E22</f>
        <v>0</v>
      </c>
      <c r="D21" s="534">
        <f>Amnt_Deposited!C17*$F$10*(1-DOCF)*Food!E22</f>
        <v>1.4848587017386652</v>
      </c>
      <c r="E21" s="535">
        <f>Amnt_Deposited!F17*$F$11*(1-DOCF)*Garden!E22</f>
        <v>0</v>
      </c>
      <c r="F21" s="535">
        <f>Amnt_Deposited!D17*$D$11*(1-DOCF)*Paper!E22</f>
        <v>0.76639792407860008</v>
      </c>
      <c r="G21" s="535">
        <f>Amnt_Deposited!G17*$D$12*(1-DOCF)*Wood!E22</f>
        <v>0</v>
      </c>
      <c r="H21" s="535">
        <f>Amnt_Deposited!H17*$F$12*(1-DOCF)*Textiles!E22</f>
        <v>2.8985944832855999E-2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2.2802425706501213</v>
      </c>
      <c r="O21" s="473">
        <f t="shared" si="1"/>
        <v>8.8750414906159918</v>
      </c>
    </row>
    <row r="22" spans="2:15">
      <c r="B22" s="470">
        <f t="shared" si="2"/>
        <v>1954</v>
      </c>
      <c r="C22" s="533">
        <f>Amnt_Deposited!O18*$D$10*(1-DOCF)*MSW!E23</f>
        <v>0</v>
      </c>
      <c r="D22" s="534">
        <f>Amnt_Deposited!C18*$F$10*(1-DOCF)*Food!E23</f>
        <v>1.4928020667989552</v>
      </c>
      <c r="E22" s="535">
        <f>Amnt_Deposited!F18*$F$11*(1-DOCF)*Garden!E23</f>
        <v>0</v>
      </c>
      <c r="F22" s="535">
        <f>Amnt_Deposited!D18*$D$11*(1-DOCF)*Paper!E23</f>
        <v>0.77049782832220004</v>
      </c>
      <c r="G22" s="535">
        <f>Amnt_Deposited!G18*$D$12*(1-DOCF)*Wood!E23</f>
        <v>0</v>
      </c>
      <c r="H22" s="535">
        <f>Amnt_Deposited!H18*$F$12*(1-DOCF)*Textiles!E23</f>
        <v>2.9141007359111997E-2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2.2924409024802674</v>
      </c>
      <c r="O22" s="473">
        <f t="shared" si="1"/>
        <v>11.167482393096259</v>
      </c>
    </row>
    <row r="23" spans="2:15">
      <c r="B23" s="470">
        <f t="shared" si="2"/>
        <v>1955</v>
      </c>
      <c r="C23" s="533">
        <f>Amnt_Deposited!O19*$D$10*(1-DOCF)*MSW!E24</f>
        <v>0</v>
      </c>
      <c r="D23" s="534">
        <f>Amnt_Deposited!C19*$F$10*(1-DOCF)*Food!E24</f>
        <v>1.65352882181355</v>
      </c>
      <c r="E23" s="535">
        <f>Amnt_Deposited!F19*$F$11*(1-DOCF)*Garden!E24</f>
        <v>0</v>
      </c>
      <c r="F23" s="535">
        <f>Amnt_Deposited!D19*$D$11*(1-DOCF)*Paper!E24</f>
        <v>0.85345565538200008</v>
      </c>
      <c r="G23" s="535">
        <f>Amnt_Deposited!G19*$D$12*(1-DOCF)*Wood!E24</f>
        <v>0</v>
      </c>
      <c r="H23" s="535">
        <f>Amnt_Deposited!H19*$F$12*(1-DOCF)*Textiles!E24</f>
        <v>3.2278556304719999E-2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2.5392630335002697</v>
      </c>
      <c r="O23" s="473">
        <f t="shared" si="1"/>
        <v>13.706745426596529</v>
      </c>
    </row>
    <row r="24" spans="2:15">
      <c r="B24" s="470">
        <f t="shared" si="2"/>
        <v>1956</v>
      </c>
      <c r="C24" s="533">
        <f>Amnt_Deposited!O20*$D$10*(1-DOCF)*MSW!E25</f>
        <v>0</v>
      </c>
      <c r="D24" s="534">
        <f>Amnt_Deposited!C20*$F$10*(1-DOCF)*Food!E25</f>
        <v>1.687542629567355</v>
      </c>
      <c r="E24" s="535">
        <f>Amnt_Deposited!F20*$F$11*(1-DOCF)*Garden!E25</f>
        <v>0</v>
      </c>
      <c r="F24" s="535">
        <f>Amnt_Deposited!D20*$D$11*(1-DOCF)*Paper!E25</f>
        <v>0.87101160977820014</v>
      </c>
      <c r="G24" s="535">
        <f>Amnt_Deposited!G20*$D$12*(1-DOCF)*Wood!E25</f>
        <v>0</v>
      </c>
      <c r="H24" s="535">
        <f>Amnt_Deposited!H20*$F$12*(1-DOCF)*Textiles!E25</f>
        <v>3.2942540260872004E-2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2.5914967796064268</v>
      </c>
      <c r="O24" s="473">
        <f t="shared" si="1"/>
        <v>16.298242206202957</v>
      </c>
    </row>
    <row r="25" spans="2:15">
      <c r="B25" s="470">
        <f t="shared" si="2"/>
        <v>1957</v>
      </c>
      <c r="C25" s="533">
        <f>Amnt_Deposited!O21*$D$10*(1-DOCF)*MSW!E26</f>
        <v>0</v>
      </c>
      <c r="D25" s="534">
        <f>Amnt_Deposited!C21*$F$10*(1-DOCF)*Food!E26</f>
        <v>1.7215287359608802</v>
      </c>
      <c r="E25" s="535">
        <f>Amnt_Deposited!F21*$F$11*(1-DOCF)*Garden!E26</f>
        <v>0</v>
      </c>
      <c r="F25" s="535">
        <f>Amnt_Deposited!D21*$D$11*(1-DOCF)*Paper!E26</f>
        <v>0.88855326633920007</v>
      </c>
      <c r="G25" s="535">
        <f>Amnt_Deposited!G21*$D$12*(1-DOCF)*Wood!E26</f>
        <v>0</v>
      </c>
      <c r="H25" s="535">
        <f>Amnt_Deposited!H21*$F$12*(1-DOCF)*Textiles!E26</f>
        <v>3.3605983458432E-2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2.6436879857585125</v>
      </c>
      <c r="O25" s="473">
        <f t="shared" si="1"/>
        <v>18.941930191961468</v>
      </c>
    </row>
    <row r="26" spans="2:15">
      <c r="B26" s="470">
        <f t="shared" si="2"/>
        <v>1958</v>
      </c>
      <c r="C26" s="533">
        <f>Amnt_Deposited!O22*$D$10*(1-DOCF)*MSW!E27</f>
        <v>0</v>
      </c>
      <c r="D26" s="534">
        <f>Amnt_Deposited!C22*$F$10*(1-DOCF)*Food!E27</f>
        <v>1.7552793807920251</v>
      </c>
      <c r="E26" s="535">
        <f>Amnt_Deposited!F22*$F$11*(1-DOCF)*Garden!E27</f>
        <v>0</v>
      </c>
      <c r="F26" s="535">
        <f>Amnt_Deposited!D22*$D$11*(1-DOCF)*Paper!E27</f>
        <v>0.90597339130099996</v>
      </c>
      <c r="G26" s="535">
        <f>Amnt_Deposited!G22*$D$12*(1-DOCF)*Wood!E27</f>
        <v>0</v>
      </c>
      <c r="H26" s="535">
        <f>Amnt_Deposited!H22*$F$12*(1-DOCF)*Textiles!E27</f>
        <v>3.426483020796E-2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2.6955176023009852</v>
      </c>
      <c r="O26" s="473">
        <f t="shared" si="1"/>
        <v>21.637447794262453</v>
      </c>
    </row>
    <row r="27" spans="2:15">
      <c r="B27" s="470">
        <f t="shared" si="2"/>
        <v>1959</v>
      </c>
      <c r="C27" s="533">
        <f>Amnt_Deposited!O23*$D$10*(1-DOCF)*MSW!E28</f>
        <v>0</v>
      </c>
      <c r="D27" s="534">
        <f>Amnt_Deposited!C23*$F$10*(1-DOCF)*Food!E28</f>
        <v>1.7885452518182701</v>
      </c>
      <c r="E27" s="535">
        <f>Amnt_Deposited!F23*$F$11*(1-DOCF)*Garden!E28</f>
        <v>0</v>
      </c>
      <c r="F27" s="535">
        <f>Amnt_Deposited!D23*$D$11*(1-DOCF)*Paper!E28</f>
        <v>0.92314330414680001</v>
      </c>
      <c r="G27" s="535">
        <f>Amnt_Deposited!G23*$D$12*(1-DOCF)*Wood!E28</f>
        <v>0</v>
      </c>
      <c r="H27" s="535">
        <f>Amnt_Deposited!H23*$F$12*(1-DOCF)*Textiles!E28</f>
        <v>3.4914213682127992E-2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2.7466027696471982</v>
      </c>
      <c r="O27" s="473">
        <f t="shared" si="1"/>
        <v>24.38405056390965</v>
      </c>
    </row>
    <row r="28" spans="2:15">
      <c r="B28" s="470">
        <f t="shared" si="2"/>
        <v>1960</v>
      </c>
      <c r="C28" s="533">
        <f>Amnt_Deposited!O24*$D$10*(1-DOCF)*MSW!E29</f>
        <v>0</v>
      </c>
      <c r="D28" s="534">
        <f>Amnt_Deposited!C24*$F$10*(1-DOCF)*Food!E29</f>
        <v>1.9307120954452652</v>
      </c>
      <c r="E28" s="535">
        <f>Amnt_Deposited!F24*$F$11*(1-DOCF)*Garden!E29</f>
        <v>0</v>
      </c>
      <c r="F28" s="535">
        <f>Amnt_Deposited!D24*$D$11*(1-DOCF)*Paper!E29</f>
        <v>0.99652158162260018</v>
      </c>
      <c r="G28" s="535">
        <f>Amnt_Deposited!G24*$D$12*(1-DOCF)*Wood!E29</f>
        <v>0</v>
      </c>
      <c r="H28" s="535">
        <f>Amnt_Deposited!H24*$F$12*(1-DOCF)*Textiles!E29</f>
        <v>3.7689454371095998E-2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2.9649231314389617</v>
      </c>
      <c r="O28" s="473">
        <f t="shared" si="1"/>
        <v>27.348973695348612</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27.348973695348612</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27.348973695348612</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27.348973695348612</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27.348973695348612</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27.348973695348612</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27.348973695348612</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27.348973695348612</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27.348973695348612</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27.348973695348612</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27.348973695348612</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27.348973695348612</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27.348973695348612</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27.348973695348612</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27.348973695348612</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27.348973695348612</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27.348973695348612</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27.348973695348612</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27.348973695348612</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27.348973695348612</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27.348973695348612</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27.348973695348612</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27.348973695348612</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27.348973695348612</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27.348973695348612</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27.348973695348612</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27.348973695348612</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27.348973695348612</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27.348973695348612</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27.348973695348612</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27.348973695348612</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27.348973695348612</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27.348973695348612</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27.348973695348612</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27.348973695348612</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27.348973695348612</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27.348973695348612</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27.348973695348612</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27.348973695348612</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27.348973695348612</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27.348973695348612</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27.348973695348612</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27.348973695348612</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27.348973695348612</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27.348973695348612</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27.348973695348612</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27.348973695348612</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27.348973695348612</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27.348973695348612</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27.348973695348612</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27.348973695348612</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27.348973695348612</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27.348973695348612</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27.348973695348612</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27.348973695348612</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27.348973695348612</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27.348973695348612</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27.348973695348612</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27.348973695348612</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27.348973695348612</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27.348973695348612</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27.348973695348612</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27.348973695348612</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27.348973695348612</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27.348973695348612</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27.348973695348612</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27.348973695348612</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27.348973695348612</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27.348973695348612</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27.348973695348612</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27.348973695348612</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4" t="s">
        <v>52</v>
      </c>
      <c r="C2" s="854"/>
      <c r="D2" s="854"/>
      <c r="E2" s="854"/>
      <c r="F2" s="854"/>
      <c r="G2" s="854"/>
      <c r="H2" s="854"/>
    </row>
    <row r="3" spans="1:35" ht="13.5" thickBot="1">
      <c r="B3" s="854"/>
      <c r="C3" s="854"/>
      <c r="D3" s="854"/>
      <c r="E3" s="854"/>
      <c r="F3" s="854"/>
      <c r="G3" s="854"/>
      <c r="H3" s="854"/>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5" t="s">
        <v>47</v>
      </c>
      <c r="E5" s="856"/>
      <c r="F5" s="856"/>
      <c r="G5" s="857"/>
      <c r="H5" s="856" t="s">
        <v>57</v>
      </c>
      <c r="I5" s="856"/>
      <c r="J5" s="856"/>
      <c r="K5" s="857"/>
      <c r="L5" s="135"/>
      <c r="M5" s="135"/>
      <c r="N5" s="135"/>
      <c r="O5" s="163"/>
      <c r="P5" s="207" t="s">
        <v>116</v>
      </c>
      <c r="Q5" s="208" t="s">
        <v>113</v>
      </c>
      <c r="R5" s="207" t="s">
        <v>116</v>
      </c>
      <c r="S5" s="208" t="s">
        <v>113</v>
      </c>
      <c r="V5" s="305" t="s">
        <v>118</v>
      </c>
      <c r="W5" s="306">
        <v>3</v>
      </c>
      <c r="AF5" s="845" t="s">
        <v>126</v>
      </c>
      <c r="AG5" s="845" t="s">
        <v>129</v>
      </c>
      <c r="AH5" s="845" t="s">
        <v>154</v>
      </c>
      <c r="AI5"/>
    </row>
    <row r="6" spans="1:35" ht="13.5" thickBot="1">
      <c r="B6" s="166"/>
      <c r="C6" s="152"/>
      <c r="D6" s="850" t="s">
        <v>45</v>
      </c>
      <c r="E6" s="850"/>
      <c r="F6" s="850" t="s">
        <v>46</v>
      </c>
      <c r="G6" s="850"/>
      <c r="H6" s="850" t="s">
        <v>45</v>
      </c>
      <c r="I6" s="850"/>
      <c r="J6" s="850" t="s">
        <v>99</v>
      </c>
      <c r="K6" s="850"/>
      <c r="L6" s="135"/>
      <c r="M6" s="135"/>
      <c r="N6" s="135"/>
      <c r="O6" s="203" t="s">
        <v>6</v>
      </c>
      <c r="P6" s="162">
        <v>0.38</v>
      </c>
      <c r="Q6" s="164" t="s">
        <v>234</v>
      </c>
      <c r="R6" s="162">
        <v>0.15</v>
      </c>
      <c r="S6" s="164" t="s">
        <v>244</v>
      </c>
      <c r="W6" s="851" t="s">
        <v>125</v>
      </c>
      <c r="X6" s="853"/>
      <c r="Y6" s="853"/>
      <c r="Z6" s="853"/>
      <c r="AA6" s="853"/>
      <c r="AB6" s="853"/>
      <c r="AC6" s="853"/>
      <c r="AD6" s="853"/>
      <c r="AE6" s="853"/>
      <c r="AF6" s="846"/>
      <c r="AG6" s="846"/>
      <c r="AH6" s="846"/>
      <c r="AI6"/>
    </row>
    <row r="7" spans="1:35" ht="26.25" thickBot="1">
      <c r="B7" s="851" t="s">
        <v>133</v>
      </c>
      <c r="C7" s="85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47"/>
      <c r="AG7" s="847"/>
      <c r="AH7" s="847"/>
      <c r="AI7"/>
    </row>
    <row r="8" spans="1:35" ht="25.5" customHeight="1">
      <c r="B8" s="84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4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1" t="s">
        <v>264</v>
      </c>
      <c r="P13" s="872"/>
      <c r="Q13" s="872"/>
      <c r="R13" s="872"/>
      <c r="S13" s="87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57"/>
      <c r="O38" s="394"/>
      <c r="P38" s="395"/>
      <c r="Q38" s="396"/>
      <c r="R38" s="84"/>
    </row>
    <row r="39" spans="2:18">
      <c r="B39" s="142">
        <v>35</v>
      </c>
      <c r="C39" s="869">
        <f>LN(2)/B39</f>
        <v>1.980420515885558E-2</v>
      </c>
      <c r="D39" s="870"/>
    </row>
    <row r="40" spans="2:18" ht="27">
      <c r="B40" s="364" t="s">
        <v>76</v>
      </c>
      <c r="C40" s="867" t="s">
        <v>77</v>
      </c>
      <c r="D40" s="868"/>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0.123</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4">
        <f>Amnt_Deposited!C14</f>
        <v>18.783045844655401</v>
      </c>
      <c r="D19" s="416">
        <f>Dry_Matter_Content!C6</f>
        <v>0.59</v>
      </c>
      <c r="E19" s="283">
        <f>MCF!R18</f>
        <v>1</v>
      </c>
      <c r="F19" s="130">
        <f>C19*D19*$K$6*DOCF*E19</f>
        <v>0.68154281847332121</v>
      </c>
      <c r="G19" s="65">
        <f t="shared" ref="G19:G50" si="0">F19*$K$12</f>
        <v>0.68154281847332121</v>
      </c>
      <c r="H19" s="65">
        <f>F19*(1-$K$12)</f>
        <v>0</v>
      </c>
      <c r="I19" s="65">
        <f t="shared" ref="I19:I50" si="1">G19+I18*$K$10</f>
        <v>0.68154281847332121</v>
      </c>
      <c r="J19" s="65">
        <f t="shared" ref="J19:J50" si="2">I18*(1-$K$10)+H19</f>
        <v>0</v>
      </c>
      <c r="K19" s="66">
        <f>J19*CH4_fraction*conv</f>
        <v>0</v>
      </c>
      <c r="O19" s="95">
        <f>Amnt_Deposited!B14</f>
        <v>2000</v>
      </c>
      <c r="P19" s="98">
        <f>Amnt_Deposited!C14</f>
        <v>18.783045844655401</v>
      </c>
      <c r="Q19" s="283">
        <f>MCF!R18</f>
        <v>1</v>
      </c>
      <c r="R19" s="130">
        <f t="shared" ref="R19:R50" si="3">P19*$W$6*DOCF*Q19</f>
        <v>1.408728438349155</v>
      </c>
      <c r="S19" s="65">
        <f>R19*$W$12</f>
        <v>1.408728438349155</v>
      </c>
      <c r="T19" s="65">
        <f>R19*(1-$W$12)</f>
        <v>0</v>
      </c>
      <c r="U19" s="65">
        <f>S19+U18*$W$10</f>
        <v>1.408728438349155</v>
      </c>
      <c r="V19" s="65">
        <f>U18*(1-$W$10)+T19</f>
        <v>0</v>
      </c>
      <c r="W19" s="66">
        <f>V19*CH4_fraction*conv</f>
        <v>0</v>
      </c>
    </row>
    <row r="20" spans="2:23">
      <c r="B20" s="96">
        <f>Amnt_Deposited!B15</f>
        <v>2001</v>
      </c>
      <c r="C20" s="775">
        <f>Amnt_Deposited!C15</f>
        <v>19.023678327620999</v>
      </c>
      <c r="D20" s="418">
        <f>Dry_Matter_Content!C7</f>
        <v>0.59</v>
      </c>
      <c r="E20" s="284">
        <f>MCF!R19</f>
        <v>1</v>
      </c>
      <c r="F20" s="67">
        <f t="shared" ref="F20:F50" si="4">C20*D20*$K$6*DOCF*E20</f>
        <v>0.6902741681177279</v>
      </c>
      <c r="G20" s="67">
        <f t="shared" si="0"/>
        <v>0.6902741681177279</v>
      </c>
      <c r="H20" s="67">
        <f t="shared" ref="H20:H50" si="5">F20*(1-$K$12)</f>
        <v>0</v>
      </c>
      <c r="I20" s="67">
        <f t="shared" si="1"/>
        <v>1.1471259815720241</v>
      </c>
      <c r="J20" s="67">
        <f t="shared" si="2"/>
        <v>0.22469100501902517</v>
      </c>
      <c r="K20" s="100">
        <f>J20*CH4_fraction*conv</f>
        <v>0.14979400334601678</v>
      </c>
      <c r="M20" s="393"/>
      <c r="O20" s="96">
        <f>Amnt_Deposited!B15</f>
        <v>2001</v>
      </c>
      <c r="P20" s="99">
        <f>Amnt_Deposited!C15</f>
        <v>19.023678327620999</v>
      </c>
      <c r="Q20" s="284">
        <f>MCF!R19</f>
        <v>1</v>
      </c>
      <c r="R20" s="67">
        <f t="shared" si="3"/>
        <v>1.4267758745715748</v>
      </c>
      <c r="S20" s="67">
        <f>R20*$W$12</f>
        <v>1.4267758745715748</v>
      </c>
      <c r="T20" s="67">
        <f>R20*(1-$W$12)</f>
        <v>0</v>
      </c>
      <c r="U20" s="67">
        <f>S20+U19*$W$10</f>
        <v>2.3710747862174948</v>
      </c>
      <c r="V20" s="67">
        <f>U19*(1-$W$10)+T20</f>
        <v>0.46442952670323512</v>
      </c>
      <c r="W20" s="100">
        <f>V20*CH4_fraction*conv</f>
        <v>0.30961968446882338</v>
      </c>
    </row>
    <row r="21" spans="2:23">
      <c r="B21" s="96">
        <f>Amnt_Deposited!B16</f>
        <v>2002</v>
      </c>
      <c r="C21" s="775">
        <f>Amnt_Deposited!C16</f>
        <v>19.452356877953999</v>
      </c>
      <c r="D21" s="418">
        <f>Dry_Matter_Content!C8</f>
        <v>0.59</v>
      </c>
      <c r="E21" s="284">
        <f>MCF!R20</f>
        <v>1</v>
      </c>
      <c r="F21" s="67">
        <f t="shared" si="4"/>
        <v>0.7058287693165608</v>
      </c>
      <c r="G21" s="67">
        <f t="shared" si="0"/>
        <v>0.7058287693165608</v>
      </c>
      <c r="H21" s="67">
        <f t="shared" si="5"/>
        <v>0</v>
      </c>
      <c r="I21" s="67">
        <f t="shared" si="1"/>
        <v>1.474770310092598</v>
      </c>
      <c r="J21" s="67">
        <f t="shared" si="2"/>
        <v>0.37818444079598695</v>
      </c>
      <c r="K21" s="100">
        <f t="shared" ref="K21:K84" si="6">J21*CH4_fraction*conv</f>
        <v>0.25212296053065797</v>
      </c>
      <c r="O21" s="96">
        <f>Amnt_Deposited!B16</f>
        <v>2002</v>
      </c>
      <c r="P21" s="99">
        <f>Amnt_Deposited!C16</f>
        <v>19.452356877953999</v>
      </c>
      <c r="Q21" s="284">
        <f>MCF!R20</f>
        <v>1</v>
      </c>
      <c r="R21" s="67">
        <f t="shared" si="3"/>
        <v>1.4589267658465499</v>
      </c>
      <c r="S21" s="67">
        <f t="shared" ref="S21:S84" si="7">R21*$W$12</f>
        <v>1.4589267658465499</v>
      </c>
      <c r="T21" s="67">
        <f t="shared" ref="T21:T84" si="8">R21*(1-$W$12)</f>
        <v>0</v>
      </c>
      <c r="U21" s="67">
        <f t="shared" ref="U21:U84" si="9">S21+U20*$W$10</f>
        <v>3.048305725697805</v>
      </c>
      <c r="V21" s="67">
        <f t="shared" ref="V21:V84" si="10">U20*(1-$W$10)+T21</f>
        <v>0.78169582636624002</v>
      </c>
      <c r="W21" s="100">
        <f t="shared" ref="W21:W84" si="11">V21*CH4_fraction*conv</f>
        <v>0.52113055091082661</v>
      </c>
    </row>
    <row r="22" spans="2:23">
      <c r="B22" s="96">
        <f>Amnt_Deposited!B17</f>
        <v>2003</v>
      </c>
      <c r="C22" s="775">
        <f>Amnt_Deposited!C17</f>
        <v>19.798116023182203</v>
      </c>
      <c r="D22" s="418">
        <f>Dry_Matter_Content!C9</f>
        <v>0.59</v>
      </c>
      <c r="E22" s="284">
        <f>MCF!R21</f>
        <v>1</v>
      </c>
      <c r="F22" s="67">
        <f t="shared" si="4"/>
        <v>0.71837463990116612</v>
      </c>
      <c r="G22" s="67">
        <f t="shared" si="0"/>
        <v>0.71837463990116612</v>
      </c>
      <c r="H22" s="67">
        <f t="shared" si="5"/>
        <v>0</v>
      </c>
      <c r="I22" s="67">
        <f t="shared" si="1"/>
        <v>1.7069427420544305</v>
      </c>
      <c r="J22" s="67">
        <f t="shared" si="2"/>
        <v>0.48620220793933361</v>
      </c>
      <c r="K22" s="100">
        <f t="shared" si="6"/>
        <v>0.32413480529288907</v>
      </c>
      <c r="N22" s="258"/>
      <c r="O22" s="96">
        <f>Amnt_Deposited!B17</f>
        <v>2003</v>
      </c>
      <c r="P22" s="99">
        <f>Amnt_Deposited!C17</f>
        <v>19.798116023182203</v>
      </c>
      <c r="Q22" s="284">
        <f>MCF!R21</f>
        <v>1</v>
      </c>
      <c r="R22" s="67">
        <f t="shared" si="3"/>
        <v>1.4848587017386652</v>
      </c>
      <c r="S22" s="67">
        <f t="shared" si="7"/>
        <v>1.4848587017386652</v>
      </c>
      <c r="T22" s="67">
        <f t="shared" si="8"/>
        <v>0</v>
      </c>
      <c r="U22" s="67">
        <f t="shared" si="9"/>
        <v>3.5281991361191212</v>
      </c>
      <c r="V22" s="67">
        <f t="shared" si="10"/>
        <v>1.0049652913173495</v>
      </c>
      <c r="W22" s="100">
        <f t="shared" si="11"/>
        <v>0.66997686087823294</v>
      </c>
    </row>
    <row r="23" spans="2:23">
      <c r="B23" s="96">
        <f>Amnt_Deposited!B18</f>
        <v>2004</v>
      </c>
      <c r="C23" s="775">
        <f>Amnt_Deposited!C18</f>
        <v>19.904027557319402</v>
      </c>
      <c r="D23" s="418">
        <f>Dry_Matter_Content!C10</f>
        <v>0.59</v>
      </c>
      <c r="E23" s="284">
        <f>MCF!R22</f>
        <v>1</v>
      </c>
      <c r="F23" s="67">
        <f t="shared" si="4"/>
        <v>0.72221763991733445</v>
      </c>
      <c r="G23" s="67">
        <f t="shared" si="0"/>
        <v>0.72221763991733445</v>
      </c>
      <c r="H23" s="67">
        <f t="shared" si="5"/>
        <v>0</v>
      </c>
      <c r="I23" s="67">
        <f t="shared" si="1"/>
        <v>1.8664155773514608</v>
      </c>
      <c r="J23" s="67">
        <f t="shared" si="2"/>
        <v>0.56274480462030418</v>
      </c>
      <c r="K23" s="100">
        <f t="shared" si="6"/>
        <v>0.37516320308020279</v>
      </c>
      <c r="N23" s="258"/>
      <c r="O23" s="96">
        <f>Amnt_Deposited!B18</f>
        <v>2004</v>
      </c>
      <c r="P23" s="99">
        <f>Amnt_Deposited!C18</f>
        <v>19.904027557319402</v>
      </c>
      <c r="Q23" s="284">
        <f>MCF!R22</f>
        <v>1</v>
      </c>
      <c r="R23" s="67">
        <f t="shared" si="3"/>
        <v>1.4928020667989552</v>
      </c>
      <c r="S23" s="67">
        <f t="shared" si="7"/>
        <v>1.4928020667989552</v>
      </c>
      <c r="T23" s="67">
        <f t="shared" si="8"/>
        <v>0</v>
      </c>
      <c r="U23" s="67">
        <f t="shared" si="9"/>
        <v>3.8578246741452276</v>
      </c>
      <c r="V23" s="67">
        <f t="shared" si="10"/>
        <v>1.163176528772849</v>
      </c>
      <c r="W23" s="100">
        <f t="shared" si="11"/>
        <v>0.77545101918189929</v>
      </c>
    </row>
    <row r="24" spans="2:23">
      <c r="B24" s="96">
        <f>Amnt_Deposited!B19</f>
        <v>2005</v>
      </c>
      <c r="C24" s="775">
        <f>Amnt_Deposited!C19</f>
        <v>22.047050957513999</v>
      </c>
      <c r="D24" s="418">
        <f>Dry_Matter_Content!C11</f>
        <v>0.59</v>
      </c>
      <c r="E24" s="284">
        <f>MCF!R23</f>
        <v>1</v>
      </c>
      <c r="F24" s="67">
        <f t="shared" si="4"/>
        <v>0.79997724399339531</v>
      </c>
      <c r="G24" s="67">
        <f t="shared" si="0"/>
        <v>0.79997724399339531</v>
      </c>
      <c r="H24" s="67">
        <f t="shared" si="5"/>
        <v>0</v>
      </c>
      <c r="I24" s="67">
        <f t="shared" si="1"/>
        <v>2.0510730197252607</v>
      </c>
      <c r="J24" s="67">
        <f t="shared" si="2"/>
        <v>0.61531980161959521</v>
      </c>
      <c r="K24" s="100">
        <f t="shared" si="6"/>
        <v>0.41021320107973014</v>
      </c>
      <c r="N24" s="258"/>
      <c r="O24" s="96">
        <f>Amnt_Deposited!B19</f>
        <v>2005</v>
      </c>
      <c r="P24" s="99">
        <f>Amnt_Deposited!C19</f>
        <v>22.047050957513999</v>
      </c>
      <c r="Q24" s="284">
        <f>MCF!R23</f>
        <v>1</v>
      </c>
      <c r="R24" s="67">
        <f t="shared" si="3"/>
        <v>1.65352882181355</v>
      </c>
      <c r="S24" s="67">
        <f t="shared" si="7"/>
        <v>1.65352882181355</v>
      </c>
      <c r="T24" s="67">
        <f t="shared" si="8"/>
        <v>0</v>
      </c>
      <c r="U24" s="67">
        <f t="shared" si="9"/>
        <v>4.2395060349840046</v>
      </c>
      <c r="V24" s="67">
        <f t="shared" si="10"/>
        <v>1.2718474609747734</v>
      </c>
      <c r="W24" s="100">
        <f t="shared" si="11"/>
        <v>0.84789830731651561</v>
      </c>
    </row>
    <row r="25" spans="2:23">
      <c r="B25" s="96">
        <f>Amnt_Deposited!B20</f>
        <v>2006</v>
      </c>
      <c r="C25" s="775">
        <f>Amnt_Deposited!C20</f>
        <v>22.500568394231401</v>
      </c>
      <c r="D25" s="418">
        <f>Dry_Matter_Content!C12</f>
        <v>0.59</v>
      </c>
      <c r="E25" s="284">
        <f>MCF!R24</f>
        <v>1</v>
      </c>
      <c r="F25" s="67">
        <f t="shared" si="4"/>
        <v>0.81643312418468639</v>
      </c>
      <c r="G25" s="67">
        <f t="shared" si="0"/>
        <v>0.81643312418468639</v>
      </c>
      <c r="H25" s="67">
        <f t="shared" si="5"/>
        <v>0</v>
      </c>
      <c r="I25" s="67">
        <f t="shared" si="1"/>
        <v>2.1913084851893809</v>
      </c>
      <c r="J25" s="67">
        <f t="shared" si="2"/>
        <v>0.67619765872056614</v>
      </c>
      <c r="K25" s="100">
        <f t="shared" si="6"/>
        <v>0.45079843914704409</v>
      </c>
      <c r="N25" s="258"/>
      <c r="O25" s="96">
        <f>Amnt_Deposited!B20</f>
        <v>2006</v>
      </c>
      <c r="P25" s="99">
        <f>Amnt_Deposited!C20</f>
        <v>22.500568394231401</v>
      </c>
      <c r="Q25" s="284">
        <f>MCF!R24</f>
        <v>1</v>
      </c>
      <c r="R25" s="67">
        <f t="shared" si="3"/>
        <v>1.687542629567355</v>
      </c>
      <c r="S25" s="67">
        <f t="shared" si="7"/>
        <v>1.687542629567355</v>
      </c>
      <c r="T25" s="67">
        <f t="shared" si="8"/>
        <v>0</v>
      </c>
      <c r="U25" s="67">
        <f t="shared" si="9"/>
        <v>4.5293685101062033</v>
      </c>
      <c r="V25" s="67">
        <f t="shared" si="10"/>
        <v>1.3976801544451558</v>
      </c>
      <c r="W25" s="100">
        <f t="shared" si="11"/>
        <v>0.93178676963010387</v>
      </c>
    </row>
    <row r="26" spans="2:23">
      <c r="B26" s="96">
        <f>Amnt_Deposited!B21</f>
        <v>2007</v>
      </c>
      <c r="C26" s="775">
        <f>Amnt_Deposited!C21</f>
        <v>22.953716479478402</v>
      </c>
      <c r="D26" s="418">
        <f>Dry_Matter_Content!C13</f>
        <v>0.59</v>
      </c>
      <c r="E26" s="284">
        <f>MCF!R25</f>
        <v>1</v>
      </c>
      <c r="F26" s="67">
        <f t="shared" si="4"/>
        <v>0.83287560245787373</v>
      </c>
      <c r="G26" s="67">
        <f t="shared" si="0"/>
        <v>0.83287560245787373</v>
      </c>
      <c r="H26" s="67">
        <f t="shared" si="5"/>
        <v>0</v>
      </c>
      <c r="I26" s="67">
        <f t="shared" si="1"/>
        <v>2.3017536071283065</v>
      </c>
      <c r="J26" s="67">
        <f t="shared" si="2"/>
        <v>0.72243048051894798</v>
      </c>
      <c r="K26" s="100">
        <f t="shared" si="6"/>
        <v>0.4816203203459653</v>
      </c>
      <c r="N26" s="258"/>
      <c r="O26" s="96">
        <f>Amnt_Deposited!B21</f>
        <v>2007</v>
      </c>
      <c r="P26" s="99">
        <f>Amnt_Deposited!C21</f>
        <v>22.953716479478402</v>
      </c>
      <c r="Q26" s="284">
        <f>MCF!R25</f>
        <v>1</v>
      </c>
      <c r="R26" s="67">
        <f t="shared" si="3"/>
        <v>1.7215287359608802</v>
      </c>
      <c r="S26" s="67">
        <f t="shared" si="7"/>
        <v>1.7215287359608802</v>
      </c>
      <c r="T26" s="67">
        <f t="shared" si="8"/>
        <v>0</v>
      </c>
      <c r="U26" s="67">
        <f t="shared" si="9"/>
        <v>4.7576552441676458</v>
      </c>
      <c r="V26" s="67">
        <f t="shared" si="10"/>
        <v>1.4932420018994379</v>
      </c>
      <c r="W26" s="100">
        <f t="shared" si="11"/>
        <v>0.9954946679329586</v>
      </c>
    </row>
    <row r="27" spans="2:23">
      <c r="B27" s="96">
        <f>Amnt_Deposited!B22</f>
        <v>2008</v>
      </c>
      <c r="C27" s="775">
        <f>Amnt_Deposited!C22</f>
        <v>23.403725077227001</v>
      </c>
      <c r="D27" s="418">
        <f>Dry_Matter_Content!C14</f>
        <v>0.59</v>
      </c>
      <c r="E27" s="284">
        <f>MCF!R26</f>
        <v>1</v>
      </c>
      <c r="F27" s="67">
        <f t="shared" si="4"/>
        <v>0.84920416442718161</v>
      </c>
      <c r="G27" s="67">
        <f t="shared" si="0"/>
        <v>0.84920416442718161</v>
      </c>
      <c r="H27" s="67">
        <f t="shared" si="5"/>
        <v>0</v>
      </c>
      <c r="I27" s="67">
        <f t="shared" si="1"/>
        <v>2.3921157483201267</v>
      </c>
      <c r="J27" s="67">
        <f t="shared" si="2"/>
        <v>0.75884202323536121</v>
      </c>
      <c r="K27" s="100">
        <f t="shared" si="6"/>
        <v>0.50589468215690747</v>
      </c>
      <c r="N27" s="258"/>
      <c r="O27" s="96">
        <f>Amnt_Deposited!B22</f>
        <v>2008</v>
      </c>
      <c r="P27" s="99">
        <f>Amnt_Deposited!C22</f>
        <v>23.403725077227001</v>
      </c>
      <c r="Q27" s="284">
        <f>MCF!R26</f>
        <v>1</v>
      </c>
      <c r="R27" s="67">
        <f t="shared" si="3"/>
        <v>1.7552793807920251</v>
      </c>
      <c r="S27" s="67">
        <f t="shared" si="7"/>
        <v>1.7552793807920251</v>
      </c>
      <c r="T27" s="67">
        <f t="shared" si="8"/>
        <v>0</v>
      </c>
      <c r="U27" s="67">
        <f t="shared" si="9"/>
        <v>4.9444310630841821</v>
      </c>
      <c r="V27" s="67">
        <f t="shared" si="10"/>
        <v>1.5685035618754886</v>
      </c>
      <c r="W27" s="100">
        <f t="shared" si="11"/>
        <v>1.0456690412503256</v>
      </c>
    </row>
    <row r="28" spans="2:23">
      <c r="B28" s="96">
        <f>Amnt_Deposited!B23</f>
        <v>2009</v>
      </c>
      <c r="C28" s="775">
        <f>Amnt_Deposited!C23</f>
        <v>23.847270024243603</v>
      </c>
      <c r="D28" s="418">
        <f>Dry_Matter_Content!C15</f>
        <v>0.59</v>
      </c>
      <c r="E28" s="284">
        <f>MCF!R27</f>
        <v>1</v>
      </c>
      <c r="F28" s="67">
        <f t="shared" si="4"/>
        <v>0.86529819282967901</v>
      </c>
      <c r="G28" s="67">
        <f t="shared" si="0"/>
        <v>0.86529819282967901</v>
      </c>
      <c r="H28" s="67">
        <f t="shared" si="5"/>
        <v>0</v>
      </c>
      <c r="I28" s="67">
        <f t="shared" si="1"/>
        <v>2.4687813313662041</v>
      </c>
      <c r="J28" s="67">
        <f t="shared" si="2"/>
        <v>0.78863260978360161</v>
      </c>
      <c r="K28" s="100">
        <f t="shared" si="6"/>
        <v>0.52575507318906767</v>
      </c>
      <c r="N28" s="258"/>
      <c r="O28" s="96">
        <f>Amnt_Deposited!B23</f>
        <v>2009</v>
      </c>
      <c r="P28" s="99">
        <f>Amnt_Deposited!C23</f>
        <v>23.847270024243603</v>
      </c>
      <c r="Q28" s="284">
        <f>MCF!R27</f>
        <v>1</v>
      </c>
      <c r="R28" s="67">
        <f t="shared" si="3"/>
        <v>1.7885452518182701</v>
      </c>
      <c r="S28" s="67">
        <f t="shared" si="7"/>
        <v>1.7885452518182701</v>
      </c>
      <c r="T28" s="67">
        <f t="shared" si="8"/>
        <v>0</v>
      </c>
      <c r="U28" s="67">
        <f t="shared" si="9"/>
        <v>5.1028965096449044</v>
      </c>
      <c r="V28" s="67">
        <f t="shared" si="10"/>
        <v>1.630079805257548</v>
      </c>
      <c r="W28" s="100">
        <f t="shared" si="11"/>
        <v>1.0867198701716987</v>
      </c>
    </row>
    <row r="29" spans="2:23">
      <c r="B29" s="96">
        <f>Amnt_Deposited!B24</f>
        <v>2010</v>
      </c>
      <c r="C29" s="775">
        <f>Amnt_Deposited!C24</f>
        <v>25.742827939270203</v>
      </c>
      <c r="D29" s="418">
        <f>Dry_Matter_Content!C16</f>
        <v>0.59</v>
      </c>
      <c r="E29" s="284">
        <f>MCF!R28</f>
        <v>1</v>
      </c>
      <c r="F29" s="67">
        <f t="shared" si="4"/>
        <v>0.93407851177641921</v>
      </c>
      <c r="G29" s="67">
        <f t="shared" si="0"/>
        <v>0.93407851177641921</v>
      </c>
      <c r="H29" s="67">
        <f t="shared" si="5"/>
        <v>0</v>
      </c>
      <c r="I29" s="67">
        <f t="shared" si="1"/>
        <v>2.58895212746974</v>
      </c>
      <c r="J29" s="67">
        <f t="shared" si="2"/>
        <v>0.81390771567288323</v>
      </c>
      <c r="K29" s="100">
        <f t="shared" si="6"/>
        <v>0.54260514378192215</v>
      </c>
      <c r="O29" s="96">
        <f>Amnt_Deposited!B24</f>
        <v>2010</v>
      </c>
      <c r="P29" s="99">
        <f>Amnt_Deposited!C24</f>
        <v>25.742827939270203</v>
      </c>
      <c r="Q29" s="284">
        <f>MCF!R28</f>
        <v>1</v>
      </c>
      <c r="R29" s="67">
        <f t="shared" si="3"/>
        <v>1.9307120954452652</v>
      </c>
      <c r="S29" s="67">
        <f t="shared" si="7"/>
        <v>1.9307120954452652</v>
      </c>
      <c r="T29" s="67">
        <f t="shared" si="8"/>
        <v>0</v>
      </c>
      <c r="U29" s="67">
        <f t="shared" si="9"/>
        <v>5.3512859187055408</v>
      </c>
      <c r="V29" s="67">
        <f t="shared" si="10"/>
        <v>1.6823226863846288</v>
      </c>
      <c r="W29" s="100">
        <f t="shared" si="11"/>
        <v>1.1215484575897525</v>
      </c>
    </row>
    <row r="30" spans="2:23">
      <c r="B30" s="96">
        <f>Amnt_Deposited!B25</f>
        <v>2011</v>
      </c>
      <c r="C30" s="99">
        <f>Amnt_Deposited!C25</f>
        <v>0</v>
      </c>
      <c r="D30" s="418">
        <f>Dry_Matter_Content!C17</f>
        <v>0.59</v>
      </c>
      <c r="E30" s="284">
        <f>MCF!R29</f>
        <v>1</v>
      </c>
      <c r="F30" s="67">
        <f t="shared" si="4"/>
        <v>0</v>
      </c>
      <c r="G30" s="67">
        <f t="shared" si="0"/>
        <v>0</v>
      </c>
      <c r="H30" s="67">
        <f t="shared" si="5"/>
        <v>0</v>
      </c>
      <c r="I30" s="67">
        <f t="shared" si="1"/>
        <v>1.7354265092695824</v>
      </c>
      <c r="J30" s="67">
        <f t="shared" si="2"/>
        <v>0.85352561820015749</v>
      </c>
      <c r="K30" s="100">
        <f t="shared" si="6"/>
        <v>0.56901707880010499</v>
      </c>
      <c r="O30" s="96">
        <f>Amnt_Deposited!B25</f>
        <v>2011</v>
      </c>
      <c r="P30" s="99">
        <f>Amnt_Deposited!C25</f>
        <v>0</v>
      </c>
      <c r="Q30" s="284">
        <f>MCF!R29</f>
        <v>1</v>
      </c>
      <c r="R30" s="67">
        <f t="shared" si="3"/>
        <v>0</v>
      </c>
      <c r="S30" s="67">
        <f t="shared" si="7"/>
        <v>0</v>
      </c>
      <c r="T30" s="67">
        <f t="shared" si="8"/>
        <v>0</v>
      </c>
      <c r="U30" s="67">
        <f t="shared" si="9"/>
        <v>3.5870742233765665</v>
      </c>
      <c r="V30" s="67">
        <f t="shared" si="10"/>
        <v>1.7642116953289741</v>
      </c>
      <c r="W30" s="100">
        <f t="shared" si="11"/>
        <v>1.1761411302193161</v>
      </c>
    </row>
    <row r="31" spans="2:23">
      <c r="B31" s="96">
        <f>Amnt_Deposited!B26</f>
        <v>2012</v>
      </c>
      <c r="C31" s="99">
        <f>Amnt_Deposited!C26</f>
        <v>0</v>
      </c>
      <c r="D31" s="418">
        <f>Dry_Matter_Content!C18</f>
        <v>0.59</v>
      </c>
      <c r="E31" s="284">
        <f>MCF!R30</f>
        <v>1</v>
      </c>
      <c r="F31" s="67">
        <f t="shared" si="4"/>
        <v>0</v>
      </c>
      <c r="G31" s="67">
        <f t="shared" si="0"/>
        <v>0</v>
      </c>
      <c r="H31" s="67">
        <f t="shared" si="5"/>
        <v>0</v>
      </c>
      <c r="I31" s="67">
        <f t="shared" si="1"/>
        <v>1.1632911775850554</v>
      </c>
      <c r="J31" s="67">
        <f t="shared" si="2"/>
        <v>0.57213533168452713</v>
      </c>
      <c r="K31" s="100">
        <f t="shared" si="6"/>
        <v>0.3814235544563514</v>
      </c>
      <c r="O31" s="96">
        <f>Amnt_Deposited!B26</f>
        <v>2012</v>
      </c>
      <c r="P31" s="99">
        <f>Amnt_Deposited!C26</f>
        <v>0</v>
      </c>
      <c r="Q31" s="284">
        <f>MCF!R30</f>
        <v>1</v>
      </c>
      <c r="R31" s="67">
        <f t="shared" si="3"/>
        <v>0</v>
      </c>
      <c r="S31" s="67">
        <f t="shared" si="7"/>
        <v>0</v>
      </c>
      <c r="T31" s="67">
        <f t="shared" si="8"/>
        <v>0</v>
      </c>
      <c r="U31" s="67">
        <f t="shared" si="9"/>
        <v>2.404487758547035</v>
      </c>
      <c r="V31" s="67">
        <f t="shared" si="10"/>
        <v>1.1825864648295312</v>
      </c>
      <c r="W31" s="100">
        <f t="shared" si="11"/>
        <v>0.78839097655302082</v>
      </c>
    </row>
    <row r="32" spans="2:23">
      <c r="B32" s="96">
        <f>Amnt_Deposited!B27</f>
        <v>2013</v>
      </c>
      <c r="C32" s="99">
        <f>Amnt_Deposited!C27</f>
        <v>0</v>
      </c>
      <c r="D32" s="418">
        <f>Dry_Matter_Content!C19</f>
        <v>0.59</v>
      </c>
      <c r="E32" s="284">
        <f>MCF!R31</f>
        <v>1</v>
      </c>
      <c r="F32" s="67">
        <f t="shared" si="4"/>
        <v>0</v>
      </c>
      <c r="G32" s="67">
        <f t="shared" si="0"/>
        <v>0</v>
      </c>
      <c r="H32" s="67">
        <f t="shared" si="5"/>
        <v>0</v>
      </c>
      <c r="I32" s="67">
        <f t="shared" si="1"/>
        <v>0.77977739571166738</v>
      </c>
      <c r="J32" s="67">
        <f t="shared" si="2"/>
        <v>0.38351378187338797</v>
      </c>
      <c r="K32" s="100">
        <f t="shared" si="6"/>
        <v>0.25567585458225861</v>
      </c>
      <c r="O32" s="96">
        <f>Amnt_Deposited!B27</f>
        <v>2013</v>
      </c>
      <c r="P32" s="99">
        <f>Amnt_Deposited!C27</f>
        <v>0</v>
      </c>
      <c r="Q32" s="284">
        <f>MCF!R31</f>
        <v>1</v>
      </c>
      <c r="R32" s="67">
        <f t="shared" si="3"/>
        <v>0</v>
      </c>
      <c r="S32" s="67">
        <f t="shared" si="7"/>
        <v>0</v>
      </c>
      <c r="T32" s="67">
        <f t="shared" si="8"/>
        <v>0</v>
      </c>
      <c r="U32" s="67">
        <f t="shared" si="9"/>
        <v>1.6117763450013798</v>
      </c>
      <c r="V32" s="67">
        <f t="shared" si="10"/>
        <v>0.79271141354565533</v>
      </c>
      <c r="W32" s="100">
        <f t="shared" si="11"/>
        <v>0.52847427569710348</v>
      </c>
    </row>
    <row r="33" spans="2:23">
      <c r="B33" s="96">
        <f>Amnt_Deposited!B28</f>
        <v>2014</v>
      </c>
      <c r="C33" s="99">
        <f>Amnt_Deposited!C28</f>
        <v>0</v>
      </c>
      <c r="D33" s="418">
        <f>Dry_Matter_Content!C20</f>
        <v>0.59</v>
      </c>
      <c r="E33" s="284">
        <f>MCF!R32</f>
        <v>1</v>
      </c>
      <c r="F33" s="67">
        <f t="shared" si="4"/>
        <v>0</v>
      </c>
      <c r="G33" s="67">
        <f t="shared" si="0"/>
        <v>0</v>
      </c>
      <c r="H33" s="67">
        <f t="shared" si="5"/>
        <v>0</v>
      </c>
      <c r="I33" s="67">
        <f t="shared" si="1"/>
        <v>0.5227004197909958</v>
      </c>
      <c r="J33" s="67">
        <f t="shared" si="2"/>
        <v>0.25707697592067158</v>
      </c>
      <c r="K33" s="100">
        <f t="shared" si="6"/>
        <v>0.17138465061378105</v>
      </c>
      <c r="O33" s="96">
        <f>Amnt_Deposited!B28</f>
        <v>2014</v>
      </c>
      <c r="P33" s="99">
        <f>Amnt_Deposited!C28</f>
        <v>0</v>
      </c>
      <c r="Q33" s="284">
        <f>MCF!R32</f>
        <v>1</v>
      </c>
      <c r="R33" s="67">
        <f t="shared" si="3"/>
        <v>0</v>
      </c>
      <c r="S33" s="67">
        <f t="shared" si="7"/>
        <v>0</v>
      </c>
      <c r="T33" s="67">
        <f t="shared" si="8"/>
        <v>0</v>
      </c>
      <c r="U33" s="67">
        <f t="shared" si="9"/>
        <v>1.0804059937804793</v>
      </c>
      <c r="V33" s="67">
        <f t="shared" si="10"/>
        <v>0.53137035122090037</v>
      </c>
      <c r="W33" s="100">
        <f t="shared" si="11"/>
        <v>0.35424690081393356</v>
      </c>
    </row>
    <row r="34" spans="2:23">
      <c r="B34" s="96">
        <f>Amnt_Deposited!B29</f>
        <v>2015</v>
      </c>
      <c r="C34" s="99">
        <f>Amnt_Deposited!C29</f>
        <v>0</v>
      </c>
      <c r="D34" s="418">
        <f>Dry_Matter_Content!C21</f>
        <v>0.59</v>
      </c>
      <c r="E34" s="284">
        <f>MCF!R33</f>
        <v>1</v>
      </c>
      <c r="F34" s="67">
        <f t="shared" si="4"/>
        <v>0</v>
      </c>
      <c r="G34" s="67">
        <f t="shared" si="0"/>
        <v>0</v>
      </c>
      <c r="H34" s="67">
        <f t="shared" si="5"/>
        <v>0</v>
      </c>
      <c r="I34" s="67">
        <f t="shared" si="1"/>
        <v>0.35037656945714829</v>
      </c>
      <c r="J34" s="67">
        <f t="shared" si="2"/>
        <v>0.17232385033384751</v>
      </c>
      <c r="K34" s="100">
        <f t="shared" si="6"/>
        <v>0.11488256688923167</v>
      </c>
      <c r="O34" s="96">
        <f>Amnt_Deposited!B29</f>
        <v>2015</v>
      </c>
      <c r="P34" s="99">
        <f>Amnt_Deposited!C29</f>
        <v>0</v>
      </c>
      <c r="Q34" s="284">
        <f>MCF!R33</f>
        <v>1</v>
      </c>
      <c r="R34" s="67">
        <f t="shared" si="3"/>
        <v>0</v>
      </c>
      <c r="S34" s="67">
        <f t="shared" si="7"/>
        <v>0</v>
      </c>
      <c r="T34" s="67">
        <f t="shared" si="8"/>
        <v>0</v>
      </c>
      <c r="U34" s="67">
        <f t="shared" si="9"/>
        <v>0.72421779548811149</v>
      </c>
      <c r="V34" s="67">
        <f t="shared" si="10"/>
        <v>0.35618819829236775</v>
      </c>
      <c r="W34" s="100">
        <f t="shared" si="11"/>
        <v>0.2374587988615785</v>
      </c>
    </row>
    <row r="35" spans="2:23">
      <c r="B35" s="96">
        <f>Amnt_Deposited!B30</f>
        <v>2016</v>
      </c>
      <c r="C35" s="99">
        <f>Amnt_Deposited!C30</f>
        <v>0</v>
      </c>
      <c r="D35" s="418">
        <f>Dry_Matter_Content!C22</f>
        <v>0.59</v>
      </c>
      <c r="E35" s="284">
        <f>MCF!R34</f>
        <v>1</v>
      </c>
      <c r="F35" s="67">
        <f t="shared" si="4"/>
        <v>0</v>
      </c>
      <c r="G35" s="67">
        <f t="shared" si="0"/>
        <v>0</v>
      </c>
      <c r="H35" s="67">
        <f t="shared" si="5"/>
        <v>0</v>
      </c>
      <c r="I35" s="67">
        <f t="shared" si="1"/>
        <v>0.23486443816832503</v>
      </c>
      <c r="J35" s="67">
        <f t="shared" si="2"/>
        <v>0.11551213128882327</v>
      </c>
      <c r="K35" s="100">
        <f t="shared" si="6"/>
        <v>7.7008087525882174E-2</v>
      </c>
      <c r="O35" s="96">
        <f>Amnt_Deposited!B30</f>
        <v>2016</v>
      </c>
      <c r="P35" s="99">
        <f>Amnt_Deposited!C30</f>
        <v>0</v>
      </c>
      <c r="Q35" s="284">
        <f>MCF!R34</f>
        <v>1</v>
      </c>
      <c r="R35" s="67">
        <f t="shared" si="3"/>
        <v>0</v>
      </c>
      <c r="S35" s="67">
        <f t="shared" si="7"/>
        <v>0</v>
      </c>
      <c r="T35" s="67">
        <f t="shared" si="8"/>
        <v>0</v>
      </c>
      <c r="U35" s="67">
        <f t="shared" si="9"/>
        <v>0.48545770601142013</v>
      </c>
      <c r="V35" s="67">
        <f t="shared" si="10"/>
        <v>0.23876008947669136</v>
      </c>
      <c r="W35" s="100">
        <f t="shared" si="11"/>
        <v>0.1591733929844609</v>
      </c>
    </row>
    <row r="36" spans="2:23">
      <c r="B36" s="96">
        <f>Amnt_Deposited!B31</f>
        <v>2017</v>
      </c>
      <c r="C36" s="99">
        <f>Amnt_Deposited!C31</f>
        <v>0</v>
      </c>
      <c r="D36" s="418">
        <f>Dry_Matter_Content!C23</f>
        <v>0.59</v>
      </c>
      <c r="E36" s="284">
        <f>MCF!R35</f>
        <v>1</v>
      </c>
      <c r="F36" s="67">
        <f t="shared" si="4"/>
        <v>0</v>
      </c>
      <c r="G36" s="67">
        <f t="shared" si="0"/>
        <v>0</v>
      </c>
      <c r="H36" s="67">
        <f t="shared" si="5"/>
        <v>0</v>
      </c>
      <c r="I36" s="67">
        <f t="shared" si="1"/>
        <v>0.15743434100512621</v>
      </c>
      <c r="J36" s="67">
        <f t="shared" si="2"/>
        <v>7.7430097163198833E-2</v>
      </c>
      <c r="K36" s="100">
        <f t="shared" si="6"/>
        <v>5.1620064775465886E-2</v>
      </c>
      <c r="O36" s="96">
        <f>Amnt_Deposited!B31</f>
        <v>2017</v>
      </c>
      <c r="P36" s="99">
        <f>Amnt_Deposited!C31</f>
        <v>0</v>
      </c>
      <c r="Q36" s="284">
        <f>MCF!R35</f>
        <v>1</v>
      </c>
      <c r="R36" s="67">
        <f t="shared" si="3"/>
        <v>0</v>
      </c>
      <c r="S36" s="67">
        <f t="shared" si="7"/>
        <v>0</v>
      </c>
      <c r="T36" s="67">
        <f t="shared" si="8"/>
        <v>0</v>
      </c>
      <c r="U36" s="67">
        <f t="shared" si="9"/>
        <v>0.32541203184193102</v>
      </c>
      <c r="V36" s="67">
        <f t="shared" si="10"/>
        <v>0.16004567416948912</v>
      </c>
      <c r="W36" s="100">
        <f t="shared" si="11"/>
        <v>0.10669711611299273</v>
      </c>
    </row>
    <row r="37" spans="2:23">
      <c r="B37" s="96">
        <f>Amnt_Deposited!B32</f>
        <v>2018</v>
      </c>
      <c r="C37" s="99">
        <f>Amnt_Deposited!C32</f>
        <v>0</v>
      </c>
      <c r="D37" s="418">
        <f>Dry_Matter_Content!C24</f>
        <v>0.59</v>
      </c>
      <c r="E37" s="284">
        <f>MCF!R36</f>
        <v>1</v>
      </c>
      <c r="F37" s="67">
        <f t="shared" si="4"/>
        <v>0</v>
      </c>
      <c r="G37" s="67">
        <f t="shared" si="0"/>
        <v>0</v>
      </c>
      <c r="H37" s="67">
        <f t="shared" si="5"/>
        <v>0</v>
      </c>
      <c r="I37" s="67">
        <f t="shared" si="1"/>
        <v>0.10553139471014675</v>
      </c>
      <c r="J37" s="67">
        <f t="shared" si="2"/>
        <v>5.190294629497947E-2</v>
      </c>
      <c r="K37" s="100">
        <f t="shared" si="6"/>
        <v>3.4601964196652978E-2</v>
      </c>
      <c r="O37" s="96">
        <f>Amnt_Deposited!B32</f>
        <v>2018</v>
      </c>
      <c r="P37" s="99">
        <f>Amnt_Deposited!C32</f>
        <v>0</v>
      </c>
      <c r="Q37" s="284">
        <f>MCF!R36</f>
        <v>1</v>
      </c>
      <c r="R37" s="67">
        <f t="shared" si="3"/>
        <v>0</v>
      </c>
      <c r="S37" s="67">
        <f t="shared" si="7"/>
        <v>0</v>
      </c>
      <c r="T37" s="67">
        <f t="shared" si="8"/>
        <v>0</v>
      </c>
      <c r="U37" s="67">
        <f t="shared" si="9"/>
        <v>0.21813020816483414</v>
      </c>
      <c r="V37" s="67">
        <f t="shared" si="10"/>
        <v>0.10728182367709689</v>
      </c>
      <c r="W37" s="100">
        <f t="shared" si="11"/>
        <v>7.1521215784731251E-2</v>
      </c>
    </row>
    <row r="38" spans="2:23">
      <c r="B38" s="96">
        <f>Amnt_Deposited!B33</f>
        <v>2019</v>
      </c>
      <c r="C38" s="99">
        <f>Amnt_Deposited!C33</f>
        <v>0</v>
      </c>
      <c r="D38" s="418">
        <f>Dry_Matter_Content!C25</f>
        <v>0.59</v>
      </c>
      <c r="E38" s="284">
        <f>MCF!R37</f>
        <v>1</v>
      </c>
      <c r="F38" s="67">
        <f t="shared" si="4"/>
        <v>0</v>
      </c>
      <c r="G38" s="67">
        <f t="shared" si="0"/>
        <v>0</v>
      </c>
      <c r="H38" s="67">
        <f t="shared" si="5"/>
        <v>0</v>
      </c>
      <c r="I38" s="67">
        <f t="shared" si="1"/>
        <v>7.0739809360310796E-2</v>
      </c>
      <c r="J38" s="67">
        <f t="shared" si="2"/>
        <v>3.4791585349835952E-2</v>
      </c>
      <c r="K38" s="100">
        <f t="shared" si="6"/>
        <v>2.3194390233223967E-2</v>
      </c>
      <c r="O38" s="96">
        <f>Amnt_Deposited!B33</f>
        <v>2019</v>
      </c>
      <c r="P38" s="99">
        <f>Amnt_Deposited!C33</f>
        <v>0</v>
      </c>
      <c r="Q38" s="284">
        <f>MCF!R37</f>
        <v>1</v>
      </c>
      <c r="R38" s="67">
        <f t="shared" si="3"/>
        <v>0</v>
      </c>
      <c r="S38" s="67">
        <f t="shared" si="7"/>
        <v>0</v>
      </c>
      <c r="T38" s="67">
        <f t="shared" si="8"/>
        <v>0</v>
      </c>
      <c r="U38" s="67">
        <f t="shared" si="9"/>
        <v>0.1462170511788152</v>
      </c>
      <c r="V38" s="67">
        <f t="shared" si="10"/>
        <v>7.1913156986018925E-2</v>
      </c>
      <c r="W38" s="100">
        <f t="shared" si="11"/>
        <v>4.7942104657345948E-2</v>
      </c>
    </row>
    <row r="39" spans="2:23">
      <c r="B39" s="96">
        <f>Amnt_Deposited!B34</f>
        <v>2020</v>
      </c>
      <c r="C39" s="99">
        <f>Amnt_Deposited!C34</f>
        <v>0</v>
      </c>
      <c r="D39" s="418">
        <f>Dry_Matter_Content!C26</f>
        <v>0.59</v>
      </c>
      <c r="E39" s="284">
        <f>MCF!R38</f>
        <v>1</v>
      </c>
      <c r="F39" s="67">
        <f t="shared" si="4"/>
        <v>0</v>
      </c>
      <c r="G39" s="67">
        <f t="shared" si="0"/>
        <v>0</v>
      </c>
      <c r="H39" s="67">
        <f t="shared" si="5"/>
        <v>0</v>
      </c>
      <c r="I39" s="67">
        <f t="shared" si="1"/>
        <v>4.7418312266955885E-2</v>
      </c>
      <c r="J39" s="67">
        <f t="shared" si="2"/>
        <v>2.3321497093354914E-2</v>
      </c>
      <c r="K39" s="100">
        <f t="shared" si="6"/>
        <v>1.5547664728903276E-2</v>
      </c>
      <c r="O39" s="96">
        <f>Amnt_Deposited!B34</f>
        <v>2020</v>
      </c>
      <c r="P39" s="99">
        <f>Amnt_Deposited!C34</f>
        <v>0</v>
      </c>
      <c r="Q39" s="284">
        <f>MCF!R38</f>
        <v>1</v>
      </c>
      <c r="R39" s="67">
        <f t="shared" si="3"/>
        <v>0</v>
      </c>
      <c r="S39" s="67">
        <f t="shared" si="7"/>
        <v>0</v>
      </c>
      <c r="T39" s="67">
        <f t="shared" si="8"/>
        <v>0</v>
      </c>
      <c r="U39" s="67">
        <f t="shared" si="9"/>
        <v>9.8012220477378842E-2</v>
      </c>
      <c r="V39" s="67">
        <f t="shared" si="10"/>
        <v>4.8204830701436364E-2</v>
      </c>
      <c r="W39" s="100">
        <f t="shared" si="11"/>
        <v>3.2136553800957576E-2</v>
      </c>
    </row>
    <row r="40" spans="2:23">
      <c r="B40" s="96">
        <f>Amnt_Deposited!B35</f>
        <v>2021</v>
      </c>
      <c r="C40" s="99">
        <f>Amnt_Deposited!C35</f>
        <v>0</v>
      </c>
      <c r="D40" s="418">
        <f>Dry_Matter_Content!C27</f>
        <v>0.59</v>
      </c>
      <c r="E40" s="284">
        <f>MCF!R39</f>
        <v>1</v>
      </c>
      <c r="F40" s="67">
        <f t="shared" si="4"/>
        <v>0</v>
      </c>
      <c r="G40" s="67">
        <f t="shared" si="0"/>
        <v>0</v>
      </c>
      <c r="H40" s="67">
        <f t="shared" si="5"/>
        <v>0</v>
      </c>
      <c r="I40" s="67">
        <f t="shared" si="1"/>
        <v>3.1785445261718191E-2</v>
      </c>
      <c r="J40" s="67">
        <f t="shared" si="2"/>
        <v>1.5632867005237694E-2</v>
      </c>
      <c r="K40" s="100">
        <f t="shared" si="6"/>
        <v>1.0421911336825129E-2</v>
      </c>
      <c r="O40" s="96">
        <f>Amnt_Deposited!B35</f>
        <v>2021</v>
      </c>
      <c r="P40" s="99">
        <f>Amnt_Deposited!C35</f>
        <v>0</v>
      </c>
      <c r="Q40" s="284">
        <f>MCF!R39</f>
        <v>1</v>
      </c>
      <c r="R40" s="67">
        <f t="shared" si="3"/>
        <v>0</v>
      </c>
      <c r="S40" s="67">
        <f t="shared" si="7"/>
        <v>0</v>
      </c>
      <c r="T40" s="67">
        <f t="shared" si="8"/>
        <v>0</v>
      </c>
      <c r="U40" s="67">
        <f t="shared" si="9"/>
        <v>6.569955614245182E-2</v>
      </c>
      <c r="V40" s="67">
        <f t="shared" si="10"/>
        <v>3.2312664334927028E-2</v>
      </c>
      <c r="W40" s="100">
        <f t="shared" si="11"/>
        <v>2.1541776223284684E-2</v>
      </c>
    </row>
    <row r="41" spans="2:23">
      <c r="B41" s="96">
        <f>Amnt_Deposited!B36</f>
        <v>2022</v>
      </c>
      <c r="C41" s="99">
        <f>Amnt_Deposited!C36</f>
        <v>0</v>
      </c>
      <c r="D41" s="418">
        <f>Dry_Matter_Content!C28</f>
        <v>0.59</v>
      </c>
      <c r="E41" s="284">
        <f>MCF!R40</f>
        <v>1</v>
      </c>
      <c r="F41" s="67">
        <f t="shared" si="4"/>
        <v>0</v>
      </c>
      <c r="G41" s="67">
        <f t="shared" si="0"/>
        <v>0</v>
      </c>
      <c r="H41" s="67">
        <f t="shared" si="5"/>
        <v>0</v>
      </c>
      <c r="I41" s="67">
        <f t="shared" si="1"/>
        <v>2.1306421131098232E-2</v>
      </c>
      <c r="J41" s="67">
        <f t="shared" si="2"/>
        <v>1.0479024130619959E-2</v>
      </c>
      <c r="K41" s="100">
        <f t="shared" si="6"/>
        <v>6.9860160870799728E-3</v>
      </c>
      <c r="O41" s="96">
        <f>Amnt_Deposited!B36</f>
        <v>2022</v>
      </c>
      <c r="P41" s="99">
        <f>Amnt_Deposited!C36</f>
        <v>0</v>
      </c>
      <c r="Q41" s="284">
        <f>MCF!R40</f>
        <v>1</v>
      </c>
      <c r="R41" s="67">
        <f t="shared" si="3"/>
        <v>0</v>
      </c>
      <c r="S41" s="67">
        <f t="shared" si="7"/>
        <v>0</v>
      </c>
      <c r="T41" s="67">
        <f t="shared" si="8"/>
        <v>0</v>
      </c>
      <c r="U41" s="67">
        <f t="shared" si="9"/>
        <v>4.4039729497929378E-2</v>
      </c>
      <c r="V41" s="67">
        <f t="shared" si="10"/>
        <v>2.1659826644522446E-2</v>
      </c>
      <c r="W41" s="100">
        <f t="shared" si="11"/>
        <v>1.4439884429681631E-2</v>
      </c>
    </row>
    <row r="42" spans="2:23">
      <c r="B42" s="96">
        <f>Amnt_Deposited!B37</f>
        <v>2023</v>
      </c>
      <c r="C42" s="99">
        <f>Amnt_Deposited!C37</f>
        <v>0</v>
      </c>
      <c r="D42" s="418">
        <f>Dry_Matter_Content!C29</f>
        <v>0.59</v>
      </c>
      <c r="E42" s="284">
        <f>MCF!R41</f>
        <v>1</v>
      </c>
      <c r="F42" s="67">
        <f t="shared" si="4"/>
        <v>0</v>
      </c>
      <c r="G42" s="67">
        <f t="shared" si="0"/>
        <v>0</v>
      </c>
      <c r="H42" s="67">
        <f t="shared" si="5"/>
        <v>0</v>
      </c>
      <c r="I42" s="67">
        <f t="shared" si="1"/>
        <v>1.4282121193452485E-2</v>
      </c>
      <c r="J42" s="67">
        <f t="shared" si="2"/>
        <v>7.024299937645747E-3</v>
      </c>
      <c r="K42" s="100">
        <f t="shared" si="6"/>
        <v>4.6828666250971641E-3</v>
      </c>
      <c r="O42" s="96">
        <f>Amnt_Deposited!B37</f>
        <v>2023</v>
      </c>
      <c r="P42" s="99">
        <f>Amnt_Deposited!C37</f>
        <v>0</v>
      </c>
      <c r="Q42" s="284">
        <f>MCF!R41</f>
        <v>1</v>
      </c>
      <c r="R42" s="67">
        <f t="shared" si="3"/>
        <v>0</v>
      </c>
      <c r="S42" s="67">
        <f t="shared" si="7"/>
        <v>0</v>
      </c>
      <c r="T42" s="67">
        <f t="shared" si="8"/>
        <v>0</v>
      </c>
      <c r="U42" s="67">
        <f t="shared" si="9"/>
        <v>2.9520713504449125E-2</v>
      </c>
      <c r="V42" s="67">
        <f t="shared" si="10"/>
        <v>1.4519015993480254E-2</v>
      </c>
      <c r="W42" s="100">
        <f t="shared" si="11"/>
        <v>9.6793439956535023E-3</v>
      </c>
    </row>
    <row r="43" spans="2:23">
      <c r="B43" s="96">
        <f>Amnt_Deposited!B38</f>
        <v>2024</v>
      </c>
      <c r="C43" s="99">
        <f>Amnt_Deposited!C38</f>
        <v>0</v>
      </c>
      <c r="D43" s="418">
        <f>Dry_Matter_Content!C30</f>
        <v>0.59</v>
      </c>
      <c r="E43" s="284">
        <f>MCF!R42</f>
        <v>1</v>
      </c>
      <c r="F43" s="67">
        <f t="shared" si="4"/>
        <v>0</v>
      </c>
      <c r="G43" s="67">
        <f t="shared" si="0"/>
        <v>0</v>
      </c>
      <c r="H43" s="67">
        <f t="shared" si="5"/>
        <v>0</v>
      </c>
      <c r="I43" s="67">
        <f t="shared" si="1"/>
        <v>9.5735921358816502E-3</v>
      </c>
      <c r="J43" s="67">
        <f t="shared" si="2"/>
        <v>4.7085290575708347E-3</v>
      </c>
      <c r="K43" s="100">
        <f t="shared" si="6"/>
        <v>3.1390193717138895E-3</v>
      </c>
      <c r="O43" s="96">
        <f>Amnt_Deposited!B38</f>
        <v>2024</v>
      </c>
      <c r="P43" s="99">
        <f>Amnt_Deposited!C38</f>
        <v>0</v>
      </c>
      <c r="Q43" s="284">
        <f>MCF!R42</f>
        <v>1</v>
      </c>
      <c r="R43" s="67">
        <f t="shared" si="3"/>
        <v>0</v>
      </c>
      <c r="S43" s="67">
        <f t="shared" si="7"/>
        <v>0</v>
      </c>
      <c r="T43" s="67">
        <f t="shared" si="8"/>
        <v>0</v>
      </c>
      <c r="U43" s="67">
        <f t="shared" si="9"/>
        <v>1.9788326035307256E-2</v>
      </c>
      <c r="V43" s="67">
        <f t="shared" si="10"/>
        <v>9.732387469141868E-3</v>
      </c>
      <c r="W43" s="100">
        <f t="shared" si="11"/>
        <v>6.4882583127612451E-3</v>
      </c>
    </row>
    <row r="44" spans="2:23">
      <c r="B44" s="96">
        <f>Amnt_Deposited!B39</f>
        <v>2025</v>
      </c>
      <c r="C44" s="99">
        <f>Amnt_Deposited!C39</f>
        <v>0</v>
      </c>
      <c r="D44" s="418">
        <f>Dry_Matter_Content!C31</f>
        <v>0.59</v>
      </c>
      <c r="E44" s="284">
        <f>MCF!R43</f>
        <v>1</v>
      </c>
      <c r="F44" s="67">
        <f t="shared" si="4"/>
        <v>0</v>
      </c>
      <c r="G44" s="67">
        <f t="shared" si="0"/>
        <v>0</v>
      </c>
      <c r="H44" s="67">
        <f t="shared" si="5"/>
        <v>0</v>
      </c>
      <c r="I44" s="67">
        <f t="shared" si="1"/>
        <v>6.4173707212506221E-3</v>
      </c>
      <c r="J44" s="67">
        <f t="shared" si="2"/>
        <v>3.1562214146310277E-3</v>
      </c>
      <c r="K44" s="100">
        <f t="shared" si="6"/>
        <v>2.1041476097540183E-3</v>
      </c>
      <c r="O44" s="96">
        <f>Amnt_Deposited!B39</f>
        <v>2025</v>
      </c>
      <c r="P44" s="99">
        <f>Amnt_Deposited!C39</f>
        <v>0</v>
      </c>
      <c r="Q44" s="284">
        <f>MCF!R43</f>
        <v>1</v>
      </c>
      <c r="R44" s="67">
        <f t="shared" si="3"/>
        <v>0</v>
      </c>
      <c r="S44" s="67">
        <f t="shared" si="7"/>
        <v>0</v>
      </c>
      <c r="T44" s="67">
        <f t="shared" si="8"/>
        <v>0</v>
      </c>
      <c r="U44" s="67">
        <f t="shared" si="9"/>
        <v>1.32645116189554E-2</v>
      </c>
      <c r="V44" s="67">
        <f t="shared" si="10"/>
        <v>6.5238144163518559E-3</v>
      </c>
      <c r="W44" s="100">
        <f t="shared" si="11"/>
        <v>4.3492096109012373E-3</v>
      </c>
    </row>
    <row r="45" spans="2:23">
      <c r="B45" s="96">
        <f>Amnt_Deposited!B40</f>
        <v>2026</v>
      </c>
      <c r="C45" s="99">
        <f>Amnt_Deposited!C40</f>
        <v>0</v>
      </c>
      <c r="D45" s="418">
        <f>Dry_Matter_Content!C32</f>
        <v>0.59</v>
      </c>
      <c r="E45" s="284">
        <f>MCF!R44</f>
        <v>1</v>
      </c>
      <c r="F45" s="67">
        <f t="shared" si="4"/>
        <v>0</v>
      </c>
      <c r="G45" s="67">
        <f t="shared" si="0"/>
        <v>0</v>
      </c>
      <c r="H45" s="67">
        <f t="shared" si="5"/>
        <v>0</v>
      </c>
      <c r="I45" s="67">
        <f t="shared" si="1"/>
        <v>4.3016922372964813E-3</v>
      </c>
      <c r="J45" s="67">
        <f t="shared" si="2"/>
        <v>2.1156784839541413E-3</v>
      </c>
      <c r="K45" s="100">
        <f t="shared" si="6"/>
        <v>1.410452322636094E-3</v>
      </c>
      <c r="O45" s="96">
        <f>Amnt_Deposited!B40</f>
        <v>2026</v>
      </c>
      <c r="P45" s="99">
        <f>Amnt_Deposited!C40</f>
        <v>0</v>
      </c>
      <c r="Q45" s="284">
        <f>MCF!R44</f>
        <v>1</v>
      </c>
      <c r="R45" s="67">
        <f t="shared" si="3"/>
        <v>0</v>
      </c>
      <c r="S45" s="67">
        <f t="shared" si="7"/>
        <v>0</v>
      </c>
      <c r="T45" s="67">
        <f t="shared" si="8"/>
        <v>0</v>
      </c>
      <c r="U45" s="67">
        <f t="shared" si="9"/>
        <v>8.8914680390584575E-3</v>
      </c>
      <c r="V45" s="67">
        <f t="shared" si="10"/>
        <v>4.3730435798969439E-3</v>
      </c>
      <c r="W45" s="100">
        <f t="shared" si="11"/>
        <v>2.9153623865979623E-3</v>
      </c>
    </row>
    <row r="46" spans="2:23">
      <c r="B46" s="96">
        <f>Amnt_Deposited!B41</f>
        <v>2027</v>
      </c>
      <c r="C46" s="99">
        <f>Amnt_Deposited!C41</f>
        <v>0</v>
      </c>
      <c r="D46" s="418">
        <f>Dry_Matter_Content!C33</f>
        <v>0.59</v>
      </c>
      <c r="E46" s="284">
        <f>MCF!R45</f>
        <v>1</v>
      </c>
      <c r="F46" s="67">
        <f t="shared" si="4"/>
        <v>0</v>
      </c>
      <c r="G46" s="67">
        <f t="shared" si="0"/>
        <v>0</v>
      </c>
      <c r="H46" s="67">
        <f t="shared" si="5"/>
        <v>0</v>
      </c>
      <c r="I46" s="67">
        <f t="shared" si="1"/>
        <v>2.8835105385357296E-3</v>
      </c>
      <c r="J46" s="67">
        <f t="shared" si="2"/>
        <v>1.4181816987607516E-3</v>
      </c>
      <c r="K46" s="100">
        <f t="shared" si="6"/>
        <v>9.4545446584050103E-4</v>
      </c>
      <c r="O46" s="96">
        <f>Amnt_Deposited!B41</f>
        <v>2027</v>
      </c>
      <c r="P46" s="99">
        <f>Amnt_Deposited!C41</f>
        <v>0</v>
      </c>
      <c r="Q46" s="284">
        <f>MCF!R45</f>
        <v>1</v>
      </c>
      <c r="R46" s="67">
        <f t="shared" si="3"/>
        <v>0</v>
      </c>
      <c r="S46" s="67">
        <f t="shared" si="7"/>
        <v>0</v>
      </c>
      <c r="T46" s="67">
        <f t="shared" si="8"/>
        <v>0</v>
      </c>
      <c r="U46" s="67">
        <f t="shared" si="9"/>
        <v>5.9601292652660806E-3</v>
      </c>
      <c r="V46" s="67">
        <f t="shared" si="10"/>
        <v>2.9313387737923764E-3</v>
      </c>
      <c r="W46" s="100">
        <f t="shared" si="11"/>
        <v>1.9542258491949175E-3</v>
      </c>
    </row>
    <row r="47" spans="2:23">
      <c r="B47" s="96">
        <f>Amnt_Deposited!B42</f>
        <v>2028</v>
      </c>
      <c r="C47" s="99">
        <f>Amnt_Deposited!C42</f>
        <v>0</v>
      </c>
      <c r="D47" s="418">
        <f>Dry_Matter_Content!C34</f>
        <v>0.59</v>
      </c>
      <c r="E47" s="284">
        <f>MCF!R46</f>
        <v>1</v>
      </c>
      <c r="F47" s="67">
        <f t="shared" si="4"/>
        <v>0</v>
      </c>
      <c r="G47" s="67">
        <f t="shared" si="0"/>
        <v>0</v>
      </c>
      <c r="H47" s="67">
        <f t="shared" si="5"/>
        <v>0</v>
      </c>
      <c r="I47" s="67">
        <f t="shared" si="1"/>
        <v>1.9328749169355214E-3</v>
      </c>
      <c r="J47" s="67">
        <f t="shared" si="2"/>
        <v>9.5063562160020818E-4</v>
      </c>
      <c r="K47" s="100">
        <f t="shared" si="6"/>
        <v>6.3375708106680538E-4</v>
      </c>
      <c r="O47" s="96">
        <f>Amnt_Deposited!B42</f>
        <v>2028</v>
      </c>
      <c r="P47" s="99">
        <f>Amnt_Deposited!C42</f>
        <v>0</v>
      </c>
      <c r="Q47" s="284">
        <f>MCF!R46</f>
        <v>1</v>
      </c>
      <c r="R47" s="67">
        <f t="shared" si="3"/>
        <v>0</v>
      </c>
      <c r="S47" s="67">
        <f t="shared" si="7"/>
        <v>0</v>
      </c>
      <c r="T47" s="67">
        <f t="shared" si="8"/>
        <v>0</v>
      </c>
      <c r="U47" s="67">
        <f t="shared" si="9"/>
        <v>3.99519412347152E-3</v>
      </c>
      <c r="V47" s="67">
        <f t="shared" si="10"/>
        <v>1.9649351417945602E-3</v>
      </c>
      <c r="W47" s="100">
        <f t="shared" si="11"/>
        <v>1.3099567611963734E-3</v>
      </c>
    </row>
    <row r="48" spans="2:23">
      <c r="B48" s="96">
        <f>Amnt_Deposited!B43</f>
        <v>2029</v>
      </c>
      <c r="C48" s="99">
        <f>Amnt_Deposited!C43</f>
        <v>0</v>
      </c>
      <c r="D48" s="418">
        <f>Dry_Matter_Content!C35</f>
        <v>0.59</v>
      </c>
      <c r="E48" s="284">
        <f>MCF!R47</f>
        <v>1</v>
      </c>
      <c r="F48" s="67">
        <f t="shared" si="4"/>
        <v>0</v>
      </c>
      <c r="G48" s="67">
        <f t="shared" si="0"/>
        <v>0</v>
      </c>
      <c r="H48" s="67">
        <f t="shared" si="5"/>
        <v>0</v>
      </c>
      <c r="I48" s="67">
        <f t="shared" si="1"/>
        <v>1.2956448033013513E-3</v>
      </c>
      <c r="J48" s="67">
        <f t="shared" si="2"/>
        <v>6.3723011363417013E-4</v>
      </c>
      <c r="K48" s="100">
        <f t="shared" si="6"/>
        <v>4.2482007575611342E-4</v>
      </c>
      <c r="O48" s="96">
        <f>Amnt_Deposited!B43</f>
        <v>2029</v>
      </c>
      <c r="P48" s="99">
        <f>Amnt_Deposited!C43</f>
        <v>0</v>
      </c>
      <c r="Q48" s="284">
        <f>MCF!R47</f>
        <v>1</v>
      </c>
      <c r="R48" s="67">
        <f t="shared" si="3"/>
        <v>0</v>
      </c>
      <c r="S48" s="67">
        <f t="shared" si="7"/>
        <v>0</v>
      </c>
      <c r="T48" s="67">
        <f t="shared" si="8"/>
        <v>0</v>
      </c>
      <c r="U48" s="67">
        <f t="shared" si="9"/>
        <v>2.678058708766745E-3</v>
      </c>
      <c r="V48" s="67">
        <f t="shared" si="10"/>
        <v>1.317135414704775E-3</v>
      </c>
      <c r="W48" s="100">
        <f t="shared" si="11"/>
        <v>8.7809027646984993E-4</v>
      </c>
    </row>
    <row r="49" spans="2:23">
      <c r="B49" s="96">
        <f>Amnt_Deposited!B44</f>
        <v>2030</v>
      </c>
      <c r="C49" s="99">
        <f>Amnt_Deposited!C44</f>
        <v>0</v>
      </c>
      <c r="D49" s="418">
        <f>Dry_Matter_Content!C36</f>
        <v>0.59</v>
      </c>
      <c r="E49" s="284">
        <f>MCF!R48</f>
        <v>1</v>
      </c>
      <c r="F49" s="67">
        <f t="shared" si="4"/>
        <v>0</v>
      </c>
      <c r="G49" s="67">
        <f t="shared" si="0"/>
        <v>0</v>
      </c>
      <c r="H49" s="67">
        <f t="shared" si="5"/>
        <v>0</v>
      </c>
      <c r="I49" s="67">
        <f t="shared" si="1"/>
        <v>8.6849668419479865E-4</v>
      </c>
      <c r="J49" s="67">
        <f t="shared" si="2"/>
        <v>4.2714811910655266E-4</v>
      </c>
      <c r="K49" s="100">
        <f t="shared" si="6"/>
        <v>2.8476541273770174E-4</v>
      </c>
      <c r="O49" s="96">
        <f>Amnt_Deposited!B44</f>
        <v>2030</v>
      </c>
      <c r="P49" s="99">
        <f>Amnt_Deposited!C44</f>
        <v>0</v>
      </c>
      <c r="Q49" s="284">
        <f>MCF!R48</f>
        <v>1</v>
      </c>
      <c r="R49" s="67">
        <f t="shared" si="3"/>
        <v>0</v>
      </c>
      <c r="S49" s="67">
        <f t="shared" si="7"/>
        <v>0</v>
      </c>
      <c r="T49" s="67">
        <f t="shared" si="8"/>
        <v>0</v>
      </c>
      <c r="U49" s="67">
        <f t="shared" si="9"/>
        <v>1.7951564369466694E-3</v>
      </c>
      <c r="V49" s="67">
        <f t="shared" si="10"/>
        <v>8.8290227182007564E-4</v>
      </c>
      <c r="W49" s="100">
        <f t="shared" si="11"/>
        <v>5.8860151454671709E-4</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5.8217073733125759E-4</v>
      </c>
      <c r="J50" s="67">
        <f t="shared" si="2"/>
        <v>2.8632594686354111E-4</v>
      </c>
      <c r="K50" s="100">
        <f t="shared" si="6"/>
        <v>1.9088396457569407E-4</v>
      </c>
      <c r="O50" s="96">
        <f>Amnt_Deposited!B45</f>
        <v>2031</v>
      </c>
      <c r="P50" s="99">
        <f>Amnt_Deposited!C45</f>
        <v>0</v>
      </c>
      <c r="Q50" s="284">
        <f>MCF!R49</f>
        <v>1</v>
      </c>
      <c r="R50" s="67">
        <f t="shared" si="3"/>
        <v>0</v>
      </c>
      <c r="S50" s="67">
        <f t="shared" si="7"/>
        <v>0</v>
      </c>
      <c r="T50" s="67">
        <f t="shared" si="8"/>
        <v>0</v>
      </c>
      <c r="U50" s="67">
        <f t="shared" si="9"/>
        <v>1.2033293454552657E-3</v>
      </c>
      <c r="V50" s="67">
        <f t="shared" si="10"/>
        <v>5.9182709149140371E-4</v>
      </c>
      <c r="W50" s="100">
        <f t="shared" si="11"/>
        <v>3.9455139432760246E-4</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3.9024071544849068E-4</v>
      </c>
      <c r="J51" s="67">
        <f t="shared" ref="J51:J82" si="16">I50*(1-$K$10)+H51</f>
        <v>1.9193002188276691E-4</v>
      </c>
      <c r="K51" s="100">
        <f t="shared" si="6"/>
        <v>1.2795334792184459E-4</v>
      </c>
      <c r="O51" s="96">
        <f>Amnt_Deposited!B46</f>
        <v>2032</v>
      </c>
      <c r="P51" s="99">
        <f>Amnt_Deposited!C46</f>
        <v>0</v>
      </c>
      <c r="Q51" s="284">
        <f>MCF!R50</f>
        <v>1</v>
      </c>
      <c r="R51" s="67">
        <f t="shared" ref="R51:R82" si="17">P51*$W$6*DOCF*Q51</f>
        <v>0</v>
      </c>
      <c r="S51" s="67">
        <f t="shared" si="7"/>
        <v>0</v>
      </c>
      <c r="T51" s="67">
        <f t="shared" si="8"/>
        <v>0</v>
      </c>
      <c r="U51" s="67">
        <f t="shared" si="9"/>
        <v>8.0661578224160938E-4</v>
      </c>
      <c r="V51" s="67">
        <f t="shared" si="10"/>
        <v>3.9671356321365625E-4</v>
      </c>
      <c r="W51" s="100">
        <f t="shared" si="11"/>
        <v>2.6447570880910415E-4</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2.6158617434441311E-4</v>
      </c>
      <c r="J52" s="67">
        <f t="shared" si="16"/>
        <v>1.2865454110407758E-4</v>
      </c>
      <c r="K52" s="100">
        <f t="shared" si="6"/>
        <v>8.5769694069385053E-5</v>
      </c>
      <c r="O52" s="96">
        <f>Amnt_Deposited!B47</f>
        <v>2033</v>
      </c>
      <c r="P52" s="99">
        <f>Amnt_Deposited!C47</f>
        <v>0</v>
      </c>
      <c r="Q52" s="284">
        <f>MCF!R51</f>
        <v>1</v>
      </c>
      <c r="R52" s="67">
        <f t="shared" si="17"/>
        <v>0</v>
      </c>
      <c r="S52" s="67">
        <f t="shared" si="7"/>
        <v>0</v>
      </c>
      <c r="T52" s="67">
        <f t="shared" si="8"/>
        <v>0</v>
      </c>
      <c r="U52" s="67">
        <f t="shared" si="9"/>
        <v>5.4069072828526882E-4</v>
      </c>
      <c r="V52" s="67">
        <f t="shared" si="10"/>
        <v>2.6592505395634056E-4</v>
      </c>
      <c r="W52" s="100">
        <f t="shared" si="11"/>
        <v>1.7728336930422704E-4</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1.7534645642883377E-4</v>
      </c>
      <c r="J53" s="67">
        <f t="shared" si="16"/>
        <v>8.6239717915579333E-5</v>
      </c>
      <c r="K53" s="100">
        <f t="shared" si="6"/>
        <v>5.7493145277052886E-5</v>
      </c>
      <c r="O53" s="96">
        <f>Amnt_Deposited!B48</f>
        <v>2034</v>
      </c>
      <c r="P53" s="99">
        <f>Amnt_Deposited!C48</f>
        <v>0</v>
      </c>
      <c r="Q53" s="284">
        <f>MCF!R52</f>
        <v>1</v>
      </c>
      <c r="R53" s="67">
        <f t="shared" si="17"/>
        <v>0</v>
      </c>
      <c r="S53" s="67">
        <f t="shared" si="7"/>
        <v>0</v>
      </c>
      <c r="T53" s="67">
        <f t="shared" si="8"/>
        <v>0</v>
      </c>
      <c r="U53" s="67">
        <f t="shared" si="9"/>
        <v>3.6243583387522477E-4</v>
      </c>
      <c r="V53" s="67">
        <f t="shared" si="10"/>
        <v>1.7825489441004408E-4</v>
      </c>
      <c r="W53" s="100">
        <f t="shared" si="11"/>
        <v>1.1883659627336272E-4</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1.1753824474556209E-4</v>
      </c>
      <c r="J54" s="67">
        <f t="shared" si="16"/>
        <v>5.7808211683271693E-5</v>
      </c>
      <c r="K54" s="100">
        <f t="shared" si="6"/>
        <v>3.8538807788847791E-5</v>
      </c>
      <c r="O54" s="96">
        <f>Amnt_Deposited!B49</f>
        <v>2035</v>
      </c>
      <c r="P54" s="99">
        <f>Amnt_Deposited!C49</f>
        <v>0</v>
      </c>
      <c r="Q54" s="284">
        <f>MCF!R53</f>
        <v>1</v>
      </c>
      <c r="R54" s="67">
        <f t="shared" si="17"/>
        <v>0</v>
      </c>
      <c r="S54" s="67">
        <f t="shared" si="7"/>
        <v>0</v>
      </c>
      <c r="T54" s="67">
        <f t="shared" si="8"/>
        <v>0</v>
      </c>
      <c r="U54" s="67">
        <f t="shared" si="9"/>
        <v>2.42948004848206E-4</v>
      </c>
      <c r="V54" s="67">
        <f t="shared" si="10"/>
        <v>1.1948782902701878E-4</v>
      </c>
      <c r="W54" s="100">
        <f t="shared" si="11"/>
        <v>7.965855268467918E-5</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7.8788241628793422E-5</v>
      </c>
      <c r="J55" s="67">
        <f t="shared" si="16"/>
        <v>3.8750003116768664E-5</v>
      </c>
      <c r="K55" s="100">
        <f t="shared" si="6"/>
        <v>2.5833335411179108E-5</v>
      </c>
      <c r="O55" s="96">
        <f>Amnt_Deposited!B50</f>
        <v>2036</v>
      </c>
      <c r="P55" s="99">
        <f>Amnt_Deposited!C50</f>
        <v>0</v>
      </c>
      <c r="Q55" s="284">
        <f>MCF!R54</f>
        <v>1</v>
      </c>
      <c r="R55" s="67">
        <f t="shared" si="17"/>
        <v>0</v>
      </c>
      <c r="S55" s="67">
        <f t="shared" si="7"/>
        <v>0</v>
      </c>
      <c r="T55" s="67">
        <f t="shared" si="8"/>
        <v>0</v>
      </c>
      <c r="U55" s="67">
        <f t="shared" si="9"/>
        <v>1.6285291779411618E-4</v>
      </c>
      <c r="V55" s="67">
        <f t="shared" si="10"/>
        <v>8.0095087054089833E-5</v>
      </c>
      <c r="W55" s="100">
        <f t="shared" si="11"/>
        <v>5.3396724702726555E-5</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5.2813337755679881E-5</v>
      </c>
      <c r="J56" s="67">
        <f t="shared" si="16"/>
        <v>2.5974903873113541E-5</v>
      </c>
      <c r="K56" s="100">
        <f t="shared" si="6"/>
        <v>1.7316602582075693E-5</v>
      </c>
      <c r="O56" s="96">
        <f>Amnt_Deposited!B51</f>
        <v>2037</v>
      </c>
      <c r="P56" s="99">
        <f>Amnt_Deposited!C51</f>
        <v>0</v>
      </c>
      <c r="Q56" s="284">
        <f>MCF!R55</f>
        <v>1</v>
      </c>
      <c r="R56" s="67">
        <f t="shared" si="17"/>
        <v>0</v>
      </c>
      <c r="S56" s="67">
        <f t="shared" si="7"/>
        <v>0</v>
      </c>
      <c r="T56" s="67">
        <f t="shared" si="8"/>
        <v>0</v>
      </c>
      <c r="U56" s="67">
        <f t="shared" si="9"/>
        <v>1.0916357535279015E-4</v>
      </c>
      <c r="V56" s="67">
        <f t="shared" si="10"/>
        <v>5.3689342441326035E-5</v>
      </c>
      <c r="W56" s="100">
        <f t="shared" si="11"/>
        <v>3.5792894960884019E-5</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3.5401838995683104E-5</v>
      </c>
      <c r="J57" s="67">
        <f t="shared" si="16"/>
        <v>1.7411498759996773E-5</v>
      </c>
      <c r="K57" s="100">
        <f t="shared" si="6"/>
        <v>1.1607665839997849E-5</v>
      </c>
      <c r="O57" s="96">
        <f>Amnt_Deposited!B52</f>
        <v>2038</v>
      </c>
      <c r="P57" s="99">
        <f>Amnt_Deposited!C52</f>
        <v>0</v>
      </c>
      <c r="Q57" s="284">
        <f>MCF!R56</f>
        <v>1</v>
      </c>
      <c r="R57" s="67">
        <f t="shared" si="17"/>
        <v>0</v>
      </c>
      <c r="S57" s="67">
        <f t="shared" si="7"/>
        <v>0</v>
      </c>
      <c r="T57" s="67">
        <f t="shared" si="8"/>
        <v>0</v>
      </c>
      <c r="U57" s="67">
        <f t="shared" si="9"/>
        <v>7.3174532855897279E-5</v>
      </c>
      <c r="V57" s="67">
        <f t="shared" si="10"/>
        <v>3.5989042496892877E-5</v>
      </c>
      <c r="W57" s="100">
        <f t="shared" si="11"/>
        <v>2.3992694997928582E-5</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2.373056234533259E-5</v>
      </c>
      <c r="J58" s="67">
        <f t="shared" si="16"/>
        <v>1.1671276650350513E-5</v>
      </c>
      <c r="K58" s="100">
        <f t="shared" si="6"/>
        <v>7.7808511002336756E-6</v>
      </c>
      <c r="O58" s="96">
        <f>Amnt_Deposited!B53</f>
        <v>2039</v>
      </c>
      <c r="P58" s="99">
        <f>Amnt_Deposited!C53</f>
        <v>0</v>
      </c>
      <c r="Q58" s="284">
        <f>MCF!R57</f>
        <v>1</v>
      </c>
      <c r="R58" s="67">
        <f t="shared" si="17"/>
        <v>0</v>
      </c>
      <c r="S58" s="67">
        <f t="shared" si="7"/>
        <v>0</v>
      </c>
      <c r="T58" s="67">
        <f t="shared" si="8"/>
        <v>0</v>
      </c>
      <c r="U58" s="67">
        <f t="shared" si="9"/>
        <v>4.9050356232601468E-5</v>
      </c>
      <c r="V58" s="67">
        <f t="shared" si="10"/>
        <v>2.4124176623295811E-5</v>
      </c>
      <c r="W58" s="100">
        <f t="shared" si="11"/>
        <v>1.6082784415530539E-5</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1.590707164377495E-5</v>
      </c>
      <c r="J59" s="67">
        <f t="shared" si="16"/>
        <v>7.8234907015576388E-6</v>
      </c>
      <c r="K59" s="100">
        <f t="shared" si="6"/>
        <v>5.215660467705092E-6</v>
      </c>
      <c r="O59" s="96">
        <f>Amnt_Deposited!B54</f>
        <v>2040</v>
      </c>
      <c r="P59" s="99">
        <f>Amnt_Deposited!C54</f>
        <v>0</v>
      </c>
      <c r="Q59" s="284">
        <f>MCF!R58</f>
        <v>1</v>
      </c>
      <c r="R59" s="67">
        <f t="shared" si="17"/>
        <v>0</v>
      </c>
      <c r="S59" s="67">
        <f t="shared" si="7"/>
        <v>0</v>
      </c>
      <c r="T59" s="67">
        <f t="shared" si="8"/>
        <v>0</v>
      </c>
      <c r="U59" s="67">
        <f t="shared" si="9"/>
        <v>3.2879437047901926E-5</v>
      </c>
      <c r="V59" s="67">
        <f t="shared" si="10"/>
        <v>1.6170919184699542E-5</v>
      </c>
      <c r="W59" s="100">
        <f t="shared" si="11"/>
        <v>1.0780612789799694E-5</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1.0662828996547438E-5</v>
      </c>
      <c r="J60" s="67">
        <f t="shared" si="16"/>
        <v>5.2442426472275121E-6</v>
      </c>
      <c r="K60" s="100">
        <f t="shared" si="6"/>
        <v>3.4961617648183413E-6</v>
      </c>
      <c r="O60" s="96">
        <f>Amnt_Deposited!B55</f>
        <v>2041</v>
      </c>
      <c r="P60" s="99">
        <f>Amnt_Deposited!C55</f>
        <v>0</v>
      </c>
      <c r="Q60" s="284">
        <f>MCF!R59</f>
        <v>1</v>
      </c>
      <c r="R60" s="67">
        <f t="shared" si="17"/>
        <v>0</v>
      </c>
      <c r="S60" s="67">
        <f t="shared" si="7"/>
        <v>0</v>
      </c>
      <c r="T60" s="67">
        <f t="shared" si="8"/>
        <v>0</v>
      </c>
      <c r="U60" s="67">
        <f t="shared" si="9"/>
        <v>2.2039745755575525E-5</v>
      </c>
      <c r="V60" s="67">
        <f t="shared" si="10"/>
        <v>1.0839691292326402E-5</v>
      </c>
      <c r="W60" s="100">
        <f t="shared" si="11"/>
        <v>7.2264608615509343E-6</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7.1475080238358281E-6</v>
      </c>
      <c r="J61" s="67">
        <f t="shared" si="16"/>
        <v>3.5153209727116092E-6</v>
      </c>
      <c r="K61" s="100">
        <f t="shared" si="6"/>
        <v>2.3435473151410728E-6</v>
      </c>
      <c r="O61" s="96">
        <f>Amnt_Deposited!B56</f>
        <v>2042</v>
      </c>
      <c r="P61" s="99">
        <f>Amnt_Deposited!C56</f>
        <v>0</v>
      </c>
      <c r="Q61" s="284">
        <f>MCF!R60</f>
        <v>1</v>
      </c>
      <c r="R61" s="67">
        <f t="shared" si="17"/>
        <v>0</v>
      </c>
      <c r="S61" s="67">
        <f t="shared" si="7"/>
        <v>0</v>
      </c>
      <c r="T61" s="67">
        <f t="shared" si="8"/>
        <v>0</v>
      </c>
      <c r="U61" s="67">
        <f t="shared" si="9"/>
        <v>1.4773683389491173E-5</v>
      </c>
      <c r="V61" s="67">
        <f t="shared" si="10"/>
        <v>7.2660623660843525E-6</v>
      </c>
      <c r="W61" s="100">
        <f t="shared" si="11"/>
        <v>4.8440415773895683E-6</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4.7911179075777337E-6</v>
      </c>
      <c r="J62" s="67">
        <f t="shared" si="16"/>
        <v>2.3563901162580945E-6</v>
      </c>
      <c r="K62" s="100">
        <f t="shared" si="6"/>
        <v>1.570926744172063E-6</v>
      </c>
      <c r="O62" s="96">
        <f>Amnt_Deposited!B57</f>
        <v>2043</v>
      </c>
      <c r="P62" s="99">
        <f>Amnt_Deposited!C57</f>
        <v>0</v>
      </c>
      <c r="Q62" s="284">
        <f>MCF!R61</f>
        <v>1</v>
      </c>
      <c r="R62" s="67">
        <f t="shared" si="17"/>
        <v>0</v>
      </c>
      <c r="S62" s="67">
        <f t="shared" si="7"/>
        <v>0</v>
      </c>
      <c r="T62" s="67">
        <f t="shared" si="8"/>
        <v>0</v>
      </c>
      <c r="U62" s="67">
        <f t="shared" si="9"/>
        <v>9.9030961297596835E-6</v>
      </c>
      <c r="V62" s="67">
        <f t="shared" si="10"/>
        <v>4.8705872597314901E-6</v>
      </c>
      <c r="W62" s="100">
        <f t="shared" si="11"/>
        <v>3.2470581731543264E-6</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3.2115823763696823E-6</v>
      </c>
      <c r="J63" s="67">
        <f t="shared" si="16"/>
        <v>1.5795355312080513E-6</v>
      </c>
      <c r="K63" s="100">
        <f t="shared" si="6"/>
        <v>1.0530236874720341E-6</v>
      </c>
      <c r="O63" s="96">
        <f>Amnt_Deposited!B58</f>
        <v>2044</v>
      </c>
      <c r="P63" s="99">
        <f>Amnt_Deposited!C58</f>
        <v>0</v>
      </c>
      <c r="Q63" s="284">
        <f>MCF!R62</f>
        <v>1</v>
      </c>
      <c r="R63" s="67">
        <f t="shared" si="17"/>
        <v>0</v>
      </c>
      <c r="S63" s="67">
        <f t="shared" si="7"/>
        <v>0</v>
      </c>
      <c r="T63" s="67">
        <f t="shared" si="8"/>
        <v>0</v>
      </c>
      <c r="U63" s="67">
        <f t="shared" si="9"/>
        <v>6.6382438535958724E-6</v>
      </c>
      <c r="V63" s="67">
        <f t="shared" si="10"/>
        <v>3.2648522761638106E-6</v>
      </c>
      <c r="W63" s="100">
        <f t="shared" si="11"/>
        <v>2.1765681841092069E-6</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2.1527880463753732E-6</v>
      </c>
      <c r="J64" s="67">
        <f t="shared" si="16"/>
        <v>1.0587943299943089E-6</v>
      </c>
      <c r="K64" s="100">
        <f t="shared" si="6"/>
        <v>7.0586288666287256E-7</v>
      </c>
      <c r="O64" s="96">
        <f>Amnt_Deposited!B59</f>
        <v>2045</v>
      </c>
      <c r="P64" s="99">
        <f>Amnt_Deposited!C59</f>
        <v>0</v>
      </c>
      <c r="Q64" s="284">
        <f>MCF!R63</f>
        <v>1</v>
      </c>
      <c r="R64" s="67">
        <f t="shared" si="17"/>
        <v>0</v>
      </c>
      <c r="S64" s="67">
        <f t="shared" si="7"/>
        <v>0</v>
      </c>
      <c r="T64" s="67">
        <f t="shared" si="8"/>
        <v>0</v>
      </c>
      <c r="U64" s="67">
        <f t="shared" si="9"/>
        <v>4.4497479255381853E-6</v>
      </c>
      <c r="V64" s="67">
        <f t="shared" si="10"/>
        <v>2.1884959280576875E-6</v>
      </c>
      <c r="W64" s="100">
        <f t="shared" si="11"/>
        <v>1.4589972853717917E-6</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1.4430569823513143E-6</v>
      </c>
      <c r="J65" s="67">
        <f t="shared" si="16"/>
        <v>7.09731064024059E-7</v>
      </c>
      <c r="K65" s="100">
        <f t="shared" si="6"/>
        <v>4.7315404268270598E-7</v>
      </c>
      <c r="O65" s="96">
        <f>Amnt_Deposited!B60</f>
        <v>2046</v>
      </c>
      <c r="P65" s="99">
        <f>Amnt_Deposited!C60</f>
        <v>0</v>
      </c>
      <c r="Q65" s="284">
        <f>MCF!R64</f>
        <v>1</v>
      </c>
      <c r="R65" s="67">
        <f t="shared" si="17"/>
        <v>0</v>
      </c>
      <c r="S65" s="67">
        <f t="shared" si="7"/>
        <v>0</v>
      </c>
      <c r="T65" s="67">
        <f t="shared" si="8"/>
        <v>0</v>
      </c>
      <c r="U65" s="67">
        <f t="shared" si="9"/>
        <v>2.9827552342937469E-6</v>
      </c>
      <c r="V65" s="67">
        <f t="shared" si="10"/>
        <v>1.4669926912444384E-6</v>
      </c>
      <c r="W65" s="100">
        <f t="shared" si="11"/>
        <v>9.7799512749629227E-7</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9.6731002284178386E-7</v>
      </c>
      <c r="J66" s="67">
        <f t="shared" si="16"/>
        <v>4.7574695950953054E-7</v>
      </c>
      <c r="K66" s="100">
        <f t="shared" si="6"/>
        <v>3.1716463967302036E-7</v>
      </c>
      <c r="O66" s="96">
        <f>Amnt_Deposited!B61</f>
        <v>2047</v>
      </c>
      <c r="P66" s="99">
        <f>Amnt_Deposited!C61</f>
        <v>0</v>
      </c>
      <c r="Q66" s="284">
        <f>MCF!R65</f>
        <v>1</v>
      </c>
      <c r="R66" s="67">
        <f t="shared" si="17"/>
        <v>0</v>
      </c>
      <c r="S66" s="67">
        <f t="shared" si="7"/>
        <v>0</v>
      </c>
      <c r="T66" s="67">
        <f t="shared" si="8"/>
        <v>0</v>
      </c>
      <c r="U66" s="67">
        <f t="shared" si="9"/>
        <v>1.9994006259648285E-6</v>
      </c>
      <c r="V66" s="67">
        <f t="shared" si="10"/>
        <v>9.8335460832891821E-7</v>
      </c>
      <c r="W66" s="100">
        <f t="shared" si="11"/>
        <v>6.5556973888594547E-7</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6.4840729904203985E-7</v>
      </c>
      <c r="J67" s="67">
        <f t="shared" si="16"/>
        <v>3.1890272379974395E-7</v>
      </c>
      <c r="K67" s="100">
        <f t="shared" si="6"/>
        <v>2.1260181586649597E-7</v>
      </c>
      <c r="O67" s="96">
        <f>Amnt_Deposited!B62</f>
        <v>2048</v>
      </c>
      <c r="P67" s="99">
        <f>Amnt_Deposited!C62</f>
        <v>0</v>
      </c>
      <c r="Q67" s="284">
        <f>MCF!R66</f>
        <v>1</v>
      </c>
      <c r="R67" s="67">
        <f t="shared" si="17"/>
        <v>0</v>
      </c>
      <c r="S67" s="67">
        <f t="shared" si="7"/>
        <v>0</v>
      </c>
      <c r="T67" s="67">
        <f t="shared" si="8"/>
        <v>0</v>
      </c>
      <c r="U67" s="67">
        <f t="shared" si="9"/>
        <v>1.3402383196404298E-6</v>
      </c>
      <c r="V67" s="67">
        <f t="shared" si="10"/>
        <v>6.5916230632439851E-7</v>
      </c>
      <c r="W67" s="100">
        <f t="shared" si="11"/>
        <v>4.3944153754959901E-7</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4.3464041054370472E-7</v>
      </c>
      <c r="J68" s="67">
        <f t="shared" si="16"/>
        <v>2.1376688849833513E-7</v>
      </c>
      <c r="K68" s="100">
        <f t="shared" si="6"/>
        <v>1.4251125899889008E-7</v>
      </c>
      <c r="O68" s="96">
        <f>Amnt_Deposited!B63</f>
        <v>2049</v>
      </c>
      <c r="P68" s="99">
        <f>Amnt_Deposited!C63</f>
        <v>0</v>
      </c>
      <c r="Q68" s="284">
        <f>MCF!R67</f>
        <v>1</v>
      </c>
      <c r="R68" s="67">
        <f t="shared" si="17"/>
        <v>0</v>
      </c>
      <c r="S68" s="67">
        <f t="shared" si="7"/>
        <v>0</v>
      </c>
      <c r="T68" s="67">
        <f t="shared" si="8"/>
        <v>0</v>
      </c>
      <c r="U68" s="67">
        <f t="shared" si="9"/>
        <v>8.9838861212010084E-7</v>
      </c>
      <c r="V68" s="67">
        <f t="shared" si="10"/>
        <v>4.41849707520329E-7</v>
      </c>
      <c r="W68" s="100">
        <f t="shared" si="11"/>
        <v>2.9456647168021932E-7</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2.9134818000460531E-7</v>
      </c>
      <c r="J69" s="67">
        <f t="shared" si="16"/>
        <v>1.4329223053909938E-7</v>
      </c>
      <c r="K69" s="100">
        <f t="shared" si="6"/>
        <v>9.5528153692732918E-8</v>
      </c>
      <c r="O69" s="96">
        <f>Amnt_Deposited!B64</f>
        <v>2050</v>
      </c>
      <c r="P69" s="99">
        <f>Amnt_Deposited!C64</f>
        <v>0</v>
      </c>
      <c r="Q69" s="284">
        <f>MCF!R68</f>
        <v>1</v>
      </c>
      <c r="R69" s="67">
        <f t="shared" si="17"/>
        <v>0</v>
      </c>
      <c r="S69" s="67">
        <f t="shared" si="7"/>
        <v>0</v>
      </c>
      <c r="T69" s="67">
        <f t="shared" si="8"/>
        <v>0</v>
      </c>
      <c r="U69" s="67">
        <f t="shared" si="9"/>
        <v>6.0220789583424008E-7</v>
      </c>
      <c r="V69" s="67">
        <f t="shared" si="10"/>
        <v>2.961807162858607E-7</v>
      </c>
      <c r="W69" s="100">
        <f t="shared" si="11"/>
        <v>1.9745381085724045E-7</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1.9529652543308676E-7</v>
      </c>
      <c r="J70" s="67">
        <f t="shared" si="16"/>
        <v>9.6051654571518548E-8</v>
      </c>
      <c r="K70" s="100">
        <f t="shared" si="6"/>
        <v>6.4034436381012357E-8</v>
      </c>
      <c r="O70" s="96">
        <f>Amnt_Deposited!B65</f>
        <v>2051</v>
      </c>
      <c r="P70" s="99">
        <f>Amnt_Deposited!C65</f>
        <v>0</v>
      </c>
      <c r="Q70" s="284">
        <f>MCF!R69</f>
        <v>1</v>
      </c>
      <c r="R70" s="67">
        <f t="shared" si="17"/>
        <v>0</v>
      </c>
      <c r="S70" s="67">
        <f t="shared" si="7"/>
        <v>0</v>
      </c>
      <c r="T70" s="67">
        <f t="shared" si="8"/>
        <v>0</v>
      </c>
      <c r="U70" s="67">
        <f t="shared" si="9"/>
        <v>4.0367202445863329E-7</v>
      </c>
      <c r="V70" s="67">
        <f t="shared" si="10"/>
        <v>1.9853587137560679E-7</v>
      </c>
      <c r="W70" s="100">
        <f t="shared" si="11"/>
        <v>1.3235724758373786E-7</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1.3091117591890713E-7</v>
      </c>
      <c r="J71" s="67">
        <f t="shared" si="16"/>
        <v>6.4385349514179637E-8</v>
      </c>
      <c r="K71" s="100">
        <f t="shared" si="6"/>
        <v>4.292356634278642E-8</v>
      </c>
      <c r="O71" s="96">
        <f>Amnt_Deposited!B66</f>
        <v>2052</v>
      </c>
      <c r="P71" s="99">
        <f>Amnt_Deposited!C66</f>
        <v>0</v>
      </c>
      <c r="Q71" s="284">
        <f>MCF!R70</f>
        <v>1</v>
      </c>
      <c r="R71" s="67">
        <f t="shared" si="17"/>
        <v>0</v>
      </c>
      <c r="S71" s="67">
        <f t="shared" si="7"/>
        <v>0</v>
      </c>
      <c r="T71" s="67">
        <f t="shared" si="8"/>
        <v>0</v>
      </c>
      <c r="U71" s="67">
        <f t="shared" si="9"/>
        <v>2.705894500184108E-7</v>
      </c>
      <c r="V71" s="67">
        <f t="shared" si="10"/>
        <v>1.330825744402225E-7</v>
      </c>
      <c r="W71" s="100">
        <f t="shared" si="11"/>
        <v>8.8721716293481664E-8</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8.7752385468541513E-8</v>
      </c>
      <c r="J72" s="67">
        <f t="shared" si="16"/>
        <v>4.3158790450365627E-8</v>
      </c>
      <c r="K72" s="100">
        <f t="shared" si="6"/>
        <v>2.8772526966910417E-8</v>
      </c>
      <c r="O72" s="96">
        <f>Amnt_Deposited!B67</f>
        <v>2053</v>
      </c>
      <c r="P72" s="99">
        <f>Amnt_Deposited!C67</f>
        <v>0</v>
      </c>
      <c r="Q72" s="284">
        <f>MCF!R71</f>
        <v>1</v>
      </c>
      <c r="R72" s="67">
        <f t="shared" si="17"/>
        <v>0</v>
      </c>
      <c r="S72" s="67">
        <f t="shared" si="7"/>
        <v>0</v>
      </c>
      <c r="T72" s="67">
        <f t="shared" si="8"/>
        <v>0</v>
      </c>
      <c r="U72" s="67">
        <f t="shared" si="9"/>
        <v>1.8138153259309946E-7</v>
      </c>
      <c r="V72" s="67">
        <f t="shared" si="10"/>
        <v>8.920791742531134E-8</v>
      </c>
      <c r="W72" s="100">
        <f t="shared" si="11"/>
        <v>5.9471944950207556E-8</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5.8822183067009912E-8</v>
      </c>
      <c r="J73" s="67">
        <f t="shared" si="16"/>
        <v>2.8930202401531598E-8</v>
      </c>
      <c r="K73" s="100">
        <f t="shared" si="6"/>
        <v>1.9286801601021064E-8</v>
      </c>
      <c r="O73" s="96">
        <f>Amnt_Deposited!B68</f>
        <v>2054</v>
      </c>
      <c r="P73" s="99">
        <f>Amnt_Deposited!C68</f>
        <v>0</v>
      </c>
      <c r="Q73" s="284">
        <f>MCF!R72</f>
        <v>1</v>
      </c>
      <c r="R73" s="67">
        <f t="shared" si="17"/>
        <v>0</v>
      </c>
      <c r="S73" s="67">
        <f t="shared" si="7"/>
        <v>0</v>
      </c>
      <c r="T73" s="67">
        <f t="shared" si="8"/>
        <v>0</v>
      </c>
      <c r="U73" s="67">
        <f t="shared" si="9"/>
        <v>1.2158367727782125E-7</v>
      </c>
      <c r="V73" s="67">
        <f t="shared" si="10"/>
        <v>5.9797855315278217E-8</v>
      </c>
      <c r="W73" s="100">
        <f t="shared" si="11"/>
        <v>3.9865236876852142E-8</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3.942968846139489E-8</v>
      </c>
      <c r="J74" s="67">
        <f t="shared" si="16"/>
        <v>1.9392494605615022E-8</v>
      </c>
      <c r="K74" s="100">
        <f t="shared" si="6"/>
        <v>1.2928329737076681E-8</v>
      </c>
      <c r="O74" s="96">
        <f>Amnt_Deposited!B69</f>
        <v>2055</v>
      </c>
      <c r="P74" s="99">
        <f>Amnt_Deposited!C69</f>
        <v>0</v>
      </c>
      <c r="Q74" s="284">
        <f>MCF!R73</f>
        <v>1</v>
      </c>
      <c r="R74" s="67">
        <f t="shared" si="17"/>
        <v>0</v>
      </c>
      <c r="S74" s="67">
        <f t="shared" si="7"/>
        <v>0</v>
      </c>
      <c r="T74" s="67">
        <f t="shared" si="8"/>
        <v>0</v>
      </c>
      <c r="U74" s="67">
        <f t="shared" si="9"/>
        <v>8.1499976150051464E-8</v>
      </c>
      <c r="V74" s="67">
        <f t="shared" si="10"/>
        <v>4.0083701127769796E-8</v>
      </c>
      <c r="W74" s="100">
        <f t="shared" si="11"/>
        <v>2.6722467418513195E-8</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2.643051058461314E-8</v>
      </c>
      <c r="J75" s="67">
        <f t="shared" si="16"/>
        <v>1.299917787678175E-8</v>
      </c>
      <c r="K75" s="100">
        <f t="shared" si="6"/>
        <v>8.6661185845211655E-9</v>
      </c>
      <c r="O75" s="96">
        <f>Amnt_Deposited!B70</f>
        <v>2056</v>
      </c>
      <c r="P75" s="99">
        <f>Amnt_Deposited!C70</f>
        <v>0</v>
      </c>
      <c r="Q75" s="284">
        <f>MCF!R74</f>
        <v>1</v>
      </c>
      <c r="R75" s="67">
        <f t="shared" si="17"/>
        <v>0</v>
      </c>
      <c r="S75" s="67">
        <f t="shared" si="7"/>
        <v>0</v>
      </c>
      <c r="T75" s="67">
        <f t="shared" si="8"/>
        <v>0</v>
      </c>
      <c r="U75" s="67">
        <f t="shared" si="9"/>
        <v>5.4631067764806006E-8</v>
      </c>
      <c r="V75" s="67">
        <f t="shared" si="10"/>
        <v>2.6868908385245458E-8</v>
      </c>
      <c r="W75" s="100">
        <f t="shared" si="11"/>
        <v>1.7912605590163638E-8</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1.7716901071823332E-8</v>
      </c>
      <c r="J76" s="67">
        <f t="shared" si="16"/>
        <v>8.7136095127898078E-9</v>
      </c>
      <c r="K76" s="100">
        <f t="shared" si="6"/>
        <v>5.8090730085265383E-9</v>
      </c>
      <c r="O76" s="96">
        <f>Amnt_Deposited!B71</f>
        <v>2057</v>
      </c>
      <c r="P76" s="99">
        <f>Amnt_Deposited!C71</f>
        <v>0</v>
      </c>
      <c r="Q76" s="284">
        <f>MCF!R75</f>
        <v>1</v>
      </c>
      <c r="R76" s="67">
        <f t="shared" si="17"/>
        <v>0</v>
      </c>
      <c r="S76" s="67">
        <f t="shared" si="7"/>
        <v>0</v>
      </c>
      <c r="T76" s="67">
        <f t="shared" si="8"/>
        <v>0</v>
      </c>
      <c r="U76" s="67">
        <f t="shared" si="9"/>
        <v>3.6620299859080891E-8</v>
      </c>
      <c r="V76" s="67">
        <f t="shared" si="10"/>
        <v>1.8010767905725111E-8</v>
      </c>
      <c r="W76" s="100">
        <f t="shared" si="11"/>
        <v>1.2007178603816741E-8</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1.1875993942073484E-8</v>
      </c>
      <c r="J77" s="67">
        <f t="shared" si="16"/>
        <v>5.8409071297498487E-9</v>
      </c>
      <c r="K77" s="100">
        <f t="shared" si="6"/>
        <v>3.8939380864998988E-9</v>
      </c>
      <c r="O77" s="96">
        <f>Amnt_Deposited!B72</f>
        <v>2058</v>
      </c>
      <c r="P77" s="99">
        <f>Amnt_Deposited!C72</f>
        <v>0</v>
      </c>
      <c r="Q77" s="284">
        <f>MCF!R76</f>
        <v>1</v>
      </c>
      <c r="R77" s="67">
        <f t="shared" si="17"/>
        <v>0</v>
      </c>
      <c r="S77" s="67">
        <f t="shared" si="7"/>
        <v>0</v>
      </c>
      <c r="T77" s="67">
        <f t="shared" si="8"/>
        <v>0</v>
      </c>
      <c r="U77" s="67">
        <f t="shared" si="9"/>
        <v>2.4547321087378021E-8</v>
      </c>
      <c r="V77" s="67">
        <f t="shared" si="10"/>
        <v>1.2072978771702872E-8</v>
      </c>
      <c r="W77" s="100">
        <f t="shared" si="11"/>
        <v>8.0486525144685816E-9</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7.9607168059696715E-9</v>
      </c>
      <c r="J78" s="67">
        <f t="shared" si="16"/>
        <v>3.9152771361038129E-9</v>
      </c>
      <c r="K78" s="100">
        <f t="shared" si="6"/>
        <v>2.6101847574025419E-9</v>
      </c>
      <c r="O78" s="96">
        <f>Amnt_Deposited!B73</f>
        <v>2059</v>
      </c>
      <c r="P78" s="99">
        <f>Amnt_Deposited!C73</f>
        <v>0</v>
      </c>
      <c r="Q78" s="284">
        <f>MCF!R77</f>
        <v>1</v>
      </c>
      <c r="R78" s="67">
        <f t="shared" si="17"/>
        <v>0</v>
      </c>
      <c r="S78" s="67">
        <f t="shared" si="7"/>
        <v>0</v>
      </c>
      <c r="T78" s="67">
        <f t="shared" si="8"/>
        <v>0</v>
      </c>
      <c r="U78" s="67">
        <f t="shared" si="9"/>
        <v>1.6454561401342855E-8</v>
      </c>
      <c r="V78" s="67">
        <f t="shared" si="10"/>
        <v>8.0927596860351659E-9</v>
      </c>
      <c r="W78" s="100">
        <f t="shared" si="11"/>
        <v>5.3951731240234437E-9</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5.3362280558542778E-9</v>
      </c>
      <c r="J79" s="67">
        <f t="shared" si="16"/>
        <v>2.6244887501153937E-9</v>
      </c>
      <c r="K79" s="100">
        <f t="shared" si="6"/>
        <v>1.7496591667435956E-9</v>
      </c>
      <c r="O79" s="96">
        <f>Amnt_Deposited!B74</f>
        <v>2060</v>
      </c>
      <c r="P79" s="99">
        <f>Amnt_Deposited!C74</f>
        <v>0</v>
      </c>
      <c r="Q79" s="284">
        <f>MCF!R78</f>
        <v>1</v>
      </c>
      <c r="R79" s="67">
        <f t="shared" si="17"/>
        <v>0</v>
      </c>
      <c r="S79" s="67">
        <f t="shared" si="7"/>
        <v>0</v>
      </c>
      <c r="T79" s="67">
        <f t="shared" si="8"/>
        <v>0</v>
      </c>
      <c r="U79" s="67">
        <f t="shared" si="9"/>
        <v>1.1029822356044396E-8</v>
      </c>
      <c r="V79" s="67">
        <f t="shared" si="10"/>
        <v>5.4247390452984586E-9</v>
      </c>
      <c r="W79" s="100">
        <f t="shared" si="11"/>
        <v>3.6164926968656388E-9</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3.5769806360569096E-9</v>
      </c>
      <c r="J80" s="67">
        <f t="shared" si="16"/>
        <v>1.7592474197973682E-9</v>
      </c>
      <c r="K80" s="100">
        <f t="shared" si="6"/>
        <v>1.1728316131982454E-9</v>
      </c>
      <c r="O80" s="96">
        <f>Amnt_Deposited!B75</f>
        <v>2061</v>
      </c>
      <c r="P80" s="99">
        <f>Amnt_Deposited!C75</f>
        <v>0</v>
      </c>
      <c r="Q80" s="284">
        <f>MCF!R79</f>
        <v>1</v>
      </c>
      <c r="R80" s="67">
        <f t="shared" si="17"/>
        <v>0</v>
      </c>
      <c r="S80" s="67">
        <f t="shared" si="7"/>
        <v>0</v>
      </c>
      <c r="T80" s="67">
        <f t="shared" si="8"/>
        <v>0</v>
      </c>
      <c r="U80" s="67">
        <f t="shared" si="9"/>
        <v>7.3935110294686033E-9</v>
      </c>
      <c r="V80" s="67">
        <f t="shared" si="10"/>
        <v>3.6363113265757925E-9</v>
      </c>
      <c r="W80" s="100">
        <f t="shared" si="11"/>
        <v>2.4242075510505284E-9</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2.3977218246302582E-9</v>
      </c>
      <c r="J81" s="67">
        <f t="shared" si="16"/>
        <v>1.1792588114266514E-9</v>
      </c>
      <c r="K81" s="100">
        <f t="shared" si="6"/>
        <v>7.8617254095110088E-10</v>
      </c>
      <c r="O81" s="96">
        <f>Amnt_Deposited!B76</f>
        <v>2062</v>
      </c>
      <c r="P81" s="99">
        <f>Amnt_Deposited!C76</f>
        <v>0</v>
      </c>
      <c r="Q81" s="284">
        <f>MCF!R80</f>
        <v>1</v>
      </c>
      <c r="R81" s="67">
        <f t="shared" si="17"/>
        <v>0</v>
      </c>
      <c r="S81" s="67">
        <f t="shared" si="7"/>
        <v>0</v>
      </c>
      <c r="T81" s="67">
        <f t="shared" si="8"/>
        <v>0</v>
      </c>
      <c r="U81" s="67">
        <f t="shared" si="9"/>
        <v>4.9560186536384011E-9</v>
      </c>
      <c r="V81" s="67">
        <f t="shared" si="10"/>
        <v>2.4374923758302018E-9</v>
      </c>
      <c r="W81" s="100">
        <f t="shared" si="11"/>
        <v>1.6249949172201344E-9</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1.6072410038668117E-9</v>
      </c>
      <c r="J82" s="67">
        <f t="shared" si="16"/>
        <v>7.9048082076344643E-10</v>
      </c>
      <c r="K82" s="100">
        <f t="shared" si="6"/>
        <v>5.2698721384229762E-10</v>
      </c>
      <c r="O82" s="96">
        <f>Amnt_Deposited!B77</f>
        <v>2063</v>
      </c>
      <c r="P82" s="99">
        <f>Amnt_Deposited!C77</f>
        <v>0</v>
      </c>
      <c r="Q82" s="284">
        <f>MCF!R81</f>
        <v>1</v>
      </c>
      <c r="R82" s="67">
        <f t="shared" si="17"/>
        <v>0</v>
      </c>
      <c r="S82" s="67">
        <f t="shared" si="7"/>
        <v>0</v>
      </c>
      <c r="T82" s="67">
        <f t="shared" si="8"/>
        <v>0</v>
      </c>
      <c r="U82" s="67">
        <f t="shared" si="9"/>
        <v>3.3221186520603804E-9</v>
      </c>
      <c r="V82" s="67">
        <f t="shared" si="10"/>
        <v>1.6339000015780208E-9</v>
      </c>
      <c r="W82" s="100">
        <f t="shared" si="11"/>
        <v>1.0892666677186805E-9</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1.0773658637023683E-9</v>
      </c>
      <c r="J83" s="67">
        <f t="shared" ref="J83:J99" si="22">I82*(1-$K$10)+H83</f>
        <v>5.2987514016444329E-10</v>
      </c>
      <c r="K83" s="100">
        <f t="shared" si="6"/>
        <v>3.5325009344296216E-10</v>
      </c>
      <c r="O83" s="96">
        <f>Amnt_Deposited!B78</f>
        <v>2064</v>
      </c>
      <c r="P83" s="99">
        <f>Amnt_Deposited!C78</f>
        <v>0</v>
      </c>
      <c r="Q83" s="284">
        <f>MCF!R82</f>
        <v>1</v>
      </c>
      <c r="R83" s="67">
        <f t="shared" ref="R83:R99" si="23">P83*$W$6*DOCF*Q83</f>
        <v>0</v>
      </c>
      <c r="S83" s="67">
        <f t="shared" si="7"/>
        <v>0</v>
      </c>
      <c r="T83" s="67">
        <f t="shared" si="8"/>
        <v>0</v>
      </c>
      <c r="U83" s="67">
        <f t="shared" si="9"/>
        <v>2.2268827277849704E-9</v>
      </c>
      <c r="V83" s="67">
        <f t="shared" si="10"/>
        <v>1.0952359242754102E-9</v>
      </c>
      <c r="W83" s="100">
        <f t="shared" si="11"/>
        <v>7.3015728285027349E-10</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7.2217993535419791E-10</v>
      </c>
      <c r="J84" s="67">
        <f t="shared" si="22"/>
        <v>3.5518592834817047E-10</v>
      </c>
      <c r="K84" s="100">
        <f t="shared" si="6"/>
        <v>2.3679061889878028E-10</v>
      </c>
      <c r="O84" s="96">
        <f>Amnt_Deposited!B79</f>
        <v>2065</v>
      </c>
      <c r="P84" s="99">
        <f>Amnt_Deposited!C79</f>
        <v>0</v>
      </c>
      <c r="Q84" s="284">
        <f>MCF!R83</f>
        <v>1</v>
      </c>
      <c r="R84" s="67">
        <f t="shared" si="23"/>
        <v>0</v>
      </c>
      <c r="S84" s="67">
        <f t="shared" si="7"/>
        <v>0</v>
      </c>
      <c r="T84" s="67">
        <f t="shared" si="8"/>
        <v>0</v>
      </c>
      <c r="U84" s="67">
        <f t="shared" si="9"/>
        <v>1.4927241326047915E-9</v>
      </c>
      <c r="V84" s="67">
        <f t="shared" si="10"/>
        <v>7.3415859518017899E-10</v>
      </c>
      <c r="W84" s="100">
        <f t="shared" si="11"/>
        <v>4.8943906345345266E-10</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4.8409168751264103E-10</v>
      </c>
      <c r="J85" s="67">
        <f t="shared" si="22"/>
        <v>2.3808824784155694E-10</v>
      </c>
      <c r="K85" s="100">
        <f t="shared" ref="K85:K99" si="24">J85*CH4_fraction*conv</f>
        <v>1.5872549856103794E-10</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1.0006029092861537E-9</v>
      </c>
      <c r="V85" s="67">
        <f t="shared" ref="V85:V98" si="28">U84*(1-$W$10)+T85</f>
        <v>4.9212122331863787E-10</v>
      </c>
      <c r="W85" s="100">
        <f t="shared" ref="W85:W99" si="29">V85*CH4_fraction*conv</f>
        <v>3.2808081554575855E-10</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3.2449636225894385E-10</v>
      </c>
      <c r="J86" s="67">
        <f t="shared" si="22"/>
        <v>1.5959532525369718E-10</v>
      </c>
      <c r="K86" s="100">
        <f t="shared" si="24"/>
        <v>1.0639688350246478E-10</v>
      </c>
      <c r="O86" s="96">
        <f>Amnt_Deposited!B81</f>
        <v>2067</v>
      </c>
      <c r="P86" s="99">
        <f>Amnt_Deposited!C81</f>
        <v>0</v>
      </c>
      <c r="Q86" s="284">
        <f>MCF!R85</f>
        <v>1</v>
      </c>
      <c r="R86" s="67">
        <f t="shared" si="23"/>
        <v>0</v>
      </c>
      <c r="S86" s="67">
        <f t="shared" si="25"/>
        <v>0</v>
      </c>
      <c r="T86" s="67">
        <f t="shared" si="26"/>
        <v>0</v>
      </c>
      <c r="U86" s="67">
        <f t="shared" si="27"/>
        <v>6.7072418821608915E-10</v>
      </c>
      <c r="V86" s="67">
        <f t="shared" si="28"/>
        <v>3.2987872107006451E-10</v>
      </c>
      <c r="W86" s="100">
        <f t="shared" si="29"/>
        <v>2.19919147380043E-10</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2.1751641648781275E-10</v>
      </c>
      <c r="J87" s="67">
        <f t="shared" si="22"/>
        <v>1.0697994577113112E-10</v>
      </c>
      <c r="K87" s="100">
        <f t="shared" si="24"/>
        <v>7.1319963847420743E-11</v>
      </c>
      <c r="O87" s="96">
        <f>Amnt_Deposited!B82</f>
        <v>2068</v>
      </c>
      <c r="P87" s="99">
        <f>Amnt_Deposited!C82</f>
        <v>0</v>
      </c>
      <c r="Q87" s="284">
        <f>MCF!R86</f>
        <v>1</v>
      </c>
      <c r="R87" s="67">
        <f t="shared" si="23"/>
        <v>0</v>
      </c>
      <c r="S87" s="67">
        <f t="shared" si="25"/>
        <v>0</v>
      </c>
      <c r="T87" s="67">
        <f t="shared" si="26"/>
        <v>0</v>
      </c>
      <c r="U87" s="67">
        <f t="shared" si="27"/>
        <v>4.4959986872222569E-10</v>
      </c>
      <c r="V87" s="67">
        <f t="shared" si="28"/>
        <v>2.2112431949386345E-10</v>
      </c>
      <c r="W87" s="100">
        <f t="shared" si="29"/>
        <v>1.4741621299590897E-10</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1.4580561431361793E-10</v>
      </c>
      <c r="J88" s="67">
        <f t="shared" si="22"/>
        <v>7.1710802174194803E-11</v>
      </c>
      <c r="K88" s="100">
        <f t="shared" si="24"/>
        <v>4.7807201449463198E-11</v>
      </c>
      <c r="O88" s="96">
        <f>Amnt_Deposited!B83</f>
        <v>2069</v>
      </c>
      <c r="P88" s="99">
        <f>Amnt_Deposited!C83</f>
        <v>0</v>
      </c>
      <c r="Q88" s="284">
        <f>MCF!R87</f>
        <v>1</v>
      </c>
      <c r="R88" s="67">
        <f t="shared" si="23"/>
        <v>0</v>
      </c>
      <c r="S88" s="67">
        <f t="shared" si="25"/>
        <v>0</v>
      </c>
      <c r="T88" s="67">
        <f t="shared" si="26"/>
        <v>0</v>
      </c>
      <c r="U88" s="67">
        <f t="shared" si="27"/>
        <v>3.0137580469949973E-10</v>
      </c>
      <c r="V88" s="67">
        <f t="shared" si="28"/>
        <v>1.4822406402272596E-10</v>
      </c>
      <c r="W88" s="100">
        <f t="shared" si="29"/>
        <v>9.8816042681817298E-11</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9.7736426098959037E-11</v>
      </c>
      <c r="J89" s="67">
        <f t="shared" si="22"/>
        <v>4.8069188214658886E-11</v>
      </c>
      <c r="K89" s="100">
        <f t="shared" si="24"/>
        <v>3.2046125476439257E-11</v>
      </c>
      <c r="O89" s="96">
        <f>Amnt_Deposited!B84</f>
        <v>2070</v>
      </c>
      <c r="P89" s="99">
        <f>Amnt_Deposited!C84</f>
        <v>0</v>
      </c>
      <c r="Q89" s="284">
        <f>MCF!R88</f>
        <v>1</v>
      </c>
      <c r="R89" s="67">
        <f t="shared" si="23"/>
        <v>0</v>
      </c>
      <c r="S89" s="67">
        <f t="shared" si="25"/>
        <v>0</v>
      </c>
      <c r="T89" s="67">
        <f t="shared" si="26"/>
        <v>0</v>
      </c>
      <c r="U89" s="67">
        <f t="shared" si="27"/>
        <v>2.0201824328019652E-10</v>
      </c>
      <c r="V89" s="67">
        <f t="shared" si="28"/>
        <v>9.935756141930323E-11</v>
      </c>
      <c r="W89" s="100">
        <f t="shared" si="29"/>
        <v>6.6238374279535478E-11</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6.5514685642013077E-11</v>
      </c>
      <c r="J90" s="67">
        <f t="shared" si="22"/>
        <v>3.2221740456945953E-11</v>
      </c>
      <c r="K90" s="100">
        <f t="shared" si="24"/>
        <v>2.1481160304630635E-11</v>
      </c>
      <c r="O90" s="96">
        <f>Amnt_Deposited!B85</f>
        <v>2071</v>
      </c>
      <c r="P90" s="99">
        <f>Amnt_Deposited!C85</f>
        <v>0</v>
      </c>
      <c r="Q90" s="284">
        <f>MCF!R89</f>
        <v>1</v>
      </c>
      <c r="R90" s="67">
        <f t="shared" si="23"/>
        <v>0</v>
      </c>
      <c r="S90" s="67">
        <f t="shared" si="25"/>
        <v>0</v>
      </c>
      <c r="T90" s="67">
        <f t="shared" si="26"/>
        <v>0</v>
      </c>
      <c r="U90" s="67">
        <f t="shared" si="27"/>
        <v>1.3541687813562032E-10</v>
      </c>
      <c r="V90" s="67">
        <f t="shared" si="28"/>
        <v>6.6601365144576205E-11</v>
      </c>
      <c r="W90" s="100">
        <f t="shared" si="29"/>
        <v>4.4400910096384137E-11</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4.3915807095564646E-11</v>
      </c>
      <c r="J91" s="67">
        <f t="shared" si="22"/>
        <v>2.1598878546448431E-11</v>
      </c>
      <c r="K91" s="100">
        <f t="shared" si="24"/>
        <v>1.4399252364298954E-11</v>
      </c>
      <c r="O91" s="96">
        <f>Amnt_Deposited!B86</f>
        <v>2072</v>
      </c>
      <c r="P91" s="99">
        <f>Amnt_Deposited!C86</f>
        <v>0</v>
      </c>
      <c r="Q91" s="284">
        <f>MCF!R90</f>
        <v>1</v>
      </c>
      <c r="R91" s="67">
        <f t="shared" si="23"/>
        <v>0</v>
      </c>
      <c r="S91" s="67">
        <f t="shared" si="25"/>
        <v>0</v>
      </c>
      <c r="T91" s="67">
        <f t="shared" si="26"/>
        <v>0</v>
      </c>
      <c r="U91" s="67">
        <f t="shared" si="27"/>
        <v>9.0772647985871578E-11</v>
      </c>
      <c r="V91" s="67">
        <f t="shared" si="28"/>
        <v>4.4644230149748745E-11</v>
      </c>
      <c r="W91" s="100">
        <f t="shared" si="29"/>
        <v>2.9762820099832495E-11</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2.9437645833991147E-11</v>
      </c>
      <c r="J92" s="67">
        <f t="shared" si="22"/>
        <v>1.4478161261573496E-11</v>
      </c>
      <c r="K92" s="100">
        <f t="shared" si="24"/>
        <v>9.6521075077156632E-12</v>
      </c>
      <c r="O92" s="96">
        <f>Amnt_Deposited!B87</f>
        <v>2073</v>
      </c>
      <c r="P92" s="99">
        <f>Amnt_Deposited!C87</f>
        <v>0</v>
      </c>
      <c r="Q92" s="284">
        <f>MCF!R91</f>
        <v>1</v>
      </c>
      <c r="R92" s="67">
        <f t="shared" si="23"/>
        <v>0</v>
      </c>
      <c r="S92" s="67">
        <f t="shared" si="25"/>
        <v>0</v>
      </c>
      <c r="T92" s="67">
        <f t="shared" si="26"/>
        <v>0</v>
      </c>
      <c r="U92" s="67">
        <f t="shared" si="27"/>
        <v>6.0846725576666319E-11</v>
      </c>
      <c r="V92" s="67">
        <f t="shared" si="28"/>
        <v>2.9925922409205259E-11</v>
      </c>
      <c r="W92" s="100">
        <f t="shared" si="29"/>
        <v>1.9950614939470173E-11</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1.9732644110621791E-11</v>
      </c>
      <c r="J93" s="67">
        <f t="shared" si="22"/>
        <v>9.7050017233693545E-12</v>
      </c>
      <c r="K93" s="100">
        <f t="shared" si="24"/>
        <v>6.4700011489129025E-12</v>
      </c>
      <c r="O93" s="96">
        <f>Amnt_Deposited!B88</f>
        <v>2074</v>
      </c>
      <c r="P93" s="99">
        <f>Amnt_Deposited!C88</f>
        <v>0</v>
      </c>
      <c r="Q93" s="284">
        <f>MCF!R92</f>
        <v>1</v>
      </c>
      <c r="R93" s="67">
        <f t="shared" si="23"/>
        <v>0</v>
      </c>
      <c r="S93" s="67">
        <f t="shared" si="25"/>
        <v>0</v>
      </c>
      <c r="T93" s="67">
        <f t="shared" si="26"/>
        <v>0</v>
      </c>
      <c r="U93" s="67">
        <f t="shared" si="27"/>
        <v>4.0786779889668877E-11</v>
      </c>
      <c r="V93" s="67">
        <f t="shared" si="28"/>
        <v>2.0059945686997439E-11</v>
      </c>
      <c r="W93" s="100">
        <f t="shared" si="29"/>
        <v>1.3373297124664959E-11</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1.3227186908636886E-11</v>
      </c>
      <c r="J94" s="67">
        <f t="shared" si="22"/>
        <v>6.5054572019849047E-12</v>
      </c>
      <c r="K94" s="100">
        <f t="shared" si="24"/>
        <v>4.3369714679899362E-12</v>
      </c>
      <c r="O94" s="96">
        <f>Amnt_Deposited!B89</f>
        <v>2075</v>
      </c>
      <c r="P94" s="99">
        <f>Amnt_Deposited!C89</f>
        <v>0</v>
      </c>
      <c r="Q94" s="284">
        <f>MCF!R93</f>
        <v>1</v>
      </c>
      <c r="R94" s="67">
        <f t="shared" si="23"/>
        <v>0</v>
      </c>
      <c r="S94" s="67">
        <f t="shared" si="25"/>
        <v>0</v>
      </c>
      <c r="T94" s="67">
        <f t="shared" si="26"/>
        <v>0</v>
      </c>
      <c r="U94" s="67">
        <f t="shared" si="27"/>
        <v>2.7340196173288331E-11</v>
      </c>
      <c r="V94" s="67">
        <f t="shared" si="28"/>
        <v>1.3446583716380548E-11</v>
      </c>
      <c r="W94" s="100">
        <f t="shared" si="29"/>
        <v>8.9643891442536985E-12</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8.8664485375194836E-12</v>
      </c>
      <c r="J95" s="67">
        <f t="shared" si="22"/>
        <v>4.360738371117403E-12</v>
      </c>
      <c r="K95" s="100">
        <f t="shared" si="24"/>
        <v>2.9071589140782684E-12</v>
      </c>
      <c r="O95" s="96">
        <f>Amnt_Deposited!B90</f>
        <v>2076</v>
      </c>
      <c r="P95" s="99">
        <f>Amnt_Deposited!C90</f>
        <v>0</v>
      </c>
      <c r="Q95" s="284">
        <f>MCF!R94</f>
        <v>1</v>
      </c>
      <c r="R95" s="67">
        <f t="shared" si="23"/>
        <v>0</v>
      </c>
      <c r="S95" s="67">
        <f t="shared" si="25"/>
        <v>0</v>
      </c>
      <c r="T95" s="67">
        <f t="shared" si="26"/>
        <v>0</v>
      </c>
      <c r="U95" s="67">
        <f t="shared" si="27"/>
        <v>1.8326681557502045E-11</v>
      </c>
      <c r="V95" s="67">
        <f t="shared" si="28"/>
        <v>9.0135146157862875E-12</v>
      </c>
      <c r="W95" s="100">
        <f t="shared" si="29"/>
        <v>6.0090097438575247E-12</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5.9433581918426873E-12</v>
      </c>
      <c r="J96" s="67">
        <f t="shared" si="22"/>
        <v>2.9230903456767963E-12</v>
      </c>
      <c r="K96" s="100">
        <f t="shared" si="24"/>
        <v>1.9487268971178642E-12</v>
      </c>
      <c r="O96" s="96">
        <f>Amnt_Deposited!B91</f>
        <v>2077</v>
      </c>
      <c r="P96" s="99">
        <f>Amnt_Deposited!C91</f>
        <v>0</v>
      </c>
      <c r="Q96" s="284">
        <f>MCF!R95</f>
        <v>1</v>
      </c>
      <c r="R96" s="67">
        <f t="shared" si="23"/>
        <v>0</v>
      </c>
      <c r="S96" s="67">
        <f t="shared" si="25"/>
        <v>0</v>
      </c>
      <c r="T96" s="67">
        <f t="shared" si="26"/>
        <v>0</v>
      </c>
      <c r="U96" s="67">
        <f t="shared" si="27"/>
        <v>1.2284742025305273E-11</v>
      </c>
      <c r="V96" s="67">
        <f t="shared" si="28"/>
        <v>6.041939532196772E-12</v>
      </c>
      <c r="W96" s="100">
        <f t="shared" si="29"/>
        <v>4.0279596881311808E-12</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3.9839521367622844E-12</v>
      </c>
      <c r="J97" s="67">
        <f t="shared" si="22"/>
        <v>1.9594060550804029E-12</v>
      </c>
      <c r="K97" s="100">
        <f t="shared" si="24"/>
        <v>1.3062707033869353E-12</v>
      </c>
      <c r="O97" s="96">
        <f>Amnt_Deposited!B92</f>
        <v>2078</v>
      </c>
      <c r="P97" s="99">
        <f>Amnt_Deposited!C92</f>
        <v>0</v>
      </c>
      <c r="Q97" s="284">
        <f>MCF!R96</f>
        <v>1</v>
      </c>
      <c r="R97" s="67">
        <f t="shared" si="23"/>
        <v>0</v>
      </c>
      <c r="S97" s="67">
        <f t="shared" si="25"/>
        <v>0</v>
      </c>
      <c r="T97" s="67">
        <f t="shared" si="26"/>
        <v>0</v>
      </c>
      <c r="U97" s="67">
        <f t="shared" si="27"/>
        <v>8.2347088399385833E-12</v>
      </c>
      <c r="V97" s="67">
        <f t="shared" si="28"/>
        <v>4.0500331853666892E-12</v>
      </c>
      <c r="W97" s="100">
        <f t="shared" si="29"/>
        <v>2.7000221235777926E-12</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2.6705229797182781E-12</v>
      </c>
      <c r="J98" s="67">
        <f t="shared" si="22"/>
        <v>1.3134291570440063E-12</v>
      </c>
      <c r="K98" s="100">
        <f t="shared" si="24"/>
        <v>8.7561943802933747E-13</v>
      </c>
      <c r="O98" s="96">
        <f>Amnt_Deposited!B93</f>
        <v>2079</v>
      </c>
      <c r="P98" s="99">
        <f>Amnt_Deposited!C93</f>
        <v>0</v>
      </c>
      <c r="Q98" s="284">
        <f>MCF!R97</f>
        <v>1</v>
      </c>
      <c r="R98" s="67">
        <f t="shared" si="23"/>
        <v>0</v>
      </c>
      <c r="S98" s="67">
        <f t="shared" si="25"/>
        <v>0</v>
      </c>
      <c r="T98" s="67">
        <f t="shared" si="26"/>
        <v>0</v>
      </c>
      <c r="U98" s="67">
        <f t="shared" si="27"/>
        <v>5.5198904086777172E-12</v>
      </c>
      <c r="V98" s="67">
        <f t="shared" si="28"/>
        <v>2.7148184312608661E-12</v>
      </c>
      <c r="W98" s="100">
        <f t="shared" si="29"/>
        <v>1.8098789541739107E-12</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1.7901050867039888E-12</v>
      </c>
      <c r="J99" s="68">
        <f t="shared" si="22"/>
        <v>8.8041789301428918E-13</v>
      </c>
      <c r="K99" s="102">
        <f t="shared" si="24"/>
        <v>5.8694526200952605E-13</v>
      </c>
      <c r="O99" s="97">
        <f>Amnt_Deposited!B94</f>
        <v>2080</v>
      </c>
      <c r="P99" s="101">
        <f>Amnt_Deposited!C94</f>
        <v>0</v>
      </c>
      <c r="Q99" s="285">
        <f>MCF!R98</f>
        <v>1</v>
      </c>
      <c r="R99" s="68">
        <f t="shared" si="23"/>
        <v>0</v>
      </c>
      <c r="S99" s="68">
        <f>R99*$W$12</f>
        <v>0</v>
      </c>
      <c r="T99" s="68">
        <f>R99*(1-$W$12)</f>
        <v>0</v>
      </c>
      <c r="U99" s="68">
        <f>S99+U98*$W$10</f>
        <v>3.7000931928565317E-12</v>
      </c>
      <c r="V99" s="68">
        <f>U98*(1-$W$10)+T99</f>
        <v>1.8197972158211859E-12</v>
      </c>
      <c r="W99" s="102">
        <f t="shared" si="29"/>
        <v>1.2131981438807905E-12</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2.8000000000000001E-2</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3.6355194924509999</v>
      </c>
      <c r="D19" s="416">
        <f>Dry_Matter_Content!D6</f>
        <v>0.44</v>
      </c>
      <c r="E19" s="283">
        <f>MCF!R18</f>
        <v>1</v>
      </c>
      <c r="F19" s="130">
        <f t="shared" ref="F19:F50" si="0">C19*D19*$K$6*DOCF*E19</f>
        <v>2.2394800073498158E-2</v>
      </c>
      <c r="G19" s="65">
        <f t="shared" ref="G19:G82" si="1">F19*$K$12</f>
        <v>2.2394800073498158E-2</v>
      </c>
      <c r="H19" s="65">
        <f t="shared" ref="H19:H82" si="2">F19*(1-$K$12)</f>
        <v>0</v>
      </c>
      <c r="I19" s="65">
        <f t="shared" ref="I19:I82" si="3">G19+I18*$K$10</f>
        <v>2.2394800073498158E-2</v>
      </c>
      <c r="J19" s="65">
        <f t="shared" ref="J19:J82" si="4">I18*(1-$K$10)+H19</f>
        <v>0</v>
      </c>
      <c r="K19" s="66">
        <f>J19*CH4_fraction*conv</f>
        <v>0</v>
      </c>
      <c r="O19" s="95">
        <f>Amnt_Deposited!B14</f>
        <v>2000</v>
      </c>
      <c r="P19" s="98">
        <f>Amnt_Deposited!D14</f>
        <v>3.6355194924509999</v>
      </c>
      <c r="Q19" s="283">
        <f>MCF!R18</f>
        <v>1</v>
      </c>
      <c r="R19" s="130">
        <f t="shared" ref="R19:R50" si="5">P19*$W$6*DOCF*Q19</f>
        <v>0.72710389849020007</v>
      </c>
      <c r="S19" s="65">
        <f>R19*$W$12</f>
        <v>0.72710389849020007</v>
      </c>
      <c r="T19" s="65">
        <f>R19*(1-$W$12)</f>
        <v>0</v>
      </c>
      <c r="U19" s="65">
        <f>S19+U18*$W$10</f>
        <v>0.72710389849020007</v>
      </c>
      <c r="V19" s="65">
        <f>U18*(1-$W$10)+T19</f>
        <v>0</v>
      </c>
      <c r="W19" s="66">
        <f>V19*CH4_fraction*conv</f>
        <v>0</v>
      </c>
    </row>
    <row r="20" spans="2:23">
      <c r="B20" s="96">
        <f>Amnt_Deposited!B15</f>
        <v>2001</v>
      </c>
      <c r="C20" s="99">
        <f>Amnt_Deposited!D15</f>
        <v>3.6820946906149992</v>
      </c>
      <c r="D20" s="418">
        <f>Dry_Matter_Content!D7</f>
        <v>0.44</v>
      </c>
      <c r="E20" s="284">
        <f>MCF!R19</f>
        <v>1</v>
      </c>
      <c r="F20" s="67">
        <f t="shared" si="0"/>
        <v>2.2681703294188397E-2</v>
      </c>
      <c r="G20" s="67">
        <f t="shared" si="1"/>
        <v>2.2681703294188397E-2</v>
      </c>
      <c r="H20" s="67">
        <f t="shared" si="2"/>
        <v>0</v>
      </c>
      <c r="I20" s="67">
        <f t="shared" si="3"/>
        <v>4.3562476480747354E-2</v>
      </c>
      <c r="J20" s="67">
        <f t="shared" si="4"/>
        <v>1.5140268869391993E-3</v>
      </c>
      <c r="K20" s="100">
        <f>J20*CH4_fraction*conv</f>
        <v>1.0093512579594662E-3</v>
      </c>
      <c r="M20" s="393"/>
      <c r="O20" s="96">
        <f>Amnt_Deposited!B15</f>
        <v>2001</v>
      </c>
      <c r="P20" s="99">
        <f>Amnt_Deposited!D15</f>
        <v>3.6820946906149992</v>
      </c>
      <c r="Q20" s="284">
        <f>MCF!R19</f>
        <v>1</v>
      </c>
      <c r="R20" s="67">
        <f t="shared" si="5"/>
        <v>0.73641893812299986</v>
      </c>
      <c r="S20" s="67">
        <f>R20*$W$12</f>
        <v>0.73641893812299986</v>
      </c>
      <c r="T20" s="67">
        <f>R20*(1-$W$12)</f>
        <v>0</v>
      </c>
      <c r="U20" s="67">
        <f>S20+U19*$W$10</f>
        <v>1.4143661195047843</v>
      </c>
      <c r="V20" s="67">
        <f>U19*(1-$W$10)+T20</f>
        <v>4.9156717108415571E-2</v>
      </c>
      <c r="W20" s="100">
        <f>V20*CH4_fraction*conv</f>
        <v>3.2771144738943714E-2</v>
      </c>
    </row>
    <row r="21" spans="2:23">
      <c r="B21" s="96">
        <f>Amnt_Deposited!B16</f>
        <v>2002</v>
      </c>
      <c r="C21" s="99">
        <f>Amnt_Deposited!D16</f>
        <v>3.76506681551</v>
      </c>
      <c r="D21" s="418">
        <f>Dry_Matter_Content!D8</f>
        <v>0.44</v>
      </c>
      <c r="E21" s="284">
        <f>MCF!R20</f>
        <v>1</v>
      </c>
      <c r="F21" s="67">
        <f t="shared" si="0"/>
        <v>2.3192811583541601E-2</v>
      </c>
      <c r="G21" s="67">
        <f t="shared" si="1"/>
        <v>2.3192811583541601E-2</v>
      </c>
      <c r="H21" s="67">
        <f t="shared" si="2"/>
        <v>0</v>
      </c>
      <c r="I21" s="67">
        <f t="shared" si="3"/>
        <v>6.3810195433988651E-2</v>
      </c>
      <c r="J21" s="67">
        <f t="shared" si="4"/>
        <v>2.9450926303002983E-3</v>
      </c>
      <c r="K21" s="100">
        <f t="shared" ref="K21:K84" si="6">J21*CH4_fraction*conv</f>
        <v>1.9633950868668654E-3</v>
      </c>
      <c r="O21" s="96">
        <f>Amnt_Deposited!B16</f>
        <v>2002</v>
      </c>
      <c r="P21" s="99">
        <f>Amnt_Deposited!D16</f>
        <v>3.76506681551</v>
      </c>
      <c r="Q21" s="284">
        <f>MCF!R20</f>
        <v>1</v>
      </c>
      <c r="R21" s="67">
        <f t="shared" si="5"/>
        <v>0.75301336310200007</v>
      </c>
      <c r="S21" s="67">
        <f t="shared" ref="S21:S84" si="7">R21*$W$12</f>
        <v>0.75301336310200007</v>
      </c>
      <c r="T21" s="67">
        <f t="shared" ref="T21:T84" si="8">R21*(1-$W$12)</f>
        <v>0</v>
      </c>
      <c r="U21" s="67">
        <f t="shared" ref="U21:U84" si="9">S21+U20*$W$10</f>
        <v>2.0717595920126191</v>
      </c>
      <c r="V21" s="67">
        <f t="shared" ref="V21:V84" si="10">U20*(1-$W$10)+T21</f>
        <v>9.5619890594165535E-2</v>
      </c>
      <c r="W21" s="100">
        <f t="shared" ref="W21:W84" si="11">V21*CH4_fraction*conv</f>
        <v>6.374659372944369E-2</v>
      </c>
    </row>
    <row r="22" spans="2:23">
      <c r="B22" s="96">
        <f>Amnt_Deposited!B17</f>
        <v>2003</v>
      </c>
      <c r="C22" s="99">
        <f>Amnt_Deposited!D17</f>
        <v>3.8319896203930002</v>
      </c>
      <c r="D22" s="418">
        <f>Dry_Matter_Content!D9</f>
        <v>0.44</v>
      </c>
      <c r="E22" s="284">
        <f>MCF!R21</f>
        <v>1</v>
      </c>
      <c r="F22" s="67">
        <f t="shared" si="0"/>
        <v>2.3605056061620881E-2</v>
      </c>
      <c r="G22" s="67">
        <f t="shared" si="1"/>
        <v>2.3605056061620881E-2</v>
      </c>
      <c r="H22" s="67">
        <f t="shared" si="2"/>
        <v>0</v>
      </c>
      <c r="I22" s="67">
        <f t="shared" si="3"/>
        <v>8.310128793126266E-2</v>
      </c>
      <c r="J22" s="67">
        <f t="shared" si="4"/>
        <v>4.3139635643468736E-3</v>
      </c>
      <c r="K22" s="100">
        <f t="shared" si="6"/>
        <v>2.8759757095645822E-3</v>
      </c>
      <c r="N22" s="258"/>
      <c r="O22" s="96">
        <f>Amnt_Deposited!B17</f>
        <v>2003</v>
      </c>
      <c r="P22" s="99">
        <f>Amnt_Deposited!D17</f>
        <v>3.8319896203930002</v>
      </c>
      <c r="Q22" s="284">
        <f>MCF!R21</f>
        <v>1</v>
      </c>
      <c r="R22" s="67">
        <f t="shared" si="5"/>
        <v>0.76639792407860008</v>
      </c>
      <c r="S22" s="67">
        <f t="shared" si="7"/>
        <v>0.76639792407860008</v>
      </c>
      <c r="T22" s="67">
        <f t="shared" si="8"/>
        <v>0</v>
      </c>
      <c r="U22" s="67">
        <f t="shared" si="9"/>
        <v>2.698093764002035</v>
      </c>
      <c r="V22" s="67">
        <f t="shared" si="10"/>
        <v>0.14006375208918426</v>
      </c>
      <c r="W22" s="100">
        <f t="shared" si="11"/>
        <v>9.3375834726122833E-2</v>
      </c>
    </row>
    <row r="23" spans="2:23">
      <c r="B23" s="96">
        <f>Amnt_Deposited!B18</f>
        <v>2004</v>
      </c>
      <c r="C23" s="99">
        <f>Amnt_Deposited!D18</f>
        <v>3.8524891416110001</v>
      </c>
      <c r="D23" s="418">
        <f>Dry_Matter_Content!D10</f>
        <v>0.44</v>
      </c>
      <c r="E23" s="284">
        <f>MCF!R22</f>
        <v>1</v>
      </c>
      <c r="F23" s="67">
        <f t="shared" si="0"/>
        <v>2.3731333112323762E-2</v>
      </c>
      <c r="G23" s="67">
        <f t="shared" si="1"/>
        <v>2.3731333112323762E-2</v>
      </c>
      <c r="H23" s="67">
        <f t="shared" si="2"/>
        <v>0</v>
      </c>
      <c r="I23" s="67">
        <f t="shared" si="3"/>
        <v>0.10121446040565782</v>
      </c>
      <c r="J23" s="67">
        <f t="shared" si="4"/>
        <v>5.6181606379285907E-3</v>
      </c>
      <c r="K23" s="100">
        <f t="shared" si="6"/>
        <v>3.7454404252857268E-3</v>
      </c>
      <c r="N23" s="258"/>
      <c r="O23" s="96">
        <f>Amnt_Deposited!B18</f>
        <v>2004</v>
      </c>
      <c r="P23" s="99">
        <f>Amnt_Deposited!D18</f>
        <v>3.8524891416110001</v>
      </c>
      <c r="Q23" s="284">
        <f>MCF!R22</f>
        <v>1</v>
      </c>
      <c r="R23" s="67">
        <f t="shared" si="5"/>
        <v>0.77049782832220004</v>
      </c>
      <c r="S23" s="67">
        <f t="shared" si="7"/>
        <v>0.77049782832220004</v>
      </c>
      <c r="T23" s="67">
        <f t="shared" si="8"/>
        <v>0</v>
      </c>
      <c r="U23" s="67">
        <f t="shared" si="9"/>
        <v>3.2861837794044755</v>
      </c>
      <c r="V23" s="67">
        <f t="shared" si="10"/>
        <v>0.18240781291975947</v>
      </c>
      <c r="W23" s="100">
        <f t="shared" si="11"/>
        <v>0.12160520861317298</v>
      </c>
    </row>
    <row r="24" spans="2:23">
      <c r="B24" s="96">
        <f>Amnt_Deposited!B19</f>
        <v>2005</v>
      </c>
      <c r="C24" s="99">
        <f>Amnt_Deposited!D19</f>
        <v>4.2672782769099999</v>
      </c>
      <c r="D24" s="418">
        <f>Dry_Matter_Content!D11</f>
        <v>0.44</v>
      </c>
      <c r="E24" s="284">
        <f>MCF!R23</f>
        <v>1</v>
      </c>
      <c r="F24" s="67">
        <f t="shared" si="0"/>
        <v>2.6286434185765602E-2</v>
      </c>
      <c r="G24" s="67">
        <f t="shared" si="1"/>
        <v>2.6286434185765602E-2</v>
      </c>
      <c r="H24" s="67">
        <f t="shared" si="2"/>
        <v>0</v>
      </c>
      <c r="I24" s="67">
        <f t="shared" si="3"/>
        <v>0.12065817155311626</v>
      </c>
      <c r="J24" s="67">
        <f t="shared" si="4"/>
        <v>6.8427230383071701E-3</v>
      </c>
      <c r="K24" s="100">
        <f t="shared" si="6"/>
        <v>4.5618153588714468E-3</v>
      </c>
      <c r="N24" s="258"/>
      <c r="O24" s="96">
        <f>Amnt_Deposited!B19</f>
        <v>2005</v>
      </c>
      <c r="P24" s="99">
        <f>Amnt_Deposited!D19</f>
        <v>4.2672782769099999</v>
      </c>
      <c r="Q24" s="284">
        <f>MCF!R23</f>
        <v>1</v>
      </c>
      <c r="R24" s="67">
        <f t="shared" si="5"/>
        <v>0.85345565538200008</v>
      </c>
      <c r="S24" s="67">
        <f t="shared" si="7"/>
        <v>0.85345565538200008</v>
      </c>
      <c r="T24" s="67">
        <f t="shared" si="8"/>
        <v>0</v>
      </c>
      <c r="U24" s="67">
        <f t="shared" si="9"/>
        <v>3.9174731023739051</v>
      </c>
      <c r="V24" s="67">
        <f t="shared" si="10"/>
        <v>0.22216633241257053</v>
      </c>
      <c r="W24" s="100">
        <f t="shared" si="11"/>
        <v>0.14811088827504701</v>
      </c>
    </row>
    <row r="25" spans="2:23">
      <c r="B25" s="96">
        <f>Amnt_Deposited!B20</f>
        <v>2006</v>
      </c>
      <c r="C25" s="99">
        <f>Amnt_Deposited!D20</f>
        <v>4.3550580488910002</v>
      </c>
      <c r="D25" s="418">
        <f>Dry_Matter_Content!D12</f>
        <v>0.44</v>
      </c>
      <c r="E25" s="284">
        <f>MCF!R24</f>
        <v>1</v>
      </c>
      <c r="F25" s="67">
        <f t="shared" si="0"/>
        <v>2.6827157581168562E-2</v>
      </c>
      <c r="G25" s="67">
        <f t="shared" si="1"/>
        <v>2.6827157581168562E-2</v>
      </c>
      <c r="H25" s="67">
        <f t="shared" si="2"/>
        <v>0</v>
      </c>
      <c r="I25" s="67">
        <f t="shared" si="3"/>
        <v>0.13932809105844585</v>
      </c>
      <c r="J25" s="67">
        <f t="shared" si="4"/>
        <v>8.157238075838966E-3</v>
      </c>
      <c r="K25" s="100">
        <f t="shared" si="6"/>
        <v>5.4381587172259768E-3</v>
      </c>
      <c r="N25" s="258"/>
      <c r="O25" s="96">
        <f>Amnt_Deposited!B20</f>
        <v>2006</v>
      </c>
      <c r="P25" s="99">
        <f>Amnt_Deposited!D20</f>
        <v>4.3550580488910002</v>
      </c>
      <c r="Q25" s="284">
        <f>MCF!R24</f>
        <v>1</v>
      </c>
      <c r="R25" s="67">
        <f t="shared" si="5"/>
        <v>0.87101160977820014</v>
      </c>
      <c r="S25" s="67">
        <f t="shared" si="7"/>
        <v>0.87101160977820014</v>
      </c>
      <c r="T25" s="67">
        <f t="shared" si="8"/>
        <v>0</v>
      </c>
      <c r="U25" s="67">
        <f t="shared" si="9"/>
        <v>4.5236393200794112</v>
      </c>
      <c r="V25" s="67">
        <f t="shared" si="10"/>
        <v>0.26484539207269375</v>
      </c>
      <c r="W25" s="100">
        <f t="shared" si="11"/>
        <v>0.17656359471512917</v>
      </c>
    </row>
    <row r="26" spans="2:23">
      <c r="B26" s="96">
        <f>Amnt_Deposited!B21</f>
        <v>2007</v>
      </c>
      <c r="C26" s="99">
        <f>Amnt_Deposited!D21</f>
        <v>4.4427663316960002</v>
      </c>
      <c r="D26" s="418">
        <f>Dry_Matter_Content!D13</f>
        <v>0.44</v>
      </c>
      <c r="E26" s="284">
        <f>MCF!R25</f>
        <v>1</v>
      </c>
      <c r="F26" s="67">
        <f t="shared" si="0"/>
        <v>2.7367440603247365E-2</v>
      </c>
      <c r="G26" s="67">
        <f t="shared" si="1"/>
        <v>2.7367440603247365E-2</v>
      </c>
      <c r="H26" s="67">
        <f t="shared" si="2"/>
        <v>0</v>
      </c>
      <c r="I26" s="67">
        <f t="shared" si="3"/>
        <v>0.15727609164543549</v>
      </c>
      <c r="J26" s="67">
        <f t="shared" si="4"/>
        <v>9.4194400162577272E-3</v>
      </c>
      <c r="K26" s="100">
        <f t="shared" si="6"/>
        <v>6.2796266775051509E-3</v>
      </c>
      <c r="N26" s="258"/>
      <c r="O26" s="96">
        <f>Amnt_Deposited!B21</f>
        <v>2007</v>
      </c>
      <c r="P26" s="99">
        <f>Amnt_Deposited!D21</f>
        <v>4.4427663316960002</v>
      </c>
      <c r="Q26" s="284">
        <f>MCF!R25</f>
        <v>1</v>
      </c>
      <c r="R26" s="67">
        <f t="shared" si="5"/>
        <v>0.88855326633920007</v>
      </c>
      <c r="S26" s="67">
        <f t="shared" si="7"/>
        <v>0.88855326633920007</v>
      </c>
      <c r="T26" s="67">
        <f t="shared" si="8"/>
        <v>0</v>
      </c>
      <c r="U26" s="67">
        <f t="shared" si="9"/>
        <v>5.1063666118647895</v>
      </c>
      <c r="V26" s="67">
        <f t="shared" si="10"/>
        <v>0.30582597455382238</v>
      </c>
      <c r="W26" s="100">
        <f t="shared" si="11"/>
        <v>0.20388398303588157</v>
      </c>
    </row>
    <row r="27" spans="2:23">
      <c r="B27" s="96">
        <f>Amnt_Deposited!B22</f>
        <v>2008</v>
      </c>
      <c r="C27" s="99">
        <f>Amnt_Deposited!D22</f>
        <v>4.5298669565049998</v>
      </c>
      <c r="D27" s="418">
        <f>Dry_Matter_Content!D14</f>
        <v>0.44</v>
      </c>
      <c r="E27" s="284">
        <f>MCF!R26</f>
        <v>1</v>
      </c>
      <c r="F27" s="67">
        <f t="shared" si="0"/>
        <v>2.7903980452070799E-2</v>
      </c>
      <c r="G27" s="67">
        <f t="shared" si="1"/>
        <v>2.7903980452070799E-2</v>
      </c>
      <c r="H27" s="67">
        <f t="shared" si="2"/>
        <v>0</v>
      </c>
      <c r="I27" s="67">
        <f t="shared" si="3"/>
        <v>0.17454723632123639</v>
      </c>
      <c r="J27" s="67">
        <f t="shared" si="4"/>
        <v>1.0632835776269896E-2</v>
      </c>
      <c r="K27" s="100">
        <f t="shared" si="6"/>
        <v>7.0885571841799305E-3</v>
      </c>
      <c r="N27" s="258"/>
      <c r="O27" s="96">
        <f>Amnt_Deposited!B22</f>
        <v>2008</v>
      </c>
      <c r="P27" s="99">
        <f>Amnt_Deposited!D22</f>
        <v>4.5298669565049998</v>
      </c>
      <c r="Q27" s="284">
        <f>MCF!R26</f>
        <v>1</v>
      </c>
      <c r="R27" s="67">
        <f t="shared" si="5"/>
        <v>0.90597339130099996</v>
      </c>
      <c r="S27" s="67">
        <f t="shared" si="7"/>
        <v>0.90597339130099996</v>
      </c>
      <c r="T27" s="67">
        <f t="shared" si="8"/>
        <v>0</v>
      </c>
      <c r="U27" s="67">
        <f t="shared" si="9"/>
        <v>5.6671180623778055</v>
      </c>
      <c r="V27" s="67">
        <f t="shared" si="10"/>
        <v>0.34522194078798368</v>
      </c>
      <c r="W27" s="100">
        <f t="shared" si="11"/>
        <v>0.23014796052532244</v>
      </c>
    </row>
    <row r="28" spans="2:23">
      <c r="B28" s="96">
        <f>Amnt_Deposited!B23</f>
        <v>2009</v>
      </c>
      <c r="C28" s="99">
        <f>Amnt_Deposited!D23</f>
        <v>4.6157165207339999</v>
      </c>
      <c r="D28" s="418">
        <f>Dry_Matter_Content!D15</f>
        <v>0.44</v>
      </c>
      <c r="E28" s="284">
        <f>MCF!R27</f>
        <v>1</v>
      </c>
      <c r="F28" s="67">
        <f t="shared" si="0"/>
        <v>2.8432813767721443E-2</v>
      </c>
      <c r="G28" s="67">
        <f t="shared" si="1"/>
        <v>2.8432813767721443E-2</v>
      </c>
      <c r="H28" s="67">
        <f t="shared" si="2"/>
        <v>0</v>
      </c>
      <c r="I28" s="67">
        <f t="shared" si="3"/>
        <v>0.19117957819530532</v>
      </c>
      <c r="J28" s="67">
        <f t="shared" si="4"/>
        <v>1.1800471893652515E-2</v>
      </c>
      <c r="K28" s="100">
        <f t="shared" si="6"/>
        <v>7.8669812624350098E-3</v>
      </c>
      <c r="N28" s="258"/>
      <c r="O28" s="96">
        <f>Amnt_Deposited!B23</f>
        <v>2009</v>
      </c>
      <c r="P28" s="99">
        <f>Amnt_Deposited!D23</f>
        <v>4.6157165207339999</v>
      </c>
      <c r="Q28" s="284">
        <f>MCF!R27</f>
        <v>1</v>
      </c>
      <c r="R28" s="67">
        <f t="shared" si="5"/>
        <v>0.92314330414680001</v>
      </c>
      <c r="S28" s="67">
        <f t="shared" si="7"/>
        <v>0.92314330414680001</v>
      </c>
      <c r="T28" s="67">
        <f t="shared" si="8"/>
        <v>0</v>
      </c>
      <c r="U28" s="67">
        <f t="shared" si="9"/>
        <v>6.2071291621852378</v>
      </c>
      <c r="V28" s="67">
        <f t="shared" si="10"/>
        <v>0.3831322043393674</v>
      </c>
      <c r="W28" s="100">
        <f t="shared" si="11"/>
        <v>0.25542146955957823</v>
      </c>
    </row>
    <row r="29" spans="2:23">
      <c r="B29" s="96">
        <f>Amnt_Deposited!B24</f>
        <v>2010</v>
      </c>
      <c r="C29" s="99">
        <f>Amnt_Deposited!D24</f>
        <v>4.9826079081130006</v>
      </c>
      <c r="D29" s="418">
        <f>Dry_Matter_Content!D16</f>
        <v>0.44</v>
      </c>
      <c r="E29" s="284">
        <f>MCF!R28</f>
        <v>1</v>
      </c>
      <c r="F29" s="67">
        <f t="shared" si="0"/>
        <v>3.0692864713976083E-2</v>
      </c>
      <c r="G29" s="67">
        <f t="shared" si="1"/>
        <v>3.0692864713976083E-2</v>
      </c>
      <c r="H29" s="67">
        <f t="shared" si="2"/>
        <v>0</v>
      </c>
      <c r="I29" s="67">
        <f t="shared" si="3"/>
        <v>0.20894752191550475</v>
      </c>
      <c r="J29" s="67">
        <f t="shared" si="4"/>
        <v>1.2924920993776656E-2</v>
      </c>
      <c r="K29" s="100">
        <f t="shared" si="6"/>
        <v>8.6166139958511034E-3</v>
      </c>
      <c r="O29" s="96">
        <f>Amnt_Deposited!B24</f>
        <v>2010</v>
      </c>
      <c r="P29" s="99">
        <f>Amnt_Deposited!D24</f>
        <v>4.9826079081130006</v>
      </c>
      <c r="Q29" s="284">
        <f>MCF!R28</f>
        <v>1</v>
      </c>
      <c r="R29" s="67">
        <f t="shared" si="5"/>
        <v>0.99652158162260018</v>
      </c>
      <c r="S29" s="67">
        <f t="shared" si="7"/>
        <v>0.99652158162260018</v>
      </c>
      <c r="T29" s="67">
        <f t="shared" si="8"/>
        <v>0</v>
      </c>
      <c r="U29" s="67">
        <f t="shared" si="9"/>
        <v>6.7840104518021027</v>
      </c>
      <c r="V29" s="67">
        <f t="shared" si="10"/>
        <v>0.4196402920057356</v>
      </c>
      <c r="W29" s="100">
        <f t="shared" si="11"/>
        <v>0.2797601946704904</v>
      </c>
    </row>
    <row r="30" spans="2:23">
      <c r="B30" s="96">
        <f>Amnt_Deposited!B25</f>
        <v>2011</v>
      </c>
      <c r="C30" s="99">
        <f>Amnt_Deposited!D25</f>
        <v>0</v>
      </c>
      <c r="D30" s="418">
        <f>Dry_Matter_Content!D17</f>
        <v>0.44</v>
      </c>
      <c r="E30" s="284">
        <f>MCF!R29</f>
        <v>1</v>
      </c>
      <c r="F30" s="67">
        <f t="shared" si="0"/>
        <v>0</v>
      </c>
      <c r="G30" s="67">
        <f t="shared" si="1"/>
        <v>0</v>
      </c>
      <c r="H30" s="67">
        <f t="shared" si="2"/>
        <v>0</v>
      </c>
      <c r="I30" s="67">
        <f t="shared" si="3"/>
        <v>0.19482137811867931</v>
      </c>
      <c r="J30" s="67">
        <f t="shared" si="4"/>
        <v>1.4126143796825434E-2</v>
      </c>
      <c r="K30" s="100">
        <f t="shared" si="6"/>
        <v>9.4174291978836224E-3</v>
      </c>
      <c r="O30" s="96">
        <f>Amnt_Deposited!B25</f>
        <v>2011</v>
      </c>
      <c r="P30" s="99">
        <f>Amnt_Deposited!D25</f>
        <v>0</v>
      </c>
      <c r="Q30" s="284">
        <f>MCF!R29</f>
        <v>1</v>
      </c>
      <c r="R30" s="67">
        <f t="shared" si="5"/>
        <v>0</v>
      </c>
      <c r="S30" s="67">
        <f t="shared" si="7"/>
        <v>0</v>
      </c>
      <c r="T30" s="67">
        <f t="shared" si="8"/>
        <v>0</v>
      </c>
      <c r="U30" s="67">
        <f t="shared" si="9"/>
        <v>6.3253694194376404</v>
      </c>
      <c r="V30" s="67">
        <f t="shared" si="10"/>
        <v>0.45864103236446219</v>
      </c>
      <c r="W30" s="100">
        <f t="shared" si="11"/>
        <v>0.30576068824297475</v>
      </c>
    </row>
    <row r="31" spans="2:23">
      <c r="B31" s="96">
        <f>Amnt_Deposited!B26</f>
        <v>2012</v>
      </c>
      <c r="C31" s="99">
        <f>Amnt_Deposited!D26</f>
        <v>0</v>
      </c>
      <c r="D31" s="418">
        <f>Dry_Matter_Content!D18</f>
        <v>0.44</v>
      </c>
      <c r="E31" s="284">
        <f>MCF!R30</f>
        <v>1</v>
      </c>
      <c r="F31" s="67">
        <f t="shared" si="0"/>
        <v>0</v>
      </c>
      <c r="G31" s="67">
        <f t="shared" si="1"/>
        <v>0</v>
      </c>
      <c r="H31" s="67">
        <f t="shared" si="2"/>
        <v>0</v>
      </c>
      <c r="I31" s="67">
        <f t="shared" si="3"/>
        <v>0.18165024894341653</v>
      </c>
      <c r="J31" s="67">
        <f t="shared" si="4"/>
        <v>1.3171129175262782E-2</v>
      </c>
      <c r="K31" s="100">
        <f t="shared" si="6"/>
        <v>8.7807527835085213E-3</v>
      </c>
      <c r="O31" s="96">
        <f>Amnt_Deposited!B26</f>
        <v>2012</v>
      </c>
      <c r="P31" s="99">
        <f>Amnt_Deposited!D26</f>
        <v>0</v>
      </c>
      <c r="Q31" s="284">
        <f>MCF!R30</f>
        <v>1</v>
      </c>
      <c r="R31" s="67">
        <f t="shared" si="5"/>
        <v>0</v>
      </c>
      <c r="S31" s="67">
        <f t="shared" si="7"/>
        <v>0</v>
      </c>
      <c r="T31" s="67">
        <f t="shared" si="8"/>
        <v>0</v>
      </c>
      <c r="U31" s="67">
        <f t="shared" si="9"/>
        <v>5.8977353553057315</v>
      </c>
      <c r="V31" s="67">
        <f t="shared" si="10"/>
        <v>0.42763406413190852</v>
      </c>
      <c r="W31" s="100">
        <f t="shared" si="11"/>
        <v>0.28508937608793899</v>
      </c>
    </row>
    <row r="32" spans="2:23">
      <c r="B32" s="96">
        <f>Amnt_Deposited!B27</f>
        <v>2013</v>
      </c>
      <c r="C32" s="99">
        <f>Amnt_Deposited!D27</f>
        <v>0</v>
      </c>
      <c r="D32" s="418">
        <f>Dry_Matter_Content!D19</f>
        <v>0.44</v>
      </c>
      <c r="E32" s="284">
        <f>MCF!R31</f>
        <v>1</v>
      </c>
      <c r="F32" s="67">
        <f t="shared" si="0"/>
        <v>0</v>
      </c>
      <c r="G32" s="67">
        <f t="shared" si="1"/>
        <v>0</v>
      </c>
      <c r="H32" s="67">
        <f t="shared" si="2"/>
        <v>0</v>
      </c>
      <c r="I32" s="67">
        <f t="shared" si="3"/>
        <v>0.16936956949921858</v>
      </c>
      <c r="J32" s="67">
        <f t="shared" si="4"/>
        <v>1.2280679444197947E-2</v>
      </c>
      <c r="K32" s="100">
        <f t="shared" si="6"/>
        <v>8.1871196294652972E-3</v>
      </c>
      <c r="O32" s="96">
        <f>Amnt_Deposited!B27</f>
        <v>2013</v>
      </c>
      <c r="P32" s="99">
        <f>Amnt_Deposited!D27</f>
        <v>0</v>
      </c>
      <c r="Q32" s="284">
        <f>MCF!R31</f>
        <v>1</v>
      </c>
      <c r="R32" s="67">
        <f t="shared" si="5"/>
        <v>0</v>
      </c>
      <c r="S32" s="67">
        <f t="shared" si="7"/>
        <v>0</v>
      </c>
      <c r="T32" s="67">
        <f t="shared" si="8"/>
        <v>0</v>
      </c>
      <c r="U32" s="67">
        <f t="shared" si="9"/>
        <v>5.4990119967278757</v>
      </c>
      <c r="V32" s="67">
        <f t="shared" si="10"/>
        <v>0.3987233585778554</v>
      </c>
      <c r="W32" s="100">
        <f t="shared" si="11"/>
        <v>0.2658155723852369</v>
      </c>
    </row>
    <row r="33" spans="2:23">
      <c r="B33" s="96">
        <f>Amnt_Deposited!B28</f>
        <v>2014</v>
      </c>
      <c r="C33" s="99">
        <f>Amnt_Deposited!D28</f>
        <v>0</v>
      </c>
      <c r="D33" s="418">
        <f>Dry_Matter_Content!D20</f>
        <v>0.44</v>
      </c>
      <c r="E33" s="284">
        <f>MCF!R32</f>
        <v>1</v>
      </c>
      <c r="F33" s="67">
        <f t="shared" si="0"/>
        <v>0</v>
      </c>
      <c r="G33" s="67">
        <f t="shared" si="1"/>
        <v>0</v>
      </c>
      <c r="H33" s="67">
        <f t="shared" si="2"/>
        <v>0</v>
      </c>
      <c r="I33" s="67">
        <f t="shared" si="3"/>
        <v>0.1579191398812024</v>
      </c>
      <c r="J33" s="67">
        <f t="shared" si="4"/>
        <v>1.1450429618016181E-2</v>
      </c>
      <c r="K33" s="100">
        <f t="shared" si="6"/>
        <v>7.633619745344121E-3</v>
      </c>
      <c r="O33" s="96">
        <f>Amnt_Deposited!B28</f>
        <v>2014</v>
      </c>
      <c r="P33" s="99">
        <f>Amnt_Deposited!D28</f>
        <v>0</v>
      </c>
      <c r="Q33" s="284">
        <f>MCF!R32</f>
        <v>1</v>
      </c>
      <c r="R33" s="67">
        <f t="shared" si="5"/>
        <v>0</v>
      </c>
      <c r="S33" s="67">
        <f t="shared" si="7"/>
        <v>0</v>
      </c>
      <c r="T33" s="67">
        <f t="shared" si="8"/>
        <v>0</v>
      </c>
      <c r="U33" s="67">
        <f t="shared" si="9"/>
        <v>5.1272448013377403</v>
      </c>
      <c r="V33" s="67">
        <f t="shared" si="10"/>
        <v>0.37176719539013575</v>
      </c>
      <c r="W33" s="100">
        <f t="shared" si="11"/>
        <v>0.24784479692675715</v>
      </c>
    </row>
    <row r="34" spans="2:23">
      <c r="B34" s="96">
        <f>Amnt_Deposited!B29</f>
        <v>2015</v>
      </c>
      <c r="C34" s="99">
        <f>Amnt_Deposited!D29</f>
        <v>0</v>
      </c>
      <c r="D34" s="418">
        <f>Dry_Matter_Content!D21</f>
        <v>0.44</v>
      </c>
      <c r="E34" s="284">
        <f>MCF!R33</f>
        <v>1</v>
      </c>
      <c r="F34" s="67">
        <f t="shared" si="0"/>
        <v>0</v>
      </c>
      <c r="G34" s="67">
        <f t="shared" si="1"/>
        <v>0</v>
      </c>
      <c r="H34" s="67">
        <f t="shared" si="2"/>
        <v>0</v>
      </c>
      <c r="I34" s="67">
        <f t="shared" si="3"/>
        <v>0.14724283007009609</v>
      </c>
      <c r="J34" s="67">
        <f t="shared" si="4"/>
        <v>1.0676309811106316E-2</v>
      </c>
      <c r="K34" s="100">
        <f t="shared" si="6"/>
        <v>7.1175398740708773E-3</v>
      </c>
      <c r="O34" s="96">
        <f>Amnt_Deposited!B29</f>
        <v>2015</v>
      </c>
      <c r="P34" s="99">
        <f>Amnt_Deposited!D29</f>
        <v>0</v>
      </c>
      <c r="Q34" s="284">
        <f>MCF!R33</f>
        <v>1</v>
      </c>
      <c r="R34" s="67">
        <f t="shared" si="5"/>
        <v>0</v>
      </c>
      <c r="S34" s="67">
        <f t="shared" si="7"/>
        <v>0</v>
      </c>
      <c r="T34" s="67">
        <f t="shared" si="8"/>
        <v>0</v>
      </c>
      <c r="U34" s="67">
        <f t="shared" si="9"/>
        <v>4.7806113659122103</v>
      </c>
      <c r="V34" s="67">
        <f t="shared" si="10"/>
        <v>0.34663343542552971</v>
      </c>
      <c r="W34" s="100">
        <f t="shared" si="11"/>
        <v>0.23108895695035314</v>
      </c>
    </row>
    <row r="35" spans="2:23">
      <c r="B35" s="96">
        <f>Amnt_Deposited!B30</f>
        <v>2016</v>
      </c>
      <c r="C35" s="99">
        <f>Amnt_Deposited!D30</f>
        <v>0</v>
      </c>
      <c r="D35" s="418">
        <f>Dry_Matter_Content!D22</f>
        <v>0.44</v>
      </c>
      <c r="E35" s="284">
        <f>MCF!R34</f>
        <v>1</v>
      </c>
      <c r="F35" s="67">
        <f t="shared" si="0"/>
        <v>0</v>
      </c>
      <c r="G35" s="67">
        <f t="shared" si="1"/>
        <v>0</v>
      </c>
      <c r="H35" s="67">
        <f t="shared" si="2"/>
        <v>0</v>
      </c>
      <c r="I35" s="67">
        <f t="shared" si="3"/>
        <v>0.13728830478281931</v>
      </c>
      <c r="J35" s="67">
        <f t="shared" si="4"/>
        <v>9.9545252872767706E-3</v>
      </c>
      <c r="K35" s="100">
        <f t="shared" si="6"/>
        <v>6.6363501915178468E-3</v>
      </c>
      <c r="O35" s="96">
        <f>Amnt_Deposited!B30</f>
        <v>2016</v>
      </c>
      <c r="P35" s="99">
        <f>Amnt_Deposited!D30</f>
        <v>0</v>
      </c>
      <c r="Q35" s="284">
        <f>MCF!R34</f>
        <v>1</v>
      </c>
      <c r="R35" s="67">
        <f t="shared" si="5"/>
        <v>0</v>
      </c>
      <c r="S35" s="67">
        <f t="shared" si="7"/>
        <v>0</v>
      </c>
      <c r="T35" s="67">
        <f t="shared" si="8"/>
        <v>0</v>
      </c>
      <c r="U35" s="67">
        <f t="shared" si="9"/>
        <v>4.4574124929486789</v>
      </c>
      <c r="V35" s="67">
        <f t="shared" si="10"/>
        <v>0.3231988729635315</v>
      </c>
      <c r="W35" s="100">
        <f t="shared" si="11"/>
        <v>0.21546591530902098</v>
      </c>
    </row>
    <row r="36" spans="2:23">
      <c r="B36" s="96">
        <f>Amnt_Deposited!B31</f>
        <v>2017</v>
      </c>
      <c r="C36" s="99">
        <f>Amnt_Deposited!D31</f>
        <v>0</v>
      </c>
      <c r="D36" s="418">
        <f>Dry_Matter_Content!D23</f>
        <v>0.44</v>
      </c>
      <c r="E36" s="284">
        <f>MCF!R35</f>
        <v>1</v>
      </c>
      <c r="F36" s="67">
        <f t="shared" si="0"/>
        <v>0</v>
      </c>
      <c r="G36" s="67">
        <f t="shared" si="1"/>
        <v>0</v>
      </c>
      <c r="H36" s="67">
        <f t="shared" si="2"/>
        <v>0</v>
      </c>
      <c r="I36" s="67">
        <f t="shared" si="3"/>
        <v>0.12800676692486496</v>
      </c>
      <c r="J36" s="67">
        <f t="shared" si="4"/>
        <v>9.2815378579543459E-3</v>
      </c>
      <c r="K36" s="100">
        <f t="shared" si="6"/>
        <v>6.1876919053028973E-3</v>
      </c>
      <c r="O36" s="96">
        <f>Amnt_Deposited!B31</f>
        <v>2017</v>
      </c>
      <c r="P36" s="99">
        <f>Amnt_Deposited!D31</f>
        <v>0</v>
      </c>
      <c r="Q36" s="284">
        <f>MCF!R35</f>
        <v>1</v>
      </c>
      <c r="R36" s="67">
        <f t="shared" si="5"/>
        <v>0</v>
      </c>
      <c r="S36" s="67">
        <f t="shared" si="7"/>
        <v>0</v>
      </c>
      <c r="T36" s="67">
        <f t="shared" si="8"/>
        <v>0</v>
      </c>
      <c r="U36" s="67">
        <f t="shared" si="9"/>
        <v>4.1560638611969143</v>
      </c>
      <c r="V36" s="67">
        <f t="shared" si="10"/>
        <v>0.30134863175176446</v>
      </c>
      <c r="W36" s="100">
        <f t="shared" si="11"/>
        <v>0.20089908783450963</v>
      </c>
    </row>
    <row r="37" spans="2:23">
      <c r="B37" s="96">
        <f>Amnt_Deposited!B32</f>
        <v>2018</v>
      </c>
      <c r="C37" s="99">
        <f>Amnt_Deposited!D32</f>
        <v>0</v>
      </c>
      <c r="D37" s="418">
        <f>Dry_Matter_Content!D24</f>
        <v>0.44</v>
      </c>
      <c r="E37" s="284">
        <f>MCF!R36</f>
        <v>1</v>
      </c>
      <c r="F37" s="67">
        <f t="shared" si="0"/>
        <v>0</v>
      </c>
      <c r="G37" s="67">
        <f t="shared" si="1"/>
        <v>0</v>
      </c>
      <c r="H37" s="67">
        <f t="shared" si="2"/>
        <v>0</v>
      </c>
      <c r="I37" s="67">
        <f t="shared" si="3"/>
        <v>0.11935271838688523</v>
      </c>
      <c r="J37" s="67">
        <f t="shared" si="4"/>
        <v>8.6540485379797243E-3</v>
      </c>
      <c r="K37" s="100">
        <f t="shared" si="6"/>
        <v>5.7693656919864823E-3</v>
      </c>
      <c r="O37" s="96">
        <f>Amnt_Deposited!B32</f>
        <v>2018</v>
      </c>
      <c r="P37" s="99">
        <f>Amnt_Deposited!D32</f>
        <v>0</v>
      </c>
      <c r="Q37" s="284">
        <f>MCF!R36</f>
        <v>1</v>
      </c>
      <c r="R37" s="67">
        <f t="shared" si="5"/>
        <v>0</v>
      </c>
      <c r="S37" s="67">
        <f t="shared" si="7"/>
        <v>0</v>
      </c>
      <c r="T37" s="67">
        <f t="shared" si="8"/>
        <v>0</v>
      </c>
      <c r="U37" s="67">
        <f t="shared" si="9"/>
        <v>3.8750882593144556</v>
      </c>
      <c r="V37" s="67">
        <f t="shared" si="10"/>
        <v>0.28097560188245857</v>
      </c>
      <c r="W37" s="100">
        <f t="shared" si="11"/>
        <v>0.18731706792163905</v>
      </c>
    </row>
    <row r="38" spans="2:23">
      <c r="B38" s="96">
        <f>Amnt_Deposited!B33</f>
        <v>2019</v>
      </c>
      <c r="C38" s="99">
        <f>Amnt_Deposited!D33</f>
        <v>0</v>
      </c>
      <c r="D38" s="418">
        <f>Dry_Matter_Content!D25</f>
        <v>0.44</v>
      </c>
      <c r="E38" s="284">
        <f>MCF!R37</f>
        <v>1</v>
      </c>
      <c r="F38" s="67">
        <f t="shared" si="0"/>
        <v>0</v>
      </c>
      <c r="G38" s="67">
        <f t="shared" si="1"/>
        <v>0</v>
      </c>
      <c r="H38" s="67">
        <f t="shared" si="2"/>
        <v>0</v>
      </c>
      <c r="I38" s="67">
        <f t="shared" si="3"/>
        <v>0.11128373701290682</v>
      </c>
      <c r="J38" s="67">
        <f t="shared" si="4"/>
        <v>8.0689813739784014E-3</v>
      </c>
      <c r="K38" s="100">
        <f t="shared" si="6"/>
        <v>5.3793209159856007E-3</v>
      </c>
      <c r="O38" s="96">
        <f>Amnt_Deposited!B33</f>
        <v>2019</v>
      </c>
      <c r="P38" s="99">
        <f>Amnt_Deposited!D33</f>
        <v>0</v>
      </c>
      <c r="Q38" s="284">
        <f>MCF!R37</f>
        <v>1</v>
      </c>
      <c r="R38" s="67">
        <f t="shared" si="5"/>
        <v>0</v>
      </c>
      <c r="S38" s="67">
        <f t="shared" si="7"/>
        <v>0</v>
      </c>
      <c r="T38" s="67">
        <f t="shared" si="8"/>
        <v>0</v>
      </c>
      <c r="U38" s="67">
        <f t="shared" si="9"/>
        <v>3.613108344574897</v>
      </c>
      <c r="V38" s="67">
        <f t="shared" si="10"/>
        <v>0.26197991473955851</v>
      </c>
      <c r="W38" s="100">
        <f t="shared" si="11"/>
        <v>0.17465327649303899</v>
      </c>
    </row>
    <row r="39" spans="2:23">
      <c r="B39" s="96">
        <f>Amnt_Deposited!B34</f>
        <v>2020</v>
      </c>
      <c r="C39" s="99">
        <f>Amnt_Deposited!D34</f>
        <v>0</v>
      </c>
      <c r="D39" s="418">
        <f>Dry_Matter_Content!D26</f>
        <v>0.44</v>
      </c>
      <c r="E39" s="284">
        <f>MCF!R38</f>
        <v>1</v>
      </c>
      <c r="F39" s="67">
        <f t="shared" si="0"/>
        <v>0</v>
      </c>
      <c r="G39" s="67">
        <f t="shared" si="1"/>
        <v>0</v>
      </c>
      <c r="H39" s="67">
        <f t="shared" si="2"/>
        <v>0</v>
      </c>
      <c r="I39" s="67">
        <f t="shared" si="3"/>
        <v>0.10376026864687315</v>
      </c>
      <c r="J39" s="67">
        <f t="shared" si="4"/>
        <v>7.5234683660336688E-3</v>
      </c>
      <c r="K39" s="100">
        <f t="shared" si="6"/>
        <v>5.0156455773557786E-3</v>
      </c>
      <c r="O39" s="96">
        <f>Amnt_Deposited!B34</f>
        <v>2020</v>
      </c>
      <c r="P39" s="99">
        <f>Amnt_Deposited!D34</f>
        <v>0</v>
      </c>
      <c r="Q39" s="284">
        <f>MCF!R38</f>
        <v>1</v>
      </c>
      <c r="R39" s="67">
        <f t="shared" si="5"/>
        <v>0</v>
      </c>
      <c r="S39" s="67">
        <f t="shared" si="7"/>
        <v>0</v>
      </c>
      <c r="T39" s="67">
        <f t="shared" si="8"/>
        <v>0</v>
      </c>
      <c r="U39" s="67">
        <f t="shared" si="9"/>
        <v>3.3688398911322452</v>
      </c>
      <c r="V39" s="67">
        <f t="shared" si="10"/>
        <v>0.24426845344265158</v>
      </c>
      <c r="W39" s="100">
        <f t="shared" si="11"/>
        <v>0.16284563562843438</v>
      </c>
    </row>
    <row r="40" spans="2:23">
      <c r="B40" s="96">
        <f>Amnt_Deposited!B35</f>
        <v>2021</v>
      </c>
      <c r="C40" s="99">
        <f>Amnt_Deposited!D35</f>
        <v>0</v>
      </c>
      <c r="D40" s="418">
        <f>Dry_Matter_Content!D27</f>
        <v>0.44</v>
      </c>
      <c r="E40" s="284">
        <f>MCF!R39</f>
        <v>1</v>
      </c>
      <c r="F40" s="67">
        <f t="shared" si="0"/>
        <v>0</v>
      </c>
      <c r="G40" s="67">
        <f t="shared" si="1"/>
        <v>0</v>
      </c>
      <c r="H40" s="67">
        <f t="shared" si="2"/>
        <v>0</v>
      </c>
      <c r="I40" s="67">
        <f t="shared" si="3"/>
        <v>9.6745433238125456E-2</v>
      </c>
      <c r="J40" s="67">
        <f t="shared" si="4"/>
        <v>7.0148354087476951E-3</v>
      </c>
      <c r="K40" s="100">
        <f t="shared" si="6"/>
        <v>4.6765569391651295E-3</v>
      </c>
      <c r="O40" s="96">
        <f>Amnt_Deposited!B35</f>
        <v>2021</v>
      </c>
      <c r="P40" s="99">
        <f>Amnt_Deposited!D35</f>
        <v>0</v>
      </c>
      <c r="Q40" s="284">
        <f>MCF!R39</f>
        <v>1</v>
      </c>
      <c r="R40" s="67">
        <f t="shared" si="5"/>
        <v>0</v>
      </c>
      <c r="S40" s="67">
        <f t="shared" si="7"/>
        <v>0</v>
      </c>
      <c r="T40" s="67">
        <f t="shared" si="8"/>
        <v>0</v>
      </c>
      <c r="U40" s="67">
        <f t="shared" si="9"/>
        <v>3.141085494744333</v>
      </c>
      <c r="V40" s="67">
        <f t="shared" si="10"/>
        <v>0.22775439638791217</v>
      </c>
      <c r="W40" s="100">
        <f t="shared" si="11"/>
        <v>0.15183626425860811</v>
      </c>
    </row>
    <row r="41" spans="2:23">
      <c r="B41" s="96">
        <f>Amnt_Deposited!B36</f>
        <v>2022</v>
      </c>
      <c r="C41" s="99">
        <f>Amnt_Deposited!D36</f>
        <v>0</v>
      </c>
      <c r="D41" s="418">
        <f>Dry_Matter_Content!D28</f>
        <v>0.44</v>
      </c>
      <c r="E41" s="284">
        <f>MCF!R40</f>
        <v>1</v>
      </c>
      <c r="F41" s="67">
        <f t="shared" si="0"/>
        <v>0</v>
      </c>
      <c r="G41" s="67">
        <f t="shared" si="1"/>
        <v>0</v>
      </c>
      <c r="H41" s="67">
        <f t="shared" si="2"/>
        <v>0</v>
      </c>
      <c r="I41" s="67">
        <f t="shared" si="3"/>
        <v>9.0204844055351688E-2</v>
      </c>
      <c r="J41" s="67">
        <f t="shared" si="4"/>
        <v>6.5405891827737678E-3</v>
      </c>
      <c r="K41" s="100">
        <f t="shared" si="6"/>
        <v>4.3603927885158449E-3</v>
      </c>
      <c r="O41" s="96">
        <f>Amnt_Deposited!B36</f>
        <v>2022</v>
      </c>
      <c r="P41" s="99">
        <f>Amnt_Deposited!D36</f>
        <v>0</v>
      </c>
      <c r="Q41" s="284">
        <f>MCF!R40</f>
        <v>1</v>
      </c>
      <c r="R41" s="67">
        <f t="shared" si="5"/>
        <v>0</v>
      </c>
      <c r="S41" s="67">
        <f t="shared" si="7"/>
        <v>0</v>
      </c>
      <c r="T41" s="67">
        <f t="shared" si="8"/>
        <v>0</v>
      </c>
      <c r="U41" s="67">
        <f t="shared" si="9"/>
        <v>2.928728703095834</v>
      </c>
      <c r="V41" s="67">
        <f t="shared" si="10"/>
        <v>0.21235679164849894</v>
      </c>
      <c r="W41" s="100">
        <f t="shared" si="11"/>
        <v>0.14157119443233263</v>
      </c>
    </row>
    <row r="42" spans="2:23">
      <c r="B42" s="96">
        <f>Amnt_Deposited!B37</f>
        <v>2023</v>
      </c>
      <c r="C42" s="99">
        <f>Amnt_Deposited!D37</f>
        <v>0</v>
      </c>
      <c r="D42" s="418">
        <f>Dry_Matter_Content!D29</f>
        <v>0.44</v>
      </c>
      <c r="E42" s="284">
        <f>MCF!R41</f>
        <v>1</v>
      </c>
      <c r="F42" s="67">
        <f t="shared" si="0"/>
        <v>0</v>
      </c>
      <c r="G42" s="67">
        <f t="shared" si="1"/>
        <v>0</v>
      </c>
      <c r="H42" s="67">
        <f t="shared" si="2"/>
        <v>0</v>
      </c>
      <c r="I42" s="67">
        <f t="shared" si="3"/>
        <v>8.4106439122789728E-2</v>
      </c>
      <c r="J42" s="67">
        <f t="shared" si="4"/>
        <v>6.0984049325619573E-3</v>
      </c>
      <c r="K42" s="100">
        <f t="shared" si="6"/>
        <v>4.0656032883746376E-3</v>
      </c>
      <c r="O42" s="96">
        <f>Amnt_Deposited!B37</f>
        <v>2023</v>
      </c>
      <c r="P42" s="99">
        <f>Amnt_Deposited!D37</f>
        <v>0</v>
      </c>
      <c r="Q42" s="284">
        <f>MCF!R41</f>
        <v>1</v>
      </c>
      <c r="R42" s="67">
        <f t="shared" si="5"/>
        <v>0</v>
      </c>
      <c r="S42" s="67">
        <f t="shared" si="7"/>
        <v>0</v>
      </c>
      <c r="T42" s="67">
        <f t="shared" si="8"/>
        <v>0</v>
      </c>
      <c r="U42" s="67">
        <f t="shared" si="9"/>
        <v>2.7307285429477184</v>
      </c>
      <c r="V42" s="67">
        <f t="shared" si="10"/>
        <v>0.1980001601481155</v>
      </c>
      <c r="W42" s="100">
        <f t="shared" si="11"/>
        <v>0.13200010676541032</v>
      </c>
    </row>
    <row r="43" spans="2:23">
      <c r="B43" s="96">
        <f>Amnt_Deposited!B38</f>
        <v>2024</v>
      </c>
      <c r="C43" s="99">
        <f>Amnt_Deposited!D38</f>
        <v>0</v>
      </c>
      <c r="D43" s="418">
        <f>Dry_Matter_Content!D30</f>
        <v>0.44</v>
      </c>
      <c r="E43" s="284">
        <f>MCF!R42</f>
        <v>1</v>
      </c>
      <c r="F43" s="67">
        <f t="shared" si="0"/>
        <v>0</v>
      </c>
      <c r="G43" s="67">
        <f t="shared" si="1"/>
        <v>0</v>
      </c>
      <c r="H43" s="67">
        <f t="shared" si="2"/>
        <v>0</v>
      </c>
      <c r="I43" s="67">
        <f t="shared" si="3"/>
        <v>7.8420324052385013E-2</v>
      </c>
      <c r="J43" s="67">
        <f t="shared" si="4"/>
        <v>5.6861150704047205E-3</v>
      </c>
      <c r="K43" s="100">
        <f t="shared" si="6"/>
        <v>3.7907433802698135E-3</v>
      </c>
      <c r="O43" s="96">
        <f>Amnt_Deposited!B38</f>
        <v>2024</v>
      </c>
      <c r="P43" s="99">
        <f>Amnt_Deposited!D38</f>
        <v>0</v>
      </c>
      <c r="Q43" s="284">
        <f>MCF!R42</f>
        <v>1</v>
      </c>
      <c r="R43" s="67">
        <f t="shared" si="5"/>
        <v>0</v>
      </c>
      <c r="S43" s="67">
        <f t="shared" si="7"/>
        <v>0</v>
      </c>
      <c r="T43" s="67">
        <f t="shared" si="8"/>
        <v>0</v>
      </c>
      <c r="U43" s="67">
        <f t="shared" si="9"/>
        <v>2.5461144172852275</v>
      </c>
      <c r="V43" s="67">
        <f t="shared" si="10"/>
        <v>0.18461412566249091</v>
      </c>
      <c r="W43" s="100">
        <f t="shared" si="11"/>
        <v>0.12307608377499393</v>
      </c>
    </row>
    <row r="44" spans="2:23">
      <c r="B44" s="96">
        <f>Amnt_Deposited!B39</f>
        <v>2025</v>
      </c>
      <c r="C44" s="99">
        <f>Amnt_Deposited!D39</f>
        <v>0</v>
      </c>
      <c r="D44" s="418">
        <f>Dry_Matter_Content!D31</f>
        <v>0.44</v>
      </c>
      <c r="E44" s="284">
        <f>MCF!R43</f>
        <v>1</v>
      </c>
      <c r="F44" s="67">
        <f t="shared" si="0"/>
        <v>0</v>
      </c>
      <c r="G44" s="67">
        <f t="shared" si="1"/>
        <v>0</v>
      </c>
      <c r="H44" s="67">
        <f t="shared" si="2"/>
        <v>0</v>
      </c>
      <c r="I44" s="67">
        <f t="shared" si="3"/>
        <v>7.311862550146557E-2</v>
      </c>
      <c r="J44" s="67">
        <f t="shared" si="4"/>
        <v>5.3016985509194373E-3</v>
      </c>
      <c r="K44" s="100">
        <f t="shared" si="6"/>
        <v>3.5344657006129579E-3</v>
      </c>
      <c r="O44" s="96">
        <f>Amnt_Deposited!B39</f>
        <v>2025</v>
      </c>
      <c r="P44" s="99">
        <f>Amnt_Deposited!D39</f>
        <v>0</v>
      </c>
      <c r="Q44" s="284">
        <f>MCF!R43</f>
        <v>1</v>
      </c>
      <c r="R44" s="67">
        <f t="shared" si="5"/>
        <v>0</v>
      </c>
      <c r="S44" s="67">
        <f t="shared" si="7"/>
        <v>0</v>
      </c>
      <c r="T44" s="67">
        <f t="shared" si="8"/>
        <v>0</v>
      </c>
      <c r="U44" s="67">
        <f t="shared" si="9"/>
        <v>2.3739813474501807</v>
      </c>
      <c r="V44" s="67">
        <f t="shared" si="10"/>
        <v>0.17213306983504667</v>
      </c>
      <c r="W44" s="100">
        <f t="shared" si="11"/>
        <v>0.11475537989003111</v>
      </c>
    </row>
    <row r="45" spans="2:23">
      <c r="B45" s="96">
        <f>Amnt_Deposited!B40</f>
        <v>2026</v>
      </c>
      <c r="C45" s="99">
        <f>Amnt_Deposited!D40</f>
        <v>0</v>
      </c>
      <c r="D45" s="418">
        <f>Dry_Matter_Content!D32</f>
        <v>0.44</v>
      </c>
      <c r="E45" s="284">
        <f>MCF!R44</f>
        <v>1</v>
      </c>
      <c r="F45" s="67">
        <f t="shared" si="0"/>
        <v>0</v>
      </c>
      <c r="G45" s="67">
        <f t="shared" si="1"/>
        <v>0</v>
      </c>
      <c r="H45" s="67">
        <f t="shared" si="2"/>
        <v>0</v>
      </c>
      <c r="I45" s="67">
        <f t="shared" si="3"/>
        <v>6.8175354537583971E-2</v>
      </c>
      <c r="J45" s="67">
        <f t="shared" si="4"/>
        <v>4.9432709638816043E-3</v>
      </c>
      <c r="K45" s="100">
        <f t="shared" si="6"/>
        <v>3.2955139759210696E-3</v>
      </c>
      <c r="O45" s="96">
        <f>Amnt_Deposited!B40</f>
        <v>2026</v>
      </c>
      <c r="P45" s="99">
        <f>Amnt_Deposited!D40</f>
        <v>0</v>
      </c>
      <c r="Q45" s="284">
        <f>MCF!R44</f>
        <v>1</v>
      </c>
      <c r="R45" s="67">
        <f t="shared" si="5"/>
        <v>0</v>
      </c>
      <c r="S45" s="67">
        <f t="shared" si="7"/>
        <v>0</v>
      </c>
      <c r="T45" s="67">
        <f t="shared" si="8"/>
        <v>0</v>
      </c>
      <c r="U45" s="67">
        <f t="shared" si="9"/>
        <v>2.2134855369345443</v>
      </c>
      <c r="V45" s="67">
        <f t="shared" si="10"/>
        <v>0.16049581051563649</v>
      </c>
      <c r="W45" s="100">
        <f t="shared" si="11"/>
        <v>0.10699720701042433</v>
      </c>
    </row>
    <row r="46" spans="2:23">
      <c r="B46" s="96">
        <f>Amnt_Deposited!B41</f>
        <v>2027</v>
      </c>
      <c r="C46" s="99">
        <f>Amnt_Deposited!D41</f>
        <v>0</v>
      </c>
      <c r="D46" s="418">
        <f>Dry_Matter_Content!D33</f>
        <v>0.44</v>
      </c>
      <c r="E46" s="284">
        <f>MCF!R45</f>
        <v>1</v>
      </c>
      <c r="F46" s="67">
        <f t="shared" si="0"/>
        <v>0</v>
      </c>
      <c r="G46" s="67">
        <f t="shared" si="1"/>
        <v>0</v>
      </c>
      <c r="H46" s="67">
        <f t="shared" si="2"/>
        <v>0</v>
      </c>
      <c r="I46" s="67">
        <f t="shared" si="3"/>
        <v>6.3566279240740237E-2</v>
      </c>
      <c r="J46" s="67">
        <f t="shared" si="4"/>
        <v>4.6090752968437282E-3</v>
      </c>
      <c r="K46" s="100">
        <f t="shared" si="6"/>
        <v>3.0727168645624855E-3</v>
      </c>
      <c r="O46" s="96">
        <f>Amnt_Deposited!B41</f>
        <v>2027</v>
      </c>
      <c r="P46" s="99">
        <f>Amnt_Deposited!D41</f>
        <v>0</v>
      </c>
      <c r="Q46" s="284">
        <f>MCF!R45</f>
        <v>1</v>
      </c>
      <c r="R46" s="67">
        <f t="shared" si="5"/>
        <v>0</v>
      </c>
      <c r="S46" s="67">
        <f t="shared" si="7"/>
        <v>0</v>
      </c>
      <c r="T46" s="67">
        <f t="shared" si="8"/>
        <v>0</v>
      </c>
      <c r="U46" s="67">
        <f t="shared" si="9"/>
        <v>2.0638402350889686</v>
      </c>
      <c r="V46" s="67">
        <f t="shared" si="10"/>
        <v>0.14964530184557559</v>
      </c>
      <c r="W46" s="100">
        <f t="shared" si="11"/>
        <v>9.976353456371706E-2</v>
      </c>
    </row>
    <row r="47" spans="2:23">
      <c r="B47" s="96">
        <f>Amnt_Deposited!B42</f>
        <v>2028</v>
      </c>
      <c r="C47" s="99">
        <f>Amnt_Deposited!D42</f>
        <v>0</v>
      </c>
      <c r="D47" s="418">
        <f>Dry_Matter_Content!D34</f>
        <v>0.44</v>
      </c>
      <c r="E47" s="284">
        <f>MCF!R46</f>
        <v>1</v>
      </c>
      <c r="F47" s="67">
        <f t="shared" si="0"/>
        <v>0</v>
      </c>
      <c r="G47" s="67">
        <f t="shared" si="1"/>
        <v>0</v>
      </c>
      <c r="H47" s="67">
        <f t="shared" si="2"/>
        <v>0</v>
      </c>
      <c r="I47" s="67">
        <f t="shared" si="3"/>
        <v>5.9268805918481972E-2</v>
      </c>
      <c r="J47" s="67">
        <f t="shared" si="4"/>
        <v>4.2974733222582665E-3</v>
      </c>
      <c r="K47" s="100">
        <f t="shared" si="6"/>
        <v>2.8649822148388441E-3</v>
      </c>
      <c r="O47" s="96">
        <f>Amnt_Deposited!B42</f>
        <v>2028</v>
      </c>
      <c r="P47" s="99">
        <f>Amnt_Deposited!D42</f>
        <v>0</v>
      </c>
      <c r="Q47" s="284">
        <f>MCF!R46</f>
        <v>1</v>
      </c>
      <c r="R47" s="67">
        <f t="shared" si="5"/>
        <v>0</v>
      </c>
      <c r="S47" s="67">
        <f t="shared" si="7"/>
        <v>0</v>
      </c>
      <c r="T47" s="67">
        <f t="shared" si="8"/>
        <v>0</v>
      </c>
      <c r="U47" s="67">
        <f t="shared" si="9"/>
        <v>1.9243118804701937</v>
      </c>
      <c r="V47" s="67">
        <f t="shared" si="10"/>
        <v>0.13952835461877486</v>
      </c>
      <c r="W47" s="100">
        <f t="shared" si="11"/>
        <v>9.3018903079183229E-2</v>
      </c>
    </row>
    <row r="48" spans="2:23">
      <c r="B48" s="96">
        <f>Amnt_Deposited!B43</f>
        <v>2029</v>
      </c>
      <c r="C48" s="99">
        <f>Amnt_Deposited!D43</f>
        <v>0</v>
      </c>
      <c r="D48" s="418">
        <f>Dry_Matter_Content!D35</f>
        <v>0.44</v>
      </c>
      <c r="E48" s="284">
        <f>MCF!R47</f>
        <v>1</v>
      </c>
      <c r="F48" s="67">
        <f t="shared" si="0"/>
        <v>0</v>
      </c>
      <c r="G48" s="67">
        <f t="shared" si="1"/>
        <v>0</v>
      </c>
      <c r="H48" s="67">
        <f t="shared" si="2"/>
        <v>0</v>
      </c>
      <c r="I48" s="67">
        <f t="shared" si="3"/>
        <v>5.526186835159768E-2</v>
      </c>
      <c r="J48" s="67">
        <f t="shared" si="4"/>
        <v>4.0069375668842907E-3</v>
      </c>
      <c r="K48" s="100">
        <f t="shared" si="6"/>
        <v>2.6712917112561938E-3</v>
      </c>
      <c r="O48" s="96">
        <f>Amnt_Deposited!B43</f>
        <v>2029</v>
      </c>
      <c r="P48" s="99">
        <f>Amnt_Deposited!D43</f>
        <v>0</v>
      </c>
      <c r="Q48" s="284">
        <f>MCF!R47</f>
        <v>1</v>
      </c>
      <c r="R48" s="67">
        <f t="shared" si="5"/>
        <v>0</v>
      </c>
      <c r="S48" s="67">
        <f t="shared" si="7"/>
        <v>0</v>
      </c>
      <c r="T48" s="67">
        <f t="shared" si="8"/>
        <v>0</v>
      </c>
      <c r="U48" s="67">
        <f t="shared" si="9"/>
        <v>1.7942165049220025</v>
      </c>
      <c r="V48" s="67">
        <f t="shared" si="10"/>
        <v>0.13009537554819126</v>
      </c>
      <c r="W48" s="100">
        <f t="shared" si="11"/>
        <v>8.6730250365460837E-2</v>
      </c>
    </row>
    <row r="49" spans="2:23">
      <c r="B49" s="96">
        <f>Amnt_Deposited!B44</f>
        <v>2030</v>
      </c>
      <c r="C49" s="99">
        <f>Amnt_Deposited!D44</f>
        <v>0</v>
      </c>
      <c r="D49" s="418">
        <f>Dry_Matter_Content!D36</f>
        <v>0.44</v>
      </c>
      <c r="E49" s="284">
        <f>MCF!R48</f>
        <v>1</v>
      </c>
      <c r="F49" s="67">
        <f t="shared" si="0"/>
        <v>0</v>
      </c>
      <c r="G49" s="67">
        <f t="shared" si="1"/>
        <v>0</v>
      </c>
      <c r="H49" s="67">
        <f t="shared" si="2"/>
        <v>0</v>
      </c>
      <c r="I49" s="67">
        <f t="shared" si="3"/>
        <v>5.1525824527485789E-2</v>
      </c>
      <c r="J49" s="67">
        <f t="shared" si="4"/>
        <v>3.7360438241118904E-3</v>
      </c>
      <c r="K49" s="100">
        <f t="shared" si="6"/>
        <v>2.4906958827412601E-3</v>
      </c>
      <c r="O49" s="96">
        <f>Amnt_Deposited!B44</f>
        <v>2030</v>
      </c>
      <c r="P49" s="99">
        <f>Amnt_Deposited!D44</f>
        <v>0</v>
      </c>
      <c r="Q49" s="284">
        <f>MCF!R48</f>
        <v>1</v>
      </c>
      <c r="R49" s="67">
        <f t="shared" si="5"/>
        <v>0</v>
      </c>
      <c r="S49" s="67">
        <f t="shared" si="7"/>
        <v>0</v>
      </c>
      <c r="T49" s="67">
        <f t="shared" si="8"/>
        <v>0</v>
      </c>
      <c r="U49" s="67">
        <f t="shared" si="9"/>
        <v>1.6729163807625256</v>
      </c>
      <c r="V49" s="67">
        <f t="shared" si="10"/>
        <v>0.12130012415947694</v>
      </c>
      <c r="W49" s="100">
        <f t="shared" si="11"/>
        <v>8.0866749439651289E-2</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4.8042360354986074E-2</v>
      </c>
      <c r="J50" s="67">
        <f t="shared" si="4"/>
        <v>3.4834641724997119E-3</v>
      </c>
      <c r="K50" s="100">
        <f t="shared" si="6"/>
        <v>2.3223094483331413E-3</v>
      </c>
      <c r="O50" s="96">
        <f>Amnt_Deposited!B45</f>
        <v>2031</v>
      </c>
      <c r="P50" s="99">
        <f>Amnt_Deposited!D45</f>
        <v>0</v>
      </c>
      <c r="Q50" s="284">
        <f>MCF!R49</f>
        <v>1</v>
      </c>
      <c r="R50" s="67">
        <f t="shared" si="5"/>
        <v>0</v>
      </c>
      <c r="S50" s="67">
        <f t="shared" si="7"/>
        <v>0</v>
      </c>
      <c r="T50" s="67">
        <f t="shared" si="8"/>
        <v>0</v>
      </c>
      <c r="U50" s="67">
        <f t="shared" si="9"/>
        <v>1.5598168946424051</v>
      </c>
      <c r="V50" s="67">
        <f t="shared" si="10"/>
        <v>0.11309948612012051</v>
      </c>
      <c r="W50" s="100">
        <f t="shared" si="11"/>
        <v>7.5399657413413673E-2</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4.4794399888683556E-2</v>
      </c>
      <c r="J51" s="67">
        <f t="shared" si="4"/>
        <v>3.2479604663025194E-3</v>
      </c>
      <c r="K51" s="100">
        <f t="shared" si="6"/>
        <v>2.1653069775350127E-3</v>
      </c>
      <c r="O51" s="96">
        <f>Amnt_Deposited!B46</f>
        <v>2032</v>
      </c>
      <c r="P51" s="99">
        <f>Amnt_Deposited!D46</f>
        <v>0</v>
      </c>
      <c r="Q51" s="284">
        <f>MCF!R50</f>
        <v>1</v>
      </c>
      <c r="R51" s="67">
        <f t="shared" ref="R51:R82" si="13">P51*$W$6*DOCF*Q51</f>
        <v>0</v>
      </c>
      <c r="S51" s="67">
        <f t="shared" si="7"/>
        <v>0</v>
      </c>
      <c r="T51" s="67">
        <f t="shared" si="8"/>
        <v>0</v>
      </c>
      <c r="U51" s="67">
        <f t="shared" si="9"/>
        <v>1.4543636327494662</v>
      </c>
      <c r="V51" s="67">
        <f t="shared" si="10"/>
        <v>0.10545326189293895</v>
      </c>
      <c r="W51" s="100">
        <f t="shared" si="11"/>
        <v>7.030217459529263E-2</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4.1766021622604246E-2</v>
      </c>
      <c r="J52" s="67">
        <f t="shared" si="4"/>
        <v>3.0283782660793109E-3</v>
      </c>
      <c r="K52" s="100">
        <f t="shared" si="6"/>
        <v>2.0189188440528738E-3</v>
      </c>
      <c r="O52" s="96">
        <f>Amnt_Deposited!B47</f>
        <v>2033</v>
      </c>
      <c r="P52" s="99">
        <f>Amnt_Deposited!D47</f>
        <v>0</v>
      </c>
      <c r="Q52" s="284">
        <f>MCF!R51</f>
        <v>1</v>
      </c>
      <c r="R52" s="67">
        <f t="shared" si="13"/>
        <v>0</v>
      </c>
      <c r="S52" s="67">
        <f t="shared" si="7"/>
        <v>0</v>
      </c>
      <c r="T52" s="67">
        <f t="shared" si="8"/>
        <v>0</v>
      </c>
      <c r="U52" s="67">
        <f t="shared" si="9"/>
        <v>1.3560396630715665</v>
      </c>
      <c r="V52" s="67">
        <f t="shared" si="10"/>
        <v>9.832396967789972E-2</v>
      </c>
      <c r="W52" s="100">
        <f t="shared" si="11"/>
        <v>6.5549313118599808E-2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3.8942380442974406E-2</v>
      </c>
      <c r="J53" s="67">
        <f t="shared" si="4"/>
        <v>2.8236411796298414E-3</v>
      </c>
      <c r="K53" s="100">
        <f t="shared" si="6"/>
        <v>1.8824274530865608E-3</v>
      </c>
      <c r="O53" s="96">
        <f>Amnt_Deposited!B48</f>
        <v>2034</v>
      </c>
      <c r="P53" s="99">
        <f>Amnt_Deposited!D48</f>
        <v>0</v>
      </c>
      <c r="Q53" s="284">
        <f>MCF!R52</f>
        <v>1</v>
      </c>
      <c r="R53" s="67">
        <f t="shared" si="13"/>
        <v>0</v>
      </c>
      <c r="S53" s="67">
        <f t="shared" si="7"/>
        <v>0</v>
      </c>
      <c r="T53" s="67">
        <f t="shared" si="8"/>
        <v>0</v>
      </c>
      <c r="U53" s="67">
        <f t="shared" si="9"/>
        <v>1.2643630013952729</v>
      </c>
      <c r="V53" s="67">
        <f t="shared" si="10"/>
        <v>9.1676661676293555E-2</v>
      </c>
      <c r="W53" s="100">
        <f t="shared" si="11"/>
        <v>6.1117774450862368E-2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3.63096348574556E-2</v>
      </c>
      <c r="J54" s="67">
        <f t="shared" si="4"/>
        <v>2.6327455855188055E-3</v>
      </c>
      <c r="K54" s="100">
        <f t="shared" si="6"/>
        <v>1.7551637236792035E-3</v>
      </c>
      <c r="O54" s="96">
        <f>Amnt_Deposited!B49</f>
        <v>2035</v>
      </c>
      <c r="P54" s="99">
        <f>Amnt_Deposited!D49</f>
        <v>0</v>
      </c>
      <c r="Q54" s="284">
        <f>MCF!R53</f>
        <v>1</v>
      </c>
      <c r="R54" s="67">
        <f t="shared" si="13"/>
        <v>0</v>
      </c>
      <c r="S54" s="67">
        <f t="shared" si="7"/>
        <v>0</v>
      </c>
      <c r="T54" s="67">
        <f t="shared" si="8"/>
        <v>0</v>
      </c>
      <c r="U54" s="67">
        <f t="shared" si="9"/>
        <v>1.1788842486186883</v>
      </c>
      <c r="V54" s="67">
        <f t="shared" si="10"/>
        <v>8.5478752776584593E-2</v>
      </c>
      <c r="W54" s="100">
        <f t="shared" si="11"/>
        <v>5.6985835184389724E-2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3.3854879144133196E-2</v>
      </c>
      <c r="J55" s="67">
        <f t="shared" si="4"/>
        <v>2.4547557133224015E-3</v>
      </c>
      <c r="K55" s="100">
        <f t="shared" si="6"/>
        <v>1.6365038088816009E-3</v>
      </c>
      <c r="O55" s="96">
        <f>Amnt_Deposited!B50</f>
        <v>2036</v>
      </c>
      <c r="P55" s="99">
        <f>Amnt_Deposited!D50</f>
        <v>0</v>
      </c>
      <c r="Q55" s="284">
        <f>MCF!R54</f>
        <v>1</v>
      </c>
      <c r="R55" s="67">
        <f t="shared" si="13"/>
        <v>0</v>
      </c>
      <c r="S55" s="67">
        <f t="shared" si="7"/>
        <v>0</v>
      </c>
      <c r="T55" s="67">
        <f t="shared" si="8"/>
        <v>0</v>
      </c>
      <c r="U55" s="67">
        <f t="shared" si="9"/>
        <v>1.0991843877965324</v>
      </c>
      <c r="V55" s="67">
        <f t="shared" si="10"/>
        <v>7.9699860822155896E-2</v>
      </c>
      <c r="W55" s="100">
        <f t="shared" si="11"/>
        <v>5.3133240548103929E-2</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3.1566080087652569E-2</v>
      </c>
      <c r="J56" s="67">
        <f t="shared" si="4"/>
        <v>2.2887990564806246E-3</v>
      </c>
      <c r="K56" s="100">
        <f t="shared" si="6"/>
        <v>1.5258660376537498E-3</v>
      </c>
      <c r="O56" s="96">
        <f>Amnt_Deposited!B51</f>
        <v>2037</v>
      </c>
      <c r="P56" s="99">
        <f>Amnt_Deposited!D51</f>
        <v>0</v>
      </c>
      <c r="Q56" s="284">
        <f>MCF!R55</f>
        <v>1</v>
      </c>
      <c r="R56" s="67">
        <f t="shared" si="13"/>
        <v>0</v>
      </c>
      <c r="S56" s="67">
        <f t="shared" si="7"/>
        <v>0</v>
      </c>
      <c r="T56" s="67">
        <f t="shared" si="8"/>
        <v>0</v>
      </c>
      <c r="U56" s="67">
        <f t="shared" si="9"/>
        <v>1.02487273011859</v>
      </c>
      <c r="V56" s="67">
        <f t="shared" si="10"/>
        <v>7.4311657677942358E-2</v>
      </c>
      <c r="W56" s="100">
        <f t="shared" si="11"/>
        <v>4.9541105118628234E-2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2.9432017992383468E-2</v>
      </c>
      <c r="J57" s="67">
        <f t="shared" si="4"/>
        <v>2.1340620952690998E-3</v>
      </c>
      <c r="K57" s="100">
        <f t="shared" si="6"/>
        <v>1.4227080635127332E-3</v>
      </c>
      <c r="O57" s="96">
        <f>Amnt_Deposited!B52</f>
        <v>2038</v>
      </c>
      <c r="P57" s="99">
        <f>Amnt_Deposited!D52</f>
        <v>0</v>
      </c>
      <c r="Q57" s="284">
        <f>MCF!R56</f>
        <v>1</v>
      </c>
      <c r="R57" s="67">
        <f t="shared" si="13"/>
        <v>0</v>
      </c>
      <c r="S57" s="67">
        <f t="shared" si="7"/>
        <v>0</v>
      </c>
      <c r="T57" s="67">
        <f t="shared" si="8"/>
        <v>0</v>
      </c>
      <c r="U57" s="67">
        <f t="shared" si="9"/>
        <v>0.95558499975271016</v>
      </c>
      <c r="V57" s="67">
        <f t="shared" si="10"/>
        <v>6.9287730365879874E-2</v>
      </c>
      <c r="W57" s="100">
        <f t="shared" si="11"/>
        <v>4.6191820243919914E-2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2.744223168345902E-2</v>
      </c>
      <c r="J58" s="67">
        <f t="shared" si="4"/>
        <v>1.9897863089244476E-3</v>
      </c>
      <c r="K58" s="100">
        <f t="shared" si="6"/>
        <v>1.3265242059496316E-3</v>
      </c>
      <c r="O58" s="96">
        <f>Amnt_Deposited!B53</f>
        <v>2039</v>
      </c>
      <c r="P58" s="99">
        <f>Amnt_Deposited!D53</f>
        <v>0</v>
      </c>
      <c r="Q58" s="284">
        <f>MCF!R57</f>
        <v>1</v>
      </c>
      <c r="R58" s="67">
        <f t="shared" si="13"/>
        <v>0</v>
      </c>
      <c r="S58" s="67">
        <f t="shared" si="7"/>
        <v>0</v>
      </c>
      <c r="T58" s="67">
        <f t="shared" si="8"/>
        <v>0</v>
      </c>
      <c r="U58" s="67">
        <f t="shared" si="9"/>
        <v>0.89098154816425401</v>
      </c>
      <c r="V58" s="67">
        <f t="shared" si="10"/>
        <v>6.4603451588456096E-2</v>
      </c>
      <c r="W58" s="100">
        <f t="shared" si="11"/>
        <v>4.3068967725637397E-2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2.5586967226084396E-2</v>
      </c>
      <c r="J59" s="67">
        <f t="shared" si="4"/>
        <v>1.8552644573746227E-3</v>
      </c>
      <c r="K59" s="100">
        <f t="shared" si="6"/>
        <v>1.2368429715830817E-3</v>
      </c>
      <c r="O59" s="96">
        <f>Amnt_Deposited!B54</f>
        <v>2040</v>
      </c>
      <c r="P59" s="99">
        <f>Amnt_Deposited!D54</f>
        <v>0</v>
      </c>
      <c r="Q59" s="284">
        <f>MCF!R58</f>
        <v>1</v>
      </c>
      <c r="R59" s="67">
        <f t="shared" si="13"/>
        <v>0</v>
      </c>
      <c r="S59" s="67">
        <f t="shared" si="7"/>
        <v>0</v>
      </c>
      <c r="T59" s="67">
        <f t="shared" si="8"/>
        <v>0</v>
      </c>
      <c r="U59" s="67">
        <f t="shared" si="9"/>
        <v>0.83074568915858438</v>
      </c>
      <c r="V59" s="67">
        <f t="shared" si="10"/>
        <v>6.0235859005669579E-2</v>
      </c>
      <c r="W59" s="100">
        <f t="shared" si="11"/>
        <v>4.015723933711305E-2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2.3857130111737134E-2</v>
      </c>
      <c r="J60" s="67">
        <f t="shared" si="4"/>
        <v>1.7298371143472607E-3</v>
      </c>
      <c r="K60" s="100">
        <f t="shared" si="6"/>
        <v>1.1532247428981738E-3</v>
      </c>
      <c r="O60" s="96">
        <f>Amnt_Deposited!B55</f>
        <v>2041</v>
      </c>
      <c r="P60" s="99">
        <f>Amnt_Deposited!D55</f>
        <v>0</v>
      </c>
      <c r="Q60" s="284">
        <f>MCF!R59</f>
        <v>1</v>
      </c>
      <c r="R60" s="67">
        <f t="shared" si="13"/>
        <v>0</v>
      </c>
      <c r="S60" s="67">
        <f t="shared" si="7"/>
        <v>0</v>
      </c>
      <c r="T60" s="67">
        <f t="shared" si="8"/>
        <v>0</v>
      </c>
      <c r="U60" s="67">
        <f t="shared" si="9"/>
        <v>0.77458214648497203</v>
      </c>
      <c r="V60" s="67">
        <f t="shared" si="10"/>
        <v>5.6163542673612371E-2</v>
      </c>
      <c r="W60" s="100">
        <f t="shared" si="11"/>
        <v>3.7442361782408243E-2</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2.2244240676875807E-2</v>
      </c>
      <c r="J61" s="67">
        <f t="shared" si="4"/>
        <v>1.6128894348613251E-3</v>
      </c>
      <c r="K61" s="100">
        <f t="shared" si="6"/>
        <v>1.0752596232408832E-3</v>
      </c>
      <c r="O61" s="96">
        <f>Amnt_Deposited!B56</f>
        <v>2042</v>
      </c>
      <c r="P61" s="99">
        <f>Amnt_Deposited!D56</f>
        <v>0</v>
      </c>
      <c r="Q61" s="284">
        <f>MCF!R60</f>
        <v>1</v>
      </c>
      <c r="R61" s="67">
        <f t="shared" si="13"/>
        <v>0</v>
      </c>
      <c r="S61" s="67">
        <f t="shared" si="7"/>
        <v>0</v>
      </c>
      <c r="T61" s="67">
        <f t="shared" si="8"/>
        <v>0</v>
      </c>
      <c r="U61" s="67">
        <f t="shared" si="9"/>
        <v>0.72221560639207183</v>
      </c>
      <c r="V61" s="67">
        <f t="shared" si="10"/>
        <v>5.2366540092900177E-2</v>
      </c>
      <c r="W61" s="100">
        <f t="shared" si="11"/>
        <v>3.4911026728600116E-2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2.074039253561951E-2</v>
      </c>
      <c r="J62" s="67">
        <f t="shared" si="4"/>
        <v>1.5038481412562969E-3</v>
      </c>
      <c r="K62" s="100">
        <f t="shared" si="6"/>
        <v>1.0025654275041978E-3</v>
      </c>
      <c r="O62" s="96">
        <f>Amnt_Deposited!B57</f>
        <v>2043</v>
      </c>
      <c r="P62" s="99">
        <f>Amnt_Deposited!D57</f>
        <v>0</v>
      </c>
      <c r="Q62" s="284">
        <f>MCF!R61</f>
        <v>1</v>
      </c>
      <c r="R62" s="67">
        <f t="shared" si="13"/>
        <v>0</v>
      </c>
      <c r="S62" s="67">
        <f t="shared" si="7"/>
        <v>0</v>
      </c>
      <c r="T62" s="67">
        <f t="shared" si="8"/>
        <v>0</v>
      </c>
      <c r="U62" s="67">
        <f t="shared" si="9"/>
        <v>0.67338936803959459</v>
      </c>
      <c r="V62" s="67">
        <f t="shared" si="10"/>
        <v>4.882623835247718E-2</v>
      </c>
      <c r="W62" s="100">
        <f t="shared" si="11"/>
        <v>3.255082556831812E-2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1.9338213822635092E-2</v>
      </c>
      <c r="J63" s="67">
        <f t="shared" si="4"/>
        <v>1.4021787129844187E-3</v>
      </c>
      <c r="K63" s="100">
        <f t="shared" si="6"/>
        <v>9.3478580865627913E-4</v>
      </c>
      <c r="O63" s="96">
        <f>Amnt_Deposited!B58</f>
        <v>2044</v>
      </c>
      <c r="P63" s="99">
        <f>Amnt_Deposited!D58</f>
        <v>0</v>
      </c>
      <c r="Q63" s="284">
        <f>MCF!R62</f>
        <v>1</v>
      </c>
      <c r="R63" s="67">
        <f t="shared" si="13"/>
        <v>0</v>
      </c>
      <c r="S63" s="67">
        <f t="shared" si="7"/>
        <v>0</v>
      </c>
      <c r="T63" s="67">
        <f t="shared" si="8"/>
        <v>0</v>
      </c>
      <c r="U63" s="67">
        <f t="shared" si="9"/>
        <v>0.62786408515049008</v>
      </c>
      <c r="V63" s="67">
        <f t="shared" si="10"/>
        <v>4.5525282889104512E-2</v>
      </c>
      <c r="W63" s="100">
        <f t="shared" si="11"/>
        <v>3.0350188592736339E-2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1.8030831056244742E-2</v>
      </c>
      <c r="J64" s="67">
        <f t="shared" si="4"/>
        <v>1.3073827663903485E-3</v>
      </c>
      <c r="K64" s="100">
        <f t="shared" si="6"/>
        <v>8.7158851092689895E-4</v>
      </c>
      <c r="O64" s="96">
        <f>Amnt_Deposited!B59</f>
        <v>2045</v>
      </c>
      <c r="P64" s="99">
        <f>Amnt_Deposited!D59</f>
        <v>0</v>
      </c>
      <c r="Q64" s="284">
        <f>MCF!R63</f>
        <v>1</v>
      </c>
      <c r="R64" s="67">
        <f t="shared" si="13"/>
        <v>0</v>
      </c>
      <c r="S64" s="67">
        <f t="shared" si="7"/>
        <v>0</v>
      </c>
      <c r="T64" s="67">
        <f t="shared" si="8"/>
        <v>0</v>
      </c>
      <c r="U64" s="67">
        <f t="shared" si="9"/>
        <v>0.58541659273521907</v>
      </c>
      <c r="V64" s="67">
        <f t="shared" si="10"/>
        <v>4.2447492415271064E-2</v>
      </c>
      <c r="W64" s="100">
        <f t="shared" si="11"/>
        <v>2.8298328276847376E-2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1.6811835444610838E-2</v>
      </c>
      <c r="J65" s="67">
        <f t="shared" si="4"/>
        <v>1.2189956116339029E-3</v>
      </c>
      <c r="K65" s="100">
        <f t="shared" si="6"/>
        <v>8.1266374108926855E-4</v>
      </c>
      <c r="O65" s="96">
        <f>Amnt_Deposited!B60</f>
        <v>2046</v>
      </c>
      <c r="P65" s="99">
        <f>Amnt_Deposited!D60</f>
        <v>0</v>
      </c>
      <c r="Q65" s="284">
        <f>MCF!R64</f>
        <v>1</v>
      </c>
      <c r="R65" s="67">
        <f t="shared" si="13"/>
        <v>0</v>
      </c>
      <c r="S65" s="67">
        <f t="shared" si="7"/>
        <v>0</v>
      </c>
      <c r="T65" s="67">
        <f t="shared" si="8"/>
        <v>0</v>
      </c>
      <c r="U65" s="67">
        <f t="shared" si="9"/>
        <v>0.54583881313671567</v>
      </c>
      <c r="V65" s="67">
        <f t="shared" si="10"/>
        <v>3.9577779598503351E-2</v>
      </c>
      <c r="W65" s="100">
        <f t="shared" si="11"/>
        <v>2.6385186399002232E-2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1.5675251469830915E-2</v>
      </c>
      <c r="J66" s="67">
        <f t="shared" si="4"/>
        <v>1.1365839747799226E-3</v>
      </c>
      <c r="K66" s="100">
        <f t="shared" si="6"/>
        <v>7.5772264985328171E-4</v>
      </c>
      <c r="O66" s="96">
        <f>Amnt_Deposited!B61</f>
        <v>2047</v>
      </c>
      <c r="P66" s="99">
        <f>Amnt_Deposited!D61</f>
        <v>0</v>
      </c>
      <c r="Q66" s="284">
        <f>MCF!R65</f>
        <v>1</v>
      </c>
      <c r="R66" s="67">
        <f t="shared" si="13"/>
        <v>0</v>
      </c>
      <c r="S66" s="67">
        <f t="shared" si="7"/>
        <v>0</v>
      </c>
      <c r="T66" s="67">
        <f t="shared" si="8"/>
        <v>0</v>
      </c>
      <c r="U66" s="67">
        <f t="shared" si="9"/>
        <v>0.50893673603347145</v>
      </c>
      <c r="V66" s="67">
        <f t="shared" si="10"/>
        <v>3.6902077103244245E-2</v>
      </c>
      <c r="W66" s="100">
        <f t="shared" si="11"/>
        <v>2.4601384735496161E-2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1.4615507595941978E-2</v>
      </c>
      <c r="J67" s="67">
        <f t="shared" si="4"/>
        <v>1.0597438738889379E-3</v>
      </c>
      <c r="K67" s="100">
        <f t="shared" si="6"/>
        <v>7.0649591592595858E-4</v>
      </c>
      <c r="O67" s="96">
        <f>Amnt_Deposited!B62</f>
        <v>2048</v>
      </c>
      <c r="P67" s="99">
        <f>Amnt_Deposited!D62</f>
        <v>0</v>
      </c>
      <c r="Q67" s="284">
        <f>MCF!R66</f>
        <v>1</v>
      </c>
      <c r="R67" s="67">
        <f t="shared" si="13"/>
        <v>0</v>
      </c>
      <c r="S67" s="67">
        <f t="shared" si="7"/>
        <v>0</v>
      </c>
      <c r="T67" s="67">
        <f t="shared" si="8"/>
        <v>0</v>
      </c>
      <c r="U67" s="67">
        <f t="shared" si="9"/>
        <v>0.47452946740071372</v>
      </c>
      <c r="V67" s="67">
        <f t="shared" si="10"/>
        <v>3.4407268632757733E-2</v>
      </c>
      <c r="W67" s="100">
        <f t="shared" si="11"/>
        <v>2.2938179088505154E-2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1.3627408957244744E-2</v>
      </c>
      <c r="J68" s="67">
        <f t="shared" si="4"/>
        <v>9.8809863869723439E-4</v>
      </c>
      <c r="K68" s="100">
        <f t="shared" si="6"/>
        <v>6.5873242579815626E-4</v>
      </c>
      <c r="O68" s="96">
        <f>Amnt_Deposited!B63</f>
        <v>2049</v>
      </c>
      <c r="P68" s="99">
        <f>Amnt_Deposited!D63</f>
        <v>0</v>
      </c>
      <c r="Q68" s="284">
        <f>MCF!R67</f>
        <v>1</v>
      </c>
      <c r="R68" s="67">
        <f t="shared" si="13"/>
        <v>0</v>
      </c>
      <c r="S68" s="67">
        <f t="shared" si="7"/>
        <v>0</v>
      </c>
      <c r="T68" s="67">
        <f t="shared" si="8"/>
        <v>0</v>
      </c>
      <c r="U68" s="67">
        <f t="shared" si="9"/>
        <v>0.44244834276768663</v>
      </c>
      <c r="V68" s="67">
        <f t="shared" si="10"/>
        <v>3.2081124633027099E-2</v>
      </c>
      <c r="W68" s="100">
        <f t="shared" si="11"/>
        <v>2.1387416422018066E-2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1.2706111893065962E-2</v>
      </c>
      <c r="J69" s="67">
        <f t="shared" si="4"/>
        <v>9.2129706417878182E-4</v>
      </c>
      <c r="K69" s="100">
        <f t="shared" si="6"/>
        <v>6.1419804278585455E-4</v>
      </c>
      <c r="O69" s="96">
        <f>Amnt_Deposited!B64</f>
        <v>2050</v>
      </c>
      <c r="P69" s="99">
        <f>Amnt_Deposited!D64</f>
        <v>0</v>
      </c>
      <c r="Q69" s="284">
        <f>MCF!R68</f>
        <v>1</v>
      </c>
      <c r="R69" s="67">
        <f t="shared" si="13"/>
        <v>0</v>
      </c>
      <c r="S69" s="67">
        <f t="shared" si="7"/>
        <v>0</v>
      </c>
      <c r="T69" s="67">
        <f t="shared" si="8"/>
        <v>0</v>
      </c>
      <c r="U69" s="67">
        <f t="shared" si="9"/>
        <v>0.41253610042421968</v>
      </c>
      <c r="V69" s="67">
        <f t="shared" si="10"/>
        <v>2.9912242343466951E-2</v>
      </c>
      <c r="W69" s="100">
        <f t="shared" si="11"/>
        <v>1.9941494895644632E-2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1.1847100204128172E-2</v>
      </c>
      <c r="J70" s="67">
        <f t="shared" si="4"/>
        <v>8.5901168893778997E-4</v>
      </c>
      <c r="K70" s="100">
        <f t="shared" si="6"/>
        <v>5.7267445929185998E-4</v>
      </c>
      <c r="O70" s="96">
        <f>Amnt_Deposited!B65</f>
        <v>2051</v>
      </c>
      <c r="P70" s="99">
        <f>Amnt_Deposited!D65</f>
        <v>0</v>
      </c>
      <c r="Q70" s="284">
        <f>MCF!R69</f>
        <v>1</v>
      </c>
      <c r="R70" s="67">
        <f t="shared" si="13"/>
        <v>0</v>
      </c>
      <c r="S70" s="67">
        <f t="shared" si="7"/>
        <v>0</v>
      </c>
      <c r="T70" s="67">
        <f t="shared" si="8"/>
        <v>0</v>
      </c>
      <c r="U70" s="67">
        <f t="shared" si="9"/>
        <v>0.38464611052364206</v>
      </c>
      <c r="V70" s="67">
        <f t="shared" si="10"/>
        <v>2.7889989900577606E-2</v>
      </c>
      <c r="W70" s="100">
        <f t="shared" si="11"/>
        <v>1.8593326600385068E-2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1.1046163014135605E-2</v>
      </c>
      <c r="J71" s="67">
        <f t="shared" si="4"/>
        <v>8.0093718999256621E-4</v>
      </c>
      <c r="K71" s="100">
        <f t="shared" si="6"/>
        <v>5.3395812666171081E-4</v>
      </c>
      <c r="O71" s="96">
        <f>Amnt_Deposited!B66</f>
        <v>2052</v>
      </c>
      <c r="P71" s="99">
        <f>Amnt_Deposited!D66</f>
        <v>0</v>
      </c>
      <c r="Q71" s="284">
        <f>MCF!R70</f>
        <v>1</v>
      </c>
      <c r="R71" s="67">
        <f t="shared" si="13"/>
        <v>0</v>
      </c>
      <c r="S71" s="67">
        <f t="shared" si="7"/>
        <v>0</v>
      </c>
      <c r="T71" s="67">
        <f t="shared" si="8"/>
        <v>0</v>
      </c>
      <c r="U71" s="67">
        <f t="shared" si="9"/>
        <v>0.35864165630310418</v>
      </c>
      <c r="V71" s="67">
        <f t="shared" si="10"/>
        <v>2.6004454220537869E-2</v>
      </c>
      <c r="W71" s="100">
        <f t="shared" si="11"/>
        <v>1.733630281369191E-2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1.02993741280537E-2</v>
      </c>
      <c r="J72" s="67">
        <f t="shared" si="4"/>
        <v>7.4678888608190497E-4</v>
      </c>
      <c r="K72" s="100">
        <f t="shared" si="6"/>
        <v>4.9785925738793661E-4</v>
      </c>
      <c r="O72" s="96">
        <f>Amnt_Deposited!B67</f>
        <v>2053</v>
      </c>
      <c r="P72" s="99">
        <f>Amnt_Deposited!D67</f>
        <v>0</v>
      </c>
      <c r="Q72" s="284">
        <f>MCF!R71</f>
        <v>1</v>
      </c>
      <c r="R72" s="67">
        <f t="shared" si="13"/>
        <v>0</v>
      </c>
      <c r="S72" s="67">
        <f t="shared" si="7"/>
        <v>0</v>
      </c>
      <c r="T72" s="67">
        <f t="shared" si="8"/>
        <v>0</v>
      </c>
      <c r="U72" s="67">
        <f t="shared" si="9"/>
        <v>0.33439526389784752</v>
      </c>
      <c r="V72" s="67">
        <f t="shared" si="10"/>
        <v>2.4246392405256664E-2</v>
      </c>
      <c r="W72" s="100">
        <f t="shared" si="11"/>
        <v>1.616426160350444E-2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9.603072785896484E-3</v>
      </c>
      <c r="J73" s="67">
        <f t="shared" si="4"/>
        <v>6.963013421572154E-4</v>
      </c>
      <c r="K73" s="100">
        <f t="shared" si="6"/>
        <v>4.6420089477147692E-4</v>
      </c>
      <c r="O73" s="96">
        <f>Amnt_Deposited!B68</f>
        <v>2054</v>
      </c>
      <c r="P73" s="99">
        <f>Amnt_Deposited!D68</f>
        <v>0</v>
      </c>
      <c r="Q73" s="284">
        <f>MCF!R72</f>
        <v>1</v>
      </c>
      <c r="R73" s="67">
        <f t="shared" si="13"/>
        <v>0</v>
      </c>
      <c r="S73" s="67">
        <f t="shared" si="7"/>
        <v>0</v>
      </c>
      <c r="T73" s="67">
        <f t="shared" si="8"/>
        <v>0</v>
      </c>
      <c r="U73" s="67">
        <f t="shared" si="9"/>
        <v>0.3117880774641717</v>
      </c>
      <c r="V73" s="67">
        <f t="shared" si="10"/>
        <v>2.2607186433675833E-2</v>
      </c>
      <c r="W73" s="100">
        <f t="shared" si="11"/>
        <v>1.5071457622450555E-2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8.9538457176768799E-3</v>
      </c>
      <c r="J74" s="67">
        <f t="shared" si="4"/>
        <v>6.4922706821960471E-4</v>
      </c>
      <c r="K74" s="100">
        <f t="shared" si="6"/>
        <v>4.3281804547973647E-4</v>
      </c>
      <c r="O74" s="96">
        <f>Amnt_Deposited!B69</f>
        <v>2055</v>
      </c>
      <c r="P74" s="99">
        <f>Amnt_Deposited!D69</f>
        <v>0</v>
      </c>
      <c r="Q74" s="284">
        <f>MCF!R73</f>
        <v>1</v>
      </c>
      <c r="R74" s="67">
        <f t="shared" si="13"/>
        <v>0</v>
      </c>
      <c r="S74" s="67">
        <f t="shared" si="7"/>
        <v>0</v>
      </c>
      <c r="T74" s="67">
        <f t="shared" si="8"/>
        <v>0</v>
      </c>
      <c r="U74" s="67">
        <f t="shared" si="9"/>
        <v>0.29070927654795076</v>
      </c>
      <c r="V74" s="67">
        <f t="shared" si="10"/>
        <v>2.1078800916220941E-2</v>
      </c>
      <c r="W74" s="100">
        <f t="shared" si="11"/>
        <v>1.4052533944147294E-2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8.3485104115532636E-3</v>
      </c>
      <c r="J75" s="67">
        <f t="shared" si="4"/>
        <v>6.0533530612361694E-4</v>
      </c>
      <c r="K75" s="100">
        <f t="shared" si="6"/>
        <v>4.0355687074907794E-4</v>
      </c>
      <c r="O75" s="96">
        <f>Amnt_Deposited!B70</f>
        <v>2056</v>
      </c>
      <c r="P75" s="99">
        <f>Amnt_Deposited!D70</f>
        <v>0</v>
      </c>
      <c r="Q75" s="284">
        <f>MCF!R74</f>
        <v>1</v>
      </c>
      <c r="R75" s="67">
        <f t="shared" si="13"/>
        <v>0</v>
      </c>
      <c r="S75" s="67">
        <f t="shared" si="7"/>
        <v>0</v>
      </c>
      <c r="T75" s="67">
        <f t="shared" si="8"/>
        <v>0</v>
      </c>
      <c r="U75" s="67">
        <f t="shared" si="9"/>
        <v>0.2710555328426385</v>
      </c>
      <c r="V75" s="67">
        <f t="shared" si="10"/>
        <v>1.9653743705312247E-2</v>
      </c>
      <c r="W75" s="100">
        <f t="shared" si="11"/>
        <v>1.3102495803541498E-2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7.7840995131527278E-3</v>
      </c>
      <c r="J76" s="67">
        <f t="shared" si="4"/>
        <v>5.6441089840053582E-4</v>
      </c>
      <c r="K76" s="100">
        <f t="shared" si="6"/>
        <v>3.7627393226702388E-4</v>
      </c>
      <c r="O76" s="96">
        <f>Amnt_Deposited!B71</f>
        <v>2057</v>
      </c>
      <c r="P76" s="99">
        <f>Amnt_Deposited!D71</f>
        <v>0</v>
      </c>
      <c r="Q76" s="284">
        <f>MCF!R75</f>
        <v>1</v>
      </c>
      <c r="R76" s="67">
        <f t="shared" si="13"/>
        <v>0</v>
      </c>
      <c r="S76" s="67">
        <f t="shared" si="7"/>
        <v>0</v>
      </c>
      <c r="T76" s="67">
        <f t="shared" si="8"/>
        <v>0</v>
      </c>
      <c r="U76" s="67">
        <f t="shared" si="9"/>
        <v>0.25273050367378991</v>
      </c>
      <c r="V76" s="67">
        <f t="shared" si="10"/>
        <v>1.832502916884857E-2</v>
      </c>
      <c r="W76" s="100">
        <f t="shared" si="11"/>
        <v>1.2216686112565713E-2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7.257846279596504E-3</v>
      </c>
      <c r="J77" s="67">
        <f t="shared" si="4"/>
        <v>5.262532335562237E-4</v>
      </c>
      <c r="K77" s="100">
        <f t="shared" si="6"/>
        <v>3.5083548903748246E-4</v>
      </c>
      <c r="O77" s="96">
        <f>Amnt_Deposited!B72</f>
        <v>2058</v>
      </c>
      <c r="P77" s="99">
        <f>Amnt_Deposited!D72</f>
        <v>0</v>
      </c>
      <c r="Q77" s="284">
        <f>MCF!R76</f>
        <v>1</v>
      </c>
      <c r="R77" s="67">
        <f t="shared" si="13"/>
        <v>0</v>
      </c>
      <c r="S77" s="67">
        <f t="shared" si="7"/>
        <v>0</v>
      </c>
      <c r="T77" s="67">
        <f t="shared" si="8"/>
        <v>0</v>
      </c>
      <c r="U77" s="67">
        <f t="shared" si="9"/>
        <v>0.23564435972715927</v>
      </c>
      <c r="V77" s="67">
        <f t="shared" si="10"/>
        <v>1.7086143946630643E-2</v>
      </c>
      <c r="W77" s="100">
        <f t="shared" si="11"/>
        <v>1.1390762631087094E-2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6.7671710169231597E-3</v>
      </c>
      <c r="J78" s="67">
        <f t="shared" si="4"/>
        <v>4.9067526267334454E-4</v>
      </c>
      <c r="K78" s="100">
        <f t="shared" si="6"/>
        <v>3.2711684178222966E-4</v>
      </c>
      <c r="O78" s="96">
        <f>Amnt_Deposited!B73</f>
        <v>2059</v>
      </c>
      <c r="P78" s="99">
        <f>Amnt_Deposited!D73</f>
        <v>0</v>
      </c>
      <c r="Q78" s="284">
        <f>MCF!R77</f>
        <v>1</v>
      </c>
      <c r="R78" s="67">
        <f t="shared" si="13"/>
        <v>0</v>
      </c>
      <c r="S78" s="67">
        <f t="shared" si="7"/>
        <v>0</v>
      </c>
      <c r="T78" s="67">
        <f t="shared" si="8"/>
        <v>0</v>
      </c>
      <c r="U78" s="67">
        <f t="shared" si="9"/>
        <v>0.21971334470529744</v>
      </c>
      <c r="V78" s="67">
        <f t="shared" si="10"/>
        <v>1.5931015021861838E-2</v>
      </c>
      <c r="W78" s="100">
        <f t="shared" si="11"/>
        <v>1.0620676681241226E-2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6.3096684344258053E-3</v>
      </c>
      <c r="J79" s="67">
        <f t="shared" si="4"/>
        <v>4.5750258249735432E-4</v>
      </c>
      <c r="K79" s="100">
        <f t="shared" si="6"/>
        <v>3.0500172166490286E-4</v>
      </c>
      <c r="O79" s="96">
        <f>Amnt_Deposited!B74</f>
        <v>2060</v>
      </c>
      <c r="P79" s="99">
        <f>Amnt_Deposited!D74</f>
        <v>0</v>
      </c>
      <c r="Q79" s="284">
        <f>MCF!R78</f>
        <v>1</v>
      </c>
      <c r="R79" s="67">
        <f t="shared" si="13"/>
        <v>0</v>
      </c>
      <c r="S79" s="67">
        <f t="shared" si="7"/>
        <v>0</v>
      </c>
      <c r="T79" s="67">
        <f t="shared" si="8"/>
        <v>0</v>
      </c>
      <c r="U79" s="67">
        <f t="shared" si="9"/>
        <v>0.20485936475408464</v>
      </c>
      <c r="V79" s="67">
        <f t="shared" si="10"/>
        <v>1.4853979951212804E-2</v>
      </c>
      <c r="W79" s="100">
        <f t="shared" si="11"/>
        <v>9.9026533008085352E-3</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5.883095853914261E-3</v>
      </c>
      <c r="J80" s="67">
        <f t="shared" si="4"/>
        <v>4.2657258051154439E-4</v>
      </c>
      <c r="K80" s="100">
        <f t="shared" si="6"/>
        <v>2.8438172034102956E-4</v>
      </c>
      <c r="O80" s="96">
        <f>Amnt_Deposited!B75</f>
        <v>2061</v>
      </c>
      <c r="P80" s="99">
        <f>Amnt_Deposited!D75</f>
        <v>0</v>
      </c>
      <c r="Q80" s="284">
        <f>MCF!R79</f>
        <v>1</v>
      </c>
      <c r="R80" s="67">
        <f t="shared" si="13"/>
        <v>0</v>
      </c>
      <c r="S80" s="67">
        <f t="shared" si="7"/>
        <v>0</v>
      </c>
      <c r="T80" s="67">
        <f t="shared" si="8"/>
        <v>0</v>
      </c>
      <c r="U80" s="67">
        <f t="shared" si="9"/>
        <v>0.19100960564656697</v>
      </c>
      <c r="V80" s="67">
        <f t="shared" si="10"/>
        <v>1.3849759107517678E-2</v>
      </c>
      <c r="W80" s="100">
        <f t="shared" si="11"/>
        <v>9.233172738345119E-3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5.4853622161039643E-3</v>
      </c>
      <c r="J81" s="67">
        <f t="shared" si="4"/>
        <v>3.9773363781029654E-4</v>
      </c>
      <c r="K81" s="100">
        <f t="shared" si="6"/>
        <v>2.6515575854019766E-4</v>
      </c>
      <c r="O81" s="96">
        <f>Amnt_Deposited!B76</f>
        <v>2062</v>
      </c>
      <c r="P81" s="99">
        <f>Amnt_Deposited!D76</f>
        <v>0</v>
      </c>
      <c r="Q81" s="284">
        <f>MCF!R80</f>
        <v>1</v>
      </c>
      <c r="R81" s="67">
        <f t="shared" si="13"/>
        <v>0</v>
      </c>
      <c r="S81" s="67">
        <f t="shared" si="7"/>
        <v>0</v>
      </c>
      <c r="T81" s="67">
        <f t="shared" si="8"/>
        <v>0</v>
      </c>
      <c r="U81" s="67">
        <f t="shared" si="9"/>
        <v>0.17809617584753135</v>
      </c>
      <c r="V81" s="67">
        <f t="shared" si="10"/>
        <v>1.2913429799035606E-2</v>
      </c>
      <c r="W81" s="100">
        <f t="shared" si="11"/>
        <v>8.6089531993570698E-3</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5.1145178302409331E-3</v>
      </c>
      <c r="J82" s="67">
        <f t="shared" si="4"/>
        <v>3.7084438586303131E-4</v>
      </c>
      <c r="K82" s="100">
        <f t="shared" si="6"/>
        <v>2.4722959057535421E-4</v>
      </c>
      <c r="O82" s="96">
        <f>Amnt_Deposited!B77</f>
        <v>2063</v>
      </c>
      <c r="P82" s="99">
        <f>Amnt_Deposited!D77</f>
        <v>0</v>
      </c>
      <c r="Q82" s="284">
        <f>MCF!R81</f>
        <v>1</v>
      </c>
      <c r="R82" s="67">
        <f t="shared" si="13"/>
        <v>0</v>
      </c>
      <c r="S82" s="67">
        <f t="shared" si="7"/>
        <v>0</v>
      </c>
      <c r="T82" s="67">
        <f t="shared" si="8"/>
        <v>0</v>
      </c>
      <c r="U82" s="67">
        <f t="shared" si="9"/>
        <v>0.16605577370912122</v>
      </c>
      <c r="V82" s="67">
        <f t="shared" si="10"/>
        <v>1.204040213841011E-2</v>
      </c>
      <c r="W82" s="100">
        <f t="shared" si="11"/>
        <v>8.0269347589400734E-3</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4.7687448167154263E-3</v>
      </c>
      <c r="J83" s="67">
        <f t="shared" ref="J83:J99" si="18">I82*(1-$K$10)+H83</f>
        <v>3.4577301352550722E-4</v>
      </c>
      <c r="K83" s="100">
        <f t="shared" si="6"/>
        <v>2.3051534235033814E-4</v>
      </c>
      <c r="O83" s="96">
        <f>Amnt_Deposited!B78</f>
        <v>2064</v>
      </c>
      <c r="P83" s="99">
        <f>Amnt_Deposited!D78</f>
        <v>0</v>
      </c>
      <c r="Q83" s="284">
        <f>MCF!R82</f>
        <v>1</v>
      </c>
      <c r="R83" s="67">
        <f t="shared" ref="R83:R99" si="19">P83*$W$6*DOCF*Q83</f>
        <v>0</v>
      </c>
      <c r="S83" s="67">
        <f t="shared" si="7"/>
        <v>0</v>
      </c>
      <c r="T83" s="67">
        <f t="shared" si="8"/>
        <v>0</v>
      </c>
      <c r="U83" s="67">
        <f t="shared" si="9"/>
        <v>0.15482937716608527</v>
      </c>
      <c r="V83" s="67">
        <f t="shared" si="10"/>
        <v>1.1226396543035949E-2</v>
      </c>
      <c r="W83" s="100">
        <f t="shared" si="11"/>
        <v>7.4842643620239655E-3</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4.4463481958139876E-3</v>
      </c>
      <c r="J84" s="67">
        <f t="shared" si="18"/>
        <v>3.2239662090143879E-4</v>
      </c>
      <c r="K84" s="100">
        <f t="shared" si="6"/>
        <v>2.1493108060095919E-4</v>
      </c>
      <c r="O84" s="96">
        <f>Amnt_Deposited!B79</f>
        <v>2065</v>
      </c>
      <c r="P84" s="99">
        <f>Amnt_Deposited!D79</f>
        <v>0</v>
      </c>
      <c r="Q84" s="284">
        <f>MCF!R83</f>
        <v>1</v>
      </c>
      <c r="R84" s="67">
        <f t="shared" si="19"/>
        <v>0</v>
      </c>
      <c r="S84" s="67">
        <f t="shared" si="7"/>
        <v>0</v>
      </c>
      <c r="T84" s="67">
        <f t="shared" si="8"/>
        <v>0</v>
      </c>
      <c r="U84" s="67">
        <f t="shared" si="9"/>
        <v>0.14436195440954505</v>
      </c>
      <c r="V84" s="67">
        <f t="shared" si="10"/>
        <v>1.0467422756540222E-2</v>
      </c>
      <c r="W84" s="100">
        <f t="shared" si="11"/>
        <v>6.9782818376934808E-3</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4.1457475789269255E-3</v>
      </c>
      <c r="J85" s="67">
        <f t="shared" si="18"/>
        <v>3.0060061688706242E-4</v>
      </c>
      <c r="K85" s="100">
        <f t="shared" ref="K85:K99" si="20">J85*CH4_fraction*conv</f>
        <v>2.0040041125804161E-4</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0.13460219412100408</v>
      </c>
      <c r="V85" s="67">
        <f t="shared" ref="V85:V98" si="24">U84*(1-$W$10)+T85</f>
        <v>9.7597602885409872E-3</v>
      </c>
      <c r="W85" s="100">
        <f t="shared" ref="W85:W99" si="25">V85*CH4_fraction*conv</f>
        <v>6.5065068590273245E-3</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3.8654694214815127E-3</v>
      </c>
      <c r="J86" s="67">
        <f t="shared" si="18"/>
        <v>2.8027815744541263E-4</v>
      </c>
      <c r="K86" s="100">
        <f t="shared" si="20"/>
        <v>1.8685210496360841E-4</v>
      </c>
      <c r="O86" s="96">
        <f>Amnt_Deposited!B81</f>
        <v>2067</v>
      </c>
      <c r="P86" s="99">
        <f>Amnt_Deposited!D81</f>
        <v>0</v>
      </c>
      <c r="Q86" s="284">
        <f>MCF!R85</f>
        <v>1</v>
      </c>
      <c r="R86" s="67">
        <f t="shared" si="19"/>
        <v>0</v>
      </c>
      <c r="S86" s="67">
        <f t="shared" si="21"/>
        <v>0</v>
      </c>
      <c r="T86" s="67">
        <f t="shared" si="22"/>
        <v>0</v>
      </c>
      <c r="U86" s="67">
        <f t="shared" si="23"/>
        <v>0.12550225394420497</v>
      </c>
      <c r="V86" s="67">
        <f t="shared" si="24"/>
        <v>9.0999401767991126E-3</v>
      </c>
      <c r="W86" s="100">
        <f t="shared" si="25"/>
        <v>6.0666267845327412E-3</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3.6041397996247836E-3</v>
      </c>
      <c r="J87" s="67">
        <f t="shared" si="18"/>
        <v>2.6132962185672907E-4</v>
      </c>
      <c r="K87" s="100">
        <f t="shared" si="20"/>
        <v>1.7421974790448604E-4</v>
      </c>
      <c r="O87" s="96">
        <f>Amnt_Deposited!B82</f>
        <v>2068</v>
      </c>
      <c r="P87" s="99">
        <f>Amnt_Deposited!D82</f>
        <v>0</v>
      </c>
      <c r="Q87" s="284">
        <f>MCF!R86</f>
        <v>1</v>
      </c>
      <c r="R87" s="67">
        <f t="shared" si="19"/>
        <v>0</v>
      </c>
      <c r="S87" s="67">
        <f t="shared" si="21"/>
        <v>0</v>
      </c>
      <c r="T87" s="67">
        <f t="shared" si="22"/>
        <v>0</v>
      </c>
      <c r="U87" s="67">
        <f t="shared" si="23"/>
        <v>0.11701752596184364</v>
      </c>
      <c r="V87" s="67">
        <f t="shared" si="24"/>
        <v>8.4847279823613356E-3</v>
      </c>
      <c r="W87" s="100">
        <f t="shared" si="25"/>
        <v>5.6564853215742231E-3</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3.3604776752472112E-3</v>
      </c>
      <c r="J88" s="67">
        <f t="shared" si="18"/>
        <v>2.4366212437757263E-4</v>
      </c>
      <c r="K88" s="100">
        <f t="shared" si="20"/>
        <v>1.6244141625171507E-4</v>
      </c>
      <c r="O88" s="96">
        <f>Amnt_Deposited!B83</f>
        <v>2069</v>
      </c>
      <c r="P88" s="99">
        <f>Amnt_Deposited!D83</f>
        <v>0</v>
      </c>
      <c r="Q88" s="284">
        <f>MCF!R87</f>
        <v>1</v>
      </c>
      <c r="R88" s="67">
        <f t="shared" si="19"/>
        <v>0</v>
      </c>
      <c r="S88" s="67">
        <f t="shared" si="21"/>
        <v>0</v>
      </c>
      <c r="T88" s="67">
        <f t="shared" si="22"/>
        <v>0</v>
      </c>
      <c r="U88" s="67">
        <f t="shared" si="23"/>
        <v>0.10910641802750687</v>
      </c>
      <c r="V88" s="67">
        <f t="shared" si="24"/>
        <v>7.9111079343367752E-3</v>
      </c>
      <c r="W88" s="100">
        <f t="shared" si="25"/>
        <v>5.2740719562245162E-3</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3.133288616332408E-3</v>
      </c>
      <c r="J89" s="67">
        <f t="shared" si="18"/>
        <v>2.2718905891480322E-4</v>
      </c>
      <c r="K89" s="100">
        <f t="shared" si="20"/>
        <v>1.514593726098688E-4</v>
      </c>
      <c r="O89" s="96">
        <f>Amnt_Deposited!B84</f>
        <v>2070</v>
      </c>
      <c r="P89" s="99">
        <f>Amnt_Deposited!D84</f>
        <v>0</v>
      </c>
      <c r="Q89" s="284">
        <f>MCF!R88</f>
        <v>1</v>
      </c>
      <c r="R89" s="67">
        <f t="shared" si="19"/>
        <v>0</v>
      </c>
      <c r="S89" s="67">
        <f t="shared" si="21"/>
        <v>0</v>
      </c>
      <c r="T89" s="67">
        <f t="shared" si="22"/>
        <v>0</v>
      </c>
      <c r="U89" s="67">
        <f t="shared" si="23"/>
        <v>0.10173014988092234</v>
      </c>
      <c r="V89" s="67">
        <f t="shared" si="24"/>
        <v>7.3762681465845215E-3</v>
      </c>
      <c r="W89" s="100">
        <f t="shared" si="25"/>
        <v>4.9175120977230143E-3</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2.9214589418499969E-3</v>
      </c>
      <c r="J90" s="67">
        <f t="shared" si="18"/>
        <v>2.1182967448241092E-4</v>
      </c>
      <c r="K90" s="100">
        <f t="shared" si="20"/>
        <v>1.4121978298827393E-4</v>
      </c>
      <c r="O90" s="96">
        <f>Amnt_Deposited!B85</f>
        <v>2071</v>
      </c>
      <c r="P90" s="99">
        <f>Amnt_Deposited!D85</f>
        <v>0</v>
      </c>
      <c r="Q90" s="284">
        <f>MCF!R89</f>
        <v>1</v>
      </c>
      <c r="R90" s="67">
        <f t="shared" si="19"/>
        <v>0</v>
      </c>
      <c r="S90" s="67">
        <f t="shared" si="21"/>
        <v>0</v>
      </c>
      <c r="T90" s="67">
        <f t="shared" si="22"/>
        <v>0</v>
      </c>
      <c r="U90" s="67">
        <f t="shared" si="23"/>
        <v>9.4852563047077829E-2</v>
      </c>
      <c r="V90" s="67">
        <f t="shared" si="24"/>
        <v>6.8775868338445106E-3</v>
      </c>
      <c r="W90" s="100">
        <f t="shared" si="25"/>
        <v>4.5850578892296734E-3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2.7239502624899084E-3</v>
      </c>
      <c r="J91" s="67">
        <f t="shared" si="18"/>
        <v>1.9750867936008869E-4</v>
      </c>
      <c r="K91" s="100">
        <f t="shared" si="20"/>
        <v>1.3167245290672579E-4</v>
      </c>
      <c r="O91" s="96">
        <f>Amnt_Deposited!B86</f>
        <v>2072</v>
      </c>
      <c r="P91" s="99">
        <f>Amnt_Deposited!D86</f>
        <v>0</v>
      </c>
      <c r="Q91" s="284">
        <f>MCF!R90</f>
        <v>1</v>
      </c>
      <c r="R91" s="67">
        <f t="shared" si="19"/>
        <v>0</v>
      </c>
      <c r="S91" s="67">
        <f t="shared" si="21"/>
        <v>0</v>
      </c>
      <c r="T91" s="67">
        <f t="shared" si="22"/>
        <v>0</v>
      </c>
      <c r="U91" s="67">
        <f t="shared" si="23"/>
        <v>8.8439943587334688E-2</v>
      </c>
      <c r="V91" s="67">
        <f t="shared" si="24"/>
        <v>6.4126194597431399E-3</v>
      </c>
      <c r="W91" s="100">
        <f t="shared" si="25"/>
        <v>4.2750796398287596E-3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2.5397943904767761E-3</v>
      </c>
      <c r="J92" s="67">
        <f t="shared" si="18"/>
        <v>1.8415587201313222E-4</v>
      </c>
      <c r="K92" s="100">
        <f t="shared" si="20"/>
        <v>1.2277058134208815E-4</v>
      </c>
      <c r="O92" s="96">
        <f>Amnt_Deposited!B87</f>
        <v>2073</v>
      </c>
      <c r="P92" s="99">
        <f>Amnt_Deposited!D87</f>
        <v>0</v>
      </c>
      <c r="Q92" s="284">
        <f>MCF!R91</f>
        <v>1</v>
      </c>
      <c r="R92" s="67">
        <f t="shared" si="19"/>
        <v>0</v>
      </c>
      <c r="S92" s="67">
        <f t="shared" si="21"/>
        <v>0</v>
      </c>
      <c r="T92" s="67">
        <f t="shared" si="22"/>
        <v>0</v>
      </c>
      <c r="U92" s="67">
        <f t="shared" si="23"/>
        <v>8.2460856833661569E-2</v>
      </c>
      <c r="V92" s="67">
        <f t="shared" si="24"/>
        <v>5.9790867536731237E-3</v>
      </c>
      <c r="W92" s="100">
        <f t="shared" si="25"/>
        <v>3.9860578357820819E-3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2.3680885935123408E-3</v>
      </c>
      <c r="J93" s="67">
        <f t="shared" si="18"/>
        <v>1.7170579696443525E-4</v>
      </c>
      <c r="K93" s="100">
        <f t="shared" si="20"/>
        <v>1.144705313096235E-4</v>
      </c>
      <c r="O93" s="96">
        <f>Amnt_Deposited!B88</f>
        <v>2074</v>
      </c>
      <c r="P93" s="99">
        <f>Amnt_Deposited!D88</f>
        <v>0</v>
      </c>
      <c r="Q93" s="284">
        <f>MCF!R92</f>
        <v>1</v>
      </c>
      <c r="R93" s="67">
        <f t="shared" si="19"/>
        <v>0</v>
      </c>
      <c r="S93" s="67">
        <f t="shared" si="21"/>
        <v>0</v>
      </c>
      <c r="T93" s="67">
        <f t="shared" si="22"/>
        <v>0</v>
      </c>
      <c r="U93" s="67">
        <f t="shared" si="23"/>
        <v>7.6885993295855229E-2</v>
      </c>
      <c r="V93" s="67">
        <f t="shared" si="24"/>
        <v>5.5748635378063405E-3</v>
      </c>
      <c r="W93" s="100">
        <f t="shared" si="25"/>
        <v>3.7165756918708936E-3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2.2079911695806758E-3</v>
      </c>
      <c r="J94" s="67">
        <f t="shared" si="18"/>
        <v>1.6009742393166497E-4</v>
      </c>
      <c r="K94" s="100">
        <f t="shared" si="20"/>
        <v>1.0673161595444331E-4</v>
      </c>
      <c r="O94" s="96">
        <f>Amnt_Deposited!B89</f>
        <v>2075</v>
      </c>
      <c r="P94" s="99">
        <f>Amnt_Deposited!D89</f>
        <v>0</v>
      </c>
      <c r="Q94" s="284">
        <f>MCF!R93</f>
        <v>1</v>
      </c>
      <c r="R94" s="67">
        <f t="shared" si="19"/>
        <v>0</v>
      </c>
      <c r="S94" s="67">
        <f t="shared" si="21"/>
        <v>0</v>
      </c>
      <c r="T94" s="67">
        <f t="shared" si="22"/>
        <v>0</v>
      </c>
      <c r="U94" s="67">
        <f t="shared" si="23"/>
        <v>7.1688024986385587E-2</v>
      </c>
      <c r="V94" s="67">
        <f t="shared" si="24"/>
        <v>5.1979683094696425E-3</v>
      </c>
      <c r="W94" s="100">
        <f t="shared" si="25"/>
        <v>3.465312206313095E-3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2.0587173209239288E-3</v>
      </c>
      <c r="J95" s="67">
        <f t="shared" si="18"/>
        <v>1.4927384865674707E-4</v>
      </c>
      <c r="K95" s="100">
        <f t="shared" si="20"/>
        <v>9.9515899104498046E-5</v>
      </c>
      <c r="O95" s="96">
        <f>Amnt_Deposited!B90</f>
        <v>2076</v>
      </c>
      <c r="P95" s="99">
        <f>Amnt_Deposited!D90</f>
        <v>0</v>
      </c>
      <c r="Q95" s="284">
        <f>MCF!R94</f>
        <v>1</v>
      </c>
      <c r="R95" s="67">
        <f t="shared" si="19"/>
        <v>0</v>
      </c>
      <c r="S95" s="67">
        <f t="shared" si="21"/>
        <v>0</v>
      </c>
      <c r="T95" s="67">
        <f t="shared" si="22"/>
        <v>0</v>
      </c>
      <c r="U95" s="67">
        <f t="shared" si="23"/>
        <v>6.6841471458569127E-2</v>
      </c>
      <c r="V95" s="67">
        <f t="shared" si="24"/>
        <v>4.8465535278164641E-3</v>
      </c>
      <c r="W95" s="100">
        <f t="shared" si="25"/>
        <v>3.2310356852109758E-3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1.919535306962802E-3</v>
      </c>
      <c r="J96" s="67">
        <f t="shared" si="18"/>
        <v>1.3918201396112681E-4</v>
      </c>
      <c r="K96" s="100">
        <f t="shared" si="20"/>
        <v>9.2788009307417867E-5</v>
      </c>
      <c r="O96" s="96">
        <f>Amnt_Deposited!B91</f>
        <v>2077</v>
      </c>
      <c r="P96" s="99">
        <f>Amnt_Deposited!D91</f>
        <v>0</v>
      </c>
      <c r="Q96" s="284">
        <f>MCF!R95</f>
        <v>1</v>
      </c>
      <c r="R96" s="67">
        <f t="shared" si="19"/>
        <v>0</v>
      </c>
      <c r="S96" s="67">
        <f t="shared" si="21"/>
        <v>0</v>
      </c>
      <c r="T96" s="67">
        <f t="shared" si="22"/>
        <v>0</v>
      </c>
      <c r="U96" s="67">
        <f t="shared" si="23"/>
        <v>6.2322574901389684E-2</v>
      </c>
      <c r="V96" s="67">
        <f t="shared" si="24"/>
        <v>4.5188965571794429E-3</v>
      </c>
      <c r="W96" s="100">
        <f t="shared" si="25"/>
        <v>3.012597704786295E-3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1.789762857303384E-3</v>
      </c>
      <c r="J97" s="67">
        <f t="shared" si="18"/>
        <v>1.2977244965941805E-4</v>
      </c>
      <c r="K97" s="100">
        <f t="shared" si="20"/>
        <v>8.6514966439612032E-5</v>
      </c>
      <c r="O97" s="96">
        <f>Amnt_Deposited!B92</f>
        <v>2078</v>
      </c>
      <c r="P97" s="99">
        <f>Amnt_Deposited!D92</f>
        <v>0</v>
      </c>
      <c r="Q97" s="284">
        <f>MCF!R96</f>
        <v>1</v>
      </c>
      <c r="R97" s="67">
        <f t="shared" si="19"/>
        <v>0</v>
      </c>
      <c r="S97" s="67">
        <f t="shared" si="21"/>
        <v>0</v>
      </c>
      <c r="T97" s="67">
        <f t="shared" si="22"/>
        <v>0</v>
      </c>
      <c r="U97" s="67">
        <f t="shared" si="23"/>
        <v>5.8109183678681307E-2</v>
      </c>
      <c r="V97" s="67">
        <f t="shared" si="24"/>
        <v>4.213391222708379E-3</v>
      </c>
      <c r="W97" s="100">
        <f t="shared" si="25"/>
        <v>2.808927481805586E-3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1.6687638272468869E-3</v>
      </c>
      <c r="J98" s="67">
        <f t="shared" si="18"/>
        <v>1.2099903005649718E-4</v>
      </c>
      <c r="K98" s="100">
        <f t="shared" si="20"/>
        <v>8.0666020037664782E-5</v>
      </c>
      <c r="O98" s="96">
        <f>Amnt_Deposited!B93</f>
        <v>2079</v>
      </c>
      <c r="P98" s="99">
        <f>Amnt_Deposited!D93</f>
        <v>0</v>
      </c>
      <c r="Q98" s="284">
        <f>MCF!R97</f>
        <v>1</v>
      </c>
      <c r="R98" s="67">
        <f t="shared" si="19"/>
        <v>0</v>
      </c>
      <c r="S98" s="67">
        <f t="shared" si="21"/>
        <v>0</v>
      </c>
      <c r="T98" s="67">
        <f t="shared" si="22"/>
        <v>0</v>
      </c>
      <c r="U98" s="67">
        <f t="shared" si="23"/>
        <v>5.4180643741782046E-2</v>
      </c>
      <c r="V98" s="67">
        <f t="shared" si="24"/>
        <v>3.9285399368992596E-3</v>
      </c>
      <c r="W98" s="100">
        <f t="shared" si="25"/>
        <v>2.6190266245995062E-3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1.5559450794075949E-3</v>
      </c>
      <c r="J99" s="68">
        <f t="shared" si="18"/>
        <v>1.1281874783929206E-4</v>
      </c>
      <c r="K99" s="102">
        <f t="shared" si="20"/>
        <v>7.5212498559528037E-5</v>
      </c>
      <c r="O99" s="97">
        <f>Amnt_Deposited!B94</f>
        <v>2080</v>
      </c>
      <c r="P99" s="101">
        <f>Amnt_Deposited!D94</f>
        <v>0</v>
      </c>
      <c r="Q99" s="285">
        <f>MCF!R98</f>
        <v>1</v>
      </c>
      <c r="R99" s="68">
        <f t="shared" si="19"/>
        <v>0</v>
      </c>
      <c r="S99" s="68">
        <f>R99*$W$12</f>
        <v>0</v>
      </c>
      <c r="T99" s="68">
        <f>R99*(1-$W$12)</f>
        <v>0</v>
      </c>
      <c r="U99" s="68">
        <f>S99+U98*$W$10</f>
        <v>5.0517697383363473E-2</v>
      </c>
      <c r="V99" s="68">
        <f>U98*(1-$W$10)+T99</f>
        <v>3.6629463584185737E-3</v>
      </c>
      <c r="W99" s="102">
        <f t="shared" si="25"/>
        <v>2.4419642389457157E-3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2.8000000000000001E-2</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3.6355194924509999</v>
      </c>
      <c r="D19" s="416">
        <f>Dry_Matter_Content!E6</f>
        <v>0.44</v>
      </c>
      <c r="E19" s="283">
        <f>MCF!R18</f>
        <v>1</v>
      </c>
      <c r="F19" s="130">
        <f t="shared" ref="F19:F82" si="0">C19*D19*$K$6*DOCF*E19</f>
        <v>2.2394800073498158E-2</v>
      </c>
      <c r="G19" s="65">
        <f t="shared" ref="G19:G82" si="1">F19*$K$12</f>
        <v>2.2394800073498158E-2</v>
      </c>
      <c r="H19" s="65">
        <f t="shared" ref="H19:H82" si="2">F19*(1-$K$12)</f>
        <v>0</v>
      </c>
      <c r="I19" s="65">
        <f t="shared" ref="I19:I82" si="3">G19+I18*$K$10</f>
        <v>2.2394800073498158E-2</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3.6820946906149992</v>
      </c>
      <c r="D20" s="418">
        <f>Dry_Matter_Content!E7</f>
        <v>0.44</v>
      </c>
      <c r="E20" s="284">
        <f>MCF!R19</f>
        <v>1</v>
      </c>
      <c r="F20" s="67">
        <f t="shared" si="0"/>
        <v>2.2681703294188397E-2</v>
      </c>
      <c r="G20" s="67">
        <f t="shared" si="1"/>
        <v>2.2681703294188397E-2</v>
      </c>
      <c r="H20" s="67">
        <f t="shared" si="2"/>
        <v>0</v>
      </c>
      <c r="I20" s="67">
        <f t="shared" si="3"/>
        <v>4.1575408190908901E-2</v>
      </c>
      <c r="J20" s="67">
        <f t="shared" si="4"/>
        <v>3.5010951767776542E-3</v>
      </c>
      <c r="K20" s="100">
        <f>J20*CH4_fraction*conv</f>
        <v>2.3340634511851027E-3</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3.76506681551</v>
      </c>
      <c r="D21" s="418">
        <f>Dry_Matter_Content!E8</f>
        <v>0.44</v>
      </c>
      <c r="E21" s="284">
        <f>MCF!R20</f>
        <v>1</v>
      </c>
      <c r="F21" s="67">
        <f t="shared" si="0"/>
        <v>2.3192811583541601E-2</v>
      </c>
      <c r="G21" s="67">
        <f t="shared" si="1"/>
        <v>2.3192811583541601E-2</v>
      </c>
      <c r="H21" s="67">
        <f t="shared" si="2"/>
        <v>0</v>
      </c>
      <c r="I21" s="67">
        <f t="shared" si="3"/>
        <v>5.8268520709844548E-2</v>
      </c>
      <c r="J21" s="67">
        <f t="shared" si="4"/>
        <v>6.4996990646059545E-3</v>
      </c>
      <c r="K21" s="100">
        <f t="shared" ref="K21:K84" si="6">J21*CH4_fraction*conv</f>
        <v>4.3331327097373027E-3</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3.8319896203930002</v>
      </c>
      <c r="D22" s="418">
        <f>Dry_Matter_Content!E9</f>
        <v>0.44</v>
      </c>
      <c r="E22" s="284">
        <f>MCF!R21</f>
        <v>1</v>
      </c>
      <c r="F22" s="67">
        <f t="shared" si="0"/>
        <v>2.3605056061620881E-2</v>
      </c>
      <c r="G22" s="67">
        <f t="shared" si="1"/>
        <v>2.3605056061620881E-2</v>
      </c>
      <c r="H22" s="67">
        <f t="shared" si="2"/>
        <v>0</v>
      </c>
      <c r="I22" s="67">
        <f t="shared" si="3"/>
        <v>7.2764156899634475E-2</v>
      </c>
      <c r="J22" s="67">
        <f t="shared" si="4"/>
        <v>9.1094198718309621E-3</v>
      </c>
      <c r="K22" s="100">
        <f t="shared" si="6"/>
        <v>6.0729465812206411E-3</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3.8524891416110001</v>
      </c>
      <c r="D23" s="418">
        <f>Dry_Matter_Content!E10</f>
        <v>0.44</v>
      </c>
      <c r="E23" s="284">
        <f>MCF!R22</f>
        <v>1</v>
      </c>
      <c r="F23" s="67">
        <f t="shared" si="0"/>
        <v>2.3731333112323762E-2</v>
      </c>
      <c r="G23" s="67">
        <f t="shared" si="1"/>
        <v>2.3731333112323762E-2</v>
      </c>
      <c r="H23" s="67">
        <f t="shared" si="2"/>
        <v>0</v>
      </c>
      <c r="I23" s="67">
        <f t="shared" si="3"/>
        <v>8.5119892197844368E-2</v>
      </c>
      <c r="J23" s="67">
        <f t="shared" si="4"/>
        <v>1.1375597814113868E-2</v>
      </c>
      <c r="K23" s="100">
        <f t="shared" si="6"/>
        <v>7.5837318760759113E-3</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4.2672782769099999</v>
      </c>
      <c r="D24" s="418">
        <f>Dry_Matter_Content!E11</f>
        <v>0.44</v>
      </c>
      <c r="E24" s="284">
        <f>MCF!R23</f>
        <v>1</v>
      </c>
      <c r="F24" s="67">
        <f t="shared" si="0"/>
        <v>2.6286434185765602E-2</v>
      </c>
      <c r="G24" s="67">
        <f t="shared" si="1"/>
        <v>2.6286434185765602E-2</v>
      </c>
      <c r="H24" s="67">
        <f t="shared" si="2"/>
        <v>0</v>
      </c>
      <c r="I24" s="67">
        <f t="shared" si="3"/>
        <v>9.8099092425563916E-2</v>
      </c>
      <c r="J24" s="67">
        <f t="shared" si="4"/>
        <v>1.3307233958046047E-2</v>
      </c>
      <c r="K24" s="100">
        <f t="shared" si="6"/>
        <v>8.8714893053640307E-3</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4.3550580488910002</v>
      </c>
      <c r="D25" s="418">
        <f>Dry_Matter_Content!E12</f>
        <v>0.44</v>
      </c>
      <c r="E25" s="284">
        <f>MCF!R24</f>
        <v>1</v>
      </c>
      <c r="F25" s="67">
        <f t="shared" si="0"/>
        <v>2.6827157581168562E-2</v>
      </c>
      <c r="G25" s="67">
        <f t="shared" si="1"/>
        <v>2.6827157581168562E-2</v>
      </c>
      <c r="H25" s="67">
        <f t="shared" si="2"/>
        <v>0</v>
      </c>
      <c r="I25" s="67">
        <f t="shared" si="3"/>
        <v>0.10958991040065363</v>
      </c>
      <c r="J25" s="67">
        <f t="shared" si="4"/>
        <v>1.5336339606078841E-2</v>
      </c>
      <c r="K25" s="100">
        <f t="shared" si="6"/>
        <v>1.022422640405256E-2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4.4427663316960002</v>
      </c>
      <c r="D26" s="418">
        <f>Dry_Matter_Content!E13</f>
        <v>0.44</v>
      </c>
      <c r="E26" s="284">
        <f>MCF!R25</f>
        <v>1</v>
      </c>
      <c r="F26" s="67">
        <f t="shared" si="0"/>
        <v>2.7367440603247365E-2</v>
      </c>
      <c r="G26" s="67">
        <f t="shared" si="1"/>
        <v>2.7367440603247365E-2</v>
      </c>
      <c r="H26" s="67">
        <f t="shared" si="2"/>
        <v>0</v>
      </c>
      <c r="I26" s="67">
        <f t="shared" si="3"/>
        <v>0.11982459226222893</v>
      </c>
      <c r="J26" s="67">
        <f t="shared" si="4"/>
        <v>1.7132758741672062E-2</v>
      </c>
      <c r="K26" s="100">
        <f t="shared" si="6"/>
        <v>1.1421839161114708E-2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4.5298669565049998</v>
      </c>
      <c r="D27" s="418">
        <f>Dry_Matter_Content!E14</f>
        <v>0.44</v>
      </c>
      <c r="E27" s="284">
        <f>MCF!R26</f>
        <v>1</v>
      </c>
      <c r="F27" s="67">
        <f t="shared" si="0"/>
        <v>2.7903980452070799E-2</v>
      </c>
      <c r="G27" s="67">
        <f t="shared" si="1"/>
        <v>2.7903980452070799E-2</v>
      </c>
      <c r="H27" s="67">
        <f t="shared" si="2"/>
        <v>0</v>
      </c>
      <c r="I27" s="67">
        <f t="shared" si="3"/>
        <v>0.12899577310672061</v>
      </c>
      <c r="J27" s="67">
        <f t="shared" si="4"/>
        <v>1.8732799607579103E-2</v>
      </c>
      <c r="K27" s="100">
        <f t="shared" si="6"/>
        <v>1.2488533071719401E-2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4.6157165207339999</v>
      </c>
      <c r="D28" s="418">
        <f>Dry_Matter_Content!E15</f>
        <v>0.44</v>
      </c>
      <c r="E28" s="284">
        <f>MCF!R27</f>
        <v>1</v>
      </c>
      <c r="F28" s="67">
        <f t="shared" si="0"/>
        <v>2.8432813767721443E-2</v>
      </c>
      <c r="G28" s="67">
        <f t="shared" si="1"/>
        <v>2.8432813767721443E-2</v>
      </c>
      <c r="H28" s="67">
        <f t="shared" si="2"/>
        <v>0</v>
      </c>
      <c r="I28" s="67">
        <f t="shared" si="3"/>
        <v>0.13726200902751162</v>
      </c>
      <c r="J28" s="67">
        <f t="shared" si="4"/>
        <v>2.016657784693044E-2</v>
      </c>
      <c r="K28" s="100">
        <f t="shared" si="6"/>
        <v>1.344438523128696E-2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4.9826079081130006</v>
      </c>
      <c r="D29" s="418">
        <f>Dry_Matter_Content!E16</f>
        <v>0.44</v>
      </c>
      <c r="E29" s="284">
        <f>MCF!R28</f>
        <v>1</v>
      </c>
      <c r="F29" s="67">
        <f t="shared" si="0"/>
        <v>3.0692864713976083E-2</v>
      </c>
      <c r="G29" s="67">
        <f t="shared" si="1"/>
        <v>3.0692864713976083E-2</v>
      </c>
      <c r="H29" s="67">
        <f t="shared" si="2"/>
        <v>0</v>
      </c>
      <c r="I29" s="67">
        <f t="shared" si="3"/>
        <v>0.14649599238582284</v>
      </c>
      <c r="J29" s="67">
        <f t="shared" si="4"/>
        <v>2.1458881355664865E-2</v>
      </c>
      <c r="K29" s="100">
        <f t="shared" si="6"/>
        <v>1.4305920903776576E-2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1</v>
      </c>
      <c r="F30" s="67">
        <f t="shared" si="0"/>
        <v>0</v>
      </c>
      <c r="G30" s="67">
        <f t="shared" si="1"/>
        <v>0</v>
      </c>
      <c r="H30" s="67">
        <f t="shared" si="2"/>
        <v>0</v>
      </c>
      <c r="I30" s="67">
        <f t="shared" si="3"/>
        <v>0.12359351454829044</v>
      </c>
      <c r="J30" s="67">
        <f t="shared" si="4"/>
        <v>2.2902477837532388E-2</v>
      </c>
      <c r="K30" s="100">
        <f t="shared" si="6"/>
        <v>1.5268318558354924E-2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1</v>
      </c>
      <c r="F31" s="67">
        <f t="shared" si="0"/>
        <v>0</v>
      </c>
      <c r="G31" s="67">
        <f t="shared" si="1"/>
        <v>0</v>
      </c>
      <c r="H31" s="67">
        <f t="shared" si="2"/>
        <v>0</v>
      </c>
      <c r="I31" s="67">
        <f t="shared" si="3"/>
        <v>0.10427149978388593</v>
      </c>
      <c r="J31" s="67">
        <f t="shared" si="4"/>
        <v>1.9322014764404503E-2</v>
      </c>
      <c r="K31" s="100">
        <f t="shared" si="6"/>
        <v>1.2881343176269669E-2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1</v>
      </c>
      <c r="F32" s="67">
        <f t="shared" si="0"/>
        <v>0</v>
      </c>
      <c r="G32" s="67">
        <f t="shared" si="1"/>
        <v>0</v>
      </c>
      <c r="H32" s="67">
        <f t="shared" si="2"/>
        <v>0</v>
      </c>
      <c r="I32" s="67">
        <f t="shared" si="3"/>
        <v>8.7970195741401983E-2</v>
      </c>
      <c r="J32" s="67">
        <f t="shared" si="4"/>
        <v>1.6301304042483943E-2</v>
      </c>
      <c r="K32" s="100">
        <f t="shared" si="6"/>
        <v>1.0867536028322628E-2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1</v>
      </c>
      <c r="F33" s="67">
        <f t="shared" si="0"/>
        <v>0</v>
      </c>
      <c r="G33" s="67">
        <f t="shared" si="1"/>
        <v>0</v>
      </c>
      <c r="H33" s="67">
        <f t="shared" si="2"/>
        <v>0</v>
      </c>
      <c r="I33" s="67">
        <f t="shared" si="3"/>
        <v>7.4217359056117885E-2</v>
      </c>
      <c r="J33" s="67">
        <f t="shared" si="4"/>
        <v>1.3752836685284105E-2</v>
      </c>
      <c r="K33" s="100">
        <f t="shared" si="6"/>
        <v>9.1685577901894025E-3</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1</v>
      </c>
      <c r="F34" s="67">
        <f t="shared" si="0"/>
        <v>0</v>
      </c>
      <c r="G34" s="67">
        <f t="shared" si="1"/>
        <v>0</v>
      </c>
      <c r="H34" s="67">
        <f t="shared" si="2"/>
        <v>0</v>
      </c>
      <c r="I34" s="67">
        <f t="shared" si="3"/>
        <v>6.2614574616347646E-2</v>
      </c>
      <c r="J34" s="67">
        <f t="shared" si="4"/>
        <v>1.1602784439770232E-2</v>
      </c>
      <c r="K34" s="100">
        <f t="shared" si="6"/>
        <v>7.7351896265134877E-3</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1</v>
      </c>
      <c r="F35" s="67">
        <f t="shared" si="0"/>
        <v>0</v>
      </c>
      <c r="G35" s="67">
        <f t="shared" si="1"/>
        <v>0</v>
      </c>
      <c r="H35" s="67">
        <f t="shared" si="2"/>
        <v>0</v>
      </c>
      <c r="I35" s="67">
        <f t="shared" si="3"/>
        <v>5.2825713609961522E-2</v>
      </c>
      <c r="J35" s="67">
        <f t="shared" si="4"/>
        <v>9.7888610063861271E-3</v>
      </c>
      <c r="K35" s="100">
        <f t="shared" si="6"/>
        <v>6.5259073375907514E-3</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1</v>
      </c>
      <c r="F36" s="67">
        <f t="shared" si="0"/>
        <v>0</v>
      </c>
      <c r="G36" s="67">
        <f t="shared" si="1"/>
        <v>0</v>
      </c>
      <c r="H36" s="67">
        <f t="shared" si="2"/>
        <v>0</v>
      </c>
      <c r="I36" s="67">
        <f t="shared" si="3"/>
        <v>4.4567195984321281E-2</v>
      </c>
      <c r="J36" s="67">
        <f t="shared" si="4"/>
        <v>8.2585176256402444E-3</v>
      </c>
      <c r="K36" s="100">
        <f t="shared" si="6"/>
        <v>5.505678417093496E-3</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1</v>
      </c>
      <c r="F37" s="67">
        <f t="shared" si="0"/>
        <v>0</v>
      </c>
      <c r="G37" s="67">
        <f t="shared" si="1"/>
        <v>0</v>
      </c>
      <c r="H37" s="67">
        <f t="shared" si="2"/>
        <v>0</v>
      </c>
      <c r="I37" s="67">
        <f t="shared" si="3"/>
        <v>3.75997752263275E-2</v>
      </c>
      <c r="J37" s="67">
        <f t="shared" si="4"/>
        <v>6.9674207579937791E-3</v>
      </c>
      <c r="K37" s="100">
        <f t="shared" si="6"/>
        <v>4.6449471719958524E-3</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1</v>
      </c>
      <c r="F38" s="67">
        <f t="shared" si="0"/>
        <v>0</v>
      </c>
      <c r="G38" s="67">
        <f t="shared" si="1"/>
        <v>0</v>
      </c>
      <c r="H38" s="67">
        <f t="shared" si="2"/>
        <v>0</v>
      </c>
      <c r="I38" s="67">
        <f t="shared" si="3"/>
        <v>3.1721607470384841E-2</v>
      </c>
      <c r="J38" s="67">
        <f t="shared" si="4"/>
        <v>5.8781677559426584E-3</v>
      </c>
      <c r="K38" s="100">
        <f t="shared" si="6"/>
        <v>3.918778503961772E-3</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1</v>
      </c>
      <c r="F39" s="67">
        <f t="shared" si="0"/>
        <v>0</v>
      </c>
      <c r="G39" s="67">
        <f t="shared" si="1"/>
        <v>0</v>
      </c>
      <c r="H39" s="67">
        <f t="shared" si="2"/>
        <v>0</v>
      </c>
      <c r="I39" s="67">
        <f t="shared" si="3"/>
        <v>2.6762404148644701E-2</v>
      </c>
      <c r="J39" s="67">
        <f t="shared" si="4"/>
        <v>4.9592033217401386E-3</v>
      </c>
      <c r="K39" s="100">
        <f t="shared" si="6"/>
        <v>3.3061355478267588E-3</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1</v>
      </c>
      <c r="F40" s="67">
        <f t="shared" si="0"/>
        <v>0</v>
      </c>
      <c r="G40" s="67">
        <f t="shared" si="1"/>
        <v>0</v>
      </c>
      <c r="H40" s="67">
        <f t="shared" si="2"/>
        <v>0</v>
      </c>
      <c r="I40" s="67">
        <f t="shared" si="3"/>
        <v>2.2578498787744629E-2</v>
      </c>
      <c r="J40" s="67">
        <f t="shared" si="4"/>
        <v>4.183905360900071E-3</v>
      </c>
      <c r="K40" s="100">
        <f t="shared" si="6"/>
        <v>2.7892702406000472E-3</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1</v>
      </c>
      <c r="F41" s="67">
        <f t="shared" si="0"/>
        <v>0</v>
      </c>
      <c r="G41" s="67">
        <f t="shared" si="1"/>
        <v>0</v>
      </c>
      <c r="H41" s="67">
        <f t="shared" si="2"/>
        <v>0</v>
      </c>
      <c r="I41" s="67">
        <f t="shared" si="3"/>
        <v>1.9048685038784242E-2</v>
      </c>
      <c r="J41" s="67">
        <f t="shared" si="4"/>
        <v>3.5298137489603847E-3</v>
      </c>
      <c r="K41" s="100">
        <f t="shared" si="6"/>
        <v>2.3532091659735897E-3</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1</v>
      </c>
      <c r="F42" s="67">
        <f t="shared" si="0"/>
        <v>0</v>
      </c>
      <c r="G42" s="67">
        <f t="shared" si="1"/>
        <v>0</v>
      </c>
      <c r="H42" s="67">
        <f t="shared" si="2"/>
        <v>0</v>
      </c>
      <c r="I42" s="67">
        <f t="shared" si="3"/>
        <v>1.6070705369648185E-2</v>
      </c>
      <c r="J42" s="67">
        <f t="shared" si="4"/>
        <v>2.9779796691360564E-3</v>
      </c>
      <c r="K42" s="100">
        <f t="shared" si="6"/>
        <v>1.9853197794240376E-3</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1</v>
      </c>
      <c r="F43" s="67">
        <f t="shared" si="0"/>
        <v>0</v>
      </c>
      <c r="G43" s="67">
        <f t="shared" si="1"/>
        <v>0</v>
      </c>
      <c r="H43" s="67">
        <f t="shared" si="2"/>
        <v>0</v>
      </c>
      <c r="I43" s="67">
        <f t="shared" si="3"/>
        <v>1.3558288698258755E-2</v>
      </c>
      <c r="J43" s="67">
        <f t="shared" si="4"/>
        <v>2.5124166713894301E-3</v>
      </c>
      <c r="K43" s="100">
        <f t="shared" si="6"/>
        <v>1.6749444475929534E-3</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1</v>
      </c>
      <c r="F44" s="67">
        <f t="shared" si="0"/>
        <v>0</v>
      </c>
      <c r="G44" s="67">
        <f t="shared" si="1"/>
        <v>0</v>
      </c>
      <c r="H44" s="67">
        <f t="shared" si="2"/>
        <v>0</v>
      </c>
      <c r="I44" s="67">
        <f t="shared" si="3"/>
        <v>1.1438651147977295E-2</v>
      </c>
      <c r="J44" s="67">
        <f t="shared" si="4"/>
        <v>2.1196375502814603E-3</v>
      </c>
      <c r="K44" s="100">
        <f t="shared" si="6"/>
        <v>1.4130917001876401E-3</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1</v>
      </c>
      <c r="F45" s="67">
        <f t="shared" si="0"/>
        <v>0</v>
      </c>
      <c r="G45" s="67">
        <f t="shared" si="1"/>
        <v>0</v>
      </c>
      <c r="H45" s="67">
        <f t="shared" si="2"/>
        <v>0</v>
      </c>
      <c r="I45" s="67">
        <f t="shared" si="3"/>
        <v>9.650387522868278E-3</v>
      </c>
      <c r="J45" s="67">
        <f t="shared" si="4"/>
        <v>1.7882636251090164E-3</v>
      </c>
      <c r="K45" s="100">
        <f t="shared" si="6"/>
        <v>1.1921757500726775E-3</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1</v>
      </c>
      <c r="F46" s="67">
        <f t="shared" si="0"/>
        <v>0</v>
      </c>
      <c r="G46" s="67">
        <f t="shared" si="1"/>
        <v>0</v>
      </c>
      <c r="H46" s="67">
        <f t="shared" si="2"/>
        <v>0</v>
      </c>
      <c r="I46" s="67">
        <f t="shared" si="3"/>
        <v>8.1416924195646962E-3</v>
      </c>
      <c r="J46" s="67">
        <f t="shared" si="4"/>
        <v>1.5086951033035827E-3</v>
      </c>
      <c r="K46" s="100">
        <f t="shared" si="6"/>
        <v>1.0057967355357217E-3</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1</v>
      </c>
      <c r="F47" s="67">
        <f t="shared" si="0"/>
        <v>0</v>
      </c>
      <c r="G47" s="67">
        <f t="shared" si="1"/>
        <v>0</v>
      </c>
      <c r="H47" s="67">
        <f t="shared" si="2"/>
        <v>0</v>
      </c>
      <c r="I47" s="67">
        <f t="shared" si="3"/>
        <v>6.8688594419362165E-3</v>
      </c>
      <c r="J47" s="67">
        <f t="shared" si="4"/>
        <v>1.2728329776284793E-3</v>
      </c>
      <c r="K47" s="100">
        <f t="shared" si="6"/>
        <v>8.4855531841898613E-4</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1</v>
      </c>
      <c r="F48" s="67">
        <f t="shared" si="0"/>
        <v>0</v>
      </c>
      <c r="G48" s="67">
        <f t="shared" si="1"/>
        <v>0</v>
      </c>
      <c r="H48" s="67">
        <f t="shared" si="2"/>
        <v>0</v>
      </c>
      <c r="I48" s="67">
        <f t="shared" si="3"/>
        <v>5.7950150413074563E-3</v>
      </c>
      <c r="J48" s="67">
        <f t="shared" si="4"/>
        <v>1.0738444006287598E-3</v>
      </c>
      <c r="K48" s="100">
        <f t="shared" si="6"/>
        <v>7.1589626708583982E-4</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1</v>
      </c>
      <c r="F49" s="67">
        <f t="shared" si="0"/>
        <v>0</v>
      </c>
      <c r="G49" s="67">
        <f t="shared" si="1"/>
        <v>0</v>
      </c>
      <c r="H49" s="67">
        <f t="shared" si="2"/>
        <v>0</v>
      </c>
      <c r="I49" s="67">
        <f t="shared" si="3"/>
        <v>4.8890503019979404E-3</v>
      </c>
      <c r="J49" s="67">
        <f t="shared" si="4"/>
        <v>9.0596473930951626E-4</v>
      </c>
      <c r="K49" s="100">
        <f t="shared" si="6"/>
        <v>6.0397649287301084E-4</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4.1247197263655864E-3</v>
      </c>
      <c r="J50" s="67">
        <f t="shared" si="4"/>
        <v>7.6433057563235365E-4</v>
      </c>
      <c r="K50" s="100">
        <f t="shared" si="6"/>
        <v>5.0955371708823573E-4</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3.4798809114557085E-3</v>
      </c>
      <c r="J51" s="67">
        <f t="shared" si="4"/>
        <v>6.4483881490987798E-4</v>
      </c>
      <c r="K51" s="100">
        <f t="shared" si="6"/>
        <v>4.2989254327325198E-4</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2.9358530909405368E-3</v>
      </c>
      <c r="J52" s="67">
        <f t="shared" si="4"/>
        <v>5.4402782051517164E-4</v>
      </c>
      <c r="K52" s="100">
        <f t="shared" si="6"/>
        <v>3.6268521367678109E-4</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2.476875959522274E-3</v>
      </c>
      <c r="J53" s="67">
        <f t="shared" si="4"/>
        <v>4.5897713141826262E-4</v>
      </c>
      <c r="K53" s="100">
        <f t="shared" si="6"/>
        <v>3.0598475427884173E-4</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2.0896531021223513E-3</v>
      </c>
      <c r="J54" s="67">
        <f t="shared" si="4"/>
        <v>3.8722285739992282E-4</v>
      </c>
      <c r="K54" s="100">
        <f t="shared" si="6"/>
        <v>2.5814857159994851E-4</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1.7629668011521177E-3</v>
      </c>
      <c r="J55" s="67">
        <f t="shared" si="4"/>
        <v>3.2668630097023351E-4</v>
      </c>
      <c r="K55" s="100">
        <f t="shared" si="6"/>
        <v>2.17790867313489E-4</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1.4873530629595146E-3</v>
      </c>
      <c r="J56" s="67">
        <f t="shared" si="4"/>
        <v>2.7561373819260304E-4</v>
      </c>
      <c r="K56" s="100">
        <f t="shared" si="6"/>
        <v>1.8374249212840203E-4</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1.2548274490758085E-3</v>
      </c>
      <c r="J57" s="67">
        <f t="shared" si="4"/>
        <v>2.3252561388370618E-4</v>
      </c>
      <c r="K57" s="100">
        <f t="shared" si="6"/>
        <v>1.5501707592247078E-4</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1.0586537696846499E-3</v>
      </c>
      <c r="J58" s="67">
        <f t="shared" si="4"/>
        <v>1.9617367939115849E-4</v>
      </c>
      <c r="K58" s="100">
        <f t="shared" si="6"/>
        <v>1.3078245292743899E-4</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8.9314893844007041E-4</v>
      </c>
      <c r="J59" s="67">
        <f t="shared" si="4"/>
        <v>1.6550483124457951E-4</v>
      </c>
      <c r="K59" s="100">
        <f t="shared" si="6"/>
        <v>1.1033655416305301E-4</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7.535183353422968E-4</v>
      </c>
      <c r="J60" s="67">
        <f t="shared" si="4"/>
        <v>1.3963060309777362E-4</v>
      </c>
      <c r="K60" s="100">
        <f t="shared" si="6"/>
        <v>9.3087068731849068E-5</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6.3571690818857115E-4</v>
      </c>
      <c r="J61" s="67">
        <f t="shared" si="4"/>
        <v>1.1780142715372562E-4</v>
      </c>
      <c r="K61" s="100">
        <f t="shared" si="6"/>
        <v>7.8534284769150403E-5</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5.36331988754131E-4</v>
      </c>
      <c r="J62" s="67">
        <f t="shared" si="4"/>
        <v>9.9384919434440173E-5</v>
      </c>
      <c r="K62" s="100">
        <f t="shared" si="6"/>
        <v>6.625661295629344E-5</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4.5248442892702764E-4</v>
      </c>
      <c r="J63" s="67">
        <f t="shared" si="4"/>
        <v>8.3847559827103347E-5</v>
      </c>
      <c r="K63" s="100">
        <f t="shared" si="6"/>
        <v>5.5898373218068896E-5</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3.817451927434402E-4</v>
      </c>
      <c r="J64" s="67">
        <f t="shared" si="4"/>
        <v>7.0739236183587446E-5</v>
      </c>
      <c r="K64" s="100">
        <f t="shared" si="6"/>
        <v>4.7159490789058293E-5</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3.2206498802244565E-4</v>
      </c>
      <c r="J65" s="67">
        <f t="shared" si="4"/>
        <v>5.9680204720994576E-5</v>
      </c>
      <c r="K65" s="100">
        <f t="shared" si="6"/>
        <v>3.9786803147329717E-5</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2.7171489905207313E-4</v>
      </c>
      <c r="J66" s="67">
        <f t="shared" si="4"/>
        <v>5.0350088970372523E-5</v>
      </c>
      <c r="K66" s="100">
        <f t="shared" si="6"/>
        <v>3.3566725980248346E-5</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2.292363004752722E-4</v>
      </c>
      <c r="J67" s="67">
        <f t="shared" si="4"/>
        <v>4.2478598576800941E-5</v>
      </c>
      <c r="K67" s="100">
        <f t="shared" si="6"/>
        <v>2.8319065717867293E-5</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1.9339860139770402E-4</v>
      </c>
      <c r="J68" s="67">
        <f t="shared" si="4"/>
        <v>3.5837699077568175E-5</v>
      </c>
      <c r="K68" s="100">
        <f t="shared" si="6"/>
        <v>2.3891799385045448E-5</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1.6316359557819109E-4</v>
      </c>
      <c r="J69" s="67">
        <f t="shared" si="4"/>
        <v>3.0235005819512943E-5</v>
      </c>
      <c r="K69" s="100">
        <f t="shared" si="6"/>
        <v>2.0156670546341961E-5</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1.3765538493868112E-4</v>
      </c>
      <c r="J70" s="67">
        <f t="shared" si="4"/>
        <v>2.5508210639509982E-5</v>
      </c>
      <c r="K70" s="100">
        <f t="shared" si="6"/>
        <v>1.7005473759673321E-5</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1.16135005087797E-4</v>
      </c>
      <c r="J71" s="67">
        <f t="shared" si="4"/>
        <v>2.1520379850884112E-5</v>
      </c>
      <c r="K71" s="100">
        <f t="shared" si="6"/>
        <v>1.4346919900589407E-5</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9.7979017767816344E-5</v>
      </c>
      <c r="J72" s="67">
        <f t="shared" si="4"/>
        <v>1.8155987319980656E-5</v>
      </c>
      <c r="K72" s="100">
        <f t="shared" si="6"/>
        <v>1.210399154665377E-5</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8.2661450055378599E-5</v>
      </c>
      <c r="J73" s="67">
        <f t="shared" si="4"/>
        <v>1.5317567712437749E-5</v>
      </c>
      <c r="K73" s="100">
        <f t="shared" si="6"/>
        <v>1.0211711808291831E-5</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6.9738557100562122E-5</v>
      </c>
      <c r="J74" s="67">
        <f t="shared" si="4"/>
        <v>1.2922892954816481E-5</v>
      </c>
      <c r="K74" s="100">
        <f t="shared" si="6"/>
        <v>8.6152619698776531E-6</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5.8835966985942174E-5</v>
      </c>
      <c r="J75" s="67">
        <f t="shared" si="4"/>
        <v>1.0902590114619947E-5</v>
      </c>
      <c r="K75" s="100">
        <f t="shared" si="6"/>
        <v>7.2683934097466306E-6</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4.963783529646579E-5</v>
      </c>
      <c r="J76" s="67">
        <f t="shared" si="4"/>
        <v>9.1981316894763833E-6</v>
      </c>
      <c r="K76" s="100">
        <f t="shared" si="6"/>
        <v>6.1320877929842556E-6</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4.1877695211634313E-5</v>
      </c>
      <c r="J77" s="67">
        <f t="shared" si="4"/>
        <v>7.7601400848314778E-6</v>
      </c>
      <c r="K77" s="100">
        <f t="shared" si="6"/>
        <v>5.1734267232209849E-6</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3.5330738050202715E-5</v>
      </c>
      <c r="J78" s="67">
        <f t="shared" si="4"/>
        <v>6.5469571614315939E-6</v>
      </c>
      <c r="K78" s="100">
        <f t="shared" si="6"/>
        <v>4.3646381076210623E-6</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2.9807300637339148E-5</v>
      </c>
      <c r="J79" s="67">
        <f t="shared" si="4"/>
        <v>5.5234374128635663E-6</v>
      </c>
      <c r="K79" s="100">
        <f t="shared" si="6"/>
        <v>3.6822916085757109E-6</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2.5147370825434004E-5</v>
      </c>
      <c r="J80" s="67">
        <f t="shared" si="4"/>
        <v>4.6599298119051444E-6</v>
      </c>
      <c r="K80" s="100">
        <f t="shared" si="6"/>
        <v>3.1066198746034296E-6</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2.1215951995321031E-5</v>
      </c>
      <c r="J81" s="67">
        <f t="shared" si="4"/>
        <v>3.9314188301129748E-6</v>
      </c>
      <c r="K81" s="100">
        <f t="shared" si="6"/>
        <v>2.6209458867419831E-6</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1.7899152249050199E-5</v>
      </c>
      <c r="J82" s="67">
        <f t="shared" si="4"/>
        <v>3.3167997462708323E-6</v>
      </c>
      <c r="K82" s="100">
        <f t="shared" si="6"/>
        <v>2.2111998308472215E-6</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1.5100884999425685E-5</v>
      </c>
      <c r="J83" s="67">
        <f t="shared" ref="J83:J99" si="16">I82*(1-$K$10)+H83</f>
        <v>2.7982672496245141E-6</v>
      </c>
      <c r="K83" s="100">
        <f t="shared" si="6"/>
        <v>1.8655114997496759E-6</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1.2740085373483553E-5</v>
      </c>
      <c r="J84" s="67">
        <f t="shared" si="16"/>
        <v>2.3607996259421324E-6</v>
      </c>
      <c r="K84" s="100">
        <f t="shared" si="6"/>
        <v>1.5738664172947549E-6</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1.0748361790042272E-5</v>
      </c>
      <c r="J85" s="67">
        <f t="shared" si="16"/>
        <v>1.9917235834412805E-6</v>
      </c>
      <c r="K85" s="100">
        <f t="shared" ref="K85:K99" si="18">J85*CH4_fraction*conv</f>
        <v>1.3278157222941869E-6</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9.068014678307591E-6</v>
      </c>
      <c r="J86" s="67">
        <f t="shared" si="16"/>
        <v>1.6803471117346801E-6</v>
      </c>
      <c r="K86" s="100">
        <f t="shared" si="18"/>
        <v>1.1202314078231199E-6</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7.65036494046769E-6</v>
      </c>
      <c r="J87" s="67">
        <f t="shared" si="16"/>
        <v>1.4176497378399019E-6</v>
      </c>
      <c r="K87" s="100">
        <f t="shared" si="18"/>
        <v>9.4509982522660118E-7</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6.454343734395078E-6</v>
      </c>
      <c r="J88" s="67">
        <f t="shared" si="16"/>
        <v>1.1960212060726124E-6</v>
      </c>
      <c r="K88" s="100">
        <f t="shared" si="18"/>
        <v>7.9734747071507497E-7</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5.4453027229284418E-6</v>
      </c>
      <c r="J89" s="67">
        <f t="shared" si="16"/>
        <v>1.0090410114666362E-6</v>
      </c>
      <c r="K89" s="100">
        <f t="shared" si="18"/>
        <v>6.7269400764442404E-7</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4.5940103230512123E-6</v>
      </c>
      <c r="J90" s="67">
        <f t="shared" si="16"/>
        <v>8.5129239987722921E-7</v>
      </c>
      <c r="K90" s="100">
        <f t="shared" si="18"/>
        <v>5.675282665848194E-7</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3.8758048766388946E-6</v>
      </c>
      <c r="J91" s="67">
        <f t="shared" si="16"/>
        <v>7.1820544641231787E-7</v>
      </c>
      <c r="K91" s="100">
        <f t="shared" si="18"/>
        <v>4.7880363094154521E-7</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3.2698802104129224E-6</v>
      </c>
      <c r="J92" s="67">
        <f t="shared" si="16"/>
        <v>6.0592466622597198E-7</v>
      </c>
      <c r="K92" s="100">
        <f t="shared" si="18"/>
        <v>4.0394977748398128E-7</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2.7586828880101628E-6</v>
      </c>
      <c r="J93" s="67">
        <f t="shared" si="16"/>
        <v>5.1119732240275972E-7</v>
      </c>
      <c r="K93" s="100">
        <f t="shared" si="18"/>
        <v>3.4079821493517315E-7</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2.327403692760676E-6</v>
      </c>
      <c r="J94" s="67">
        <f t="shared" si="16"/>
        <v>4.312791952494867E-7</v>
      </c>
      <c r="K94" s="100">
        <f t="shared" si="18"/>
        <v>2.8751946349965778E-7</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1.963548609598682E-6</v>
      </c>
      <c r="J95" s="67">
        <f t="shared" si="16"/>
        <v>3.6385508316199413E-7</v>
      </c>
      <c r="K95" s="100">
        <f t="shared" si="18"/>
        <v>2.4257005544132939E-7</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1.6565768775951563E-6</v>
      </c>
      <c r="J96" s="67">
        <f t="shared" si="16"/>
        <v>3.0697173200352571E-7</v>
      </c>
      <c r="K96" s="100">
        <f t="shared" si="18"/>
        <v>2.046478213356838E-7</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1.3975956276141276E-6</v>
      </c>
      <c r="J97" s="67">
        <f t="shared" si="16"/>
        <v>2.5898124998102878E-7</v>
      </c>
      <c r="K97" s="100">
        <f t="shared" si="18"/>
        <v>1.7265416665401918E-7</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1.1791022588469806E-6</v>
      </c>
      <c r="J98" s="67">
        <f t="shared" si="16"/>
        <v>2.1849336876714687E-7</v>
      </c>
      <c r="K98" s="100">
        <f t="shared" si="18"/>
        <v>1.4566224584476458E-7</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9.9476709095851967E-7</v>
      </c>
      <c r="J99" s="68">
        <f t="shared" si="16"/>
        <v>1.8433516788846097E-7</v>
      </c>
      <c r="K99" s="102">
        <f t="shared" si="18"/>
        <v>1.2289011192564064E-7</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2.5000000000000001E-2</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2.5000000000000001E-2</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5.0000000000000001E-3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0.22916504193659998</v>
      </c>
      <c r="D19" s="416">
        <f>Dry_Matter_Content!H6</f>
        <v>0.73</v>
      </c>
      <c r="E19" s="283">
        <f>MCF!R18</f>
        <v>1</v>
      </c>
      <c r="F19" s="130">
        <f t="shared" ref="F19:F50" si="0">C19*D19*$K$6*DOCF*E19</f>
        <v>4.1822620153429495E-4</v>
      </c>
      <c r="G19" s="65">
        <f t="shared" ref="G19:G82" si="1">F19*$K$12</f>
        <v>4.1822620153429495E-4</v>
      </c>
      <c r="H19" s="65">
        <f t="shared" ref="H19:H82" si="2">F19*(1-$K$12)</f>
        <v>0</v>
      </c>
      <c r="I19" s="65">
        <f t="shared" ref="I19:I82" si="3">G19+I18*$K$10</f>
        <v>4.1822620153429495E-4</v>
      </c>
      <c r="J19" s="65">
        <f t="shared" ref="J19:J82" si="4">I18*(1-$K$10)+H19</f>
        <v>0</v>
      </c>
      <c r="K19" s="66">
        <f>J19*CH4_fraction*conv</f>
        <v>0</v>
      </c>
      <c r="O19" s="95">
        <f>Amnt_Deposited!B14</f>
        <v>2000</v>
      </c>
      <c r="P19" s="98">
        <f>Amnt_Deposited!H14</f>
        <v>0.22916504193659998</v>
      </c>
      <c r="Q19" s="283">
        <f>MCF!R18</f>
        <v>1</v>
      </c>
      <c r="R19" s="130">
        <f t="shared" ref="R19:R50" si="5">P19*$W$6*DOCF*Q19</f>
        <v>2.7499805032391998E-2</v>
      </c>
      <c r="S19" s="65">
        <f>R19*$W$12</f>
        <v>2.7499805032391998E-2</v>
      </c>
      <c r="T19" s="65">
        <f>R19*(1-$W$12)</f>
        <v>0</v>
      </c>
      <c r="U19" s="65">
        <f>S19+U18*$W$10</f>
        <v>2.7499805032391998E-2</v>
      </c>
      <c r="V19" s="65">
        <f>U18*(1-$W$10)+T19</f>
        <v>0</v>
      </c>
      <c r="W19" s="66">
        <f>V19*CH4_fraction*conv</f>
        <v>0</v>
      </c>
    </row>
    <row r="20" spans="2:23">
      <c r="B20" s="96">
        <f>Amnt_Deposited!B15</f>
        <v>2001</v>
      </c>
      <c r="C20" s="99">
        <f>Amnt_Deposited!H15</f>
        <v>0.23210091045899994</v>
      </c>
      <c r="D20" s="418">
        <f>Dry_Matter_Content!H7</f>
        <v>0.73</v>
      </c>
      <c r="E20" s="284">
        <f>MCF!R19</f>
        <v>1</v>
      </c>
      <c r="F20" s="67">
        <f t="shared" si="0"/>
        <v>4.235841615876749E-4</v>
      </c>
      <c r="G20" s="67">
        <f t="shared" si="1"/>
        <v>4.235841615876749E-4</v>
      </c>
      <c r="H20" s="67">
        <f t="shared" si="2"/>
        <v>0</v>
      </c>
      <c r="I20" s="67">
        <f t="shared" si="3"/>
        <v>8.1353568722099116E-4</v>
      </c>
      <c r="J20" s="67">
        <f t="shared" si="4"/>
        <v>2.8274675900978718E-5</v>
      </c>
      <c r="K20" s="100">
        <f>J20*CH4_fraction*conv</f>
        <v>1.884978393398581E-5</v>
      </c>
      <c r="M20" s="393"/>
      <c r="O20" s="96">
        <f>Amnt_Deposited!B15</f>
        <v>2001</v>
      </c>
      <c r="P20" s="99">
        <f>Amnt_Deposited!H15</f>
        <v>0.23210091045899994</v>
      </c>
      <c r="Q20" s="284">
        <f>MCF!R19</f>
        <v>1</v>
      </c>
      <c r="R20" s="67">
        <f t="shared" si="5"/>
        <v>2.7852109255079992E-2</v>
      </c>
      <c r="S20" s="67">
        <f>R20*$W$12</f>
        <v>2.7852109255079992E-2</v>
      </c>
      <c r="T20" s="67">
        <f>R20*(1-$W$12)</f>
        <v>0</v>
      </c>
      <c r="U20" s="67">
        <f>S20+U19*$W$10</f>
        <v>5.3492757515900782E-2</v>
      </c>
      <c r="V20" s="67">
        <f>U19*(1-$W$10)+T20</f>
        <v>1.8591567715712035E-3</v>
      </c>
      <c r="W20" s="100">
        <f>V20*CH4_fraction*conv</f>
        <v>1.2394378477141356E-3</v>
      </c>
    </row>
    <row r="21" spans="2:23">
      <c r="B21" s="96">
        <f>Amnt_Deposited!B16</f>
        <v>2002</v>
      </c>
      <c r="C21" s="99">
        <f>Amnt_Deposited!H16</f>
        <v>0.23733105996599999</v>
      </c>
      <c r="D21" s="418">
        <f>Dry_Matter_Content!H8</f>
        <v>0.73</v>
      </c>
      <c r="E21" s="284">
        <f>MCF!R20</f>
        <v>1</v>
      </c>
      <c r="F21" s="67">
        <f t="shared" si="0"/>
        <v>4.3312918443795003E-4</v>
      </c>
      <c r="G21" s="67">
        <f t="shared" si="1"/>
        <v>4.3312918443795003E-4</v>
      </c>
      <c r="H21" s="67">
        <f t="shared" si="2"/>
        <v>0</v>
      </c>
      <c r="I21" s="67">
        <f t="shared" si="3"/>
        <v>1.1916648314757407E-3</v>
      </c>
      <c r="J21" s="67">
        <f t="shared" si="4"/>
        <v>5.5000040183200465E-5</v>
      </c>
      <c r="K21" s="100">
        <f t="shared" ref="K21:K84" si="6">J21*CH4_fraction*conv</f>
        <v>3.6666693455466977E-5</v>
      </c>
      <c r="O21" s="96">
        <f>Amnt_Deposited!B16</f>
        <v>2002</v>
      </c>
      <c r="P21" s="99">
        <f>Amnt_Deposited!H16</f>
        <v>0.23733105996599999</v>
      </c>
      <c r="Q21" s="284">
        <f>MCF!R20</f>
        <v>1</v>
      </c>
      <c r="R21" s="67">
        <f t="shared" si="5"/>
        <v>2.8479727195919999E-2</v>
      </c>
      <c r="S21" s="67">
        <f t="shared" ref="S21:S84" si="7">R21*$W$12</f>
        <v>2.8479727195919999E-2</v>
      </c>
      <c r="T21" s="67">
        <f t="shared" ref="T21:T84" si="8">R21*(1-$W$12)</f>
        <v>0</v>
      </c>
      <c r="U21" s="67">
        <f t="shared" ref="U21:U84" si="9">S21+U20*$W$10</f>
        <v>7.835604371347335E-2</v>
      </c>
      <c r="V21" s="67">
        <f t="shared" ref="V21:V84" si="10">U20*(1-$W$10)+T21</f>
        <v>3.6164409983474271E-3</v>
      </c>
      <c r="W21" s="100">
        <f t="shared" ref="W21:W84" si="11">V21*CH4_fraction*conv</f>
        <v>2.4109606655649514E-3</v>
      </c>
    </row>
    <row r="22" spans="2:23">
      <c r="B22" s="96">
        <f>Amnt_Deposited!B17</f>
        <v>2003</v>
      </c>
      <c r="C22" s="99">
        <f>Amnt_Deposited!H17</f>
        <v>0.24154954027379999</v>
      </c>
      <c r="D22" s="418">
        <f>Dry_Matter_Content!H9</f>
        <v>0.73</v>
      </c>
      <c r="E22" s="284">
        <f>MCF!R21</f>
        <v>1</v>
      </c>
      <c r="F22" s="67">
        <f t="shared" si="0"/>
        <v>4.4082791099968495E-4</v>
      </c>
      <c r="G22" s="67">
        <f t="shared" si="1"/>
        <v>4.4082791099968495E-4</v>
      </c>
      <c r="H22" s="67">
        <f t="shared" si="2"/>
        <v>0</v>
      </c>
      <c r="I22" s="67">
        <f t="shared" si="3"/>
        <v>1.5519288352669289E-3</v>
      </c>
      <c r="J22" s="67">
        <f t="shared" si="4"/>
        <v>8.0563907208496728E-5</v>
      </c>
      <c r="K22" s="100">
        <f t="shared" si="6"/>
        <v>5.370927147233115E-5</v>
      </c>
      <c r="N22" s="258"/>
      <c r="O22" s="96">
        <f>Amnt_Deposited!B17</f>
        <v>2003</v>
      </c>
      <c r="P22" s="99">
        <f>Amnt_Deposited!H17</f>
        <v>0.24154954027379999</v>
      </c>
      <c r="Q22" s="284">
        <f>MCF!R21</f>
        <v>1</v>
      </c>
      <c r="R22" s="67">
        <f t="shared" si="5"/>
        <v>2.8985944832855999E-2</v>
      </c>
      <c r="S22" s="67">
        <f t="shared" si="7"/>
        <v>2.8985944832855999E-2</v>
      </c>
      <c r="T22" s="67">
        <f t="shared" si="8"/>
        <v>0</v>
      </c>
      <c r="U22" s="67">
        <f t="shared" si="9"/>
        <v>0.10204463574357889</v>
      </c>
      <c r="V22" s="67">
        <f t="shared" si="10"/>
        <v>5.2973528027504694E-3</v>
      </c>
      <c r="W22" s="100">
        <f t="shared" si="11"/>
        <v>3.5315685351669794E-3</v>
      </c>
    </row>
    <row r="23" spans="2:23">
      <c r="B23" s="96">
        <f>Amnt_Deposited!B18</f>
        <v>2004</v>
      </c>
      <c r="C23" s="99">
        <f>Amnt_Deposited!H18</f>
        <v>0.24284172799259998</v>
      </c>
      <c r="D23" s="418">
        <f>Dry_Matter_Content!H10</f>
        <v>0.73</v>
      </c>
      <c r="E23" s="284">
        <f>MCF!R22</f>
        <v>1</v>
      </c>
      <c r="F23" s="67">
        <f t="shared" si="0"/>
        <v>4.4318615358649501E-4</v>
      </c>
      <c r="G23" s="67">
        <f t="shared" si="1"/>
        <v>4.4318615358649501E-4</v>
      </c>
      <c r="H23" s="67">
        <f t="shared" si="2"/>
        <v>0</v>
      </c>
      <c r="I23" s="67">
        <f t="shared" si="3"/>
        <v>1.8901950085232161E-3</v>
      </c>
      <c r="J23" s="67">
        <f t="shared" si="4"/>
        <v>1.0491998033020792E-4</v>
      </c>
      <c r="K23" s="100">
        <f t="shared" si="6"/>
        <v>6.9946653553471945E-5</v>
      </c>
      <c r="N23" s="258"/>
      <c r="O23" s="96">
        <f>Amnt_Deposited!B18</f>
        <v>2004</v>
      </c>
      <c r="P23" s="99">
        <f>Amnt_Deposited!H18</f>
        <v>0.24284172799259998</v>
      </c>
      <c r="Q23" s="284">
        <f>MCF!R22</f>
        <v>1</v>
      </c>
      <c r="R23" s="67">
        <f t="shared" si="5"/>
        <v>2.9141007359111997E-2</v>
      </c>
      <c r="S23" s="67">
        <f t="shared" si="7"/>
        <v>2.9141007359111997E-2</v>
      </c>
      <c r="T23" s="67">
        <f t="shared" si="8"/>
        <v>0</v>
      </c>
      <c r="U23" s="67">
        <f t="shared" si="9"/>
        <v>0.12428679508097859</v>
      </c>
      <c r="V23" s="67">
        <f t="shared" si="10"/>
        <v>6.8988480217123021E-3</v>
      </c>
      <c r="W23" s="100">
        <f t="shared" si="11"/>
        <v>4.5992320144748675E-3</v>
      </c>
    </row>
    <row r="24" spans="2:23">
      <c r="B24" s="96">
        <f>Amnt_Deposited!B19</f>
        <v>2005</v>
      </c>
      <c r="C24" s="99">
        <f>Amnt_Deposited!H19</f>
        <v>0.26898796920599999</v>
      </c>
      <c r="D24" s="418">
        <f>Dry_Matter_Content!H11</f>
        <v>0.73</v>
      </c>
      <c r="E24" s="284">
        <f>MCF!R23</f>
        <v>1</v>
      </c>
      <c r="F24" s="67">
        <f t="shared" si="0"/>
        <v>4.9090304380094995E-4</v>
      </c>
      <c r="G24" s="67">
        <f t="shared" si="1"/>
        <v>4.9090304380094995E-4</v>
      </c>
      <c r="H24" s="67">
        <f t="shared" si="2"/>
        <v>0</v>
      </c>
      <c r="I24" s="67">
        <f t="shared" si="3"/>
        <v>2.2533091881650679E-3</v>
      </c>
      <c r="J24" s="67">
        <f t="shared" si="4"/>
        <v>1.2778886415909819E-4</v>
      </c>
      <c r="K24" s="100">
        <f t="shared" si="6"/>
        <v>8.5192576106065461E-5</v>
      </c>
      <c r="N24" s="258"/>
      <c r="O24" s="96">
        <f>Amnt_Deposited!B19</f>
        <v>2005</v>
      </c>
      <c r="P24" s="99">
        <f>Amnt_Deposited!H19</f>
        <v>0.26898796920599999</v>
      </c>
      <c r="Q24" s="284">
        <f>MCF!R23</f>
        <v>1</v>
      </c>
      <c r="R24" s="67">
        <f t="shared" si="5"/>
        <v>3.2278556304719999E-2</v>
      </c>
      <c r="S24" s="67">
        <f t="shared" si="7"/>
        <v>3.2278556304719999E-2</v>
      </c>
      <c r="T24" s="67">
        <f t="shared" si="8"/>
        <v>0</v>
      </c>
      <c r="U24" s="67">
        <f t="shared" si="9"/>
        <v>0.14816279593414144</v>
      </c>
      <c r="V24" s="67">
        <f t="shared" si="10"/>
        <v>8.4025554515571414E-3</v>
      </c>
      <c r="W24" s="100">
        <f t="shared" si="11"/>
        <v>5.6017036343714273E-3</v>
      </c>
    </row>
    <row r="25" spans="2:23">
      <c r="B25" s="96">
        <f>Amnt_Deposited!B20</f>
        <v>2006</v>
      </c>
      <c r="C25" s="99">
        <f>Amnt_Deposited!H20</f>
        <v>0.27452116884060002</v>
      </c>
      <c r="D25" s="418">
        <f>Dry_Matter_Content!H12</f>
        <v>0.73</v>
      </c>
      <c r="E25" s="284">
        <f>MCF!R24</f>
        <v>1</v>
      </c>
      <c r="F25" s="67">
        <f t="shared" si="0"/>
        <v>5.0100113313409505E-4</v>
      </c>
      <c r="G25" s="67">
        <f t="shared" si="1"/>
        <v>5.0100113313409505E-4</v>
      </c>
      <c r="H25" s="67">
        <f t="shared" si="2"/>
        <v>0</v>
      </c>
      <c r="I25" s="67">
        <f t="shared" si="3"/>
        <v>2.6019726945164939E-3</v>
      </c>
      <c r="J25" s="67">
        <f t="shared" si="4"/>
        <v>1.5233762678266906E-4</v>
      </c>
      <c r="K25" s="100">
        <f t="shared" si="6"/>
        <v>1.015584178551127E-4</v>
      </c>
      <c r="N25" s="258"/>
      <c r="O25" s="96">
        <f>Amnt_Deposited!B20</f>
        <v>2006</v>
      </c>
      <c r="P25" s="99">
        <f>Amnt_Deposited!H20</f>
        <v>0.27452116884060002</v>
      </c>
      <c r="Q25" s="284">
        <f>MCF!R24</f>
        <v>1</v>
      </c>
      <c r="R25" s="67">
        <f t="shared" si="5"/>
        <v>3.2942540260872004E-2</v>
      </c>
      <c r="S25" s="67">
        <f t="shared" si="7"/>
        <v>3.2942540260872004E-2</v>
      </c>
      <c r="T25" s="67">
        <f t="shared" si="8"/>
        <v>0</v>
      </c>
      <c r="U25" s="67">
        <f t="shared" si="9"/>
        <v>0.17108861552985166</v>
      </c>
      <c r="V25" s="67">
        <f t="shared" si="10"/>
        <v>1.0016720665161802E-2</v>
      </c>
      <c r="W25" s="100">
        <f t="shared" si="11"/>
        <v>6.6778137767745348E-3</v>
      </c>
    </row>
    <row r="26" spans="2:23">
      <c r="B26" s="96">
        <f>Amnt_Deposited!B21</f>
        <v>2007</v>
      </c>
      <c r="C26" s="99">
        <f>Amnt_Deposited!H21</f>
        <v>0.2800498621536</v>
      </c>
      <c r="D26" s="418">
        <f>Dry_Matter_Content!H13</f>
        <v>0.73</v>
      </c>
      <c r="E26" s="284">
        <f>MCF!R25</f>
        <v>1</v>
      </c>
      <c r="F26" s="67">
        <f t="shared" si="0"/>
        <v>5.1109099843031993E-4</v>
      </c>
      <c r="G26" s="67">
        <f t="shared" si="1"/>
        <v>5.1109099843031993E-4</v>
      </c>
      <c r="H26" s="67">
        <f t="shared" si="2"/>
        <v>0</v>
      </c>
      <c r="I26" s="67">
        <f t="shared" si="3"/>
        <v>2.9371542583615266E-3</v>
      </c>
      <c r="J26" s="67">
        <f t="shared" si="4"/>
        <v>1.7590943458528714E-4</v>
      </c>
      <c r="K26" s="100">
        <f t="shared" si="6"/>
        <v>1.1727295639019142E-4</v>
      </c>
      <c r="N26" s="258"/>
      <c r="O26" s="96">
        <f>Amnt_Deposited!B21</f>
        <v>2007</v>
      </c>
      <c r="P26" s="99">
        <f>Amnt_Deposited!H21</f>
        <v>0.2800498621536</v>
      </c>
      <c r="Q26" s="284">
        <f>MCF!R25</f>
        <v>1</v>
      </c>
      <c r="R26" s="67">
        <f t="shared" si="5"/>
        <v>3.3605983458432E-2</v>
      </c>
      <c r="S26" s="67">
        <f t="shared" si="7"/>
        <v>3.3605983458432E-2</v>
      </c>
      <c r="T26" s="67">
        <f t="shared" si="8"/>
        <v>0</v>
      </c>
      <c r="U26" s="67">
        <f t="shared" si="9"/>
        <v>0.19312795123473053</v>
      </c>
      <c r="V26" s="67">
        <f t="shared" si="10"/>
        <v>1.1566647753553127E-2</v>
      </c>
      <c r="W26" s="100">
        <f t="shared" si="11"/>
        <v>7.7110985023687512E-3</v>
      </c>
    </row>
    <row r="27" spans="2:23">
      <c r="B27" s="96">
        <f>Amnt_Deposited!B22</f>
        <v>2008</v>
      </c>
      <c r="C27" s="99">
        <f>Amnt_Deposited!H22</f>
        <v>0.28554025173300002</v>
      </c>
      <c r="D27" s="418">
        <f>Dry_Matter_Content!H14</f>
        <v>0.73</v>
      </c>
      <c r="E27" s="284">
        <f>MCF!R26</f>
        <v>1</v>
      </c>
      <c r="F27" s="67">
        <f t="shared" si="0"/>
        <v>5.2111095941272502E-4</v>
      </c>
      <c r="G27" s="67">
        <f t="shared" si="1"/>
        <v>5.2111095941272502E-4</v>
      </c>
      <c r="H27" s="67">
        <f t="shared" si="2"/>
        <v>0</v>
      </c>
      <c r="I27" s="67">
        <f t="shared" si="3"/>
        <v>3.2596954380194514E-3</v>
      </c>
      <c r="J27" s="67">
        <f t="shared" si="4"/>
        <v>1.9856977975480031E-4</v>
      </c>
      <c r="K27" s="100">
        <f t="shared" si="6"/>
        <v>1.3237985316986685E-4</v>
      </c>
      <c r="N27" s="258"/>
      <c r="O27" s="96">
        <f>Amnt_Deposited!B22</f>
        <v>2008</v>
      </c>
      <c r="P27" s="99">
        <f>Amnt_Deposited!H22</f>
        <v>0.28554025173300002</v>
      </c>
      <c r="Q27" s="284">
        <f>MCF!R26</f>
        <v>1</v>
      </c>
      <c r="R27" s="67">
        <f t="shared" si="5"/>
        <v>3.426483020796E-2</v>
      </c>
      <c r="S27" s="67">
        <f t="shared" si="7"/>
        <v>3.426483020796E-2</v>
      </c>
      <c r="T27" s="67">
        <f t="shared" si="8"/>
        <v>0</v>
      </c>
      <c r="U27" s="67">
        <f t="shared" si="9"/>
        <v>0.21433613839032012</v>
      </c>
      <c r="V27" s="67">
        <f t="shared" si="10"/>
        <v>1.3056643052370432E-2</v>
      </c>
      <c r="W27" s="100">
        <f t="shared" si="11"/>
        <v>8.7044287015802871E-3</v>
      </c>
    </row>
    <row r="28" spans="2:23">
      <c r="B28" s="96">
        <f>Amnt_Deposited!B23</f>
        <v>2009</v>
      </c>
      <c r="C28" s="99">
        <f>Amnt_Deposited!H23</f>
        <v>0.29095178068439997</v>
      </c>
      <c r="D28" s="418">
        <f>Dry_Matter_Content!H15</f>
        <v>0.73</v>
      </c>
      <c r="E28" s="284">
        <f>MCF!R27</f>
        <v>1</v>
      </c>
      <c r="F28" s="67">
        <f t="shared" si="0"/>
        <v>5.3098699974902987E-4</v>
      </c>
      <c r="G28" s="67">
        <f t="shared" si="1"/>
        <v>5.3098699974902987E-4</v>
      </c>
      <c r="H28" s="67">
        <f t="shared" si="2"/>
        <v>0</v>
      </c>
      <c r="I28" s="67">
        <f t="shared" si="3"/>
        <v>3.5703068809339795E-3</v>
      </c>
      <c r="J28" s="67">
        <f t="shared" si="4"/>
        <v>2.2037555683450185E-4</v>
      </c>
      <c r="K28" s="100">
        <f t="shared" si="6"/>
        <v>1.469170378896679E-4</v>
      </c>
      <c r="N28" s="258"/>
      <c r="O28" s="96">
        <f>Amnt_Deposited!B23</f>
        <v>2009</v>
      </c>
      <c r="P28" s="99">
        <f>Amnt_Deposited!H23</f>
        <v>0.29095178068439997</v>
      </c>
      <c r="Q28" s="284">
        <f>MCF!R27</f>
        <v>1</v>
      </c>
      <c r="R28" s="67">
        <f t="shared" si="5"/>
        <v>3.4914213682127992E-2</v>
      </c>
      <c r="S28" s="67">
        <f t="shared" si="7"/>
        <v>3.4914213682127992E-2</v>
      </c>
      <c r="T28" s="67">
        <f t="shared" si="8"/>
        <v>0</v>
      </c>
      <c r="U28" s="67">
        <f t="shared" si="9"/>
        <v>0.23475990449976852</v>
      </c>
      <c r="V28" s="67">
        <f t="shared" si="10"/>
        <v>1.4490447572679576E-2</v>
      </c>
      <c r="W28" s="100">
        <f t="shared" si="11"/>
        <v>9.6602983817863832E-3</v>
      </c>
    </row>
    <row r="29" spans="2:23">
      <c r="B29" s="96">
        <f>Amnt_Deposited!B24</f>
        <v>2010</v>
      </c>
      <c r="C29" s="99">
        <f>Amnt_Deposited!H24</f>
        <v>0.31407878642580001</v>
      </c>
      <c r="D29" s="418">
        <f>Dry_Matter_Content!H16</f>
        <v>0.73</v>
      </c>
      <c r="E29" s="284">
        <f>MCF!R28</f>
        <v>1</v>
      </c>
      <c r="F29" s="67">
        <f t="shared" si="0"/>
        <v>5.7319378522708501E-4</v>
      </c>
      <c r="G29" s="67">
        <f t="shared" si="1"/>
        <v>5.7319378522708501E-4</v>
      </c>
      <c r="H29" s="67">
        <f t="shared" si="2"/>
        <v>0</v>
      </c>
      <c r="I29" s="67">
        <f t="shared" si="3"/>
        <v>3.9021258561776099E-3</v>
      </c>
      <c r="J29" s="67">
        <f t="shared" si="4"/>
        <v>2.4137480998345472E-4</v>
      </c>
      <c r="K29" s="100">
        <f t="shared" si="6"/>
        <v>1.6091653998896981E-4</v>
      </c>
      <c r="O29" s="96">
        <f>Amnt_Deposited!B24</f>
        <v>2010</v>
      </c>
      <c r="P29" s="99">
        <f>Amnt_Deposited!H24</f>
        <v>0.31407878642580001</v>
      </c>
      <c r="Q29" s="284">
        <f>MCF!R28</f>
        <v>1</v>
      </c>
      <c r="R29" s="67">
        <f t="shared" si="5"/>
        <v>3.7689454371095998E-2</v>
      </c>
      <c r="S29" s="67">
        <f t="shared" si="7"/>
        <v>3.7689454371095998E-2</v>
      </c>
      <c r="T29" s="67">
        <f t="shared" si="8"/>
        <v>0</v>
      </c>
      <c r="U29" s="67">
        <f t="shared" si="9"/>
        <v>0.25657813848839078</v>
      </c>
      <c r="V29" s="67">
        <f t="shared" si="10"/>
        <v>1.5871220382473735E-2</v>
      </c>
      <c r="W29" s="100">
        <f t="shared" si="11"/>
        <v>1.0580813588315823E-2</v>
      </c>
    </row>
    <row r="30" spans="2:23">
      <c r="B30" s="96">
        <f>Amnt_Deposited!B25</f>
        <v>2011</v>
      </c>
      <c r="C30" s="99">
        <f>Amnt_Deposited!H25</f>
        <v>0</v>
      </c>
      <c r="D30" s="418">
        <f>Dry_Matter_Content!H17</f>
        <v>0.73</v>
      </c>
      <c r="E30" s="284">
        <f>MCF!R29</f>
        <v>1</v>
      </c>
      <c r="F30" s="67">
        <f t="shared" si="0"/>
        <v>0</v>
      </c>
      <c r="G30" s="67">
        <f t="shared" si="1"/>
        <v>0</v>
      </c>
      <c r="H30" s="67">
        <f t="shared" si="2"/>
        <v>0</v>
      </c>
      <c r="I30" s="67">
        <f t="shared" si="3"/>
        <v>3.6383180327952108E-3</v>
      </c>
      <c r="J30" s="67">
        <f t="shared" si="4"/>
        <v>2.6380782338239928E-4</v>
      </c>
      <c r="K30" s="100">
        <f t="shared" si="6"/>
        <v>1.7587188225493284E-4</v>
      </c>
      <c r="O30" s="96">
        <f>Amnt_Deposited!B25</f>
        <v>2011</v>
      </c>
      <c r="P30" s="99">
        <f>Amnt_Deposited!H25</f>
        <v>0</v>
      </c>
      <c r="Q30" s="284">
        <f>MCF!R29</f>
        <v>1</v>
      </c>
      <c r="R30" s="67">
        <f t="shared" si="5"/>
        <v>0</v>
      </c>
      <c r="S30" s="67">
        <f t="shared" si="7"/>
        <v>0</v>
      </c>
      <c r="T30" s="67">
        <f t="shared" si="8"/>
        <v>0</v>
      </c>
      <c r="U30" s="67">
        <f t="shared" si="9"/>
        <v>0.2392318706495481</v>
      </c>
      <c r="V30" s="67">
        <f t="shared" si="10"/>
        <v>1.7346267838842692E-2</v>
      </c>
      <c r="W30" s="100">
        <f t="shared" si="11"/>
        <v>1.156417855922846E-2</v>
      </c>
    </row>
    <row r="31" spans="2:23">
      <c r="B31" s="96">
        <f>Amnt_Deposited!B26</f>
        <v>2012</v>
      </c>
      <c r="C31" s="99">
        <f>Amnt_Deposited!H26</f>
        <v>0</v>
      </c>
      <c r="D31" s="418">
        <f>Dry_Matter_Content!H18</f>
        <v>0.73</v>
      </c>
      <c r="E31" s="284">
        <f>MCF!R30</f>
        <v>1</v>
      </c>
      <c r="F31" s="67">
        <f t="shared" si="0"/>
        <v>0</v>
      </c>
      <c r="G31" s="67">
        <f t="shared" si="1"/>
        <v>0</v>
      </c>
      <c r="H31" s="67">
        <f t="shared" si="2"/>
        <v>0</v>
      </c>
      <c r="I31" s="67">
        <f t="shared" si="3"/>
        <v>3.3923452486306219E-3</v>
      </c>
      <c r="J31" s="67">
        <f t="shared" si="4"/>
        <v>2.4597278416458901E-4</v>
      </c>
      <c r="K31" s="100">
        <f t="shared" si="6"/>
        <v>1.63981856109726E-4</v>
      </c>
      <c r="O31" s="96">
        <f>Amnt_Deposited!B26</f>
        <v>2012</v>
      </c>
      <c r="P31" s="99">
        <f>Amnt_Deposited!H26</f>
        <v>0</v>
      </c>
      <c r="Q31" s="284">
        <f>MCF!R30</f>
        <v>1</v>
      </c>
      <c r="R31" s="67">
        <f t="shared" si="5"/>
        <v>0</v>
      </c>
      <c r="S31" s="67">
        <f t="shared" si="7"/>
        <v>0</v>
      </c>
      <c r="T31" s="67">
        <f t="shared" si="8"/>
        <v>0</v>
      </c>
      <c r="U31" s="67">
        <f t="shared" si="9"/>
        <v>0.22305831771817786</v>
      </c>
      <c r="V31" s="67">
        <f t="shared" si="10"/>
        <v>1.6173552931370235E-2</v>
      </c>
      <c r="W31" s="100">
        <f t="shared" si="11"/>
        <v>1.078236862091349E-2</v>
      </c>
    </row>
    <row r="32" spans="2:23">
      <c r="B32" s="96">
        <f>Amnt_Deposited!B27</f>
        <v>2013</v>
      </c>
      <c r="C32" s="99">
        <f>Amnt_Deposited!H27</f>
        <v>0</v>
      </c>
      <c r="D32" s="418">
        <f>Dry_Matter_Content!H19</f>
        <v>0.73</v>
      </c>
      <c r="E32" s="284">
        <f>MCF!R31</f>
        <v>1</v>
      </c>
      <c r="F32" s="67">
        <f t="shared" si="0"/>
        <v>0</v>
      </c>
      <c r="G32" s="67">
        <f t="shared" si="1"/>
        <v>0</v>
      </c>
      <c r="H32" s="67">
        <f t="shared" si="2"/>
        <v>0</v>
      </c>
      <c r="I32" s="67">
        <f t="shared" si="3"/>
        <v>3.1630017448104992E-3</v>
      </c>
      <c r="J32" s="67">
        <f t="shared" si="4"/>
        <v>2.2934350382012249E-4</v>
      </c>
      <c r="K32" s="100">
        <f t="shared" si="6"/>
        <v>1.5289566921341499E-4</v>
      </c>
      <c r="O32" s="96">
        <f>Amnt_Deposited!B27</f>
        <v>2013</v>
      </c>
      <c r="P32" s="99">
        <f>Amnt_Deposited!H27</f>
        <v>0</v>
      </c>
      <c r="Q32" s="284">
        <f>MCF!R31</f>
        <v>1</v>
      </c>
      <c r="R32" s="67">
        <f t="shared" si="5"/>
        <v>0</v>
      </c>
      <c r="S32" s="67">
        <f t="shared" si="7"/>
        <v>0</v>
      </c>
      <c r="T32" s="67">
        <f t="shared" si="8"/>
        <v>0</v>
      </c>
      <c r="U32" s="67">
        <f t="shared" si="9"/>
        <v>0.20797819691904651</v>
      </c>
      <c r="V32" s="67">
        <f t="shared" si="10"/>
        <v>1.5080120799131342E-2</v>
      </c>
      <c r="W32" s="100">
        <f t="shared" si="11"/>
        <v>1.005341386608756E-2</v>
      </c>
    </row>
    <row r="33" spans="2:23">
      <c r="B33" s="96">
        <f>Amnt_Deposited!B28</f>
        <v>2014</v>
      </c>
      <c r="C33" s="99">
        <f>Amnt_Deposited!H28</f>
        <v>0</v>
      </c>
      <c r="D33" s="418">
        <f>Dry_Matter_Content!H20</f>
        <v>0.73</v>
      </c>
      <c r="E33" s="284">
        <f>MCF!R32</f>
        <v>1</v>
      </c>
      <c r="F33" s="67">
        <f t="shared" si="0"/>
        <v>0</v>
      </c>
      <c r="G33" s="67">
        <f t="shared" si="1"/>
        <v>0</v>
      </c>
      <c r="H33" s="67">
        <f t="shared" si="2"/>
        <v>0</v>
      </c>
      <c r="I33" s="67">
        <f t="shared" si="3"/>
        <v>2.9491632792130406E-3</v>
      </c>
      <c r="J33" s="67">
        <f t="shared" si="4"/>
        <v>2.1383846559745845E-4</v>
      </c>
      <c r="K33" s="100">
        <f t="shared" si="6"/>
        <v>1.4255897706497229E-4</v>
      </c>
      <c r="O33" s="96">
        <f>Amnt_Deposited!B28</f>
        <v>2014</v>
      </c>
      <c r="P33" s="99">
        <f>Amnt_Deposited!H28</f>
        <v>0</v>
      </c>
      <c r="Q33" s="284">
        <f>MCF!R32</f>
        <v>1</v>
      </c>
      <c r="R33" s="67">
        <f t="shared" si="5"/>
        <v>0</v>
      </c>
      <c r="S33" s="67">
        <f t="shared" si="7"/>
        <v>0</v>
      </c>
      <c r="T33" s="67">
        <f t="shared" si="8"/>
        <v>0</v>
      </c>
      <c r="U33" s="67">
        <f t="shared" si="9"/>
        <v>0.19391758548250129</v>
      </c>
      <c r="V33" s="67">
        <f t="shared" si="10"/>
        <v>1.4060611436545212E-2</v>
      </c>
      <c r="W33" s="100">
        <f t="shared" si="11"/>
        <v>9.3737409576968075E-3</v>
      </c>
    </row>
    <row r="34" spans="2:23">
      <c r="B34" s="96">
        <f>Amnt_Deposited!B29</f>
        <v>2015</v>
      </c>
      <c r="C34" s="99">
        <f>Amnt_Deposited!H29</f>
        <v>0</v>
      </c>
      <c r="D34" s="418">
        <f>Dry_Matter_Content!H21</f>
        <v>0.73</v>
      </c>
      <c r="E34" s="284">
        <f>MCF!R33</f>
        <v>1</v>
      </c>
      <c r="F34" s="67">
        <f t="shared" si="0"/>
        <v>0</v>
      </c>
      <c r="G34" s="67">
        <f t="shared" si="1"/>
        <v>0</v>
      </c>
      <c r="H34" s="67">
        <f t="shared" si="2"/>
        <v>0</v>
      </c>
      <c r="I34" s="67">
        <f t="shared" si="3"/>
        <v>2.7497816154317995E-3</v>
      </c>
      <c r="J34" s="67">
        <f t="shared" si="4"/>
        <v>1.9938166378124099E-4</v>
      </c>
      <c r="K34" s="100">
        <f t="shared" si="6"/>
        <v>1.3292110918749399E-4</v>
      </c>
      <c r="O34" s="96">
        <f>Amnt_Deposited!B29</f>
        <v>2015</v>
      </c>
      <c r="P34" s="99">
        <f>Amnt_Deposited!H29</f>
        <v>0</v>
      </c>
      <c r="Q34" s="284">
        <f>MCF!R33</f>
        <v>1</v>
      </c>
      <c r="R34" s="67">
        <f t="shared" si="5"/>
        <v>0</v>
      </c>
      <c r="S34" s="67">
        <f t="shared" si="7"/>
        <v>0</v>
      </c>
      <c r="T34" s="67">
        <f t="shared" si="8"/>
        <v>0</v>
      </c>
      <c r="U34" s="67">
        <f t="shared" si="9"/>
        <v>0.18080755827496764</v>
      </c>
      <c r="V34" s="67">
        <f t="shared" si="10"/>
        <v>1.3110027207533653E-2</v>
      </c>
      <c r="W34" s="100">
        <f t="shared" si="11"/>
        <v>8.7400181383557683E-3</v>
      </c>
    </row>
    <row r="35" spans="2:23">
      <c r="B35" s="96">
        <f>Amnt_Deposited!B30</f>
        <v>2016</v>
      </c>
      <c r="C35" s="99">
        <f>Amnt_Deposited!H30</f>
        <v>0</v>
      </c>
      <c r="D35" s="418">
        <f>Dry_Matter_Content!H22</f>
        <v>0.73</v>
      </c>
      <c r="E35" s="284">
        <f>MCF!R34</f>
        <v>1</v>
      </c>
      <c r="F35" s="67">
        <f t="shared" si="0"/>
        <v>0</v>
      </c>
      <c r="G35" s="67">
        <f t="shared" si="1"/>
        <v>0</v>
      </c>
      <c r="H35" s="67">
        <f t="shared" si="2"/>
        <v>0</v>
      </c>
      <c r="I35" s="67">
        <f t="shared" si="3"/>
        <v>2.5638793843196046E-3</v>
      </c>
      <c r="J35" s="67">
        <f t="shared" si="4"/>
        <v>1.8590223111219473E-4</v>
      </c>
      <c r="K35" s="100">
        <f t="shared" si="6"/>
        <v>1.2393482074146315E-4</v>
      </c>
      <c r="O35" s="96">
        <f>Amnt_Deposited!B30</f>
        <v>2016</v>
      </c>
      <c r="P35" s="99">
        <f>Amnt_Deposited!H30</f>
        <v>0</v>
      </c>
      <c r="Q35" s="284">
        <f>MCF!R34</f>
        <v>1</v>
      </c>
      <c r="R35" s="67">
        <f t="shared" si="5"/>
        <v>0</v>
      </c>
      <c r="S35" s="67">
        <f t="shared" si="7"/>
        <v>0</v>
      </c>
      <c r="T35" s="67">
        <f t="shared" si="8"/>
        <v>0</v>
      </c>
      <c r="U35" s="67">
        <f t="shared" si="9"/>
        <v>0.16858384992786443</v>
      </c>
      <c r="V35" s="67">
        <f t="shared" si="10"/>
        <v>1.2223708347103214E-2</v>
      </c>
      <c r="W35" s="100">
        <f t="shared" si="11"/>
        <v>8.1491388980688088E-3</v>
      </c>
    </row>
    <row r="36" spans="2:23">
      <c r="B36" s="96">
        <f>Amnt_Deposited!B31</f>
        <v>2017</v>
      </c>
      <c r="C36" s="99">
        <f>Amnt_Deposited!H31</f>
        <v>0</v>
      </c>
      <c r="D36" s="418">
        <f>Dry_Matter_Content!H23</f>
        <v>0.73</v>
      </c>
      <c r="E36" s="284">
        <f>MCF!R35</f>
        <v>1</v>
      </c>
      <c r="F36" s="67">
        <f t="shared" si="0"/>
        <v>0</v>
      </c>
      <c r="G36" s="67">
        <f t="shared" si="1"/>
        <v>0</v>
      </c>
      <c r="H36" s="67">
        <f t="shared" si="2"/>
        <v>0</v>
      </c>
      <c r="I36" s="67">
        <f t="shared" si="3"/>
        <v>2.390545292923867E-3</v>
      </c>
      <c r="J36" s="67">
        <f t="shared" si="4"/>
        <v>1.7333409139573766E-4</v>
      </c>
      <c r="K36" s="100">
        <f t="shared" si="6"/>
        <v>1.1555606093049177E-4</v>
      </c>
      <c r="O36" s="96">
        <f>Amnt_Deposited!B31</f>
        <v>2017</v>
      </c>
      <c r="P36" s="99">
        <f>Amnt_Deposited!H31</f>
        <v>0</v>
      </c>
      <c r="Q36" s="284">
        <f>MCF!R35</f>
        <v>1</v>
      </c>
      <c r="R36" s="67">
        <f t="shared" si="5"/>
        <v>0</v>
      </c>
      <c r="S36" s="67">
        <f t="shared" si="7"/>
        <v>0</v>
      </c>
      <c r="T36" s="67">
        <f t="shared" si="8"/>
        <v>0</v>
      </c>
      <c r="U36" s="67">
        <f t="shared" si="9"/>
        <v>0.15718653980869263</v>
      </c>
      <c r="V36" s="67">
        <f t="shared" si="10"/>
        <v>1.1397310119171791E-2</v>
      </c>
      <c r="W36" s="100">
        <f t="shared" si="11"/>
        <v>7.5982067461145275E-3</v>
      </c>
    </row>
    <row r="37" spans="2:23">
      <c r="B37" s="96">
        <f>Amnt_Deposited!B32</f>
        <v>2018</v>
      </c>
      <c r="C37" s="99">
        <f>Amnt_Deposited!H32</f>
        <v>0</v>
      </c>
      <c r="D37" s="418">
        <f>Dry_Matter_Content!H24</f>
        <v>0.73</v>
      </c>
      <c r="E37" s="284">
        <f>MCF!R36</f>
        <v>1</v>
      </c>
      <c r="F37" s="67">
        <f t="shared" si="0"/>
        <v>0</v>
      </c>
      <c r="G37" s="67">
        <f t="shared" si="1"/>
        <v>0</v>
      </c>
      <c r="H37" s="67">
        <f t="shared" si="2"/>
        <v>0</v>
      </c>
      <c r="I37" s="67">
        <f t="shared" si="3"/>
        <v>2.2289296573274682E-3</v>
      </c>
      <c r="J37" s="67">
        <f t="shared" si="4"/>
        <v>1.6161563559639858E-4</v>
      </c>
      <c r="K37" s="100">
        <f t="shared" si="6"/>
        <v>1.0774375706426572E-4</v>
      </c>
      <c r="O37" s="96">
        <f>Amnt_Deposited!B32</f>
        <v>2018</v>
      </c>
      <c r="P37" s="99">
        <f>Amnt_Deposited!H32</f>
        <v>0</v>
      </c>
      <c r="Q37" s="284">
        <f>MCF!R36</f>
        <v>1</v>
      </c>
      <c r="R37" s="67">
        <f t="shared" si="5"/>
        <v>0</v>
      </c>
      <c r="S37" s="67">
        <f t="shared" si="7"/>
        <v>0</v>
      </c>
      <c r="T37" s="67">
        <f t="shared" si="8"/>
        <v>0</v>
      </c>
      <c r="U37" s="67">
        <f t="shared" si="9"/>
        <v>0.14655975829002532</v>
      </c>
      <c r="V37" s="67">
        <f t="shared" si="10"/>
        <v>1.0626781518667305E-2</v>
      </c>
      <c r="W37" s="100">
        <f t="shared" si="11"/>
        <v>7.0845210124448697E-3</v>
      </c>
    </row>
    <row r="38" spans="2:23">
      <c r="B38" s="96">
        <f>Amnt_Deposited!B33</f>
        <v>2019</v>
      </c>
      <c r="C38" s="99">
        <f>Amnt_Deposited!H33</f>
        <v>0</v>
      </c>
      <c r="D38" s="418">
        <f>Dry_Matter_Content!H25</f>
        <v>0.73</v>
      </c>
      <c r="E38" s="284">
        <f>MCF!R37</f>
        <v>1</v>
      </c>
      <c r="F38" s="67">
        <f t="shared" si="0"/>
        <v>0</v>
      </c>
      <c r="G38" s="67">
        <f t="shared" si="1"/>
        <v>0</v>
      </c>
      <c r="H38" s="67">
        <f t="shared" si="2"/>
        <v>0</v>
      </c>
      <c r="I38" s="67">
        <f t="shared" si="3"/>
        <v>2.0782402374972145E-3</v>
      </c>
      <c r="J38" s="67">
        <f t="shared" si="4"/>
        <v>1.5068941983025381E-4</v>
      </c>
      <c r="K38" s="100">
        <f t="shared" si="6"/>
        <v>1.004596132201692E-4</v>
      </c>
      <c r="O38" s="96">
        <f>Amnt_Deposited!B33</f>
        <v>2019</v>
      </c>
      <c r="P38" s="99">
        <f>Amnt_Deposited!H33</f>
        <v>0</v>
      </c>
      <c r="Q38" s="284">
        <f>MCF!R37</f>
        <v>1</v>
      </c>
      <c r="R38" s="67">
        <f t="shared" si="5"/>
        <v>0</v>
      </c>
      <c r="S38" s="67">
        <f t="shared" si="7"/>
        <v>0</v>
      </c>
      <c r="T38" s="67">
        <f t="shared" si="8"/>
        <v>0</v>
      </c>
      <c r="U38" s="67">
        <f t="shared" si="9"/>
        <v>0.13665141287652918</v>
      </c>
      <c r="V38" s="67">
        <f t="shared" si="10"/>
        <v>9.9083454134961425E-3</v>
      </c>
      <c r="W38" s="100">
        <f t="shared" si="11"/>
        <v>6.6055636089974281E-3</v>
      </c>
    </row>
    <row r="39" spans="2:23">
      <c r="B39" s="96">
        <f>Amnt_Deposited!B34</f>
        <v>2020</v>
      </c>
      <c r="C39" s="99">
        <f>Amnt_Deposited!H34</f>
        <v>0</v>
      </c>
      <c r="D39" s="418">
        <f>Dry_Matter_Content!H26</f>
        <v>0.73</v>
      </c>
      <c r="E39" s="284">
        <f>MCF!R38</f>
        <v>1</v>
      </c>
      <c r="F39" s="67">
        <f t="shared" si="0"/>
        <v>0</v>
      </c>
      <c r="G39" s="67">
        <f t="shared" si="1"/>
        <v>0</v>
      </c>
      <c r="H39" s="67">
        <f t="shared" si="2"/>
        <v>0</v>
      </c>
      <c r="I39" s="67">
        <f t="shared" si="3"/>
        <v>1.9377383537222729E-3</v>
      </c>
      <c r="J39" s="67">
        <f t="shared" si="4"/>
        <v>1.4050188377494151E-4</v>
      </c>
      <c r="K39" s="100">
        <f t="shared" si="6"/>
        <v>9.3667922516627673E-5</v>
      </c>
      <c r="O39" s="96">
        <f>Amnt_Deposited!B34</f>
        <v>2020</v>
      </c>
      <c r="P39" s="99">
        <f>Amnt_Deposited!H34</f>
        <v>0</v>
      </c>
      <c r="Q39" s="284">
        <f>MCF!R38</f>
        <v>1</v>
      </c>
      <c r="R39" s="67">
        <f t="shared" si="5"/>
        <v>0</v>
      </c>
      <c r="S39" s="67">
        <f t="shared" si="7"/>
        <v>0</v>
      </c>
      <c r="T39" s="67">
        <f t="shared" si="8"/>
        <v>0</v>
      </c>
      <c r="U39" s="67">
        <f t="shared" si="9"/>
        <v>0.12741293284749194</v>
      </c>
      <c r="V39" s="67">
        <f t="shared" si="10"/>
        <v>9.2384800290372503E-3</v>
      </c>
      <c r="W39" s="100">
        <f t="shared" si="11"/>
        <v>6.1589866860248333E-3</v>
      </c>
    </row>
    <row r="40" spans="2:23">
      <c r="B40" s="96">
        <f>Amnt_Deposited!B35</f>
        <v>2021</v>
      </c>
      <c r="C40" s="99">
        <f>Amnt_Deposited!H35</f>
        <v>0</v>
      </c>
      <c r="D40" s="418">
        <f>Dry_Matter_Content!H27</f>
        <v>0.73</v>
      </c>
      <c r="E40" s="284">
        <f>MCF!R39</f>
        <v>1</v>
      </c>
      <c r="F40" s="67">
        <f t="shared" si="0"/>
        <v>0</v>
      </c>
      <c r="G40" s="67">
        <f t="shared" si="1"/>
        <v>0</v>
      </c>
      <c r="H40" s="67">
        <f t="shared" si="2"/>
        <v>0</v>
      </c>
      <c r="I40" s="67">
        <f t="shared" si="3"/>
        <v>1.8067352656053735E-3</v>
      </c>
      <c r="J40" s="67">
        <f t="shared" si="4"/>
        <v>1.3100308811689928E-4</v>
      </c>
      <c r="K40" s="100">
        <f t="shared" si="6"/>
        <v>8.7335392077932854E-5</v>
      </c>
      <c r="O40" s="96">
        <f>Amnt_Deposited!B35</f>
        <v>2021</v>
      </c>
      <c r="P40" s="99">
        <f>Amnt_Deposited!H35</f>
        <v>0</v>
      </c>
      <c r="Q40" s="284">
        <f>MCF!R39</f>
        <v>1</v>
      </c>
      <c r="R40" s="67">
        <f t="shared" si="5"/>
        <v>0</v>
      </c>
      <c r="S40" s="67">
        <f t="shared" si="7"/>
        <v>0</v>
      </c>
      <c r="T40" s="67">
        <f t="shared" si="8"/>
        <v>0</v>
      </c>
      <c r="U40" s="67">
        <f t="shared" si="9"/>
        <v>0.11879903116309308</v>
      </c>
      <c r="V40" s="67">
        <f t="shared" si="10"/>
        <v>8.613901684398859E-3</v>
      </c>
      <c r="W40" s="100">
        <f t="shared" si="11"/>
        <v>5.7426011229325721E-3</v>
      </c>
    </row>
    <row r="41" spans="2:23">
      <c r="B41" s="96">
        <f>Amnt_Deposited!B36</f>
        <v>2022</v>
      </c>
      <c r="C41" s="99">
        <f>Amnt_Deposited!H36</f>
        <v>0</v>
      </c>
      <c r="D41" s="418">
        <f>Dry_Matter_Content!H28</f>
        <v>0.73</v>
      </c>
      <c r="E41" s="284">
        <f>MCF!R40</f>
        <v>1</v>
      </c>
      <c r="F41" s="67">
        <f t="shared" si="0"/>
        <v>0</v>
      </c>
      <c r="G41" s="67">
        <f t="shared" si="1"/>
        <v>0</v>
      </c>
      <c r="H41" s="67">
        <f t="shared" si="2"/>
        <v>0</v>
      </c>
      <c r="I41" s="67">
        <f t="shared" si="3"/>
        <v>1.6845887958565821E-3</v>
      </c>
      <c r="J41" s="67">
        <f t="shared" si="4"/>
        <v>1.2214646974879125E-4</v>
      </c>
      <c r="K41" s="100">
        <f t="shared" si="6"/>
        <v>8.143097983252749E-5</v>
      </c>
      <c r="O41" s="96">
        <f>Amnt_Deposited!B36</f>
        <v>2022</v>
      </c>
      <c r="P41" s="99">
        <f>Amnt_Deposited!H36</f>
        <v>0</v>
      </c>
      <c r="Q41" s="284">
        <f>MCF!R40</f>
        <v>1</v>
      </c>
      <c r="R41" s="67">
        <f t="shared" si="5"/>
        <v>0</v>
      </c>
      <c r="S41" s="67">
        <f t="shared" si="7"/>
        <v>0</v>
      </c>
      <c r="T41" s="67">
        <f t="shared" si="8"/>
        <v>0</v>
      </c>
      <c r="U41" s="67">
        <f t="shared" si="9"/>
        <v>0.11076748246728214</v>
      </c>
      <c r="V41" s="67">
        <f t="shared" si="10"/>
        <v>8.0315486958109344E-3</v>
      </c>
      <c r="W41" s="100">
        <f t="shared" si="11"/>
        <v>5.3543657972072896E-3</v>
      </c>
    </row>
    <row r="42" spans="2:23">
      <c r="B42" s="96">
        <f>Amnt_Deposited!B37</f>
        <v>2023</v>
      </c>
      <c r="C42" s="99">
        <f>Amnt_Deposited!H37</f>
        <v>0</v>
      </c>
      <c r="D42" s="418">
        <f>Dry_Matter_Content!H29</f>
        <v>0.73</v>
      </c>
      <c r="E42" s="284">
        <f>MCF!R41</f>
        <v>1</v>
      </c>
      <c r="F42" s="67">
        <f t="shared" si="0"/>
        <v>0</v>
      </c>
      <c r="G42" s="67">
        <f t="shared" si="1"/>
        <v>0</v>
      </c>
      <c r="H42" s="67">
        <f t="shared" si="2"/>
        <v>0</v>
      </c>
      <c r="I42" s="67">
        <f t="shared" si="3"/>
        <v>1.5707001823394803E-3</v>
      </c>
      <c r="J42" s="67">
        <f t="shared" si="4"/>
        <v>1.1388861351710183E-4</v>
      </c>
      <c r="K42" s="100">
        <f t="shared" si="6"/>
        <v>7.5925742344734555E-5</v>
      </c>
      <c r="O42" s="96">
        <f>Amnt_Deposited!B37</f>
        <v>2023</v>
      </c>
      <c r="P42" s="99">
        <f>Amnt_Deposited!H37</f>
        <v>0</v>
      </c>
      <c r="Q42" s="284">
        <f>MCF!R41</f>
        <v>1</v>
      </c>
      <c r="R42" s="67">
        <f t="shared" si="5"/>
        <v>0</v>
      </c>
      <c r="S42" s="67">
        <f t="shared" si="7"/>
        <v>0</v>
      </c>
      <c r="T42" s="67">
        <f t="shared" si="8"/>
        <v>0</v>
      </c>
      <c r="U42" s="67">
        <f t="shared" si="9"/>
        <v>0.10327891609903435</v>
      </c>
      <c r="V42" s="67">
        <f t="shared" si="10"/>
        <v>7.4885663682477937E-3</v>
      </c>
      <c r="W42" s="100">
        <f t="shared" si="11"/>
        <v>4.9923775788318619E-3</v>
      </c>
    </row>
    <row r="43" spans="2:23">
      <c r="B43" s="96">
        <f>Amnt_Deposited!B38</f>
        <v>2024</v>
      </c>
      <c r="C43" s="99">
        <f>Amnt_Deposited!H38</f>
        <v>0</v>
      </c>
      <c r="D43" s="418">
        <f>Dry_Matter_Content!H30</f>
        <v>0.73</v>
      </c>
      <c r="E43" s="284">
        <f>MCF!R42</f>
        <v>1</v>
      </c>
      <c r="F43" s="67">
        <f t="shared" si="0"/>
        <v>0</v>
      </c>
      <c r="G43" s="67">
        <f t="shared" si="1"/>
        <v>0</v>
      </c>
      <c r="H43" s="67">
        <f t="shared" si="2"/>
        <v>0</v>
      </c>
      <c r="I43" s="67">
        <f t="shared" si="3"/>
        <v>1.4645111429384774E-3</v>
      </c>
      <c r="J43" s="67">
        <f t="shared" si="4"/>
        <v>1.0618903940100279E-4</v>
      </c>
      <c r="K43" s="100">
        <f t="shared" si="6"/>
        <v>7.0792692934001854E-5</v>
      </c>
      <c r="O43" s="96">
        <f>Amnt_Deposited!B38</f>
        <v>2024</v>
      </c>
      <c r="P43" s="99">
        <f>Amnt_Deposited!H38</f>
        <v>0</v>
      </c>
      <c r="Q43" s="284">
        <f>MCF!R42</f>
        <v>1</v>
      </c>
      <c r="R43" s="67">
        <f t="shared" si="5"/>
        <v>0</v>
      </c>
      <c r="S43" s="67">
        <f t="shared" si="7"/>
        <v>0</v>
      </c>
      <c r="T43" s="67">
        <f t="shared" si="8"/>
        <v>0</v>
      </c>
      <c r="U43" s="67">
        <f t="shared" si="9"/>
        <v>9.6296623097324577E-2</v>
      </c>
      <c r="V43" s="67">
        <f t="shared" si="10"/>
        <v>6.9822930017097743E-3</v>
      </c>
      <c r="W43" s="100">
        <f t="shared" si="11"/>
        <v>4.6548620011398496E-3</v>
      </c>
    </row>
    <row r="44" spans="2:23">
      <c r="B44" s="96">
        <f>Amnt_Deposited!B39</f>
        <v>2025</v>
      </c>
      <c r="C44" s="99">
        <f>Amnt_Deposited!H39</f>
        <v>0</v>
      </c>
      <c r="D44" s="418">
        <f>Dry_Matter_Content!H31</f>
        <v>0.73</v>
      </c>
      <c r="E44" s="284">
        <f>MCF!R43</f>
        <v>1</v>
      </c>
      <c r="F44" s="67">
        <f t="shared" si="0"/>
        <v>0</v>
      </c>
      <c r="G44" s="67">
        <f t="shared" si="1"/>
        <v>0</v>
      </c>
      <c r="H44" s="67">
        <f t="shared" si="2"/>
        <v>0</v>
      </c>
      <c r="I44" s="67">
        <f t="shared" si="3"/>
        <v>1.3655011388592332E-3</v>
      </c>
      <c r="J44" s="67">
        <f t="shared" si="4"/>
        <v>9.9010004079244228E-5</v>
      </c>
      <c r="K44" s="100">
        <f t="shared" si="6"/>
        <v>6.600666938616281E-5</v>
      </c>
      <c r="O44" s="96">
        <f>Amnt_Deposited!B39</f>
        <v>2025</v>
      </c>
      <c r="P44" s="99">
        <f>Amnt_Deposited!H39</f>
        <v>0</v>
      </c>
      <c r="Q44" s="284">
        <f>MCF!R43</f>
        <v>1</v>
      </c>
      <c r="R44" s="67">
        <f t="shared" si="5"/>
        <v>0</v>
      </c>
      <c r="S44" s="67">
        <f t="shared" si="7"/>
        <v>0</v>
      </c>
      <c r="T44" s="67">
        <f t="shared" si="8"/>
        <v>0</v>
      </c>
      <c r="U44" s="67">
        <f t="shared" si="9"/>
        <v>8.9786376253757835E-2</v>
      </c>
      <c r="V44" s="67">
        <f t="shared" si="10"/>
        <v>6.5102468435667468E-3</v>
      </c>
      <c r="W44" s="100">
        <f t="shared" si="11"/>
        <v>4.3401645623778306E-3</v>
      </c>
    </row>
    <row r="45" spans="2:23">
      <c r="B45" s="96">
        <f>Amnt_Deposited!B40</f>
        <v>2026</v>
      </c>
      <c r="C45" s="99">
        <f>Amnt_Deposited!H40</f>
        <v>0</v>
      </c>
      <c r="D45" s="418">
        <f>Dry_Matter_Content!H32</f>
        <v>0.73</v>
      </c>
      <c r="E45" s="284">
        <f>MCF!R44</f>
        <v>1</v>
      </c>
      <c r="F45" s="67">
        <f t="shared" si="0"/>
        <v>0</v>
      </c>
      <c r="G45" s="67">
        <f t="shared" si="1"/>
        <v>0</v>
      </c>
      <c r="H45" s="67">
        <f t="shared" si="2"/>
        <v>0</v>
      </c>
      <c r="I45" s="67">
        <f t="shared" si="3"/>
        <v>1.2731848229468831E-3</v>
      </c>
      <c r="J45" s="67">
        <f t="shared" si="4"/>
        <v>9.231631591235006E-5</v>
      </c>
      <c r="K45" s="100">
        <f t="shared" si="6"/>
        <v>6.1544210608233373E-5</v>
      </c>
      <c r="O45" s="96">
        <f>Amnt_Deposited!B40</f>
        <v>2026</v>
      </c>
      <c r="P45" s="99">
        <f>Amnt_Deposited!H40</f>
        <v>0</v>
      </c>
      <c r="Q45" s="284">
        <f>MCF!R44</f>
        <v>1</v>
      </c>
      <c r="R45" s="67">
        <f t="shared" si="5"/>
        <v>0</v>
      </c>
      <c r="S45" s="67">
        <f t="shared" si="7"/>
        <v>0</v>
      </c>
      <c r="T45" s="67">
        <f t="shared" si="8"/>
        <v>0</v>
      </c>
      <c r="U45" s="67">
        <f t="shared" si="9"/>
        <v>8.3716262330753993E-2</v>
      </c>
      <c r="V45" s="67">
        <f t="shared" si="10"/>
        <v>6.070113923003842E-3</v>
      </c>
      <c r="W45" s="100">
        <f t="shared" si="11"/>
        <v>4.0467426153358941E-3</v>
      </c>
    </row>
    <row r="46" spans="2:23">
      <c r="B46" s="96">
        <f>Amnt_Deposited!B41</f>
        <v>2027</v>
      </c>
      <c r="C46" s="99">
        <f>Amnt_Deposited!H41</f>
        <v>0</v>
      </c>
      <c r="D46" s="418">
        <f>Dry_Matter_Content!H33</f>
        <v>0.73</v>
      </c>
      <c r="E46" s="284">
        <f>MCF!R45</f>
        <v>1</v>
      </c>
      <c r="F46" s="67">
        <f t="shared" si="0"/>
        <v>0</v>
      </c>
      <c r="G46" s="67">
        <f t="shared" si="1"/>
        <v>0</v>
      </c>
      <c r="H46" s="67">
        <f t="shared" si="2"/>
        <v>0</v>
      </c>
      <c r="I46" s="67">
        <f t="shared" si="3"/>
        <v>1.1871096605137227E-3</v>
      </c>
      <c r="J46" s="67">
        <f t="shared" si="4"/>
        <v>8.6075162433160338E-5</v>
      </c>
      <c r="K46" s="100">
        <f t="shared" si="6"/>
        <v>5.7383441622106888E-5</v>
      </c>
      <c r="O46" s="96">
        <f>Amnt_Deposited!B41</f>
        <v>2027</v>
      </c>
      <c r="P46" s="99">
        <f>Amnt_Deposited!H41</f>
        <v>0</v>
      </c>
      <c r="Q46" s="284">
        <f>MCF!R45</f>
        <v>1</v>
      </c>
      <c r="R46" s="67">
        <f t="shared" si="5"/>
        <v>0</v>
      </c>
      <c r="S46" s="67">
        <f t="shared" si="7"/>
        <v>0</v>
      </c>
      <c r="T46" s="67">
        <f t="shared" si="8"/>
        <v>0</v>
      </c>
      <c r="U46" s="67">
        <f t="shared" si="9"/>
        <v>7.8056525622820158E-2</v>
      </c>
      <c r="V46" s="67">
        <f t="shared" si="10"/>
        <v>5.6597367079338334E-3</v>
      </c>
      <c r="W46" s="100">
        <f t="shared" si="11"/>
        <v>3.7731578052892221E-3</v>
      </c>
    </row>
    <row r="47" spans="2:23">
      <c r="B47" s="96">
        <f>Amnt_Deposited!B42</f>
        <v>2028</v>
      </c>
      <c r="C47" s="99">
        <f>Amnt_Deposited!H42</f>
        <v>0</v>
      </c>
      <c r="D47" s="418">
        <f>Dry_Matter_Content!H34</f>
        <v>0.73</v>
      </c>
      <c r="E47" s="284">
        <f>MCF!R46</f>
        <v>1</v>
      </c>
      <c r="F47" s="67">
        <f t="shared" si="0"/>
        <v>0</v>
      </c>
      <c r="G47" s="67">
        <f t="shared" si="1"/>
        <v>0</v>
      </c>
      <c r="H47" s="67">
        <f t="shared" si="2"/>
        <v>0</v>
      </c>
      <c r="I47" s="67">
        <f t="shared" si="3"/>
        <v>1.1068537110136435E-3</v>
      </c>
      <c r="J47" s="67">
        <f t="shared" si="4"/>
        <v>8.0255949500079347E-5</v>
      </c>
      <c r="K47" s="100">
        <f t="shared" si="6"/>
        <v>5.3503966333386227E-5</v>
      </c>
      <c r="O47" s="96">
        <f>Amnt_Deposited!B42</f>
        <v>2028</v>
      </c>
      <c r="P47" s="99">
        <f>Amnt_Deposited!H42</f>
        <v>0</v>
      </c>
      <c r="Q47" s="284">
        <f>MCF!R46</f>
        <v>1</v>
      </c>
      <c r="R47" s="67">
        <f t="shared" si="5"/>
        <v>0</v>
      </c>
      <c r="S47" s="67">
        <f t="shared" si="7"/>
        <v>0</v>
      </c>
      <c r="T47" s="67">
        <f t="shared" si="8"/>
        <v>0</v>
      </c>
      <c r="U47" s="67">
        <f t="shared" si="9"/>
        <v>7.2779422094047821E-2</v>
      </c>
      <c r="V47" s="67">
        <f t="shared" si="10"/>
        <v>5.2771035287723428E-3</v>
      </c>
      <c r="W47" s="100">
        <f t="shared" si="11"/>
        <v>3.5180690191815617E-3</v>
      </c>
    </row>
    <row r="48" spans="2:23">
      <c r="B48" s="96">
        <f>Amnt_Deposited!B43</f>
        <v>2029</v>
      </c>
      <c r="C48" s="99">
        <f>Amnt_Deposited!H43</f>
        <v>0</v>
      </c>
      <c r="D48" s="418">
        <f>Dry_Matter_Content!H35</f>
        <v>0.73</v>
      </c>
      <c r="E48" s="284">
        <f>MCF!R47</f>
        <v>1</v>
      </c>
      <c r="F48" s="67">
        <f t="shared" si="0"/>
        <v>0</v>
      </c>
      <c r="G48" s="67">
        <f t="shared" si="1"/>
        <v>0</v>
      </c>
      <c r="H48" s="67">
        <f t="shared" si="2"/>
        <v>0</v>
      </c>
      <c r="I48" s="67">
        <f t="shared" si="3"/>
        <v>1.0320235596890856E-3</v>
      </c>
      <c r="J48" s="67">
        <f t="shared" si="4"/>
        <v>7.4830151324557865E-5</v>
      </c>
      <c r="K48" s="100">
        <f t="shared" si="6"/>
        <v>4.9886767549705241E-5</v>
      </c>
      <c r="O48" s="96">
        <f>Amnt_Deposited!B43</f>
        <v>2029</v>
      </c>
      <c r="P48" s="99">
        <f>Amnt_Deposited!H43</f>
        <v>0</v>
      </c>
      <c r="Q48" s="284">
        <f>MCF!R47</f>
        <v>1</v>
      </c>
      <c r="R48" s="67">
        <f t="shared" si="5"/>
        <v>0</v>
      </c>
      <c r="S48" s="67">
        <f t="shared" si="7"/>
        <v>0</v>
      </c>
      <c r="T48" s="67">
        <f t="shared" si="8"/>
        <v>0</v>
      </c>
      <c r="U48" s="67">
        <f t="shared" si="9"/>
        <v>6.785908337681662E-2</v>
      </c>
      <c r="V48" s="67">
        <f t="shared" si="10"/>
        <v>4.9203387172312039E-3</v>
      </c>
      <c r="W48" s="100">
        <f t="shared" si="11"/>
        <v>3.2802258114874691E-3</v>
      </c>
    </row>
    <row r="49" spans="2:23">
      <c r="B49" s="96">
        <f>Amnt_Deposited!B44</f>
        <v>2030</v>
      </c>
      <c r="C49" s="99">
        <f>Amnt_Deposited!H44</f>
        <v>0</v>
      </c>
      <c r="D49" s="418">
        <f>Dry_Matter_Content!H36</f>
        <v>0.73</v>
      </c>
      <c r="E49" s="284">
        <f>MCF!R48</f>
        <v>1</v>
      </c>
      <c r="F49" s="67">
        <f t="shared" si="0"/>
        <v>0</v>
      </c>
      <c r="G49" s="67">
        <f t="shared" si="1"/>
        <v>0</v>
      </c>
      <c r="H49" s="67">
        <f t="shared" si="2"/>
        <v>0</v>
      </c>
      <c r="I49" s="67">
        <f t="shared" si="3"/>
        <v>9.6225238905144094E-4</v>
      </c>
      <c r="J49" s="67">
        <f t="shared" si="4"/>
        <v>6.9771170637644659E-5</v>
      </c>
      <c r="K49" s="100">
        <f t="shared" si="6"/>
        <v>4.6514113758429768E-5</v>
      </c>
      <c r="O49" s="96">
        <f>Amnt_Deposited!B44</f>
        <v>2030</v>
      </c>
      <c r="P49" s="99">
        <f>Amnt_Deposited!H44</f>
        <v>0</v>
      </c>
      <c r="Q49" s="284">
        <f>MCF!R48</f>
        <v>1</v>
      </c>
      <c r="R49" s="67">
        <f t="shared" si="5"/>
        <v>0</v>
      </c>
      <c r="S49" s="67">
        <f t="shared" si="7"/>
        <v>0</v>
      </c>
      <c r="T49" s="67">
        <f t="shared" si="8"/>
        <v>0</v>
      </c>
      <c r="U49" s="67">
        <f t="shared" si="9"/>
        <v>6.3271389965026278E-2</v>
      </c>
      <c r="V49" s="67">
        <f t="shared" si="10"/>
        <v>4.5876934117903365E-3</v>
      </c>
      <c r="W49" s="100">
        <f t="shared" si="11"/>
        <v>3.0584622745268909E-3</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8.9719818074129767E-4</v>
      </c>
      <c r="J50" s="67">
        <f t="shared" si="4"/>
        <v>6.5054208310143241E-5</v>
      </c>
      <c r="K50" s="100">
        <f t="shared" si="6"/>
        <v>4.3369472206762161E-5</v>
      </c>
      <c r="O50" s="96">
        <f>Amnt_Deposited!B45</f>
        <v>2031</v>
      </c>
      <c r="P50" s="99">
        <f>Amnt_Deposited!H45</f>
        <v>0</v>
      </c>
      <c r="Q50" s="284">
        <f>MCF!R49</f>
        <v>1</v>
      </c>
      <c r="R50" s="67">
        <f t="shared" si="5"/>
        <v>0</v>
      </c>
      <c r="S50" s="67">
        <f t="shared" si="7"/>
        <v>0</v>
      </c>
      <c r="T50" s="67">
        <f t="shared" si="8"/>
        <v>0</v>
      </c>
      <c r="U50" s="67">
        <f t="shared" si="9"/>
        <v>5.8993852980249735E-2</v>
      </c>
      <c r="V50" s="67">
        <f t="shared" si="10"/>
        <v>4.2775369847765435E-3</v>
      </c>
      <c r="W50" s="100">
        <f t="shared" si="11"/>
        <v>2.851691323184362E-3</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8.3654203895404595E-4</v>
      </c>
      <c r="J51" s="67">
        <f t="shared" si="4"/>
        <v>6.0656141787251743E-5</v>
      </c>
      <c r="K51" s="100">
        <f t="shared" si="6"/>
        <v>4.0437427858167826E-5</v>
      </c>
      <c r="O51" s="96">
        <f>Amnt_Deposited!B46</f>
        <v>2032</v>
      </c>
      <c r="P51" s="99">
        <f>Amnt_Deposited!H46</f>
        <v>0</v>
      </c>
      <c r="Q51" s="284">
        <f>MCF!R50</f>
        <v>1</v>
      </c>
      <c r="R51" s="67">
        <f t="shared" ref="R51:R82" si="13">P51*$W$6*DOCF*Q51</f>
        <v>0</v>
      </c>
      <c r="S51" s="67">
        <f t="shared" si="7"/>
        <v>0</v>
      </c>
      <c r="T51" s="67">
        <f t="shared" si="8"/>
        <v>0</v>
      </c>
      <c r="U51" s="67">
        <f t="shared" si="9"/>
        <v>5.5005503931224962E-2</v>
      </c>
      <c r="V51" s="67">
        <f t="shared" si="10"/>
        <v>3.9883490490247734E-3</v>
      </c>
      <c r="W51" s="100">
        <f t="shared" si="11"/>
        <v>2.6588993660165154E-3</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7.7998662721227353E-4</v>
      </c>
      <c r="J52" s="67">
        <f t="shared" si="4"/>
        <v>5.6555411741772469E-5</v>
      </c>
      <c r="K52" s="100">
        <f t="shared" si="6"/>
        <v>3.770360782784831E-5</v>
      </c>
      <c r="O52" s="96">
        <f>Amnt_Deposited!B47</f>
        <v>2033</v>
      </c>
      <c r="P52" s="99">
        <f>Amnt_Deposited!H47</f>
        <v>0</v>
      </c>
      <c r="Q52" s="284">
        <f>MCF!R51</f>
        <v>1</v>
      </c>
      <c r="R52" s="67">
        <f t="shared" si="13"/>
        <v>0</v>
      </c>
      <c r="S52" s="67">
        <f t="shared" si="7"/>
        <v>0</v>
      </c>
      <c r="T52" s="67">
        <f t="shared" si="8"/>
        <v>0</v>
      </c>
      <c r="U52" s="67">
        <f t="shared" si="9"/>
        <v>5.1286791926286497E-2</v>
      </c>
      <c r="V52" s="67">
        <f t="shared" si="10"/>
        <v>3.7187120049384649E-3</v>
      </c>
      <c r="W52" s="100">
        <f t="shared" si="11"/>
        <v>2.479141336625643E-3</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7.2725471082200855E-4</v>
      </c>
      <c r="J53" s="67">
        <f t="shared" si="4"/>
        <v>5.2731916390264955E-5</v>
      </c>
      <c r="K53" s="100">
        <f t="shared" si="6"/>
        <v>3.5154610926843303E-5</v>
      </c>
      <c r="O53" s="96">
        <f>Amnt_Deposited!B48</f>
        <v>2034</v>
      </c>
      <c r="P53" s="99">
        <f>Amnt_Deposited!H48</f>
        <v>0</v>
      </c>
      <c r="Q53" s="284">
        <f>MCF!R52</f>
        <v>1</v>
      </c>
      <c r="R53" s="67">
        <f t="shared" si="13"/>
        <v>0</v>
      </c>
      <c r="S53" s="67">
        <f t="shared" si="7"/>
        <v>0</v>
      </c>
      <c r="T53" s="67">
        <f t="shared" si="8"/>
        <v>0</v>
      </c>
      <c r="U53" s="67">
        <f t="shared" si="9"/>
        <v>4.7819487834871811E-2</v>
      </c>
      <c r="V53" s="67">
        <f t="shared" si="10"/>
        <v>3.4673040914146832E-3</v>
      </c>
      <c r="W53" s="100">
        <f t="shared" si="11"/>
        <v>2.311536060943122E-3</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6.7808779786792837E-4</v>
      </c>
      <c r="J54" s="67">
        <f t="shared" si="4"/>
        <v>4.9166912954080217E-5</v>
      </c>
      <c r="K54" s="100">
        <f t="shared" si="6"/>
        <v>3.2777941969386811E-5</v>
      </c>
      <c r="O54" s="96">
        <f>Amnt_Deposited!B49</f>
        <v>2035</v>
      </c>
      <c r="P54" s="99">
        <f>Amnt_Deposited!H49</f>
        <v>0</v>
      </c>
      <c r="Q54" s="284">
        <f>MCF!R53</f>
        <v>1</v>
      </c>
      <c r="R54" s="67">
        <f t="shared" si="13"/>
        <v>0</v>
      </c>
      <c r="S54" s="67">
        <f t="shared" si="7"/>
        <v>0</v>
      </c>
      <c r="T54" s="67">
        <f t="shared" si="8"/>
        <v>0</v>
      </c>
      <c r="U54" s="67">
        <f t="shared" si="9"/>
        <v>4.4586594928302151E-2</v>
      </c>
      <c r="V54" s="67">
        <f t="shared" si="10"/>
        <v>3.2328929065696594E-3</v>
      </c>
      <c r="W54" s="100">
        <f t="shared" si="11"/>
        <v>2.1552619377131063E-3</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6.3224487208569024E-4</v>
      </c>
      <c r="J55" s="67">
        <f t="shared" si="4"/>
        <v>4.5842925782238108E-5</v>
      </c>
      <c r="K55" s="100">
        <f t="shared" si="6"/>
        <v>3.056195052149207E-5</v>
      </c>
      <c r="O55" s="96">
        <f>Amnt_Deposited!B50</f>
        <v>2036</v>
      </c>
      <c r="P55" s="99">
        <f>Amnt_Deposited!H50</f>
        <v>0</v>
      </c>
      <c r="Q55" s="284">
        <f>MCF!R54</f>
        <v>1</v>
      </c>
      <c r="R55" s="67">
        <f t="shared" si="13"/>
        <v>0</v>
      </c>
      <c r="S55" s="67">
        <f t="shared" si="7"/>
        <v>0</v>
      </c>
      <c r="T55" s="67">
        <f t="shared" si="8"/>
        <v>0</v>
      </c>
      <c r="U55" s="67">
        <f t="shared" si="9"/>
        <v>4.157226556179882E-2</v>
      </c>
      <c r="V55" s="67">
        <f t="shared" si="10"/>
        <v>3.0143293665033286E-3</v>
      </c>
      <c r="W55" s="100">
        <f t="shared" si="11"/>
        <v>2.0095529110022189E-3</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5.8950121139992435E-4</v>
      </c>
      <c r="J56" s="67">
        <f t="shared" si="4"/>
        <v>4.2743660685765869E-5</v>
      </c>
      <c r="K56" s="100">
        <f t="shared" si="6"/>
        <v>2.849577379051058E-5</v>
      </c>
      <c r="O56" s="96">
        <f>Amnt_Deposited!B51</f>
        <v>2037</v>
      </c>
      <c r="P56" s="99">
        <f>Amnt_Deposited!H51</f>
        <v>0</v>
      </c>
      <c r="Q56" s="284">
        <f>MCF!R55</f>
        <v>1</v>
      </c>
      <c r="R56" s="67">
        <f t="shared" si="13"/>
        <v>0</v>
      </c>
      <c r="S56" s="67">
        <f t="shared" si="7"/>
        <v>0</v>
      </c>
      <c r="T56" s="67">
        <f t="shared" si="8"/>
        <v>0</v>
      </c>
      <c r="U56" s="67">
        <f t="shared" si="9"/>
        <v>3.8761723489310104E-2</v>
      </c>
      <c r="V56" s="67">
        <f t="shared" si="10"/>
        <v>2.8105420724887156E-3</v>
      </c>
      <c r="W56" s="100">
        <f t="shared" si="11"/>
        <v>1.8736947149924771E-3</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5.4964728633635936E-4</v>
      </c>
      <c r="J57" s="67">
        <f t="shared" si="4"/>
        <v>3.9853925063564947E-5</v>
      </c>
      <c r="K57" s="100">
        <f t="shared" si="6"/>
        <v>2.6569283375709965E-5</v>
      </c>
      <c r="O57" s="96">
        <f>Amnt_Deposited!B52</f>
        <v>2038</v>
      </c>
      <c r="P57" s="99">
        <f>Amnt_Deposited!H52</f>
        <v>0</v>
      </c>
      <c r="Q57" s="284">
        <f>MCF!R56</f>
        <v>1</v>
      </c>
      <c r="R57" s="67">
        <f t="shared" si="13"/>
        <v>0</v>
      </c>
      <c r="S57" s="67">
        <f t="shared" si="7"/>
        <v>0</v>
      </c>
      <c r="T57" s="67">
        <f t="shared" si="8"/>
        <v>0</v>
      </c>
      <c r="U57" s="67">
        <f t="shared" si="9"/>
        <v>3.6141191430335971E-2</v>
      </c>
      <c r="V57" s="67">
        <f t="shared" si="10"/>
        <v>2.6205320589741338E-3</v>
      </c>
      <c r="W57" s="100">
        <f t="shared" si="11"/>
        <v>1.7470213726494225E-3</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5.1248773290809668E-4</v>
      </c>
      <c r="J58" s="67">
        <f t="shared" si="4"/>
        <v>3.7159553428262725E-5</v>
      </c>
      <c r="K58" s="100">
        <f t="shared" si="6"/>
        <v>2.4773035618841814E-5</v>
      </c>
      <c r="O58" s="96">
        <f>Amnt_Deposited!B53</f>
        <v>2039</v>
      </c>
      <c r="P58" s="99">
        <f>Amnt_Deposited!H53</f>
        <v>0</v>
      </c>
      <c r="Q58" s="284">
        <f>MCF!R57</f>
        <v>1</v>
      </c>
      <c r="R58" s="67">
        <f t="shared" si="13"/>
        <v>0</v>
      </c>
      <c r="S58" s="67">
        <f t="shared" si="7"/>
        <v>0</v>
      </c>
      <c r="T58" s="67">
        <f t="shared" si="8"/>
        <v>0</v>
      </c>
      <c r="U58" s="67">
        <f t="shared" si="9"/>
        <v>3.3697823533683079E-2</v>
      </c>
      <c r="V58" s="67">
        <f t="shared" si="10"/>
        <v>2.4433678966528927E-3</v>
      </c>
      <c r="W58" s="100">
        <f t="shared" si="11"/>
        <v>1.6289119311019284E-3</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4.7784039494111962E-4</v>
      </c>
      <c r="J59" s="67">
        <f t="shared" si="4"/>
        <v>3.4647337966977065E-5</v>
      </c>
      <c r="K59" s="100">
        <f t="shared" si="6"/>
        <v>2.3098225311318042E-5</v>
      </c>
      <c r="O59" s="96">
        <f>Amnt_Deposited!B54</f>
        <v>2040</v>
      </c>
      <c r="P59" s="99">
        <f>Amnt_Deposited!H54</f>
        <v>0</v>
      </c>
      <c r="Q59" s="284">
        <f>MCF!R58</f>
        <v>1</v>
      </c>
      <c r="R59" s="67">
        <f t="shared" si="13"/>
        <v>0</v>
      </c>
      <c r="S59" s="67">
        <f t="shared" si="7"/>
        <v>0</v>
      </c>
      <c r="T59" s="67">
        <f t="shared" si="8"/>
        <v>0</v>
      </c>
      <c r="U59" s="67">
        <f t="shared" si="9"/>
        <v>3.1419642407087327E-2</v>
      </c>
      <c r="V59" s="67">
        <f t="shared" si="10"/>
        <v>2.2781811265957528E-3</v>
      </c>
      <c r="W59" s="100">
        <f t="shared" si="11"/>
        <v>1.5187874177305018E-3</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4.4553543114451749E-4</v>
      </c>
      <c r="J60" s="67">
        <f t="shared" si="4"/>
        <v>3.2304963796602139E-5</v>
      </c>
      <c r="K60" s="100">
        <f t="shared" si="6"/>
        <v>2.153664253106809E-5</v>
      </c>
      <c r="O60" s="96">
        <f>Amnt_Deposited!B55</f>
        <v>2041</v>
      </c>
      <c r="P60" s="99">
        <f>Amnt_Deposited!H55</f>
        <v>0</v>
      </c>
      <c r="Q60" s="284">
        <f>MCF!R59</f>
        <v>1</v>
      </c>
      <c r="R60" s="67">
        <f t="shared" si="13"/>
        <v>0</v>
      </c>
      <c r="S60" s="67">
        <f t="shared" si="7"/>
        <v>0</v>
      </c>
      <c r="T60" s="67">
        <f t="shared" si="8"/>
        <v>0</v>
      </c>
      <c r="U60" s="67">
        <f t="shared" si="9"/>
        <v>2.9295480404023078E-2</v>
      </c>
      <c r="V60" s="67">
        <f t="shared" si="10"/>
        <v>2.1241620030642509E-3</v>
      </c>
      <c r="W60" s="100">
        <f t="shared" si="11"/>
        <v>1.4161080020428339E-3</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4.1541448254828027E-4</v>
      </c>
      <c r="J61" s="67">
        <f t="shared" si="4"/>
        <v>3.0120948596237231E-5</v>
      </c>
      <c r="K61" s="100">
        <f t="shared" si="6"/>
        <v>2.0080632397491488E-5</v>
      </c>
      <c r="O61" s="96">
        <f>Amnt_Deposited!B56</f>
        <v>2042</v>
      </c>
      <c r="P61" s="99">
        <f>Amnt_Deposited!H56</f>
        <v>0</v>
      </c>
      <c r="Q61" s="284">
        <f>MCF!R60</f>
        <v>1</v>
      </c>
      <c r="R61" s="67">
        <f t="shared" si="13"/>
        <v>0</v>
      </c>
      <c r="S61" s="67">
        <f t="shared" si="7"/>
        <v>0</v>
      </c>
      <c r="T61" s="67">
        <f t="shared" si="8"/>
        <v>0</v>
      </c>
      <c r="U61" s="67">
        <f t="shared" si="9"/>
        <v>2.7314924879886932E-2</v>
      </c>
      <c r="V61" s="67">
        <f t="shared" si="10"/>
        <v>1.9805555241361474E-3</v>
      </c>
      <c r="W61" s="100">
        <f t="shared" si="11"/>
        <v>1.3203703494240981E-3</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3.8732989622744393E-4</v>
      </c>
      <c r="J62" s="67">
        <f t="shared" si="4"/>
        <v>2.8084586320836345E-5</v>
      </c>
      <c r="K62" s="100">
        <f t="shared" si="6"/>
        <v>1.8723057547224229E-5</v>
      </c>
      <c r="O62" s="96">
        <f>Amnt_Deposited!B57</f>
        <v>2043</v>
      </c>
      <c r="P62" s="99">
        <f>Amnt_Deposited!H57</f>
        <v>0</v>
      </c>
      <c r="Q62" s="284">
        <f>MCF!R61</f>
        <v>1</v>
      </c>
      <c r="R62" s="67">
        <f t="shared" si="13"/>
        <v>0</v>
      </c>
      <c r="S62" s="67">
        <f t="shared" si="7"/>
        <v>0</v>
      </c>
      <c r="T62" s="67">
        <f t="shared" si="8"/>
        <v>0</v>
      </c>
      <c r="U62" s="67">
        <f t="shared" si="9"/>
        <v>2.5468267149201803E-2</v>
      </c>
      <c r="V62" s="67">
        <f t="shared" si="10"/>
        <v>1.8466577306851301E-3</v>
      </c>
      <c r="W62" s="100">
        <f t="shared" si="11"/>
        <v>1.2311051537900867E-3</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3.6114400150728099E-4</v>
      </c>
      <c r="J63" s="67">
        <f t="shared" si="4"/>
        <v>2.6185894720162943E-5</v>
      </c>
      <c r="K63" s="100">
        <f t="shared" si="6"/>
        <v>1.7457263146775294E-5</v>
      </c>
      <c r="O63" s="96">
        <f>Amnt_Deposited!B58</f>
        <v>2044</v>
      </c>
      <c r="P63" s="99">
        <f>Amnt_Deposited!H58</f>
        <v>0</v>
      </c>
      <c r="Q63" s="284">
        <f>MCF!R62</f>
        <v>1</v>
      </c>
      <c r="R63" s="67">
        <f t="shared" si="13"/>
        <v>0</v>
      </c>
      <c r="S63" s="67">
        <f t="shared" si="7"/>
        <v>0</v>
      </c>
      <c r="T63" s="67">
        <f t="shared" si="8"/>
        <v>0</v>
      </c>
      <c r="U63" s="67">
        <f t="shared" si="9"/>
        <v>2.3746454893629445E-2</v>
      </c>
      <c r="V63" s="67">
        <f t="shared" si="10"/>
        <v>1.7218122555723585E-3</v>
      </c>
      <c r="W63" s="100">
        <f t="shared" si="11"/>
        <v>1.147874837048239E-3</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3.3672843510149325E-4</v>
      </c>
      <c r="J64" s="67">
        <f t="shared" si="4"/>
        <v>2.4415566405787726E-5</v>
      </c>
      <c r="K64" s="100">
        <f t="shared" si="6"/>
        <v>1.6277044270525149E-5</v>
      </c>
      <c r="O64" s="96">
        <f>Amnt_Deposited!B59</f>
        <v>2045</v>
      </c>
      <c r="P64" s="99">
        <f>Amnt_Deposited!H59</f>
        <v>0</v>
      </c>
      <c r="Q64" s="284">
        <f>MCF!R63</f>
        <v>1</v>
      </c>
      <c r="R64" s="67">
        <f t="shared" si="13"/>
        <v>0</v>
      </c>
      <c r="S64" s="67">
        <f t="shared" si="7"/>
        <v>0</v>
      </c>
      <c r="T64" s="67">
        <f t="shared" si="8"/>
        <v>0</v>
      </c>
      <c r="U64" s="67">
        <f t="shared" si="9"/>
        <v>2.2141047787495458E-2</v>
      </c>
      <c r="V64" s="67">
        <f t="shared" si="10"/>
        <v>1.6054071061339882E-3</v>
      </c>
      <c r="W64" s="100">
        <f t="shared" si="11"/>
        <v>1.0702714040893254E-3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3.139635118752335E-4</v>
      </c>
      <c r="J65" s="67">
        <f t="shared" si="4"/>
        <v>2.2764923226259762E-5</v>
      </c>
      <c r="K65" s="100">
        <f t="shared" si="6"/>
        <v>1.5176615484173175E-5</v>
      </c>
      <c r="O65" s="96">
        <f>Amnt_Deposited!B60</f>
        <v>2046</v>
      </c>
      <c r="P65" s="99">
        <f>Amnt_Deposited!H60</f>
        <v>0</v>
      </c>
      <c r="Q65" s="284">
        <f>MCF!R64</f>
        <v>1</v>
      </c>
      <c r="R65" s="67">
        <f t="shared" si="13"/>
        <v>0</v>
      </c>
      <c r="S65" s="67">
        <f t="shared" si="7"/>
        <v>0</v>
      </c>
      <c r="T65" s="67">
        <f t="shared" si="8"/>
        <v>0</v>
      </c>
      <c r="U65" s="67">
        <f t="shared" si="9"/>
        <v>2.0644176123303035E-2</v>
      </c>
      <c r="V65" s="67">
        <f t="shared" si="10"/>
        <v>1.4968716641924234E-3</v>
      </c>
      <c r="W65" s="100">
        <f t="shared" si="11"/>
        <v>9.9791444279494885E-4</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2.9273763814843552E-4</v>
      </c>
      <c r="J66" s="67">
        <f t="shared" si="4"/>
        <v>2.1225873726797985E-5</v>
      </c>
      <c r="K66" s="100">
        <f t="shared" si="6"/>
        <v>1.4150582484531989E-5</v>
      </c>
      <c r="O66" s="96">
        <f>Amnt_Deposited!B61</f>
        <v>2047</v>
      </c>
      <c r="P66" s="99">
        <f>Amnt_Deposited!H61</f>
        <v>0</v>
      </c>
      <c r="Q66" s="284">
        <f>MCF!R65</f>
        <v>1</v>
      </c>
      <c r="R66" s="67">
        <f t="shared" si="13"/>
        <v>0</v>
      </c>
      <c r="S66" s="67">
        <f t="shared" si="7"/>
        <v>0</v>
      </c>
      <c r="T66" s="67">
        <f t="shared" si="8"/>
        <v>0</v>
      </c>
      <c r="U66" s="67">
        <f t="shared" si="9"/>
        <v>1.9248502234417687E-2</v>
      </c>
      <c r="V66" s="67">
        <f t="shared" si="10"/>
        <v>1.3956738888853475E-3</v>
      </c>
      <c r="W66" s="100">
        <f t="shared" si="11"/>
        <v>9.3044925925689836E-4</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2.7294676466346502E-4</v>
      </c>
      <c r="J67" s="67">
        <f t="shared" si="4"/>
        <v>1.9790873484970479E-5</v>
      </c>
      <c r="K67" s="100">
        <f t="shared" si="6"/>
        <v>1.3193915656646985E-5</v>
      </c>
      <c r="O67" s="96">
        <f>Amnt_Deposited!B62</f>
        <v>2048</v>
      </c>
      <c r="P67" s="99">
        <f>Amnt_Deposited!H62</f>
        <v>0</v>
      </c>
      <c r="Q67" s="284">
        <f>MCF!R66</f>
        <v>1</v>
      </c>
      <c r="R67" s="67">
        <f t="shared" si="13"/>
        <v>0</v>
      </c>
      <c r="S67" s="67">
        <f t="shared" si="7"/>
        <v>0</v>
      </c>
      <c r="T67" s="67">
        <f t="shared" si="8"/>
        <v>0</v>
      </c>
      <c r="U67" s="67">
        <f t="shared" si="9"/>
        <v>1.7947184525816888E-2</v>
      </c>
      <c r="V67" s="67">
        <f t="shared" si="10"/>
        <v>1.3013177086007993E-3</v>
      </c>
      <c r="W67" s="100">
        <f t="shared" si="11"/>
        <v>8.6754513906719954E-4</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2.5449387653553806E-4</v>
      </c>
      <c r="J68" s="67">
        <f t="shared" si="4"/>
        <v>1.8452888127926971E-5</v>
      </c>
      <c r="K68" s="100">
        <f t="shared" si="6"/>
        <v>1.230192541861798E-5</v>
      </c>
      <c r="O68" s="96">
        <f>Amnt_Deposited!B63</f>
        <v>2049</v>
      </c>
      <c r="P68" s="99">
        <f>Amnt_Deposited!H63</f>
        <v>0</v>
      </c>
      <c r="Q68" s="284">
        <f>MCF!R67</f>
        <v>1</v>
      </c>
      <c r="R68" s="67">
        <f t="shared" si="13"/>
        <v>0</v>
      </c>
      <c r="S68" s="67">
        <f t="shared" si="7"/>
        <v>0</v>
      </c>
      <c r="T68" s="67">
        <f t="shared" si="8"/>
        <v>0</v>
      </c>
      <c r="U68" s="67">
        <f t="shared" si="9"/>
        <v>1.6733843936583333E-2</v>
      </c>
      <c r="V68" s="67">
        <f t="shared" si="10"/>
        <v>1.2133405892335548E-3</v>
      </c>
      <c r="W68" s="100">
        <f t="shared" si="11"/>
        <v>8.0889372615570315E-4</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2.372885176856431E-4</v>
      </c>
      <c r="J69" s="67">
        <f t="shared" si="4"/>
        <v>1.7205358849894951E-5</v>
      </c>
      <c r="K69" s="100">
        <f t="shared" si="6"/>
        <v>1.14702392332633E-5</v>
      </c>
      <c r="O69" s="96">
        <f>Amnt_Deposited!B64</f>
        <v>2050</v>
      </c>
      <c r="P69" s="99">
        <f>Amnt_Deposited!H64</f>
        <v>0</v>
      </c>
      <c r="Q69" s="284">
        <f>MCF!R68</f>
        <v>1</v>
      </c>
      <c r="R69" s="67">
        <f t="shared" si="13"/>
        <v>0</v>
      </c>
      <c r="S69" s="67">
        <f t="shared" si="7"/>
        <v>0</v>
      </c>
      <c r="T69" s="67">
        <f t="shared" si="8"/>
        <v>0</v>
      </c>
      <c r="U69" s="67">
        <f t="shared" si="9"/>
        <v>1.5602532669740925E-2</v>
      </c>
      <c r="V69" s="67">
        <f t="shared" si="10"/>
        <v>1.1313112668424083E-3</v>
      </c>
      <c r="W69" s="100">
        <f t="shared" si="11"/>
        <v>7.5420751122827218E-4</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2.2124634742473693E-4</v>
      </c>
      <c r="J70" s="67">
        <f t="shared" si="4"/>
        <v>1.6042170260906166E-5</v>
      </c>
      <c r="K70" s="100">
        <f t="shared" si="6"/>
        <v>1.0694780173937443E-5</v>
      </c>
      <c r="O70" s="96">
        <f>Amnt_Deposited!B65</f>
        <v>2051</v>
      </c>
      <c r="P70" s="99">
        <f>Amnt_Deposited!H65</f>
        <v>0</v>
      </c>
      <c r="Q70" s="284">
        <f>MCF!R69</f>
        <v>1</v>
      </c>
      <c r="R70" s="67">
        <f t="shared" si="13"/>
        <v>0</v>
      </c>
      <c r="S70" s="67">
        <f t="shared" si="7"/>
        <v>0</v>
      </c>
      <c r="T70" s="67">
        <f t="shared" si="8"/>
        <v>0</v>
      </c>
      <c r="U70" s="67">
        <f t="shared" si="9"/>
        <v>1.4547705036147093E-2</v>
      </c>
      <c r="V70" s="67">
        <f t="shared" si="10"/>
        <v>1.0548276335938305E-3</v>
      </c>
      <c r="W70" s="100">
        <f t="shared" si="11"/>
        <v>7.0321842239588696E-4</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2.0628872701558903E-4</v>
      </c>
      <c r="J71" s="67">
        <f t="shared" si="4"/>
        <v>1.4957620409147902E-5</v>
      </c>
      <c r="K71" s="100">
        <f t="shared" si="6"/>
        <v>9.9717469394319333E-6</v>
      </c>
      <c r="O71" s="96">
        <f>Amnt_Deposited!B66</f>
        <v>2052</v>
      </c>
      <c r="P71" s="99">
        <f>Amnt_Deposited!H66</f>
        <v>0</v>
      </c>
      <c r="Q71" s="284">
        <f>MCF!R70</f>
        <v>1</v>
      </c>
      <c r="R71" s="67">
        <f t="shared" si="13"/>
        <v>0</v>
      </c>
      <c r="S71" s="67">
        <f t="shared" si="7"/>
        <v>0</v>
      </c>
      <c r="T71" s="67">
        <f t="shared" si="8"/>
        <v>0</v>
      </c>
      <c r="U71" s="67">
        <f t="shared" si="9"/>
        <v>1.3564190269518189E-2</v>
      </c>
      <c r="V71" s="67">
        <f t="shared" si="10"/>
        <v>9.8351476662890359E-4</v>
      </c>
      <c r="W71" s="100">
        <f t="shared" si="11"/>
        <v>6.5567651108593573E-4</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1.9234233418560044E-4</v>
      </c>
      <c r="J72" s="67">
        <f t="shared" si="4"/>
        <v>1.3946392829988587E-5</v>
      </c>
      <c r="K72" s="100">
        <f t="shared" si="6"/>
        <v>9.29759521999239E-6</v>
      </c>
      <c r="O72" s="96">
        <f>Amnt_Deposited!B67</f>
        <v>2053</v>
      </c>
      <c r="P72" s="99">
        <f>Amnt_Deposited!H67</f>
        <v>0</v>
      </c>
      <c r="Q72" s="284">
        <f>MCF!R71</f>
        <v>1</v>
      </c>
      <c r="R72" s="67">
        <f t="shared" si="13"/>
        <v>0</v>
      </c>
      <c r="S72" s="67">
        <f t="shared" si="7"/>
        <v>0</v>
      </c>
      <c r="T72" s="67">
        <f t="shared" si="8"/>
        <v>0</v>
      </c>
      <c r="U72" s="67">
        <f t="shared" si="9"/>
        <v>1.2647167179327158E-2</v>
      </c>
      <c r="V72" s="67">
        <f t="shared" si="10"/>
        <v>9.1702309019103074E-4</v>
      </c>
      <c r="W72" s="100">
        <f t="shared" si="11"/>
        <v>6.1134872679402042E-4</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1.7933880370093845E-4</v>
      </c>
      <c r="J73" s="67">
        <f t="shared" si="4"/>
        <v>1.3003530484661985E-5</v>
      </c>
      <c r="K73" s="100">
        <f t="shared" si="6"/>
        <v>8.6690203231079896E-6</v>
      </c>
      <c r="O73" s="96">
        <f>Amnt_Deposited!B68</f>
        <v>2054</v>
      </c>
      <c r="P73" s="99">
        <f>Amnt_Deposited!H68</f>
        <v>0</v>
      </c>
      <c r="Q73" s="284">
        <f>MCF!R72</f>
        <v>1</v>
      </c>
      <c r="R73" s="67">
        <f t="shared" si="13"/>
        <v>0</v>
      </c>
      <c r="S73" s="67">
        <f t="shared" si="7"/>
        <v>0</v>
      </c>
      <c r="T73" s="67">
        <f t="shared" si="8"/>
        <v>0</v>
      </c>
      <c r="U73" s="67">
        <f t="shared" si="9"/>
        <v>1.1792140517321987E-2</v>
      </c>
      <c r="V73" s="67">
        <f t="shared" si="10"/>
        <v>8.5502666200517208E-4</v>
      </c>
      <c r="W73" s="100">
        <f t="shared" si="11"/>
        <v>5.7001777467011465E-4</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1.6721439224008102E-4</v>
      </c>
      <c r="J74" s="67">
        <f t="shared" si="4"/>
        <v>1.2124411460857435E-5</v>
      </c>
      <c r="K74" s="100">
        <f t="shared" si="6"/>
        <v>8.0829409739049569E-6</v>
      </c>
      <c r="O74" s="96">
        <f>Amnt_Deposited!B69</f>
        <v>2055</v>
      </c>
      <c r="P74" s="99">
        <f>Amnt_Deposited!H69</f>
        <v>0</v>
      </c>
      <c r="Q74" s="284">
        <f>MCF!R73</f>
        <v>1</v>
      </c>
      <c r="R74" s="67">
        <f t="shared" si="13"/>
        <v>0</v>
      </c>
      <c r="S74" s="67">
        <f t="shared" si="7"/>
        <v>0</v>
      </c>
      <c r="T74" s="67">
        <f t="shared" si="8"/>
        <v>0</v>
      </c>
      <c r="U74" s="67">
        <f t="shared" si="9"/>
        <v>1.0994918941813552E-2</v>
      </c>
      <c r="V74" s="67">
        <f t="shared" si="10"/>
        <v>7.972215755084345E-4</v>
      </c>
      <c r="W74" s="100">
        <f t="shared" si="11"/>
        <v>5.314810503389563E-4</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1.559096659239807E-4</v>
      </c>
      <c r="J75" s="67">
        <f t="shared" si="4"/>
        <v>1.1304726316100322E-5</v>
      </c>
      <c r="K75" s="100">
        <f t="shared" si="6"/>
        <v>7.5364842107335482E-6</v>
      </c>
      <c r="O75" s="96">
        <f>Amnt_Deposited!B70</f>
        <v>2056</v>
      </c>
      <c r="P75" s="99">
        <f>Amnt_Deposited!H70</f>
        <v>0</v>
      </c>
      <c r="Q75" s="284">
        <f>MCF!R74</f>
        <v>1</v>
      </c>
      <c r="R75" s="67">
        <f t="shared" si="13"/>
        <v>0</v>
      </c>
      <c r="S75" s="67">
        <f t="shared" si="7"/>
        <v>0</v>
      </c>
      <c r="T75" s="67">
        <f t="shared" si="8"/>
        <v>0</v>
      </c>
      <c r="U75" s="67">
        <f t="shared" si="9"/>
        <v>1.0251594471713804E-2</v>
      </c>
      <c r="V75" s="67">
        <f t="shared" si="10"/>
        <v>7.4332447009974761E-4</v>
      </c>
      <c r="W75" s="100">
        <f t="shared" si="11"/>
        <v>4.9554964673316504E-4</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1.4536920897112061E-4</v>
      </c>
      <c r="J76" s="67">
        <f t="shared" si="4"/>
        <v>1.054045695286008E-5</v>
      </c>
      <c r="K76" s="100">
        <f t="shared" si="6"/>
        <v>7.0269713019067198E-6</v>
      </c>
      <c r="O76" s="96">
        <f>Amnt_Deposited!B71</f>
        <v>2057</v>
      </c>
      <c r="P76" s="99">
        <f>Amnt_Deposited!H71</f>
        <v>0</v>
      </c>
      <c r="Q76" s="284">
        <f>MCF!R75</f>
        <v>1</v>
      </c>
      <c r="R76" s="67">
        <f t="shared" si="13"/>
        <v>0</v>
      </c>
      <c r="S76" s="67">
        <f t="shared" si="7"/>
        <v>0</v>
      </c>
      <c r="T76" s="67">
        <f t="shared" si="8"/>
        <v>0</v>
      </c>
      <c r="U76" s="67">
        <f t="shared" si="9"/>
        <v>9.5585233296079358E-3</v>
      </c>
      <c r="V76" s="67">
        <f t="shared" si="10"/>
        <v>6.9307114210586849E-4</v>
      </c>
      <c r="W76" s="100">
        <f t="shared" si="11"/>
        <v>4.6204742807057897E-4</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1.355413520492892E-4</v>
      </c>
      <c r="J77" s="67">
        <f t="shared" si="4"/>
        <v>9.827856921831419E-6</v>
      </c>
      <c r="K77" s="100">
        <f t="shared" si="6"/>
        <v>6.5519046145542788E-6</v>
      </c>
      <c r="O77" s="96">
        <f>Amnt_Deposited!B72</f>
        <v>2058</v>
      </c>
      <c r="P77" s="99">
        <f>Amnt_Deposited!H72</f>
        <v>0</v>
      </c>
      <c r="Q77" s="284">
        <f>MCF!R76</f>
        <v>1</v>
      </c>
      <c r="R77" s="67">
        <f t="shared" si="13"/>
        <v>0</v>
      </c>
      <c r="S77" s="67">
        <f t="shared" si="7"/>
        <v>0</v>
      </c>
      <c r="T77" s="67">
        <f t="shared" si="8"/>
        <v>0</v>
      </c>
      <c r="U77" s="67">
        <f t="shared" si="9"/>
        <v>8.912308079953267E-3</v>
      </c>
      <c r="V77" s="67">
        <f t="shared" si="10"/>
        <v>6.4621524965466901E-4</v>
      </c>
      <c r="W77" s="100">
        <f t="shared" si="11"/>
        <v>4.3081016643644601E-4</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1.263779189924537E-4</v>
      </c>
      <c r="J78" s="67">
        <f t="shared" si="4"/>
        <v>9.1634330568355123E-6</v>
      </c>
      <c r="K78" s="100">
        <f t="shared" si="6"/>
        <v>6.1089553712236746E-6</v>
      </c>
      <c r="O78" s="96">
        <f>Amnt_Deposited!B73</f>
        <v>2059</v>
      </c>
      <c r="P78" s="99">
        <f>Amnt_Deposited!H73</f>
        <v>0</v>
      </c>
      <c r="Q78" s="284">
        <f>MCF!R77</f>
        <v>1</v>
      </c>
      <c r="R78" s="67">
        <f t="shared" si="13"/>
        <v>0</v>
      </c>
      <c r="S78" s="67">
        <f t="shared" si="7"/>
        <v>0</v>
      </c>
      <c r="T78" s="67">
        <f t="shared" si="8"/>
        <v>0</v>
      </c>
      <c r="U78" s="67">
        <f t="shared" si="9"/>
        <v>8.3097809748462741E-3</v>
      </c>
      <c r="V78" s="67">
        <f t="shared" si="10"/>
        <v>6.0252710510699293E-4</v>
      </c>
      <c r="W78" s="100">
        <f t="shared" si="11"/>
        <v>4.0168473673799529E-4</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1.178339906411384E-4</v>
      </c>
      <c r="J79" s="67">
        <f t="shared" si="4"/>
        <v>8.5439283513153051E-6</v>
      </c>
      <c r="K79" s="100">
        <f t="shared" si="6"/>
        <v>5.6959522342102034E-6</v>
      </c>
      <c r="O79" s="96">
        <f>Amnt_Deposited!B74</f>
        <v>2060</v>
      </c>
      <c r="P79" s="99">
        <f>Amnt_Deposited!H74</f>
        <v>0</v>
      </c>
      <c r="Q79" s="284">
        <f>MCF!R78</f>
        <v>1</v>
      </c>
      <c r="R79" s="67">
        <f t="shared" si="13"/>
        <v>0</v>
      </c>
      <c r="S79" s="67">
        <f t="shared" si="7"/>
        <v>0</v>
      </c>
      <c r="T79" s="67">
        <f t="shared" si="8"/>
        <v>0</v>
      </c>
      <c r="U79" s="67">
        <f t="shared" si="9"/>
        <v>7.747988425718692E-3</v>
      </c>
      <c r="V79" s="67">
        <f t="shared" si="10"/>
        <v>5.6179254912758192E-4</v>
      </c>
      <c r="W79" s="100">
        <f t="shared" si="11"/>
        <v>3.7452836608505458E-4</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1.0986768464865279E-4</v>
      </c>
      <c r="J80" s="67">
        <f t="shared" si="4"/>
        <v>7.9663059924856082E-6</v>
      </c>
      <c r="K80" s="100">
        <f t="shared" si="6"/>
        <v>5.3108706616570719E-6</v>
      </c>
      <c r="O80" s="96">
        <f>Amnt_Deposited!B75</f>
        <v>2061</v>
      </c>
      <c r="P80" s="99">
        <f>Amnt_Deposited!H75</f>
        <v>0</v>
      </c>
      <c r="Q80" s="284">
        <f>MCF!R79</f>
        <v>1</v>
      </c>
      <c r="R80" s="67">
        <f t="shared" si="13"/>
        <v>0</v>
      </c>
      <c r="S80" s="67">
        <f t="shared" si="7"/>
        <v>0</v>
      </c>
      <c r="T80" s="67">
        <f t="shared" si="8"/>
        <v>0</v>
      </c>
      <c r="U80" s="67">
        <f t="shared" si="9"/>
        <v>7.2241765248429258E-3</v>
      </c>
      <c r="V80" s="67">
        <f t="shared" si="10"/>
        <v>5.2381190087576624E-4</v>
      </c>
      <c r="W80" s="100">
        <f t="shared" si="11"/>
        <v>3.4920793391717746E-4</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1.0243995017377949E-4</v>
      </c>
      <c r="J81" s="67">
        <f t="shared" si="4"/>
        <v>7.4277344748733024E-6</v>
      </c>
      <c r="K81" s="100">
        <f t="shared" si="6"/>
        <v>4.9518229832488682E-6</v>
      </c>
      <c r="O81" s="96">
        <f>Amnt_Deposited!B76</f>
        <v>2062</v>
      </c>
      <c r="P81" s="99">
        <f>Amnt_Deposited!H76</f>
        <v>0</v>
      </c>
      <c r="Q81" s="284">
        <f>MCF!R80</f>
        <v>1</v>
      </c>
      <c r="R81" s="67">
        <f t="shared" si="13"/>
        <v>0</v>
      </c>
      <c r="S81" s="67">
        <f t="shared" si="7"/>
        <v>0</v>
      </c>
      <c r="T81" s="67">
        <f t="shared" si="8"/>
        <v>0</v>
      </c>
      <c r="U81" s="67">
        <f t="shared" si="9"/>
        <v>6.7357775456731743E-3</v>
      </c>
      <c r="V81" s="67">
        <f t="shared" si="10"/>
        <v>4.883989791697516E-4</v>
      </c>
      <c r="W81" s="100">
        <f t="shared" si="11"/>
        <v>3.2559931944650103E-4</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9.5514376453505271E-5</v>
      </c>
      <c r="J82" s="67">
        <f t="shared" si="4"/>
        <v>6.9255737202742216E-6</v>
      </c>
      <c r="K82" s="100">
        <f t="shared" si="6"/>
        <v>4.6170491468494811E-6</v>
      </c>
      <c r="O82" s="96">
        <f>Amnt_Deposited!B77</f>
        <v>2063</v>
      </c>
      <c r="P82" s="99">
        <f>Amnt_Deposited!H77</f>
        <v>0</v>
      </c>
      <c r="Q82" s="284">
        <f>MCF!R81</f>
        <v>1</v>
      </c>
      <c r="R82" s="67">
        <f t="shared" si="13"/>
        <v>0</v>
      </c>
      <c r="S82" s="67">
        <f t="shared" si="7"/>
        <v>0</v>
      </c>
      <c r="T82" s="67">
        <f t="shared" si="8"/>
        <v>0</v>
      </c>
      <c r="U82" s="67">
        <f t="shared" si="9"/>
        <v>6.280397355846924E-3</v>
      </c>
      <c r="V82" s="67">
        <f t="shared" si="10"/>
        <v>4.5538018982625033E-4</v>
      </c>
      <c r="W82" s="100">
        <f t="shared" si="11"/>
        <v>3.035867932175002E-4</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8.9057014317418546E-5</v>
      </c>
      <c r="J83" s="67">
        <f t="shared" ref="J83:J99" si="18">I82*(1-$K$10)+H83</f>
        <v>6.4573621360867312E-6</v>
      </c>
      <c r="K83" s="100">
        <f t="shared" si="6"/>
        <v>4.3049080907244872E-6</v>
      </c>
      <c r="O83" s="96">
        <f>Amnt_Deposited!B78</f>
        <v>2064</v>
      </c>
      <c r="P83" s="99">
        <f>Amnt_Deposited!H78</f>
        <v>0</v>
      </c>
      <c r="Q83" s="284">
        <f>MCF!R82</f>
        <v>1</v>
      </c>
      <c r="R83" s="67">
        <f t="shared" ref="R83:R99" si="19">P83*$W$6*DOCF*Q83</f>
        <v>0</v>
      </c>
      <c r="S83" s="67">
        <f t="shared" si="7"/>
        <v>0</v>
      </c>
      <c r="T83" s="67">
        <f t="shared" si="8"/>
        <v>0</v>
      </c>
      <c r="U83" s="67">
        <f t="shared" si="9"/>
        <v>5.8558036811453308E-3</v>
      </c>
      <c r="V83" s="67">
        <f t="shared" si="10"/>
        <v>4.2459367470159339E-4</v>
      </c>
      <c r="W83" s="100">
        <f t="shared" si="11"/>
        <v>2.8306244980106222E-4</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8.3036209768836601E-5</v>
      </c>
      <c r="J84" s="67">
        <f t="shared" si="18"/>
        <v>6.0208045485819413E-6</v>
      </c>
      <c r="K84" s="100">
        <f t="shared" si="6"/>
        <v>4.013869699054627E-6</v>
      </c>
      <c r="O84" s="96">
        <f>Amnt_Deposited!B79</f>
        <v>2065</v>
      </c>
      <c r="P84" s="99">
        <f>Amnt_Deposited!H79</f>
        <v>0</v>
      </c>
      <c r="Q84" s="284">
        <f>MCF!R83</f>
        <v>1</v>
      </c>
      <c r="R84" s="67">
        <f t="shared" si="19"/>
        <v>0</v>
      </c>
      <c r="S84" s="67">
        <f t="shared" si="7"/>
        <v>0</v>
      </c>
      <c r="T84" s="67">
        <f t="shared" si="8"/>
        <v>0</v>
      </c>
      <c r="U84" s="67">
        <f t="shared" si="9"/>
        <v>5.4599151628824082E-3</v>
      </c>
      <c r="V84" s="67">
        <f t="shared" si="10"/>
        <v>3.9588851826292227E-4</v>
      </c>
      <c r="W84" s="100">
        <f t="shared" si="11"/>
        <v>2.6392567884194818E-4</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7.7422448816877182E-5</v>
      </c>
      <c r="J85" s="67">
        <f t="shared" si="18"/>
        <v>5.6137609519594247E-6</v>
      </c>
      <c r="K85" s="100">
        <f t="shared" ref="K85:K99" si="20">J85*CH4_fraction*conv</f>
        <v>3.7425073013062832E-6</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5.0907911550823366E-3</v>
      </c>
      <c r="V85" s="67">
        <f t="shared" ref="V85:V98" si="24">U84*(1-$W$10)+T85</f>
        <v>3.6912400780007187E-4</v>
      </c>
      <c r="W85" s="100">
        <f t="shared" ref="W85:W99" si="25">V85*CH4_fraction*conv</f>
        <v>2.4608267186671456E-4</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7.218821279884088E-5</v>
      </c>
      <c r="J86" s="67">
        <f t="shared" si="18"/>
        <v>5.2342360180363011E-6</v>
      </c>
      <c r="K86" s="100">
        <f t="shared" si="20"/>
        <v>3.4894906786908672E-6</v>
      </c>
      <c r="O86" s="96">
        <f>Amnt_Deposited!B81</f>
        <v>2067</v>
      </c>
      <c r="P86" s="99">
        <f>Amnt_Deposited!H81</f>
        <v>0</v>
      </c>
      <c r="Q86" s="284">
        <f>MCF!R85</f>
        <v>1</v>
      </c>
      <c r="R86" s="67">
        <f t="shared" si="19"/>
        <v>0</v>
      </c>
      <c r="S86" s="67">
        <f t="shared" si="21"/>
        <v>0</v>
      </c>
      <c r="T86" s="67">
        <f t="shared" si="22"/>
        <v>0</v>
      </c>
      <c r="U86" s="67">
        <f t="shared" si="23"/>
        <v>4.746622211430635E-3</v>
      </c>
      <c r="V86" s="67">
        <f t="shared" si="24"/>
        <v>3.4416894365170208E-4</v>
      </c>
      <c r="W86" s="100">
        <f t="shared" si="25"/>
        <v>2.2944596243446806E-4</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6.7307843483694713E-5</v>
      </c>
      <c r="J87" s="67">
        <f t="shared" si="18"/>
        <v>4.8803693151461662E-6</v>
      </c>
      <c r="K87" s="100">
        <f t="shared" si="20"/>
        <v>3.2535795434307773E-6</v>
      </c>
      <c r="O87" s="96">
        <f>Amnt_Deposited!B82</f>
        <v>2068</v>
      </c>
      <c r="P87" s="99">
        <f>Amnt_Deposited!H82</f>
        <v>0</v>
      </c>
      <c r="Q87" s="284">
        <f>MCF!R86</f>
        <v>1</v>
      </c>
      <c r="R87" s="67">
        <f t="shared" si="19"/>
        <v>0</v>
      </c>
      <c r="S87" s="67">
        <f t="shared" si="21"/>
        <v>0</v>
      </c>
      <c r="T87" s="67">
        <f t="shared" si="22"/>
        <v>0</v>
      </c>
      <c r="U87" s="67">
        <f t="shared" si="23"/>
        <v>4.4257212153662297E-3</v>
      </c>
      <c r="V87" s="67">
        <f t="shared" si="24"/>
        <v>3.2090099606440559E-4</v>
      </c>
      <c r="W87" s="100">
        <f t="shared" si="25"/>
        <v>2.1393399737627039E-4</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6.2757417295393806E-5</v>
      </c>
      <c r="J88" s="67">
        <f t="shared" si="18"/>
        <v>4.5504261883009104E-6</v>
      </c>
      <c r="K88" s="100">
        <f t="shared" si="20"/>
        <v>3.0336174588672733E-6</v>
      </c>
      <c r="O88" s="96">
        <f>Amnt_Deposited!B83</f>
        <v>2069</v>
      </c>
      <c r="P88" s="99">
        <f>Amnt_Deposited!H83</f>
        <v>0</v>
      </c>
      <c r="Q88" s="284">
        <f>MCF!R87</f>
        <v>1</v>
      </c>
      <c r="R88" s="67">
        <f t="shared" si="19"/>
        <v>0</v>
      </c>
      <c r="S88" s="67">
        <f t="shared" si="21"/>
        <v>0</v>
      </c>
      <c r="T88" s="67">
        <f t="shared" si="22"/>
        <v>0</v>
      </c>
      <c r="U88" s="67">
        <f t="shared" si="23"/>
        <v>4.1265151098341148E-3</v>
      </c>
      <c r="V88" s="67">
        <f t="shared" si="24"/>
        <v>2.9920610553211483E-4</v>
      </c>
      <c r="W88" s="100">
        <f t="shared" si="25"/>
        <v>1.9947073702140987E-4</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5.8514628039483858E-5</v>
      </c>
      <c r="J89" s="67">
        <f t="shared" si="18"/>
        <v>4.2427892559099505E-6</v>
      </c>
      <c r="K89" s="100">
        <f t="shared" si="20"/>
        <v>2.8285261706066335E-6</v>
      </c>
      <c r="O89" s="96">
        <f>Amnt_Deposited!B84</f>
        <v>2070</v>
      </c>
      <c r="P89" s="99">
        <f>Amnt_Deposited!H84</f>
        <v>0</v>
      </c>
      <c r="Q89" s="284">
        <f>MCF!R88</f>
        <v>1</v>
      </c>
      <c r="R89" s="67">
        <f t="shared" si="19"/>
        <v>0</v>
      </c>
      <c r="S89" s="67">
        <f t="shared" si="21"/>
        <v>0</v>
      </c>
      <c r="T89" s="67">
        <f t="shared" si="22"/>
        <v>0</v>
      </c>
      <c r="U89" s="67">
        <f t="shared" si="23"/>
        <v>3.8475371861578437E-3</v>
      </c>
      <c r="V89" s="67">
        <f t="shared" si="24"/>
        <v>2.789779236762708E-4</v>
      </c>
      <c r="W89" s="100">
        <f t="shared" si="25"/>
        <v>1.8598528245084719E-4</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5.4558677558110064E-5</v>
      </c>
      <c r="J90" s="67">
        <f t="shared" si="18"/>
        <v>3.955950481373795E-6</v>
      </c>
      <c r="K90" s="100">
        <f t="shared" si="20"/>
        <v>2.6373003209158633E-6</v>
      </c>
      <c r="O90" s="96">
        <f>Amnt_Deposited!B85</f>
        <v>2071</v>
      </c>
      <c r="P90" s="99">
        <f>Amnt_Deposited!H85</f>
        <v>0</v>
      </c>
      <c r="Q90" s="284">
        <f>MCF!R89</f>
        <v>1</v>
      </c>
      <c r="R90" s="67">
        <f t="shared" si="19"/>
        <v>0</v>
      </c>
      <c r="S90" s="67">
        <f t="shared" si="21"/>
        <v>0</v>
      </c>
      <c r="T90" s="67">
        <f t="shared" si="22"/>
        <v>0</v>
      </c>
      <c r="U90" s="67">
        <f t="shared" si="23"/>
        <v>3.5874198942318957E-3</v>
      </c>
      <c r="V90" s="67">
        <f t="shared" si="24"/>
        <v>2.6011729192594823E-4</v>
      </c>
      <c r="W90" s="100">
        <f t="shared" si="25"/>
        <v>1.7341152795063216E-4</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5.0870173777423176E-5</v>
      </c>
      <c r="J91" s="67">
        <f t="shared" si="18"/>
        <v>3.688503780686887E-6</v>
      </c>
      <c r="K91" s="100">
        <f t="shared" si="20"/>
        <v>2.4590025204579246E-6</v>
      </c>
      <c r="O91" s="96">
        <f>Amnt_Deposited!B86</f>
        <v>2072</v>
      </c>
      <c r="P91" s="99">
        <f>Amnt_Deposited!H86</f>
        <v>0</v>
      </c>
      <c r="Q91" s="284">
        <f>MCF!R90</f>
        <v>1</v>
      </c>
      <c r="R91" s="67">
        <f t="shared" si="19"/>
        <v>0</v>
      </c>
      <c r="S91" s="67">
        <f t="shared" si="21"/>
        <v>0</v>
      </c>
      <c r="T91" s="67">
        <f t="shared" si="22"/>
        <v>0</v>
      </c>
      <c r="U91" s="67">
        <f t="shared" si="23"/>
        <v>3.3448881387894702E-3</v>
      </c>
      <c r="V91" s="67">
        <f t="shared" si="24"/>
        <v>2.4253175544242553E-4</v>
      </c>
      <c r="W91" s="100">
        <f t="shared" si="25"/>
        <v>1.6168783696161702E-4</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4.7431035647610996E-5</v>
      </c>
      <c r="J92" s="67">
        <f t="shared" si="18"/>
        <v>3.4391381298121788E-6</v>
      </c>
      <c r="K92" s="100">
        <f t="shared" si="20"/>
        <v>2.292758753208119E-6</v>
      </c>
      <c r="O92" s="96">
        <f>Amnt_Deposited!B87</f>
        <v>2073</v>
      </c>
      <c r="P92" s="99">
        <f>Amnt_Deposited!H87</f>
        <v>0</v>
      </c>
      <c r="Q92" s="284">
        <f>MCF!R91</f>
        <v>1</v>
      </c>
      <c r="R92" s="67">
        <f t="shared" si="19"/>
        <v>0</v>
      </c>
      <c r="S92" s="67">
        <f t="shared" si="21"/>
        <v>0</v>
      </c>
      <c r="T92" s="67">
        <f t="shared" si="22"/>
        <v>0</v>
      </c>
      <c r="U92" s="67">
        <f t="shared" si="23"/>
        <v>3.1187530288840117E-3</v>
      </c>
      <c r="V92" s="67">
        <f t="shared" si="24"/>
        <v>2.2613510990545841E-4</v>
      </c>
      <c r="W92" s="100">
        <f t="shared" si="25"/>
        <v>1.5075673993697225E-4</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4.422440450957122E-5</v>
      </c>
      <c r="J93" s="67">
        <f t="shared" si="18"/>
        <v>3.2066311380397763E-6</v>
      </c>
      <c r="K93" s="100">
        <f t="shared" si="20"/>
        <v>2.1377540920265172E-6</v>
      </c>
      <c r="O93" s="96">
        <f>Amnt_Deposited!B88</f>
        <v>2074</v>
      </c>
      <c r="P93" s="99">
        <f>Amnt_Deposited!H88</f>
        <v>0</v>
      </c>
      <c r="Q93" s="284">
        <f>MCF!R92</f>
        <v>1</v>
      </c>
      <c r="R93" s="67">
        <f t="shared" si="19"/>
        <v>0</v>
      </c>
      <c r="S93" s="67">
        <f t="shared" si="21"/>
        <v>0</v>
      </c>
      <c r="T93" s="67">
        <f t="shared" si="22"/>
        <v>0</v>
      </c>
      <c r="U93" s="67">
        <f t="shared" si="23"/>
        <v>2.9079060499444098E-3</v>
      </c>
      <c r="V93" s="67">
        <f t="shared" si="24"/>
        <v>2.1084697893960179E-4</v>
      </c>
      <c r="W93" s="100">
        <f t="shared" si="25"/>
        <v>1.4056465262640119E-4</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4.1234561453744952E-5</v>
      </c>
      <c r="J94" s="67">
        <f t="shared" si="18"/>
        <v>2.9898430558262651E-6</v>
      </c>
      <c r="K94" s="100">
        <f t="shared" si="20"/>
        <v>1.9932287038841765E-6</v>
      </c>
      <c r="O94" s="96">
        <f>Amnt_Deposited!B89</f>
        <v>2075</v>
      </c>
      <c r="P94" s="99">
        <f>Amnt_Deposited!H89</f>
        <v>0</v>
      </c>
      <c r="Q94" s="284">
        <f>MCF!R93</f>
        <v>1</v>
      </c>
      <c r="R94" s="67">
        <f t="shared" si="19"/>
        <v>0</v>
      </c>
      <c r="S94" s="67">
        <f t="shared" si="21"/>
        <v>0</v>
      </c>
      <c r="T94" s="67">
        <f t="shared" si="22"/>
        <v>0</v>
      </c>
      <c r="U94" s="67">
        <f t="shared" si="23"/>
        <v>2.7113136298352854E-3</v>
      </c>
      <c r="V94" s="67">
        <f t="shared" si="24"/>
        <v>1.9659242010912435E-4</v>
      </c>
      <c r="W94" s="100">
        <f t="shared" si="25"/>
        <v>1.310616134060829E-4</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3.8446850266003829E-5</v>
      </c>
      <c r="J95" s="67">
        <f t="shared" si="18"/>
        <v>2.7877111877411246E-6</v>
      </c>
      <c r="K95" s="100">
        <f t="shared" si="20"/>
        <v>1.8584741251607496E-6</v>
      </c>
      <c r="O95" s="96">
        <f>Amnt_Deposited!B90</f>
        <v>2076</v>
      </c>
      <c r="P95" s="99">
        <f>Amnt_Deposited!H90</f>
        <v>0</v>
      </c>
      <c r="Q95" s="284">
        <f>MCF!R94</f>
        <v>1</v>
      </c>
      <c r="R95" s="67">
        <f t="shared" si="19"/>
        <v>0</v>
      </c>
      <c r="S95" s="67">
        <f t="shared" si="21"/>
        <v>0</v>
      </c>
      <c r="T95" s="67">
        <f t="shared" si="22"/>
        <v>0</v>
      </c>
      <c r="U95" s="67">
        <f t="shared" si="23"/>
        <v>2.528012072285184E-3</v>
      </c>
      <c r="V95" s="67">
        <f t="shared" si="24"/>
        <v>1.8330155755010141E-4</v>
      </c>
      <c r="W95" s="100">
        <f t="shared" si="25"/>
        <v>1.2220103836673427E-4</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3.5847605582871336E-5</v>
      </c>
      <c r="J96" s="67">
        <f t="shared" si="18"/>
        <v>2.5992446831324955E-6</v>
      </c>
      <c r="K96" s="100">
        <f t="shared" si="20"/>
        <v>1.7328297887549969E-6</v>
      </c>
      <c r="O96" s="96">
        <f>Amnt_Deposited!B91</f>
        <v>2077</v>
      </c>
      <c r="P96" s="99">
        <f>Amnt_Deposited!H91</f>
        <v>0</v>
      </c>
      <c r="Q96" s="284">
        <f>MCF!R95</f>
        <v>1</v>
      </c>
      <c r="R96" s="67">
        <f t="shared" si="19"/>
        <v>0</v>
      </c>
      <c r="S96" s="67">
        <f t="shared" si="21"/>
        <v>0</v>
      </c>
      <c r="T96" s="67">
        <f t="shared" si="22"/>
        <v>0</v>
      </c>
      <c r="U96" s="67">
        <f t="shared" si="23"/>
        <v>2.3571028328463351E-3</v>
      </c>
      <c r="V96" s="67">
        <f t="shared" si="24"/>
        <v>1.7090923943884905E-4</v>
      </c>
      <c r="W96" s="100">
        <f t="shared" si="25"/>
        <v>1.139394929592327E-4</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3.34240859038952E-5</v>
      </c>
      <c r="J97" s="67">
        <f t="shared" si="18"/>
        <v>2.4235196789761337E-6</v>
      </c>
      <c r="K97" s="100">
        <f t="shared" si="20"/>
        <v>1.6156797859840891E-6</v>
      </c>
      <c r="O97" s="96">
        <f>Amnt_Deposited!B92</f>
        <v>2078</v>
      </c>
      <c r="P97" s="99">
        <f>Amnt_Deposited!H92</f>
        <v>0</v>
      </c>
      <c r="Q97" s="284">
        <f>MCF!R96</f>
        <v>1</v>
      </c>
      <c r="R97" s="67">
        <f t="shared" si="19"/>
        <v>0</v>
      </c>
      <c r="S97" s="67">
        <f t="shared" si="21"/>
        <v>0</v>
      </c>
      <c r="T97" s="67">
        <f t="shared" si="22"/>
        <v>0</v>
      </c>
      <c r="U97" s="67">
        <f t="shared" si="23"/>
        <v>2.1977481142287261E-3</v>
      </c>
      <c r="V97" s="67">
        <f t="shared" si="24"/>
        <v>1.5935471861760884E-4</v>
      </c>
      <c r="W97" s="100">
        <f t="shared" si="25"/>
        <v>1.0623647907840588E-4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3.1164411132797405E-5</v>
      </c>
      <c r="J98" s="67">
        <f t="shared" si="18"/>
        <v>2.2596747710977944E-6</v>
      </c>
      <c r="K98" s="100">
        <f t="shared" si="20"/>
        <v>1.5064498473985296E-6</v>
      </c>
      <c r="O98" s="96">
        <f>Amnt_Deposited!B93</f>
        <v>2079</v>
      </c>
      <c r="P98" s="99">
        <f>Amnt_Deposited!H93</f>
        <v>0</v>
      </c>
      <c r="Q98" s="284">
        <f>MCF!R97</f>
        <v>1</v>
      </c>
      <c r="R98" s="67">
        <f t="shared" si="19"/>
        <v>0</v>
      </c>
      <c r="S98" s="67">
        <f t="shared" si="21"/>
        <v>0</v>
      </c>
      <c r="T98" s="67">
        <f t="shared" si="22"/>
        <v>0</v>
      </c>
      <c r="U98" s="67">
        <f t="shared" si="23"/>
        <v>2.0491667594168162E-3</v>
      </c>
      <c r="V98" s="67">
        <f t="shared" si="24"/>
        <v>1.4858135481190981E-4</v>
      </c>
      <c r="W98" s="100">
        <f t="shared" si="25"/>
        <v>9.9054236541273199E-5</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2.9057504341228434E-5</v>
      </c>
      <c r="J99" s="68">
        <f t="shared" si="18"/>
        <v>2.1069067915689718E-6</v>
      </c>
      <c r="K99" s="102">
        <f t="shared" si="20"/>
        <v>1.4046045277126479E-6</v>
      </c>
      <c r="O99" s="97">
        <f>Amnt_Deposited!B94</f>
        <v>2080</v>
      </c>
      <c r="P99" s="101">
        <f>Amnt_Deposited!H94</f>
        <v>0</v>
      </c>
      <c r="Q99" s="285">
        <f>MCF!R98</f>
        <v>1</v>
      </c>
      <c r="R99" s="68">
        <f t="shared" si="19"/>
        <v>0</v>
      </c>
      <c r="S99" s="68">
        <f>R99*$W$12</f>
        <v>0</v>
      </c>
      <c r="T99" s="68">
        <f>R99*(1-$W$12)</f>
        <v>0</v>
      </c>
      <c r="U99" s="68">
        <f>S99+U98*$W$10</f>
        <v>1.9106304224369385E-3</v>
      </c>
      <c r="V99" s="68">
        <f>U98*(1-$W$10)+T99</f>
        <v>1.3853633697987765E-4</v>
      </c>
      <c r="W99" s="102">
        <f t="shared" si="25"/>
        <v>9.2357557986585102E-5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4"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93" t="s">
        <v>18</v>
      </c>
      <c r="D9" s="794"/>
      <c r="E9" s="800" t="s">
        <v>100</v>
      </c>
      <c r="F9" s="801"/>
      <c r="H9" s="793" t="s">
        <v>18</v>
      </c>
      <c r="I9" s="794"/>
      <c r="J9" s="800" t="s">
        <v>100</v>
      </c>
      <c r="K9" s="80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8" t="s">
        <v>250</v>
      </c>
      <c r="D12" s="799"/>
      <c r="E12" s="798" t="s">
        <v>250</v>
      </c>
      <c r="F12" s="799"/>
      <c r="H12" s="798" t="s">
        <v>251</v>
      </c>
      <c r="I12" s="799"/>
      <c r="J12" s="798" t="s">
        <v>251</v>
      </c>
      <c r="K12" s="79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v>0.123</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0.123</v>
      </c>
      <c r="Q15" s="40" t="s">
        <v>6</v>
      </c>
      <c r="R15" s="388">
        <f>IF(Select2=1,J15,0)</f>
        <v>0.15</v>
      </c>
    </row>
    <row r="16" spans="1:18">
      <c r="B16" s="8" t="str">
        <f>IF(Select2=1,"Paper/cardboard","Sewage sludge")</f>
        <v>Paper/cardboard</v>
      </c>
      <c r="C16" s="158" t="str">
        <f>INDEX(DOC_table,IF(Select2=1,2,13),2)</f>
        <v>0.40-0.50</v>
      </c>
      <c r="D16" s="32">
        <f>INDEX(DOC_table,IF(Select2=1,2,13),1)</f>
        <v>0.44</v>
      </c>
      <c r="E16" s="259">
        <v>2.8000000000000001E-2</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2.8000000000000001E-2</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v>2.5000000000000001E-2</v>
      </c>
      <c r="F17" s="239"/>
      <c r="H17" s="158" t="str">
        <f>INDEX(DOC_table,IF(Select2=1,3,15),4)</f>
        <v>0.18-0.22</v>
      </c>
      <c r="I17" s="32">
        <f>INDEX(DOC_table,IF(Select2=1,3,15),3)</f>
        <v>0.2</v>
      </c>
      <c r="J17" s="259">
        <f>I17</f>
        <v>0.2</v>
      </c>
      <c r="K17" s="239"/>
      <c r="L17" s="6"/>
      <c r="N17" s="410" t="s">
        <v>261</v>
      </c>
      <c r="O17" s="2">
        <f>IF(Select2=1,E17,E62)</f>
        <v>2.5000000000000001E-2</v>
      </c>
      <c r="Q17" s="410" t="s">
        <v>261</v>
      </c>
      <c r="R17" s="389">
        <f>IF(Select2=1,J17,J62)</f>
        <v>0.2</v>
      </c>
    </row>
    <row r="18" spans="2:18">
      <c r="B18" s="2" t="str">
        <f>IF(Select2=1,"Textiles","")</f>
        <v>Textiles</v>
      </c>
      <c r="C18" s="159" t="str">
        <f>IF(Select2=1,INDEX(DOC_table,4,2),"")</f>
        <v>0.25-0.50</v>
      </c>
      <c r="D18" s="16">
        <f>IF(Select2=1,INDEX(DOC_table,4,1),"")</f>
        <v>0.3</v>
      </c>
      <c r="E18" s="259">
        <v>5.0000000000000001E-3</v>
      </c>
      <c r="F18" s="239"/>
      <c r="H18" s="159" t="str">
        <f>IF(Select2=1,INDEX(DOC_table,4,4),"")</f>
        <v>0.20-0.40</v>
      </c>
      <c r="I18" s="16">
        <f>IF(Select2=1,INDEX(DOC_table,4,3),"")</f>
        <v>0.24</v>
      </c>
      <c r="J18" s="259">
        <f>I18</f>
        <v>0.24</v>
      </c>
      <c r="K18" s="239"/>
      <c r="L18" s="6"/>
      <c r="N18" s="2" t="s">
        <v>16</v>
      </c>
      <c r="O18" s="2">
        <f>IF(Select2=1,E18,0)</f>
        <v>5.0000000000000001E-3</v>
      </c>
      <c r="Q18" s="2" t="s">
        <v>16</v>
      </c>
      <c r="R18" s="389">
        <f>IF(Select2=1,J18,0)</f>
        <v>0.24</v>
      </c>
    </row>
    <row r="19" spans="2:18">
      <c r="B19" s="2" t="str">
        <f>IF(Select2=1,"Rubber and Leather","")</f>
        <v>Rubber and Leather</v>
      </c>
      <c r="C19" s="159" t="str">
        <f>IF(Select2=1,INDEX(DOC_table,5,2),"")</f>
        <v>0.47</v>
      </c>
      <c r="D19" s="16">
        <f>IF(Select2=1,INDEX(DOC_table,5,1),"")</f>
        <v>0.47</v>
      </c>
      <c r="E19" s="259">
        <v>1E-3</v>
      </c>
      <c r="F19" s="239"/>
      <c r="H19" s="159" t="str">
        <f>IF(Select2=1,INDEX(DOC_table,5,4),"")</f>
        <v>0.39</v>
      </c>
      <c r="I19" s="16">
        <f>IF(Select2=1,INDEX(DOC_table,5,3),"")</f>
        <v>0.39</v>
      </c>
      <c r="J19" s="259">
        <f t="shared" ref="J19:J25" si="0">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1E-3</v>
      </c>
      <c r="Q19" s="2" t="s">
        <v>229</v>
      </c>
      <c r="R19" s="389">
        <f>IF(Select2=1,J19,0)</f>
        <v>0.39</v>
      </c>
    </row>
    <row r="20" spans="2:18">
      <c r="B20" s="2" t="str">
        <f>IF(Select2=1,"Wood","")</f>
        <v>Wood</v>
      </c>
      <c r="C20" s="159" t="str">
        <f>IF(Select2=1,INDEX(DOC_table,6,2),"")</f>
        <v>0.46-0.54</v>
      </c>
      <c r="D20" s="16">
        <f>IF(Select2=1,INDEX(DOC_table,6,1),"")</f>
        <v>0.5</v>
      </c>
      <c r="E20" s="259">
        <v>2.5000000000000001E-2</v>
      </c>
      <c r="F20" s="239"/>
      <c r="H20" s="159" t="str">
        <f>IF(Select2=1,INDEX(DOC_table,6,4),"")</f>
        <v>0.39-0.46</v>
      </c>
      <c r="I20" s="16">
        <f>IF(Select2=1,INDEX(DOC_table,6,3),"")</f>
        <v>0.43</v>
      </c>
      <c r="J20" s="259">
        <f t="shared" si="0"/>
        <v>0.43</v>
      </c>
      <c r="K20" s="239"/>
      <c r="L20" s="544"/>
      <c r="N20" s="409" t="s">
        <v>2</v>
      </c>
      <c r="O20" s="2">
        <f>IF(Select2=1,E20,E64)</f>
        <v>2.5000000000000001E-2</v>
      </c>
      <c r="Q20" s="409" t="s">
        <v>2</v>
      </c>
      <c r="R20" s="389">
        <f>IF(Select2=1,J20,J64)</f>
        <v>0.43</v>
      </c>
    </row>
    <row r="21" spans="2:18">
      <c r="B21" s="2" t="str">
        <f>IF(Select2=1,"Nappies","")</f>
        <v>Nappies</v>
      </c>
      <c r="C21" s="159" t="str">
        <f>IF(Select2=1,INDEX(DOC_table,7,2),"")</f>
        <v>0.44-0.80</v>
      </c>
      <c r="D21" s="16">
        <f>IF(Select2=1,INDEX(DOC_table,7,1),"")</f>
        <v>0.6</v>
      </c>
      <c r="E21" s="259">
        <v>2.8000000000000001E-2</v>
      </c>
      <c r="F21" s="239"/>
      <c r="H21" s="159" t="str">
        <f>IF(Select2=1,INDEX(DOC_table,7,4),"")</f>
        <v>0.18-0.32</v>
      </c>
      <c r="I21" s="16">
        <f>IF(Select2=1,INDEX(DOC_table,7,3),"")</f>
        <v>0.24</v>
      </c>
      <c r="J21" s="259">
        <f t="shared" si="0"/>
        <v>0.24</v>
      </c>
      <c r="K21" s="239"/>
      <c r="L21" s="544"/>
      <c r="N21" s="409" t="s">
        <v>267</v>
      </c>
      <c r="O21" s="2">
        <f>IF(Select2=1,E21,0)</f>
        <v>2.8000000000000001E-2</v>
      </c>
      <c r="Q21" s="409" t="s">
        <v>267</v>
      </c>
      <c r="R21" s="389">
        <f>IF(Select2=1,J21,0)</f>
        <v>0.24</v>
      </c>
    </row>
    <row r="22" spans="2:18">
      <c r="B22" s="146" t="str">
        <f>IF(Select2=1,"Plastics","")</f>
        <v>Plastics</v>
      </c>
      <c r="C22" s="160">
        <f>IF(Select2=1,INDEX(DOC_table,9,2),"")</f>
        <v>0</v>
      </c>
      <c r="D22" s="193">
        <f>IF(Select2=1,INDEX(DOC_table,9,1),"")</f>
        <v>0</v>
      </c>
      <c r="E22" s="259">
        <f t="shared" ref="E22:E28" si="1">D22</f>
        <v>0</v>
      </c>
      <c r="F22" s="239"/>
      <c r="H22" s="160">
        <f>IF(Select2=1,INDEX(DOC_table,9,4),"")</f>
        <v>0</v>
      </c>
      <c r="I22" s="193">
        <f>IF(Select2=1,INDEX(DOC_table,9,3),"")</f>
        <v>0</v>
      </c>
      <c r="J22" s="259">
        <f t="shared" si="0"/>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1"/>
        <v>0</v>
      </c>
      <c r="F23" s="239"/>
      <c r="H23" s="160">
        <f>IF(Select2=1,INDEX(DOC_table,10,4),"")</f>
        <v>0</v>
      </c>
      <c r="I23" s="193">
        <f>IF(Select2=1,INDEX(DOC_table,10,3),"")</f>
        <v>0</v>
      </c>
      <c r="J23" s="259">
        <f t="shared" si="0"/>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1"/>
        <v>0</v>
      </c>
      <c r="F24" s="239"/>
      <c r="H24" s="160">
        <f>IF(Select2=1,INDEX(DOC_table,11,4),"")</f>
        <v>0</v>
      </c>
      <c r="I24" s="193">
        <f>IF(Select2=1,INDEX(DOC_table,11,3),"")</f>
        <v>0</v>
      </c>
      <c r="J24" s="259">
        <f t="shared" si="0"/>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1"/>
        <v>0</v>
      </c>
      <c r="F25" s="239"/>
      <c r="H25" s="160">
        <f>IF(Select2=1,INDEX(DOC_table,12,4),"")</f>
        <v>0</v>
      </c>
      <c r="I25" s="193">
        <f>IF(Select2=1,INDEX(DOC_table,12,3),"")</f>
        <v>0</v>
      </c>
      <c r="J25" s="259">
        <f t="shared" si="0"/>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si="1"/>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1"/>
        <v>0</v>
      </c>
      <c r="F28" s="542"/>
      <c r="H28" s="540" t="str">
        <f>IF(Select2=1,INDEX(DOC_table,15,4),"")</f>
        <v>0-0.54</v>
      </c>
      <c r="I28" s="541">
        <f>IF(Select2=1,INDEX(DOC_table,15,3),"")</f>
        <v>0.15</v>
      </c>
      <c r="J28" s="260">
        <f t="shared" ref="J28" si="2">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3">D34</f>
        <v>0.4</v>
      </c>
      <c r="F34" s="132"/>
      <c r="L34" s="349" t="str">
        <f>IF(Select2=1,"May include garden waste provided that a suitable value of DOC is used","")</f>
        <v>May include garden waste provided that a suitable value of DOC is used</v>
      </c>
      <c r="N34" s="40" t="s">
        <v>6</v>
      </c>
      <c r="O34" s="40">
        <f t="shared" ref="O34:O44" si="4">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3"/>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4"/>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3"/>
        <v>0.17</v>
      </c>
      <c r="F36" s="43"/>
      <c r="L36" s="6"/>
      <c r="N36" s="410" t="s">
        <v>261</v>
      </c>
      <c r="O36" s="2">
        <f t="shared" si="4"/>
        <v>0.17</v>
      </c>
    </row>
    <row r="37" spans="2:15">
      <c r="B37" s="2" t="str">
        <f>IF(Select2=1,"Textiles","")</f>
        <v>Textiles</v>
      </c>
      <c r="C37" s="159" t="str">
        <f>IF(Select2=1,INDEX(half_life,1,selected*2),"")</f>
        <v>0.06–0.085</v>
      </c>
      <c r="D37" s="70">
        <f>IF(Select2=1,INDEX(half_life,1,selected*2-1),"")</f>
        <v>7.0000000000000007E-2</v>
      </c>
      <c r="E37" s="579">
        <f t="shared" si="3"/>
        <v>7.0000000000000007E-2</v>
      </c>
      <c r="F37" s="43"/>
      <c r="L37" s="6"/>
      <c r="N37" s="2" t="s">
        <v>16</v>
      </c>
      <c r="O37" s="2">
        <f t="shared" si="4"/>
        <v>7.0000000000000007E-2</v>
      </c>
    </row>
    <row r="38" spans="2:15">
      <c r="B38" s="2" t="str">
        <f>IF(Select2=1,"Rubber and Leather","")</f>
        <v>Rubber and Leather</v>
      </c>
      <c r="C38" s="159" t="str">
        <f>IF(Select2=1,INDEX(half_life,2,selected*2),"")</f>
        <v>0.03–0.05</v>
      </c>
      <c r="D38" s="70">
        <f>IF(Select2=1,INDEX(half_life,2,selected*2-1),"")</f>
        <v>3.5000000000000003E-2</v>
      </c>
      <c r="E38" s="580">
        <f t="shared" si="3"/>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4"/>
        <v>3.5000000000000003E-2</v>
      </c>
    </row>
    <row r="39" spans="2:15">
      <c r="B39" s="2" t="str">
        <f>IF(Select2=1,"Wood","")</f>
        <v>Wood</v>
      </c>
      <c r="C39" s="159" t="str">
        <f>IF(Select2=1,INDEX(half_life,2,selected*2),"")</f>
        <v>0.03–0.05</v>
      </c>
      <c r="D39" s="70">
        <f>IF(Select2=1,INDEX(half_life,2,selected*2-1),"")</f>
        <v>3.5000000000000003E-2</v>
      </c>
      <c r="E39" s="580">
        <f t="shared" si="3"/>
        <v>3.5000000000000003E-2</v>
      </c>
      <c r="F39" s="239"/>
      <c r="N39" s="409" t="s">
        <v>2</v>
      </c>
      <c r="O39" s="2">
        <f t="shared" si="4"/>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4"/>
        <v>0.17</v>
      </c>
    </row>
    <row r="41" spans="2:15">
      <c r="B41" s="146" t="str">
        <f>IF(Select2=1,"Plastics","")</f>
        <v>Plastics</v>
      </c>
      <c r="C41" s="159">
        <f t="shared" ref="C41:D44" si="5">IF(Select2=1,0,"")</f>
        <v>0</v>
      </c>
      <c r="D41" s="429">
        <f t="shared" si="5"/>
        <v>0</v>
      </c>
      <c r="E41" s="580">
        <f>D41</f>
        <v>0</v>
      </c>
      <c r="F41" s="239"/>
      <c r="N41" s="146" t="s">
        <v>230</v>
      </c>
      <c r="O41" s="2">
        <f t="shared" si="4"/>
        <v>0</v>
      </c>
    </row>
    <row r="42" spans="2:15">
      <c r="B42" s="146" t="str">
        <f>IF(Select2=1,"Metal","")</f>
        <v>Metal</v>
      </c>
      <c r="C42" s="159">
        <f t="shared" si="5"/>
        <v>0</v>
      </c>
      <c r="D42" s="429">
        <f t="shared" si="5"/>
        <v>0</v>
      </c>
      <c r="E42" s="580">
        <f>D42</f>
        <v>0</v>
      </c>
      <c r="F42" s="239"/>
      <c r="N42" s="146" t="s">
        <v>231</v>
      </c>
      <c r="O42" s="2">
        <f t="shared" si="4"/>
        <v>0</v>
      </c>
    </row>
    <row r="43" spans="2:15">
      <c r="B43" s="146" t="str">
        <f>IF(Select2=1,"Glass","")</f>
        <v>Glass</v>
      </c>
      <c r="C43" s="159">
        <f t="shared" si="5"/>
        <v>0</v>
      </c>
      <c r="D43" s="429">
        <f t="shared" si="5"/>
        <v>0</v>
      </c>
      <c r="E43" s="580">
        <f>D43</f>
        <v>0</v>
      </c>
      <c r="F43" s="239"/>
      <c r="N43" s="146" t="s">
        <v>232</v>
      </c>
      <c r="O43" s="2">
        <f t="shared" si="4"/>
        <v>0</v>
      </c>
    </row>
    <row r="44" spans="2:15">
      <c r="B44" s="146" t="str">
        <f>IF(Select2=1,"Other","")</f>
        <v>Other</v>
      </c>
      <c r="C44" s="159">
        <f t="shared" si="5"/>
        <v>0</v>
      </c>
      <c r="D44" s="429">
        <f t="shared" si="5"/>
        <v>0</v>
      </c>
      <c r="E44" s="580">
        <f>D44</f>
        <v>0</v>
      </c>
      <c r="F44" s="239"/>
      <c r="N44" s="146" t="s">
        <v>233</v>
      </c>
      <c r="O44" s="2">
        <f t="shared" si="4"/>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6">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5" t="s">
        <v>250</v>
      </c>
      <c r="E61" s="796"/>
      <c r="F61" s="797"/>
      <c r="H61" s="38"/>
      <c r="I61" s="795" t="s">
        <v>251</v>
      </c>
      <c r="J61" s="796"/>
      <c r="K61" s="79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82" t="s">
        <v>317</v>
      </c>
      <c r="C71" s="782"/>
      <c r="D71" s="783" t="s">
        <v>318</v>
      </c>
      <c r="E71" s="783"/>
      <c r="F71" s="783"/>
      <c r="G71" s="783"/>
      <c r="H71" s="783"/>
    </row>
    <row r="72" spans="2:8">
      <c r="B72" s="782" t="s">
        <v>319</v>
      </c>
      <c r="C72" s="782"/>
      <c r="D72" s="783" t="s">
        <v>320</v>
      </c>
      <c r="E72" s="783"/>
      <c r="F72" s="783"/>
      <c r="G72" s="783"/>
      <c r="H72" s="783"/>
    </row>
    <row r="73" spans="2:8">
      <c r="B73" s="782" t="s">
        <v>321</v>
      </c>
      <c r="C73" s="782"/>
      <c r="D73" s="783" t="s">
        <v>322</v>
      </c>
      <c r="E73" s="783"/>
      <c r="F73" s="783"/>
      <c r="G73" s="783"/>
      <c r="H73" s="783"/>
    </row>
    <row r="74" spans="2:8">
      <c r="B74" s="782" t="s">
        <v>323</v>
      </c>
      <c r="C74" s="782"/>
      <c r="D74" s="783" t="s">
        <v>324</v>
      </c>
      <c r="E74" s="783"/>
      <c r="F74" s="783"/>
      <c r="G74" s="783"/>
      <c r="H74" s="783"/>
    </row>
    <row r="75" spans="2:8">
      <c r="B75" s="560"/>
      <c r="C75" s="561"/>
      <c r="D75" s="561"/>
      <c r="E75" s="561"/>
      <c r="F75" s="561"/>
      <c r="G75" s="561"/>
      <c r="H75" s="561"/>
    </row>
    <row r="76" spans="2:8">
      <c r="B76" s="563"/>
      <c r="C76" s="564" t="s">
        <v>325</v>
      </c>
      <c r="D76" s="565" t="s">
        <v>87</v>
      </c>
      <c r="E76" s="565" t="s">
        <v>88</v>
      </c>
    </row>
    <row r="77" spans="2:8">
      <c r="B77" s="784" t="s">
        <v>133</v>
      </c>
      <c r="C77" s="566" t="s">
        <v>326</v>
      </c>
      <c r="D77" s="567" t="s">
        <v>327</v>
      </c>
      <c r="E77" s="567" t="s">
        <v>9</v>
      </c>
      <c r="F77" s="488"/>
      <c r="G77" s="547"/>
      <c r="H77" s="6"/>
    </row>
    <row r="78" spans="2:8">
      <c r="B78" s="785"/>
      <c r="C78" s="568"/>
      <c r="D78" s="569"/>
      <c r="E78" s="570"/>
      <c r="F78" s="6"/>
      <c r="G78" s="488"/>
      <c r="H78" s="6"/>
    </row>
    <row r="79" spans="2:8">
      <c r="B79" s="785"/>
      <c r="C79" s="568"/>
      <c r="D79" s="569"/>
      <c r="E79" s="570"/>
      <c r="F79" s="6"/>
      <c r="G79" s="488"/>
      <c r="H79" s="6"/>
    </row>
    <row r="80" spans="2:8">
      <c r="B80" s="785"/>
      <c r="C80" s="568"/>
      <c r="D80" s="569"/>
      <c r="E80" s="570"/>
      <c r="F80" s="6"/>
      <c r="G80" s="488"/>
      <c r="H80" s="6"/>
    </row>
    <row r="81" spans="2:8">
      <c r="B81" s="785"/>
      <c r="C81" s="568"/>
      <c r="D81" s="569"/>
      <c r="E81" s="570"/>
      <c r="F81" s="6"/>
      <c r="G81" s="488"/>
      <c r="H81" s="6"/>
    </row>
    <row r="82" spans="2:8">
      <c r="B82" s="785"/>
      <c r="C82" s="568"/>
      <c r="D82" s="569" t="s">
        <v>328</v>
      </c>
      <c r="E82" s="570"/>
      <c r="F82" s="6"/>
      <c r="G82" s="488"/>
      <c r="H82" s="6"/>
    </row>
    <row r="83" spans="2:8" ht="13.5" thickBot="1">
      <c r="B83" s="786"/>
      <c r="C83" s="571"/>
      <c r="D83" s="571"/>
      <c r="E83" s="572" t="s">
        <v>329</v>
      </c>
      <c r="F83" s="6"/>
      <c r="G83" s="6"/>
      <c r="H83" s="6"/>
    </row>
    <row r="84" spans="2:8" ht="13.5" thickTop="1">
      <c r="B84" s="563"/>
      <c r="C84" s="570"/>
      <c r="D84" s="563"/>
      <c r="E84" s="573"/>
      <c r="F84" s="6"/>
      <c r="G84" s="6"/>
      <c r="H84" s="6"/>
    </row>
    <row r="85" spans="2:8">
      <c r="B85" s="778" t="s">
        <v>330</v>
      </c>
      <c r="C85" s="779"/>
      <c r="D85" s="779"/>
      <c r="E85" s="78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7">C87*D87</f>
        <v>4.1680000000000002E-2</v>
      </c>
      <c r="F87" s="6"/>
      <c r="G87" s="6"/>
      <c r="H87" s="6"/>
    </row>
    <row r="88" spans="2:8">
      <c r="B88" s="574" t="s">
        <v>2</v>
      </c>
      <c r="C88" s="575">
        <v>0</v>
      </c>
      <c r="D88" s="576">
        <v>0.43</v>
      </c>
      <c r="E88" s="576">
        <f t="shared" si="7"/>
        <v>0</v>
      </c>
      <c r="F88" s="6"/>
      <c r="G88" s="6"/>
      <c r="H88" s="6"/>
    </row>
    <row r="89" spans="2:8">
      <c r="B89" s="574" t="s">
        <v>16</v>
      </c>
      <c r="C89" s="575">
        <v>0</v>
      </c>
      <c r="D89" s="576">
        <v>0.24</v>
      </c>
      <c r="E89" s="576">
        <f t="shared" si="7"/>
        <v>0</v>
      </c>
      <c r="F89" s="6"/>
      <c r="G89" s="6"/>
      <c r="H89" s="6"/>
    </row>
    <row r="90" spans="2:8">
      <c r="B90" s="574" t="s">
        <v>331</v>
      </c>
      <c r="C90" s="575">
        <v>0</v>
      </c>
      <c r="D90" s="576">
        <v>0.39</v>
      </c>
      <c r="E90" s="576">
        <f t="shared" si="7"/>
        <v>0</v>
      </c>
    </row>
    <row r="91" spans="2:8">
      <c r="B91" s="574" t="s">
        <v>332</v>
      </c>
      <c r="C91" s="575">
        <v>1.4500000000000001E-2</v>
      </c>
      <c r="D91" s="576">
        <v>0</v>
      </c>
      <c r="E91" s="576">
        <f t="shared" si="7"/>
        <v>0</v>
      </c>
    </row>
    <row r="92" spans="2:8">
      <c r="B92" s="574" t="s">
        <v>231</v>
      </c>
      <c r="C92" s="575">
        <v>9.7600000000000006E-2</v>
      </c>
      <c r="D92" s="576">
        <v>0</v>
      </c>
      <c r="E92" s="576">
        <f t="shared" si="7"/>
        <v>0</v>
      </c>
    </row>
    <row r="93" spans="2:8">
      <c r="B93" s="574" t="s">
        <v>232</v>
      </c>
      <c r="C93" s="575">
        <v>1.7000000000000001E-2</v>
      </c>
      <c r="D93" s="576">
        <v>0</v>
      </c>
      <c r="E93" s="576">
        <f t="shared" si="7"/>
        <v>0</v>
      </c>
    </row>
    <row r="94" spans="2:8">
      <c r="B94" s="574" t="s">
        <v>233</v>
      </c>
      <c r="C94" s="575">
        <f>(0.95+12.16)/100</f>
        <v>0.13109999999999999</v>
      </c>
      <c r="D94" s="576">
        <v>0</v>
      </c>
      <c r="E94" s="576">
        <f t="shared" si="7"/>
        <v>0</v>
      </c>
    </row>
    <row r="95" spans="2:8">
      <c r="B95" s="781" t="s">
        <v>333</v>
      </c>
      <c r="C95" s="781"/>
      <c r="D95" s="781"/>
      <c r="E95" s="577">
        <f>SUM(E86:E94)</f>
        <v>0.13702</v>
      </c>
    </row>
    <row r="96" spans="2:8">
      <c r="B96" s="778" t="s">
        <v>334</v>
      </c>
      <c r="C96" s="779"/>
      <c r="D96" s="779"/>
      <c r="E96" s="78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8">C98*D98</f>
        <v>3.4279999999999998E-2</v>
      </c>
    </row>
    <row r="99" spans="2:5">
      <c r="B99" s="574" t="s">
        <v>2</v>
      </c>
      <c r="C99" s="575">
        <f>0.75/100</f>
        <v>7.4999999999999997E-3</v>
      </c>
      <c r="D99" s="576">
        <v>0.43</v>
      </c>
      <c r="E99" s="576">
        <f t="shared" si="8"/>
        <v>3.225E-3</v>
      </c>
    </row>
    <row r="100" spans="2:5">
      <c r="B100" s="574" t="s">
        <v>16</v>
      </c>
      <c r="C100" s="575">
        <f>0.79/100</f>
        <v>7.9000000000000008E-3</v>
      </c>
      <c r="D100" s="576">
        <v>0.24</v>
      </c>
      <c r="E100" s="576">
        <f t="shared" si="8"/>
        <v>1.8960000000000001E-3</v>
      </c>
    </row>
    <row r="101" spans="2:5">
      <c r="B101" s="574" t="s">
        <v>331</v>
      </c>
      <c r="C101" s="575">
        <f>0.35/100</f>
        <v>3.4999999999999996E-3</v>
      </c>
      <c r="D101" s="576">
        <v>0.39</v>
      </c>
      <c r="E101" s="576">
        <f t="shared" si="8"/>
        <v>1.3649999999999999E-3</v>
      </c>
    </row>
    <row r="102" spans="2:5">
      <c r="B102" s="574" t="s">
        <v>332</v>
      </c>
      <c r="C102" s="575">
        <f>6.51/100</f>
        <v>6.5099999999999991E-2</v>
      </c>
      <c r="D102" s="576">
        <v>0</v>
      </c>
      <c r="E102" s="576">
        <f t="shared" si="8"/>
        <v>0</v>
      </c>
    </row>
    <row r="103" spans="2:5">
      <c r="B103" s="574" t="s">
        <v>231</v>
      </c>
      <c r="C103" s="575">
        <f>1.45/100</f>
        <v>1.4499999999999999E-2</v>
      </c>
      <c r="D103" s="576">
        <v>0</v>
      </c>
      <c r="E103" s="576">
        <f t="shared" si="8"/>
        <v>0</v>
      </c>
    </row>
    <row r="104" spans="2:5">
      <c r="B104" s="574" t="s">
        <v>232</v>
      </c>
      <c r="C104" s="575">
        <f>1.54/100</f>
        <v>1.54E-2</v>
      </c>
      <c r="D104" s="576">
        <v>0</v>
      </c>
      <c r="E104" s="576">
        <f t="shared" si="8"/>
        <v>0</v>
      </c>
    </row>
    <row r="105" spans="2:5">
      <c r="B105" s="574" t="s">
        <v>233</v>
      </c>
      <c r="C105" s="575">
        <f>0.67/100</f>
        <v>6.7000000000000002E-3</v>
      </c>
      <c r="D105" s="576">
        <v>0</v>
      </c>
      <c r="E105" s="576">
        <f t="shared" si="8"/>
        <v>0</v>
      </c>
    </row>
    <row r="106" spans="2:5">
      <c r="B106" s="781" t="s">
        <v>333</v>
      </c>
      <c r="C106" s="781"/>
      <c r="D106" s="781"/>
      <c r="E106" s="577">
        <f>SUM(E97:E105)</f>
        <v>0.15982100000000002</v>
      </c>
    </row>
    <row r="107" spans="2:5">
      <c r="B107" s="778" t="s">
        <v>335</v>
      </c>
      <c r="C107" s="779"/>
      <c r="D107" s="779"/>
      <c r="E107" s="78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9">C109*D109</f>
        <v>5.1400000000000001E-2</v>
      </c>
    </row>
    <row r="110" spans="2:5">
      <c r="B110" s="574" t="s">
        <v>2</v>
      </c>
      <c r="C110" s="575">
        <v>0</v>
      </c>
      <c r="D110" s="576">
        <v>0.43</v>
      </c>
      <c r="E110" s="576">
        <f t="shared" si="9"/>
        <v>0</v>
      </c>
    </row>
    <row r="111" spans="2:5">
      <c r="B111" s="574" t="s">
        <v>16</v>
      </c>
      <c r="C111" s="575">
        <f>0.81/100</f>
        <v>8.1000000000000013E-3</v>
      </c>
      <c r="D111" s="576">
        <v>0.24</v>
      </c>
      <c r="E111" s="576">
        <f t="shared" si="9"/>
        <v>1.9440000000000002E-3</v>
      </c>
    </row>
    <row r="112" spans="2:5">
      <c r="B112" s="574" t="s">
        <v>331</v>
      </c>
      <c r="C112" s="575">
        <v>0</v>
      </c>
      <c r="D112" s="576">
        <v>0.39</v>
      </c>
      <c r="E112" s="576">
        <f t="shared" si="9"/>
        <v>0</v>
      </c>
    </row>
    <row r="113" spans="2:5">
      <c r="B113" s="574" t="s">
        <v>332</v>
      </c>
      <c r="C113" s="575">
        <f>10.71/100</f>
        <v>0.10710000000000001</v>
      </c>
      <c r="D113" s="576">
        <v>0</v>
      </c>
      <c r="E113" s="576">
        <f t="shared" si="9"/>
        <v>0</v>
      </c>
    </row>
    <row r="114" spans="2:5">
      <c r="B114" s="574" t="s">
        <v>231</v>
      </c>
      <c r="C114" s="575">
        <f>1.77/100</f>
        <v>1.77E-2</v>
      </c>
      <c r="D114" s="576">
        <v>0</v>
      </c>
      <c r="E114" s="576">
        <f t="shared" si="9"/>
        <v>0</v>
      </c>
    </row>
    <row r="115" spans="2:5">
      <c r="B115" s="574" t="s">
        <v>232</v>
      </c>
      <c r="C115" s="575">
        <f>1.33/100</f>
        <v>1.3300000000000001E-2</v>
      </c>
      <c r="D115" s="576">
        <v>0</v>
      </c>
      <c r="E115" s="576">
        <f t="shared" si="9"/>
        <v>0</v>
      </c>
    </row>
    <row r="116" spans="2:5">
      <c r="B116" s="574" t="s">
        <v>233</v>
      </c>
      <c r="C116" s="575">
        <f>6.21/100</f>
        <v>6.2100000000000002E-2</v>
      </c>
      <c r="D116" s="576">
        <v>0</v>
      </c>
      <c r="E116" s="576">
        <f t="shared" si="9"/>
        <v>0</v>
      </c>
    </row>
    <row r="117" spans="2:5">
      <c r="B117" s="781" t="s">
        <v>333</v>
      </c>
      <c r="C117" s="781"/>
      <c r="D117" s="78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E15:E28 J15:J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28.291980486</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28.291980486</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28.654433389999994</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28.654433389999994</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29.300130859999999</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29.300130859999999</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29.820930898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29.820930898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29.980460246</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29.980460246</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33.208391259999999</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33.208391259999999</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33.891502326000001</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33.891502326000001</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34.574057056000001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34.574057056000001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35.251882930000001</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35.251882930000001</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35.919972924</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35.919972924</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38.775158818000001</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38.775158818000001</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G13" sqref="G13"/>
    </sheetView>
  </sheetViews>
  <sheetFormatPr defaultColWidth="11.42578125" defaultRowHeight="12.75"/>
  <cols>
    <col min="1" max="1" width="3.42578125" style="715" customWidth="1"/>
    <col min="2" max="2" width="15.28515625" style="715" customWidth="1"/>
    <col min="3" max="4" width="10.140625" style="715" bestFit="1" customWidth="1"/>
    <col min="5" max="5" width="9.42578125" style="715" customWidth="1"/>
    <col min="6" max="6" width="11.28515625" style="715" customWidth="1"/>
    <col min="7" max="7" width="9.42578125" style="715" customWidth="1"/>
    <col min="8" max="8" width="8.42578125" style="715" customWidth="1"/>
    <col min="9" max="10" width="10.85546875" style="715" customWidth="1"/>
    <col min="11" max="11" width="9.42578125" style="715" bestFit="1" customWidth="1"/>
    <col min="12" max="12" width="10.28515625" style="715" customWidth="1"/>
    <col min="13" max="13" width="10.140625" style="715" customWidth="1"/>
    <col min="14" max="14" width="8.42578125" style="715" customWidth="1"/>
    <col min="15" max="15" width="23.7109375" style="715" customWidth="1"/>
    <col min="16" max="16" width="9.28515625" style="715" customWidth="1"/>
    <col min="17" max="17" width="3.85546875" style="715" customWidth="1"/>
    <col min="18" max="19" width="13" style="715" customWidth="1"/>
    <col min="20" max="20" width="9.42578125" style="715" customWidth="1"/>
    <col min="21" max="16384" width="11.42578125" style="715"/>
  </cols>
  <sheetData>
    <row r="2" spans="2:20" ht="15.75">
      <c r="C2" s="716" t="s">
        <v>106</v>
      </c>
      <c r="Q2" s="805" t="s">
        <v>107</v>
      </c>
      <c r="R2" s="805"/>
      <c r="S2" s="805"/>
      <c r="T2" s="805"/>
    </row>
    <row r="4" spans="2:20">
      <c r="C4" s="715" t="s">
        <v>26</v>
      </c>
    </row>
    <row r="5" spans="2:20">
      <c r="C5" s="715" t="s">
        <v>281</v>
      </c>
    </row>
    <row r="6" spans="2:20">
      <c r="C6" s="715" t="s">
        <v>29</v>
      </c>
    </row>
    <row r="7" spans="2:20">
      <c r="C7" s="715" t="s">
        <v>109</v>
      </c>
    </row>
    <row r="8" spans="2:20" ht="13.5" thickBot="1"/>
    <row r="9" spans="2:20" ht="13.5" thickBot="1">
      <c r="C9" s="806" t="s">
        <v>95</v>
      </c>
      <c r="D9" s="807"/>
      <c r="E9" s="807"/>
      <c r="F9" s="807"/>
      <c r="G9" s="807"/>
      <c r="H9" s="808"/>
      <c r="I9" s="814" t="s">
        <v>308</v>
      </c>
      <c r="J9" s="815"/>
      <c r="K9" s="815"/>
      <c r="L9" s="815"/>
      <c r="M9" s="815"/>
      <c r="N9" s="816"/>
      <c r="R9" s="717" t="s">
        <v>95</v>
      </c>
      <c r="S9" s="714" t="s">
        <v>308</v>
      </c>
    </row>
    <row r="10" spans="2:20" s="724" customFormat="1" ht="38.25" customHeight="1">
      <c r="B10" s="718"/>
      <c r="C10" s="718" t="s">
        <v>104</v>
      </c>
      <c r="D10" s="719" t="s">
        <v>105</v>
      </c>
      <c r="E10" s="719" t="s">
        <v>0</v>
      </c>
      <c r="F10" s="719" t="s">
        <v>206</v>
      </c>
      <c r="G10" s="719" t="s">
        <v>103</v>
      </c>
      <c r="H10" s="720" t="s">
        <v>161</v>
      </c>
      <c r="I10" s="721" t="s">
        <v>104</v>
      </c>
      <c r="J10" s="722" t="s">
        <v>105</v>
      </c>
      <c r="K10" s="722" t="s">
        <v>0</v>
      </c>
      <c r="L10" s="722" t="s">
        <v>206</v>
      </c>
      <c r="M10" s="722" t="s">
        <v>103</v>
      </c>
      <c r="N10" s="723" t="s">
        <v>161</v>
      </c>
      <c r="O10" s="713" t="s">
        <v>28</v>
      </c>
      <c r="R10" s="809" t="s">
        <v>147</v>
      </c>
      <c r="S10" s="809" t="s">
        <v>315</v>
      </c>
    </row>
    <row r="11" spans="2:20" s="729" customFormat="1" ht="13.5" thickBot="1">
      <c r="B11" s="725"/>
      <c r="C11" s="725" t="s">
        <v>11</v>
      </c>
      <c r="D11" s="726" t="s">
        <v>11</v>
      </c>
      <c r="E11" s="726" t="s">
        <v>11</v>
      </c>
      <c r="F11" s="726" t="s">
        <v>11</v>
      </c>
      <c r="G11" s="726" t="s">
        <v>11</v>
      </c>
      <c r="H11" s="727"/>
      <c r="I11" s="725" t="s">
        <v>11</v>
      </c>
      <c r="J11" s="726" t="s">
        <v>11</v>
      </c>
      <c r="K11" s="726" t="s">
        <v>11</v>
      </c>
      <c r="L11" s="726" t="s">
        <v>11</v>
      </c>
      <c r="M11" s="726" t="s">
        <v>11</v>
      </c>
      <c r="N11" s="727"/>
      <c r="O11" s="728"/>
      <c r="R11" s="810"/>
      <c r="S11" s="810"/>
    </row>
    <row r="12" spans="2:20" s="729" customFormat="1" ht="13.5" thickBot="1">
      <c r="B12" s="730" t="s">
        <v>25</v>
      </c>
      <c r="C12" s="731">
        <v>0.4</v>
      </c>
      <c r="D12" s="732">
        <v>0.8</v>
      </c>
      <c r="E12" s="732">
        <v>1</v>
      </c>
      <c r="F12" s="732">
        <v>0.5</v>
      </c>
      <c r="G12" s="732">
        <v>0.6</v>
      </c>
      <c r="H12" s="733"/>
      <c r="I12" s="731">
        <v>0.4</v>
      </c>
      <c r="J12" s="732">
        <v>0.8</v>
      </c>
      <c r="K12" s="732">
        <v>1</v>
      </c>
      <c r="L12" s="732">
        <v>0.5</v>
      </c>
      <c r="M12" s="732">
        <v>0.6</v>
      </c>
      <c r="N12" s="733"/>
      <c r="O12" s="734"/>
      <c r="R12" s="810"/>
      <c r="S12" s="810"/>
    </row>
    <row r="13" spans="2:20" s="729" customFormat="1" ht="26.25" thickBot="1">
      <c r="B13" s="730" t="s">
        <v>159</v>
      </c>
      <c r="C13" s="735">
        <f>C12</f>
        <v>0.4</v>
      </c>
      <c r="D13" s="736">
        <f>D12</f>
        <v>0.8</v>
      </c>
      <c r="E13" s="736">
        <f>E12</f>
        <v>1</v>
      </c>
      <c r="F13" s="736">
        <f>F12</f>
        <v>0.5</v>
      </c>
      <c r="G13" s="736">
        <f>G12</f>
        <v>0.6</v>
      </c>
      <c r="H13" s="737"/>
      <c r="I13" s="735">
        <v>0.4</v>
      </c>
      <c r="J13" s="736">
        <v>0.8</v>
      </c>
      <c r="K13" s="736">
        <v>1</v>
      </c>
      <c r="L13" s="736">
        <v>0.5</v>
      </c>
      <c r="M13" s="736">
        <v>0.6</v>
      </c>
      <c r="N13" s="737"/>
      <c r="O13" s="738"/>
      <c r="R13" s="810"/>
      <c r="S13" s="810"/>
    </row>
    <row r="14" spans="2:20" s="729" customFormat="1" ht="13.5" thickBot="1">
      <c r="B14" s="739"/>
      <c r="C14" s="739"/>
      <c r="D14" s="740"/>
      <c r="E14" s="740"/>
      <c r="F14" s="740"/>
      <c r="G14" s="740"/>
      <c r="H14" s="741"/>
      <c r="I14" s="739"/>
      <c r="J14" s="740"/>
      <c r="K14" s="740"/>
      <c r="L14" s="740"/>
      <c r="M14" s="740"/>
      <c r="N14" s="741"/>
      <c r="O14" s="742"/>
      <c r="R14" s="810"/>
      <c r="S14" s="810"/>
    </row>
    <row r="15" spans="2:20" s="729" customFormat="1" ht="12.75" customHeight="1" thickBot="1">
      <c r="B15" s="743"/>
      <c r="C15" s="802" t="s">
        <v>158</v>
      </c>
      <c r="D15" s="803"/>
      <c r="E15" s="803"/>
      <c r="F15" s="803"/>
      <c r="G15" s="803"/>
      <c r="H15" s="804"/>
      <c r="I15" s="802" t="s">
        <v>158</v>
      </c>
      <c r="J15" s="803"/>
      <c r="K15" s="803"/>
      <c r="L15" s="803"/>
      <c r="M15" s="803"/>
      <c r="N15" s="804"/>
      <c r="O15" s="744"/>
      <c r="R15" s="810"/>
      <c r="S15" s="810"/>
    </row>
    <row r="16" spans="2:20" s="729" customFormat="1" ht="26.25" thickBot="1">
      <c r="B16" s="730" t="s">
        <v>160</v>
      </c>
      <c r="C16" s="745">
        <v>0</v>
      </c>
      <c r="D16" s="746">
        <v>0</v>
      </c>
      <c r="E16" s="746">
        <v>1</v>
      </c>
      <c r="F16" s="746">
        <v>0</v>
      </c>
      <c r="G16" s="746">
        <v>0</v>
      </c>
      <c r="H16" s="812" t="s">
        <v>36</v>
      </c>
      <c r="I16" s="747">
        <v>0.2</v>
      </c>
      <c r="J16" s="748">
        <v>0.3</v>
      </c>
      <c r="K16" s="748">
        <v>0.25</v>
      </c>
      <c r="L16" s="748">
        <v>0.05</v>
      </c>
      <c r="M16" s="748">
        <v>0.2</v>
      </c>
      <c r="N16" s="812" t="s">
        <v>36</v>
      </c>
      <c r="O16" s="749"/>
      <c r="R16" s="811"/>
      <c r="S16" s="811"/>
    </row>
    <row r="17" spans="2:19" s="729" customFormat="1" ht="13.5" thickBot="1">
      <c r="B17" s="750" t="s">
        <v>1</v>
      </c>
      <c r="C17" s="750" t="s">
        <v>24</v>
      </c>
      <c r="D17" s="751" t="s">
        <v>24</v>
      </c>
      <c r="E17" s="751" t="s">
        <v>24</v>
      </c>
      <c r="F17" s="751" t="s">
        <v>24</v>
      </c>
      <c r="G17" s="751" t="s">
        <v>24</v>
      </c>
      <c r="H17" s="813"/>
      <c r="I17" s="750" t="s">
        <v>24</v>
      </c>
      <c r="J17" s="751" t="s">
        <v>24</v>
      </c>
      <c r="K17" s="751" t="s">
        <v>24</v>
      </c>
      <c r="L17" s="751" t="s">
        <v>24</v>
      </c>
      <c r="M17" s="751" t="s">
        <v>24</v>
      </c>
      <c r="N17" s="813"/>
      <c r="O17" s="728"/>
      <c r="R17" s="730" t="s">
        <v>157</v>
      </c>
      <c r="S17" s="752" t="s">
        <v>157</v>
      </c>
    </row>
    <row r="18" spans="2:19">
      <c r="B18" s="753">
        <f>year</f>
        <v>2000</v>
      </c>
      <c r="C18" s="754">
        <f>C$16</f>
        <v>0</v>
      </c>
      <c r="D18" s="755">
        <f t="shared" ref="D18:G33" si="0">D$16</f>
        <v>0</v>
      </c>
      <c r="E18" s="755">
        <f t="shared" si="0"/>
        <v>1</v>
      </c>
      <c r="F18" s="755">
        <f t="shared" si="0"/>
        <v>0</v>
      </c>
      <c r="G18" s="755">
        <f t="shared" si="0"/>
        <v>0</v>
      </c>
      <c r="H18" s="756">
        <f>SUM(C18:G18)</f>
        <v>1</v>
      </c>
      <c r="I18" s="754">
        <f>I$16</f>
        <v>0.2</v>
      </c>
      <c r="J18" s="755">
        <f t="shared" ref="J18:M33" si="1">J$16</f>
        <v>0.3</v>
      </c>
      <c r="K18" s="755">
        <f t="shared" si="1"/>
        <v>0.25</v>
      </c>
      <c r="L18" s="755">
        <f t="shared" si="1"/>
        <v>0.05</v>
      </c>
      <c r="M18" s="755">
        <f t="shared" si="1"/>
        <v>0.2</v>
      </c>
      <c r="N18" s="756">
        <f>SUM(I18:M18)</f>
        <v>1</v>
      </c>
      <c r="O18" s="757"/>
      <c r="R18" s="758">
        <f>C18*C$13+D18*D$13+E18*E$13+F18*F$13+G18*G$13</f>
        <v>1</v>
      </c>
      <c r="S18" s="759">
        <f>I18*I$13+J18*J$13+K18*K$13+L18*L$13+M18*M$13</f>
        <v>0.71500000000000008</v>
      </c>
    </row>
    <row r="19" spans="2:19">
      <c r="B19" s="760">
        <f t="shared" ref="B19:B50" si="2">B18+1</f>
        <v>2001</v>
      </c>
      <c r="C19" s="761">
        <f t="shared" ref="C19:G50" si="3">C$16</f>
        <v>0</v>
      </c>
      <c r="D19" s="762">
        <f t="shared" si="0"/>
        <v>0</v>
      </c>
      <c r="E19" s="762">
        <f t="shared" si="0"/>
        <v>1</v>
      </c>
      <c r="F19" s="762">
        <f t="shared" si="0"/>
        <v>0</v>
      </c>
      <c r="G19" s="762">
        <f t="shared" si="0"/>
        <v>0</v>
      </c>
      <c r="H19" s="763">
        <f t="shared" ref="H19:H82" si="4">SUM(C19:G19)</f>
        <v>1</v>
      </c>
      <c r="I19" s="761">
        <f t="shared" ref="I19:M50" si="5">I$16</f>
        <v>0.2</v>
      </c>
      <c r="J19" s="762">
        <f t="shared" si="1"/>
        <v>0.3</v>
      </c>
      <c r="K19" s="762">
        <f t="shared" si="1"/>
        <v>0.25</v>
      </c>
      <c r="L19" s="762">
        <f t="shared" si="1"/>
        <v>0.05</v>
      </c>
      <c r="M19" s="762">
        <f t="shared" si="1"/>
        <v>0.2</v>
      </c>
      <c r="N19" s="763">
        <f t="shared" ref="N19:N82" si="6">SUM(I19:M19)</f>
        <v>1</v>
      </c>
      <c r="O19" s="764"/>
      <c r="R19" s="758">
        <f t="shared" ref="R19:R82" si="7">C19*C$13+D19*D$13+E19*E$13+F19*F$13+G19*G$13</f>
        <v>1</v>
      </c>
      <c r="S19" s="759">
        <f t="shared" ref="S19:S82" si="8">I19*I$13+J19*J$13+K19*K$13+L19*L$13+M19*M$13</f>
        <v>0.71500000000000008</v>
      </c>
    </row>
    <row r="20" spans="2:19">
      <c r="B20" s="760">
        <f t="shared" si="2"/>
        <v>2002</v>
      </c>
      <c r="C20" s="761">
        <f t="shared" si="3"/>
        <v>0</v>
      </c>
      <c r="D20" s="762">
        <f t="shared" si="0"/>
        <v>0</v>
      </c>
      <c r="E20" s="762">
        <f t="shared" si="0"/>
        <v>1</v>
      </c>
      <c r="F20" s="762">
        <f t="shared" si="0"/>
        <v>0</v>
      </c>
      <c r="G20" s="762">
        <f t="shared" si="0"/>
        <v>0</v>
      </c>
      <c r="H20" s="763">
        <f t="shared" si="4"/>
        <v>1</v>
      </c>
      <c r="I20" s="761">
        <f t="shared" si="5"/>
        <v>0.2</v>
      </c>
      <c r="J20" s="762">
        <f t="shared" si="1"/>
        <v>0.3</v>
      </c>
      <c r="K20" s="762">
        <f t="shared" si="1"/>
        <v>0.25</v>
      </c>
      <c r="L20" s="762">
        <f t="shared" si="1"/>
        <v>0.05</v>
      </c>
      <c r="M20" s="762">
        <f t="shared" si="1"/>
        <v>0.2</v>
      </c>
      <c r="N20" s="763">
        <f t="shared" si="6"/>
        <v>1</v>
      </c>
      <c r="O20" s="764"/>
      <c r="R20" s="758">
        <f t="shared" si="7"/>
        <v>1</v>
      </c>
      <c r="S20" s="759">
        <f t="shared" si="8"/>
        <v>0.71500000000000008</v>
      </c>
    </row>
    <row r="21" spans="2:19">
      <c r="B21" s="760">
        <f t="shared" si="2"/>
        <v>2003</v>
      </c>
      <c r="C21" s="761">
        <f t="shared" si="3"/>
        <v>0</v>
      </c>
      <c r="D21" s="762">
        <f t="shared" si="0"/>
        <v>0</v>
      </c>
      <c r="E21" s="762">
        <f t="shared" si="0"/>
        <v>1</v>
      </c>
      <c r="F21" s="762">
        <f t="shared" si="0"/>
        <v>0</v>
      </c>
      <c r="G21" s="762">
        <f t="shared" si="0"/>
        <v>0</v>
      </c>
      <c r="H21" s="763">
        <f t="shared" si="4"/>
        <v>1</v>
      </c>
      <c r="I21" s="761">
        <f t="shared" si="5"/>
        <v>0.2</v>
      </c>
      <c r="J21" s="762">
        <f t="shared" si="1"/>
        <v>0.3</v>
      </c>
      <c r="K21" s="762">
        <f t="shared" si="1"/>
        <v>0.25</v>
      </c>
      <c r="L21" s="762">
        <f t="shared" si="1"/>
        <v>0.05</v>
      </c>
      <c r="M21" s="762">
        <f t="shared" si="1"/>
        <v>0.2</v>
      </c>
      <c r="N21" s="763">
        <f t="shared" si="6"/>
        <v>1</v>
      </c>
      <c r="O21" s="764"/>
      <c r="R21" s="758">
        <f t="shared" si="7"/>
        <v>1</v>
      </c>
      <c r="S21" s="759">
        <f t="shared" si="8"/>
        <v>0.71500000000000008</v>
      </c>
    </row>
    <row r="22" spans="2:19">
      <c r="B22" s="760">
        <f t="shared" si="2"/>
        <v>2004</v>
      </c>
      <c r="C22" s="761">
        <f t="shared" si="3"/>
        <v>0</v>
      </c>
      <c r="D22" s="762">
        <f t="shared" si="0"/>
        <v>0</v>
      </c>
      <c r="E22" s="762">
        <f t="shared" si="0"/>
        <v>1</v>
      </c>
      <c r="F22" s="762">
        <f t="shared" si="0"/>
        <v>0</v>
      </c>
      <c r="G22" s="762">
        <f t="shared" si="0"/>
        <v>0</v>
      </c>
      <c r="H22" s="763">
        <f t="shared" si="4"/>
        <v>1</v>
      </c>
      <c r="I22" s="761">
        <f t="shared" si="5"/>
        <v>0.2</v>
      </c>
      <c r="J22" s="762">
        <f t="shared" si="1"/>
        <v>0.3</v>
      </c>
      <c r="K22" s="762">
        <f t="shared" si="1"/>
        <v>0.25</v>
      </c>
      <c r="L22" s="762">
        <f t="shared" si="1"/>
        <v>0.05</v>
      </c>
      <c r="M22" s="762">
        <f t="shared" si="1"/>
        <v>0.2</v>
      </c>
      <c r="N22" s="763">
        <f t="shared" si="6"/>
        <v>1</v>
      </c>
      <c r="O22" s="764"/>
      <c r="R22" s="758">
        <f t="shared" si="7"/>
        <v>1</v>
      </c>
      <c r="S22" s="759">
        <f t="shared" si="8"/>
        <v>0.71500000000000008</v>
      </c>
    </row>
    <row r="23" spans="2:19">
      <c r="B23" s="760">
        <f t="shared" si="2"/>
        <v>2005</v>
      </c>
      <c r="C23" s="761">
        <f t="shared" si="3"/>
        <v>0</v>
      </c>
      <c r="D23" s="762">
        <f t="shared" si="0"/>
        <v>0</v>
      </c>
      <c r="E23" s="762">
        <f t="shared" si="0"/>
        <v>1</v>
      </c>
      <c r="F23" s="762">
        <f t="shared" si="0"/>
        <v>0</v>
      </c>
      <c r="G23" s="762">
        <f t="shared" si="0"/>
        <v>0</v>
      </c>
      <c r="H23" s="763">
        <f t="shared" si="4"/>
        <v>1</v>
      </c>
      <c r="I23" s="761">
        <f t="shared" si="5"/>
        <v>0.2</v>
      </c>
      <c r="J23" s="762">
        <f t="shared" si="1"/>
        <v>0.3</v>
      </c>
      <c r="K23" s="762">
        <f t="shared" si="1"/>
        <v>0.25</v>
      </c>
      <c r="L23" s="762">
        <f t="shared" si="1"/>
        <v>0.05</v>
      </c>
      <c r="M23" s="762">
        <f t="shared" si="1"/>
        <v>0.2</v>
      </c>
      <c r="N23" s="763">
        <f t="shared" si="6"/>
        <v>1</v>
      </c>
      <c r="O23" s="764"/>
      <c r="R23" s="758">
        <f t="shared" si="7"/>
        <v>1</v>
      </c>
      <c r="S23" s="759">
        <f t="shared" si="8"/>
        <v>0.71500000000000008</v>
      </c>
    </row>
    <row r="24" spans="2:19">
      <c r="B24" s="760">
        <f t="shared" si="2"/>
        <v>2006</v>
      </c>
      <c r="C24" s="761">
        <f t="shared" si="3"/>
        <v>0</v>
      </c>
      <c r="D24" s="762">
        <f t="shared" si="0"/>
        <v>0</v>
      </c>
      <c r="E24" s="762">
        <f t="shared" si="0"/>
        <v>1</v>
      </c>
      <c r="F24" s="762">
        <f t="shared" si="0"/>
        <v>0</v>
      </c>
      <c r="G24" s="762">
        <f t="shared" si="0"/>
        <v>0</v>
      </c>
      <c r="H24" s="763">
        <f t="shared" si="4"/>
        <v>1</v>
      </c>
      <c r="I24" s="761">
        <f t="shared" si="5"/>
        <v>0.2</v>
      </c>
      <c r="J24" s="762">
        <f t="shared" si="1"/>
        <v>0.3</v>
      </c>
      <c r="K24" s="762">
        <f t="shared" si="1"/>
        <v>0.25</v>
      </c>
      <c r="L24" s="762">
        <f t="shared" si="1"/>
        <v>0.05</v>
      </c>
      <c r="M24" s="762">
        <f t="shared" si="1"/>
        <v>0.2</v>
      </c>
      <c r="N24" s="763">
        <f t="shared" si="6"/>
        <v>1</v>
      </c>
      <c r="O24" s="764"/>
      <c r="R24" s="758">
        <f t="shared" si="7"/>
        <v>1</v>
      </c>
      <c r="S24" s="759">
        <f t="shared" si="8"/>
        <v>0.71500000000000008</v>
      </c>
    </row>
    <row r="25" spans="2:19">
      <c r="B25" s="760">
        <f t="shared" si="2"/>
        <v>2007</v>
      </c>
      <c r="C25" s="761">
        <f t="shared" si="3"/>
        <v>0</v>
      </c>
      <c r="D25" s="762">
        <f t="shared" si="0"/>
        <v>0</v>
      </c>
      <c r="E25" s="762">
        <f t="shared" si="0"/>
        <v>1</v>
      </c>
      <c r="F25" s="762">
        <f t="shared" si="0"/>
        <v>0</v>
      </c>
      <c r="G25" s="762">
        <f t="shared" si="0"/>
        <v>0</v>
      </c>
      <c r="H25" s="763">
        <f t="shared" si="4"/>
        <v>1</v>
      </c>
      <c r="I25" s="761">
        <f t="shared" si="5"/>
        <v>0.2</v>
      </c>
      <c r="J25" s="762">
        <f t="shared" si="1"/>
        <v>0.3</v>
      </c>
      <c r="K25" s="762">
        <f t="shared" si="1"/>
        <v>0.25</v>
      </c>
      <c r="L25" s="762">
        <f t="shared" si="1"/>
        <v>0.05</v>
      </c>
      <c r="M25" s="762">
        <f t="shared" si="1"/>
        <v>0.2</v>
      </c>
      <c r="N25" s="763">
        <f t="shared" si="6"/>
        <v>1</v>
      </c>
      <c r="O25" s="764"/>
      <c r="R25" s="758">
        <f t="shared" si="7"/>
        <v>1</v>
      </c>
      <c r="S25" s="759">
        <f t="shared" si="8"/>
        <v>0.71500000000000008</v>
      </c>
    </row>
    <row r="26" spans="2:19">
      <c r="B26" s="760">
        <f t="shared" si="2"/>
        <v>2008</v>
      </c>
      <c r="C26" s="761">
        <f t="shared" si="3"/>
        <v>0</v>
      </c>
      <c r="D26" s="762">
        <f t="shared" si="0"/>
        <v>0</v>
      </c>
      <c r="E26" s="762">
        <f t="shared" si="0"/>
        <v>1</v>
      </c>
      <c r="F26" s="762">
        <f t="shared" si="0"/>
        <v>0</v>
      </c>
      <c r="G26" s="762">
        <f t="shared" si="0"/>
        <v>0</v>
      </c>
      <c r="H26" s="763">
        <f t="shared" si="4"/>
        <v>1</v>
      </c>
      <c r="I26" s="761">
        <f t="shared" si="5"/>
        <v>0.2</v>
      </c>
      <c r="J26" s="762">
        <f t="shared" si="1"/>
        <v>0.3</v>
      </c>
      <c r="K26" s="762">
        <f t="shared" si="1"/>
        <v>0.25</v>
      </c>
      <c r="L26" s="762">
        <f t="shared" si="1"/>
        <v>0.05</v>
      </c>
      <c r="M26" s="762">
        <f t="shared" si="1"/>
        <v>0.2</v>
      </c>
      <c r="N26" s="763">
        <f t="shared" si="6"/>
        <v>1</v>
      </c>
      <c r="O26" s="764"/>
      <c r="R26" s="758">
        <f t="shared" si="7"/>
        <v>1</v>
      </c>
      <c r="S26" s="759">
        <f t="shared" si="8"/>
        <v>0.71500000000000008</v>
      </c>
    </row>
    <row r="27" spans="2:19">
      <c r="B27" s="760">
        <f t="shared" si="2"/>
        <v>2009</v>
      </c>
      <c r="C27" s="761">
        <f t="shared" si="3"/>
        <v>0</v>
      </c>
      <c r="D27" s="762">
        <f t="shared" si="0"/>
        <v>0</v>
      </c>
      <c r="E27" s="762">
        <f t="shared" si="0"/>
        <v>1</v>
      </c>
      <c r="F27" s="762">
        <f t="shared" si="0"/>
        <v>0</v>
      </c>
      <c r="G27" s="762">
        <f t="shared" si="0"/>
        <v>0</v>
      </c>
      <c r="H27" s="763">
        <f t="shared" si="4"/>
        <v>1</v>
      </c>
      <c r="I27" s="761">
        <f t="shared" si="5"/>
        <v>0.2</v>
      </c>
      <c r="J27" s="762">
        <f t="shared" si="1"/>
        <v>0.3</v>
      </c>
      <c r="K27" s="762">
        <f t="shared" si="1"/>
        <v>0.25</v>
      </c>
      <c r="L27" s="762">
        <f t="shared" si="1"/>
        <v>0.05</v>
      </c>
      <c r="M27" s="762">
        <f t="shared" si="1"/>
        <v>0.2</v>
      </c>
      <c r="N27" s="763">
        <f t="shared" si="6"/>
        <v>1</v>
      </c>
      <c r="O27" s="764"/>
      <c r="R27" s="758">
        <f t="shared" si="7"/>
        <v>1</v>
      </c>
      <c r="S27" s="759">
        <f t="shared" si="8"/>
        <v>0.71500000000000008</v>
      </c>
    </row>
    <row r="28" spans="2:19">
      <c r="B28" s="760">
        <f t="shared" si="2"/>
        <v>2010</v>
      </c>
      <c r="C28" s="761">
        <f t="shared" si="3"/>
        <v>0</v>
      </c>
      <c r="D28" s="762">
        <f t="shared" si="0"/>
        <v>0</v>
      </c>
      <c r="E28" s="762">
        <f t="shared" si="0"/>
        <v>1</v>
      </c>
      <c r="F28" s="762">
        <f t="shared" si="0"/>
        <v>0</v>
      </c>
      <c r="G28" s="762">
        <f t="shared" si="0"/>
        <v>0</v>
      </c>
      <c r="H28" s="763">
        <f t="shared" si="4"/>
        <v>1</v>
      </c>
      <c r="I28" s="761">
        <f t="shared" si="5"/>
        <v>0.2</v>
      </c>
      <c r="J28" s="762">
        <f t="shared" si="1"/>
        <v>0.3</v>
      </c>
      <c r="K28" s="762">
        <f t="shared" si="1"/>
        <v>0.25</v>
      </c>
      <c r="L28" s="762">
        <f t="shared" si="1"/>
        <v>0.05</v>
      </c>
      <c r="M28" s="762">
        <f t="shared" si="1"/>
        <v>0.2</v>
      </c>
      <c r="N28" s="763">
        <f t="shared" si="6"/>
        <v>1</v>
      </c>
      <c r="O28" s="764"/>
      <c r="R28" s="758">
        <f t="shared" si="7"/>
        <v>1</v>
      </c>
      <c r="S28" s="759">
        <f t="shared" si="8"/>
        <v>0.71500000000000008</v>
      </c>
    </row>
    <row r="29" spans="2:19">
      <c r="B29" s="760">
        <f t="shared" si="2"/>
        <v>2011</v>
      </c>
      <c r="C29" s="761">
        <f t="shared" si="3"/>
        <v>0</v>
      </c>
      <c r="D29" s="762">
        <f t="shared" si="0"/>
        <v>0</v>
      </c>
      <c r="E29" s="762">
        <f t="shared" si="0"/>
        <v>1</v>
      </c>
      <c r="F29" s="762">
        <f t="shared" si="0"/>
        <v>0</v>
      </c>
      <c r="G29" s="762">
        <f t="shared" si="0"/>
        <v>0</v>
      </c>
      <c r="H29" s="763">
        <f t="shared" si="4"/>
        <v>1</v>
      </c>
      <c r="I29" s="761">
        <f t="shared" si="5"/>
        <v>0.2</v>
      </c>
      <c r="J29" s="762">
        <f t="shared" si="1"/>
        <v>0.3</v>
      </c>
      <c r="K29" s="762">
        <f t="shared" si="1"/>
        <v>0.25</v>
      </c>
      <c r="L29" s="762">
        <f t="shared" si="1"/>
        <v>0.05</v>
      </c>
      <c r="M29" s="762">
        <f t="shared" si="1"/>
        <v>0.2</v>
      </c>
      <c r="N29" s="763">
        <f t="shared" si="6"/>
        <v>1</v>
      </c>
      <c r="O29" s="764"/>
      <c r="R29" s="758">
        <f t="shared" si="7"/>
        <v>1</v>
      </c>
      <c r="S29" s="759">
        <f t="shared" si="8"/>
        <v>0.71500000000000008</v>
      </c>
    </row>
    <row r="30" spans="2:19">
      <c r="B30" s="760">
        <f t="shared" si="2"/>
        <v>2012</v>
      </c>
      <c r="C30" s="761">
        <f t="shared" si="3"/>
        <v>0</v>
      </c>
      <c r="D30" s="762">
        <f t="shared" si="0"/>
        <v>0</v>
      </c>
      <c r="E30" s="762">
        <f t="shared" si="0"/>
        <v>1</v>
      </c>
      <c r="F30" s="762">
        <f t="shared" si="0"/>
        <v>0</v>
      </c>
      <c r="G30" s="762">
        <f t="shared" si="0"/>
        <v>0</v>
      </c>
      <c r="H30" s="763">
        <f t="shared" si="4"/>
        <v>1</v>
      </c>
      <c r="I30" s="761">
        <f t="shared" si="5"/>
        <v>0.2</v>
      </c>
      <c r="J30" s="762">
        <f t="shared" si="1"/>
        <v>0.3</v>
      </c>
      <c r="K30" s="762">
        <f t="shared" si="1"/>
        <v>0.25</v>
      </c>
      <c r="L30" s="762">
        <f t="shared" si="1"/>
        <v>0.05</v>
      </c>
      <c r="M30" s="762">
        <f t="shared" si="1"/>
        <v>0.2</v>
      </c>
      <c r="N30" s="763">
        <f t="shared" si="6"/>
        <v>1</v>
      </c>
      <c r="O30" s="764"/>
      <c r="R30" s="758">
        <f t="shared" si="7"/>
        <v>1</v>
      </c>
      <c r="S30" s="759">
        <f t="shared" si="8"/>
        <v>0.71500000000000008</v>
      </c>
    </row>
    <row r="31" spans="2:19">
      <c r="B31" s="760">
        <f t="shared" si="2"/>
        <v>2013</v>
      </c>
      <c r="C31" s="761">
        <f t="shared" si="3"/>
        <v>0</v>
      </c>
      <c r="D31" s="762">
        <f t="shared" si="0"/>
        <v>0</v>
      </c>
      <c r="E31" s="762">
        <f t="shared" si="0"/>
        <v>1</v>
      </c>
      <c r="F31" s="762">
        <f t="shared" si="0"/>
        <v>0</v>
      </c>
      <c r="G31" s="762">
        <f t="shared" si="0"/>
        <v>0</v>
      </c>
      <c r="H31" s="763">
        <f t="shared" si="4"/>
        <v>1</v>
      </c>
      <c r="I31" s="761">
        <f t="shared" si="5"/>
        <v>0.2</v>
      </c>
      <c r="J31" s="762">
        <f t="shared" si="1"/>
        <v>0.3</v>
      </c>
      <c r="K31" s="762">
        <f t="shared" si="1"/>
        <v>0.25</v>
      </c>
      <c r="L31" s="762">
        <f t="shared" si="1"/>
        <v>0.05</v>
      </c>
      <c r="M31" s="762">
        <f t="shared" si="1"/>
        <v>0.2</v>
      </c>
      <c r="N31" s="763">
        <f t="shared" si="6"/>
        <v>1</v>
      </c>
      <c r="O31" s="764"/>
      <c r="R31" s="758">
        <f t="shared" si="7"/>
        <v>1</v>
      </c>
      <c r="S31" s="759">
        <f t="shared" si="8"/>
        <v>0.71500000000000008</v>
      </c>
    </row>
    <row r="32" spans="2:19">
      <c r="B32" s="760">
        <f t="shared" si="2"/>
        <v>2014</v>
      </c>
      <c r="C32" s="761">
        <f t="shared" si="3"/>
        <v>0</v>
      </c>
      <c r="D32" s="762">
        <f t="shared" si="0"/>
        <v>0</v>
      </c>
      <c r="E32" s="762">
        <f t="shared" si="0"/>
        <v>1</v>
      </c>
      <c r="F32" s="762">
        <f t="shared" si="0"/>
        <v>0</v>
      </c>
      <c r="G32" s="762">
        <f t="shared" si="0"/>
        <v>0</v>
      </c>
      <c r="H32" s="763">
        <f t="shared" si="4"/>
        <v>1</v>
      </c>
      <c r="I32" s="761">
        <f t="shared" si="5"/>
        <v>0.2</v>
      </c>
      <c r="J32" s="762">
        <f t="shared" si="1"/>
        <v>0.3</v>
      </c>
      <c r="K32" s="762">
        <f t="shared" si="1"/>
        <v>0.25</v>
      </c>
      <c r="L32" s="762">
        <f t="shared" si="1"/>
        <v>0.05</v>
      </c>
      <c r="M32" s="762">
        <f t="shared" si="1"/>
        <v>0.2</v>
      </c>
      <c r="N32" s="763">
        <f t="shared" si="6"/>
        <v>1</v>
      </c>
      <c r="O32" s="764"/>
      <c r="R32" s="758">
        <f t="shared" si="7"/>
        <v>1</v>
      </c>
      <c r="S32" s="759">
        <f t="shared" si="8"/>
        <v>0.71500000000000008</v>
      </c>
    </row>
    <row r="33" spans="2:19">
      <c r="B33" s="760">
        <f t="shared" si="2"/>
        <v>2015</v>
      </c>
      <c r="C33" s="761">
        <f t="shared" si="3"/>
        <v>0</v>
      </c>
      <c r="D33" s="762">
        <f t="shared" si="0"/>
        <v>0</v>
      </c>
      <c r="E33" s="762">
        <f t="shared" si="0"/>
        <v>1</v>
      </c>
      <c r="F33" s="762">
        <f t="shared" si="0"/>
        <v>0</v>
      </c>
      <c r="G33" s="762">
        <f t="shared" si="0"/>
        <v>0</v>
      </c>
      <c r="H33" s="763">
        <f t="shared" si="4"/>
        <v>1</v>
      </c>
      <c r="I33" s="761">
        <f t="shared" si="5"/>
        <v>0.2</v>
      </c>
      <c r="J33" s="762">
        <f t="shared" si="1"/>
        <v>0.3</v>
      </c>
      <c r="K33" s="762">
        <f t="shared" si="1"/>
        <v>0.25</v>
      </c>
      <c r="L33" s="762">
        <f t="shared" si="1"/>
        <v>0.05</v>
      </c>
      <c r="M33" s="762">
        <f t="shared" si="1"/>
        <v>0.2</v>
      </c>
      <c r="N33" s="763">
        <f t="shared" si="6"/>
        <v>1</v>
      </c>
      <c r="O33" s="764"/>
      <c r="R33" s="758">
        <f t="shared" si="7"/>
        <v>1</v>
      </c>
      <c r="S33" s="759">
        <f t="shared" si="8"/>
        <v>0.71500000000000008</v>
      </c>
    </row>
    <row r="34" spans="2:19">
      <c r="B34" s="760">
        <f t="shared" si="2"/>
        <v>2016</v>
      </c>
      <c r="C34" s="761">
        <f t="shared" si="3"/>
        <v>0</v>
      </c>
      <c r="D34" s="762">
        <f t="shared" si="3"/>
        <v>0</v>
      </c>
      <c r="E34" s="762">
        <f t="shared" si="3"/>
        <v>1</v>
      </c>
      <c r="F34" s="762">
        <f t="shared" si="3"/>
        <v>0</v>
      </c>
      <c r="G34" s="762">
        <f t="shared" si="3"/>
        <v>0</v>
      </c>
      <c r="H34" s="763">
        <f t="shared" si="4"/>
        <v>1</v>
      </c>
      <c r="I34" s="761">
        <f t="shared" si="5"/>
        <v>0.2</v>
      </c>
      <c r="J34" s="762">
        <f t="shared" si="5"/>
        <v>0.3</v>
      </c>
      <c r="K34" s="762">
        <f t="shared" si="5"/>
        <v>0.25</v>
      </c>
      <c r="L34" s="762">
        <f t="shared" si="5"/>
        <v>0.05</v>
      </c>
      <c r="M34" s="762">
        <f t="shared" si="5"/>
        <v>0.2</v>
      </c>
      <c r="N34" s="763">
        <f t="shared" si="6"/>
        <v>1</v>
      </c>
      <c r="O34" s="764"/>
      <c r="R34" s="758">
        <f t="shared" si="7"/>
        <v>1</v>
      </c>
      <c r="S34" s="759">
        <f t="shared" si="8"/>
        <v>0.71500000000000008</v>
      </c>
    </row>
    <row r="35" spans="2:19">
      <c r="B35" s="760">
        <f t="shared" si="2"/>
        <v>2017</v>
      </c>
      <c r="C35" s="761">
        <f t="shared" si="3"/>
        <v>0</v>
      </c>
      <c r="D35" s="762">
        <f t="shared" si="3"/>
        <v>0</v>
      </c>
      <c r="E35" s="762">
        <f t="shared" si="3"/>
        <v>1</v>
      </c>
      <c r="F35" s="762">
        <f t="shared" si="3"/>
        <v>0</v>
      </c>
      <c r="G35" s="762">
        <f t="shared" si="3"/>
        <v>0</v>
      </c>
      <c r="H35" s="763">
        <f t="shared" si="4"/>
        <v>1</v>
      </c>
      <c r="I35" s="761">
        <f t="shared" si="5"/>
        <v>0.2</v>
      </c>
      <c r="J35" s="762">
        <f t="shared" si="5"/>
        <v>0.3</v>
      </c>
      <c r="K35" s="762">
        <f t="shared" si="5"/>
        <v>0.25</v>
      </c>
      <c r="L35" s="762">
        <f t="shared" si="5"/>
        <v>0.05</v>
      </c>
      <c r="M35" s="762">
        <f t="shared" si="5"/>
        <v>0.2</v>
      </c>
      <c r="N35" s="763">
        <f t="shared" si="6"/>
        <v>1</v>
      </c>
      <c r="O35" s="764"/>
      <c r="R35" s="758">
        <f t="shared" si="7"/>
        <v>1</v>
      </c>
      <c r="S35" s="759">
        <f t="shared" si="8"/>
        <v>0.71500000000000008</v>
      </c>
    </row>
    <row r="36" spans="2:19">
      <c r="B36" s="760">
        <f t="shared" si="2"/>
        <v>2018</v>
      </c>
      <c r="C36" s="761">
        <f t="shared" si="3"/>
        <v>0</v>
      </c>
      <c r="D36" s="762">
        <f t="shared" si="3"/>
        <v>0</v>
      </c>
      <c r="E36" s="762">
        <f t="shared" si="3"/>
        <v>1</v>
      </c>
      <c r="F36" s="762">
        <f t="shared" si="3"/>
        <v>0</v>
      </c>
      <c r="G36" s="762">
        <f t="shared" si="3"/>
        <v>0</v>
      </c>
      <c r="H36" s="763">
        <f t="shared" si="4"/>
        <v>1</v>
      </c>
      <c r="I36" s="761">
        <f t="shared" si="5"/>
        <v>0.2</v>
      </c>
      <c r="J36" s="762">
        <f t="shared" si="5"/>
        <v>0.3</v>
      </c>
      <c r="K36" s="762">
        <f t="shared" si="5"/>
        <v>0.25</v>
      </c>
      <c r="L36" s="762">
        <f t="shared" si="5"/>
        <v>0.05</v>
      </c>
      <c r="M36" s="762">
        <f t="shared" si="5"/>
        <v>0.2</v>
      </c>
      <c r="N36" s="763">
        <f t="shared" si="6"/>
        <v>1</v>
      </c>
      <c r="O36" s="764"/>
      <c r="R36" s="758">
        <f t="shared" si="7"/>
        <v>1</v>
      </c>
      <c r="S36" s="759">
        <f t="shared" si="8"/>
        <v>0.71500000000000008</v>
      </c>
    </row>
    <row r="37" spans="2:19">
      <c r="B37" s="760">
        <f t="shared" si="2"/>
        <v>2019</v>
      </c>
      <c r="C37" s="761">
        <f t="shared" si="3"/>
        <v>0</v>
      </c>
      <c r="D37" s="762">
        <f t="shared" si="3"/>
        <v>0</v>
      </c>
      <c r="E37" s="762">
        <f t="shared" si="3"/>
        <v>1</v>
      </c>
      <c r="F37" s="762">
        <f t="shared" si="3"/>
        <v>0</v>
      </c>
      <c r="G37" s="762">
        <f t="shared" si="3"/>
        <v>0</v>
      </c>
      <c r="H37" s="763">
        <f t="shared" si="4"/>
        <v>1</v>
      </c>
      <c r="I37" s="761">
        <f t="shared" si="5"/>
        <v>0.2</v>
      </c>
      <c r="J37" s="762">
        <f t="shared" si="5"/>
        <v>0.3</v>
      </c>
      <c r="K37" s="762">
        <f t="shared" si="5"/>
        <v>0.25</v>
      </c>
      <c r="L37" s="762">
        <f t="shared" si="5"/>
        <v>0.05</v>
      </c>
      <c r="M37" s="762">
        <f t="shared" si="5"/>
        <v>0.2</v>
      </c>
      <c r="N37" s="763">
        <f t="shared" si="6"/>
        <v>1</v>
      </c>
      <c r="O37" s="764"/>
      <c r="R37" s="758">
        <f t="shared" si="7"/>
        <v>1</v>
      </c>
      <c r="S37" s="759">
        <f t="shared" si="8"/>
        <v>0.71500000000000008</v>
      </c>
    </row>
    <row r="38" spans="2:19">
      <c r="B38" s="760">
        <f t="shared" si="2"/>
        <v>2020</v>
      </c>
      <c r="C38" s="761">
        <f t="shared" si="3"/>
        <v>0</v>
      </c>
      <c r="D38" s="762">
        <f t="shared" si="3"/>
        <v>0</v>
      </c>
      <c r="E38" s="762">
        <f t="shared" si="3"/>
        <v>1</v>
      </c>
      <c r="F38" s="762">
        <f t="shared" si="3"/>
        <v>0</v>
      </c>
      <c r="G38" s="762">
        <f t="shared" si="3"/>
        <v>0</v>
      </c>
      <c r="H38" s="763">
        <f t="shared" si="4"/>
        <v>1</v>
      </c>
      <c r="I38" s="761">
        <f t="shared" si="5"/>
        <v>0.2</v>
      </c>
      <c r="J38" s="762">
        <f t="shared" si="5"/>
        <v>0.3</v>
      </c>
      <c r="K38" s="762">
        <f t="shared" si="5"/>
        <v>0.25</v>
      </c>
      <c r="L38" s="762">
        <f t="shared" si="5"/>
        <v>0.05</v>
      </c>
      <c r="M38" s="762">
        <f t="shared" si="5"/>
        <v>0.2</v>
      </c>
      <c r="N38" s="763">
        <f t="shared" si="6"/>
        <v>1</v>
      </c>
      <c r="O38" s="764"/>
      <c r="R38" s="758">
        <f t="shared" si="7"/>
        <v>1</v>
      </c>
      <c r="S38" s="759">
        <f t="shared" si="8"/>
        <v>0.71500000000000008</v>
      </c>
    </row>
    <row r="39" spans="2:19">
      <c r="B39" s="760">
        <f t="shared" si="2"/>
        <v>2021</v>
      </c>
      <c r="C39" s="761">
        <f t="shared" si="3"/>
        <v>0</v>
      </c>
      <c r="D39" s="762">
        <f t="shared" si="3"/>
        <v>0</v>
      </c>
      <c r="E39" s="762">
        <f t="shared" si="3"/>
        <v>1</v>
      </c>
      <c r="F39" s="762">
        <f t="shared" si="3"/>
        <v>0</v>
      </c>
      <c r="G39" s="762">
        <f t="shared" si="3"/>
        <v>0</v>
      </c>
      <c r="H39" s="763">
        <f t="shared" si="4"/>
        <v>1</v>
      </c>
      <c r="I39" s="761">
        <f t="shared" si="5"/>
        <v>0.2</v>
      </c>
      <c r="J39" s="762">
        <f t="shared" si="5"/>
        <v>0.3</v>
      </c>
      <c r="K39" s="762">
        <f t="shared" si="5"/>
        <v>0.25</v>
      </c>
      <c r="L39" s="762">
        <f t="shared" si="5"/>
        <v>0.05</v>
      </c>
      <c r="M39" s="762">
        <f t="shared" si="5"/>
        <v>0.2</v>
      </c>
      <c r="N39" s="763">
        <f t="shared" si="6"/>
        <v>1</v>
      </c>
      <c r="O39" s="764"/>
      <c r="R39" s="758">
        <f t="shared" si="7"/>
        <v>1</v>
      </c>
      <c r="S39" s="759">
        <f t="shared" si="8"/>
        <v>0.71500000000000008</v>
      </c>
    </row>
    <row r="40" spans="2:19">
      <c r="B40" s="760">
        <f t="shared" si="2"/>
        <v>2022</v>
      </c>
      <c r="C40" s="761">
        <f t="shared" si="3"/>
        <v>0</v>
      </c>
      <c r="D40" s="762">
        <f t="shared" si="3"/>
        <v>0</v>
      </c>
      <c r="E40" s="762">
        <f t="shared" si="3"/>
        <v>1</v>
      </c>
      <c r="F40" s="762">
        <f t="shared" si="3"/>
        <v>0</v>
      </c>
      <c r="G40" s="762">
        <f t="shared" si="3"/>
        <v>0</v>
      </c>
      <c r="H40" s="763">
        <f t="shared" si="4"/>
        <v>1</v>
      </c>
      <c r="I40" s="761">
        <f t="shared" si="5"/>
        <v>0.2</v>
      </c>
      <c r="J40" s="762">
        <f t="shared" si="5"/>
        <v>0.3</v>
      </c>
      <c r="K40" s="762">
        <f t="shared" si="5"/>
        <v>0.25</v>
      </c>
      <c r="L40" s="762">
        <f t="shared" si="5"/>
        <v>0.05</v>
      </c>
      <c r="M40" s="762">
        <f t="shared" si="5"/>
        <v>0.2</v>
      </c>
      <c r="N40" s="763">
        <f t="shared" si="6"/>
        <v>1</v>
      </c>
      <c r="O40" s="764"/>
      <c r="R40" s="758">
        <f t="shared" si="7"/>
        <v>1</v>
      </c>
      <c r="S40" s="759">
        <f t="shared" si="8"/>
        <v>0.71500000000000008</v>
      </c>
    </row>
    <row r="41" spans="2:19">
      <c r="B41" s="760">
        <f t="shared" si="2"/>
        <v>2023</v>
      </c>
      <c r="C41" s="761">
        <f t="shared" si="3"/>
        <v>0</v>
      </c>
      <c r="D41" s="762">
        <f t="shared" si="3"/>
        <v>0</v>
      </c>
      <c r="E41" s="762">
        <f t="shared" si="3"/>
        <v>1</v>
      </c>
      <c r="F41" s="762">
        <f t="shared" si="3"/>
        <v>0</v>
      </c>
      <c r="G41" s="762">
        <f t="shared" si="3"/>
        <v>0</v>
      </c>
      <c r="H41" s="763">
        <f t="shared" si="4"/>
        <v>1</v>
      </c>
      <c r="I41" s="761">
        <f t="shared" si="5"/>
        <v>0.2</v>
      </c>
      <c r="J41" s="762">
        <f t="shared" si="5"/>
        <v>0.3</v>
      </c>
      <c r="K41" s="762">
        <f t="shared" si="5"/>
        <v>0.25</v>
      </c>
      <c r="L41" s="762">
        <f t="shared" si="5"/>
        <v>0.05</v>
      </c>
      <c r="M41" s="762">
        <f t="shared" si="5"/>
        <v>0.2</v>
      </c>
      <c r="N41" s="763">
        <f t="shared" si="6"/>
        <v>1</v>
      </c>
      <c r="O41" s="764"/>
      <c r="R41" s="758">
        <f t="shared" si="7"/>
        <v>1</v>
      </c>
      <c r="S41" s="759">
        <f t="shared" si="8"/>
        <v>0.71500000000000008</v>
      </c>
    </row>
    <row r="42" spans="2:19">
      <c r="B42" s="760">
        <f t="shared" si="2"/>
        <v>2024</v>
      </c>
      <c r="C42" s="761">
        <f t="shared" si="3"/>
        <v>0</v>
      </c>
      <c r="D42" s="762">
        <f t="shared" si="3"/>
        <v>0</v>
      </c>
      <c r="E42" s="762">
        <f t="shared" si="3"/>
        <v>1</v>
      </c>
      <c r="F42" s="762">
        <f t="shared" si="3"/>
        <v>0</v>
      </c>
      <c r="G42" s="762">
        <f t="shared" si="3"/>
        <v>0</v>
      </c>
      <c r="H42" s="763">
        <f t="shared" si="4"/>
        <v>1</v>
      </c>
      <c r="I42" s="761">
        <f t="shared" si="5"/>
        <v>0.2</v>
      </c>
      <c r="J42" s="762">
        <f t="shared" si="5"/>
        <v>0.3</v>
      </c>
      <c r="K42" s="762">
        <f t="shared" si="5"/>
        <v>0.25</v>
      </c>
      <c r="L42" s="762">
        <f t="shared" si="5"/>
        <v>0.05</v>
      </c>
      <c r="M42" s="762">
        <f t="shared" si="5"/>
        <v>0.2</v>
      </c>
      <c r="N42" s="763">
        <f t="shared" si="6"/>
        <v>1</v>
      </c>
      <c r="O42" s="764"/>
      <c r="R42" s="758">
        <f t="shared" si="7"/>
        <v>1</v>
      </c>
      <c r="S42" s="759">
        <f t="shared" si="8"/>
        <v>0.71500000000000008</v>
      </c>
    </row>
    <row r="43" spans="2:19">
      <c r="B43" s="760">
        <f t="shared" si="2"/>
        <v>2025</v>
      </c>
      <c r="C43" s="761">
        <f t="shared" si="3"/>
        <v>0</v>
      </c>
      <c r="D43" s="762">
        <f t="shared" si="3"/>
        <v>0</v>
      </c>
      <c r="E43" s="762">
        <f t="shared" si="3"/>
        <v>1</v>
      </c>
      <c r="F43" s="762">
        <f t="shared" si="3"/>
        <v>0</v>
      </c>
      <c r="G43" s="762">
        <f t="shared" si="3"/>
        <v>0</v>
      </c>
      <c r="H43" s="763">
        <f t="shared" si="4"/>
        <v>1</v>
      </c>
      <c r="I43" s="761">
        <f t="shared" si="5"/>
        <v>0.2</v>
      </c>
      <c r="J43" s="762">
        <f t="shared" si="5"/>
        <v>0.3</v>
      </c>
      <c r="K43" s="762">
        <f t="shared" si="5"/>
        <v>0.25</v>
      </c>
      <c r="L43" s="762">
        <f t="shared" si="5"/>
        <v>0.05</v>
      </c>
      <c r="M43" s="762">
        <f t="shared" si="5"/>
        <v>0.2</v>
      </c>
      <c r="N43" s="763">
        <f t="shared" si="6"/>
        <v>1</v>
      </c>
      <c r="O43" s="764"/>
      <c r="R43" s="758">
        <f t="shared" si="7"/>
        <v>1</v>
      </c>
      <c r="S43" s="759">
        <f t="shared" si="8"/>
        <v>0.71500000000000008</v>
      </c>
    </row>
    <row r="44" spans="2:19">
      <c r="B44" s="760">
        <f t="shared" si="2"/>
        <v>2026</v>
      </c>
      <c r="C44" s="761">
        <f t="shared" si="3"/>
        <v>0</v>
      </c>
      <c r="D44" s="762">
        <f t="shared" si="3"/>
        <v>0</v>
      </c>
      <c r="E44" s="762">
        <f t="shared" si="3"/>
        <v>1</v>
      </c>
      <c r="F44" s="762">
        <f t="shared" si="3"/>
        <v>0</v>
      </c>
      <c r="G44" s="762">
        <f t="shared" si="3"/>
        <v>0</v>
      </c>
      <c r="H44" s="763">
        <f t="shared" si="4"/>
        <v>1</v>
      </c>
      <c r="I44" s="761">
        <f t="shared" si="5"/>
        <v>0.2</v>
      </c>
      <c r="J44" s="762">
        <f t="shared" si="5"/>
        <v>0.3</v>
      </c>
      <c r="K44" s="762">
        <f t="shared" si="5"/>
        <v>0.25</v>
      </c>
      <c r="L44" s="762">
        <f t="shared" si="5"/>
        <v>0.05</v>
      </c>
      <c r="M44" s="762">
        <f t="shared" si="5"/>
        <v>0.2</v>
      </c>
      <c r="N44" s="763">
        <f t="shared" si="6"/>
        <v>1</v>
      </c>
      <c r="O44" s="764"/>
      <c r="R44" s="758">
        <f t="shared" si="7"/>
        <v>1</v>
      </c>
      <c r="S44" s="759">
        <f t="shared" si="8"/>
        <v>0.71500000000000008</v>
      </c>
    </row>
    <row r="45" spans="2:19">
      <c r="B45" s="760">
        <f t="shared" si="2"/>
        <v>2027</v>
      </c>
      <c r="C45" s="761">
        <f t="shared" si="3"/>
        <v>0</v>
      </c>
      <c r="D45" s="762">
        <f t="shared" si="3"/>
        <v>0</v>
      </c>
      <c r="E45" s="762">
        <f t="shared" si="3"/>
        <v>1</v>
      </c>
      <c r="F45" s="762">
        <f t="shared" si="3"/>
        <v>0</v>
      </c>
      <c r="G45" s="762">
        <f t="shared" si="3"/>
        <v>0</v>
      </c>
      <c r="H45" s="763">
        <f t="shared" si="4"/>
        <v>1</v>
      </c>
      <c r="I45" s="761">
        <f t="shared" si="5"/>
        <v>0.2</v>
      </c>
      <c r="J45" s="762">
        <f t="shared" si="5"/>
        <v>0.3</v>
      </c>
      <c r="K45" s="762">
        <f t="shared" si="5"/>
        <v>0.25</v>
      </c>
      <c r="L45" s="762">
        <f t="shared" si="5"/>
        <v>0.05</v>
      </c>
      <c r="M45" s="762">
        <f t="shared" si="5"/>
        <v>0.2</v>
      </c>
      <c r="N45" s="763">
        <f t="shared" si="6"/>
        <v>1</v>
      </c>
      <c r="O45" s="764"/>
      <c r="R45" s="758">
        <f t="shared" si="7"/>
        <v>1</v>
      </c>
      <c r="S45" s="759">
        <f t="shared" si="8"/>
        <v>0.71500000000000008</v>
      </c>
    </row>
    <row r="46" spans="2:19">
      <c r="B46" s="760">
        <f t="shared" si="2"/>
        <v>2028</v>
      </c>
      <c r="C46" s="761">
        <f t="shared" si="3"/>
        <v>0</v>
      </c>
      <c r="D46" s="762">
        <f t="shared" si="3"/>
        <v>0</v>
      </c>
      <c r="E46" s="762">
        <f t="shared" si="3"/>
        <v>1</v>
      </c>
      <c r="F46" s="762">
        <f t="shared" si="3"/>
        <v>0</v>
      </c>
      <c r="G46" s="762">
        <f t="shared" si="3"/>
        <v>0</v>
      </c>
      <c r="H46" s="763">
        <f t="shared" si="4"/>
        <v>1</v>
      </c>
      <c r="I46" s="761">
        <f t="shared" si="5"/>
        <v>0.2</v>
      </c>
      <c r="J46" s="762">
        <f t="shared" si="5"/>
        <v>0.3</v>
      </c>
      <c r="K46" s="762">
        <f t="shared" si="5"/>
        <v>0.25</v>
      </c>
      <c r="L46" s="762">
        <f t="shared" si="5"/>
        <v>0.05</v>
      </c>
      <c r="M46" s="762">
        <f t="shared" si="5"/>
        <v>0.2</v>
      </c>
      <c r="N46" s="763">
        <f t="shared" si="6"/>
        <v>1</v>
      </c>
      <c r="O46" s="764"/>
      <c r="R46" s="758">
        <f t="shared" si="7"/>
        <v>1</v>
      </c>
      <c r="S46" s="759">
        <f t="shared" si="8"/>
        <v>0.71500000000000008</v>
      </c>
    </row>
    <row r="47" spans="2:19">
      <c r="B47" s="760">
        <f t="shared" si="2"/>
        <v>2029</v>
      </c>
      <c r="C47" s="761">
        <f t="shared" si="3"/>
        <v>0</v>
      </c>
      <c r="D47" s="762">
        <f t="shared" si="3"/>
        <v>0</v>
      </c>
      <c r="E47" s="762">
        <f t="shared" si="3"/>
        <v>1</v>
      </c>
      <c r="F47" s="762">
        <f t="shared" si="3"/>
        <v>0</v>
      </c>
      <c r="G47" s="762">
        <f t="shared" si="3"/>
        <v>0</v>
      </c>
      <c r="H47" s="763">
        <f t="shared" si="4"/>
        <v>1</v>
      </c>
      <c r="I47" s="761">
        <f t="shared" si="5"/>
        <v>0.2</v>
      </c>
      <c r="J47" s="762">
        <f t="shared" si="5"/>
        <v>0.3</v>
      </c>
      <c r="K47" s="762">
        <f t="shared" si="5"/>
        <v>0.25</v>
      </c>
      <c r="L47" s="762">
        <f t="shared" si="5"/>
        <v>0.05</v>
      </c>
      <c r="M47" s="762">
        <f t="shared" si="5"/>
        <v>0.2</v>
      </c>
      <c r="N47" s="763">
        <f t="shared" si="6"/>
        <v>1</v>
      </c>
      <c r="O47" s="764"/>
      <c r="R47" s="758">
        <f t="shared" si="7"/>
        <v>1</v>
      </c>
      <c r="S47" s="759">
        <f t="shared" si="8"/>
        <v>0.71500000000000008</v>
      </c>
    </row>
    <row r="48" spans="2:19">
      <c r="B48" s="760">
        <f t="shared" si="2"/>
        <v>2030</v>
      </c>
      <c r="C48" s="761">
        <f t="shared" si="3"/>
        <v>0</v>
      </c>
      <c r="D48" s="762">
        <f t="shared" si="3"/>
        <v>0</v>
      </c>
      <c r="E48" s="762">
        <f t="shared" si="3"/>
        <v>1</v>
      </c>
      <c r="F48" s="762">
        <f t="shared" si="3"/>
        <v>0</v>
      </c>
      <c r="G48" s="762">
        <f t="shared" si="3"/>
        <v>0</v>
      </c>
      <c r="H48" s="763">
        <f t="shared" si="4"/>
        <v>1</v>
      </c>
      <c r="I48" s="761">
        <f t="shared" si="5"/>
        <v>0.2</v>
      </c>
      <c r="J48" s="762">
        <f t="shared" si="5"/>
        <v>0.3</v>
      </c>
      <c r="K48" s="762">
        <f t="shared" si="5"/>
        <v>0.25</v>
      </c>
      <c r="L48" s="762">
        <f t="shared" si="5"/>
        <v>0.05</v>
      </c>
      <c r="M48" s="762">
        <f t="shared" si="5"/>
        <v>0.2</v>
      </c>
      <c r="N48" s="763">
        <f t="shared" si="6"/>
        <v>1</v>
      </c>
      <c r="O48" s="764"/>
      <c r="R48" s="758">
        <f t="shared" si="7"/>
        <v>1</v>
      </c>
      <c r="S48" s="759">
        <f t="shared" si="8"/>
        <v>0.71500000000000008</v>
      </c>
    </row>
    <row r="49" spans="2:19">
      <c r="B49" s="760">
        <f t="shared" si="2"/>
        <v>2031</v>
      </c>
      <c r="C49" s="761">
        <f t="shared" si="3"/>
        <v>0</v>
      </c>
      <c r="D49" s="762">
        <f t="shared" si="3"/>
        <v>0</v>
      </c>
      <c r="E49" s="762">
        <f t="shared" si="3"/>
        <v>1</v>
      </c>
      <c r="F49" s="762">
        <f t="shared" si="3"/>
        <v>0</v>
      </c>
      <c r="G49" s="762">
        <f t="shared" si="3"/>
        <v>0</v>
      </c>
      <c r="H49" s="763">
        <f t="shared" si="4"/>
        <v>1</v>
      </c>
      <c r="I49" s="761">
        <f t="shared" si="5"/>
        <v>0.2</v>
      </c>
      <c r="J49" s="762">
        <f t="shared" si="5"/>
        <v>0.3</v>
      </c>
      <c r="K49" s="762">
        <f t="shared" si="5"/>
        <v>0.25</v>
      </c>
      <c r="L49" s="762">
        <f t="shared" si="5"/>
        <v>0.05</v>
      </c>
      <c r="M49" s="762">
        <f t="shared" si="5"/>
        <v>0.2</v>
      </c>
      <c r="N49" s="763">
        <f t="shared" si="6"/>
        <v>1</v>
      </c>
      <c r="O49" s="764"/>
      <c r="R49" s="758">
        <f t="shared" si="7"/>
        <v>1</v>
      </c>
      <c r="S49" s="759">
        <f t="shared" si="8"/>
        <v>0.71500000000000008</v>
      </c>
    </row>
    <row r="50" spans="2:19">
      <c r="B50" s="760">
        <f t="shared" si="2"/>
        <v>2032</v>
      </c>
      <c r="C50" s="761">
        <f t="shared" si="3"/>
        <v>0</v>
      </c>
      <c r="D50" s="762">
        <f t="shared" si="3"/>
        <v>0</v>
      </c>
      <c r="E50" s="762">
        <f t="shared" si="3"/>
        <v>1</v>
      </c>
      <c r="F50" s="762">
        <f t="shared" si="3"/>
        <v>0</v>
      </c>
      <c r="G50" s="762">
        <f t="shared" si="3"/>
        <v>0</v>
      </c>
      <c r="H50" s="763">
        <f t="shared" si="4"/>
        <v>1</v>
      </c>
      <c r="I50" s="761">
        <f t="shared" si="5"/>
        <v>0.2</v>
      </c>
      <c r="J50" s="762">
        <f t="shared" si="5"/>
        <v>0.3</v>
      </c>
      <c r="K50" s="762">
        <f t="shared" si="5"/>
        <v>0.25</v>
      </c>
      <c r="L50" s="762">
        <f t="shared" si="5"/>
        <v>0.05</v>
      </c>
      <c r="M50" s="762">
        <f t="shared" si="5"/>
        <v>0.2</v>
      </c>
      <c r="N50" s="763">
        <f t="shared" si="6"/>
        <v>1</v>
      </c>
      <c r="O50" s="764"/>
      <c r="R50" s="758">
        <f t="shared" si="7"/>
        <v>1</v>
      </c>
      <c r="S50" s="759">
        <f t="shared" si="8"/>
        <v>0.71500000000000008</v>
      </c>
    </row>
    <row r="51" spans="2:19">
      <c r="B51" s="760">
        <f t="shared" ref="B51:B82" si="9">B50+1</f>
        <v>2033</v>
      </c>
      <c r="C51" s="761">
        <f t="shared" ref="C51:G98" si="10">C$16</f>
        <v>0</v>
      </c>
      <c r="D51" s="762">
        <f t="shared" si="10"/>
        <v>0</v>
      </c>
      <c r="E51" s="762">
        <f t="shared" si="10"/>
        <v>1</v>
      </c>
      <c r="F51" s="762">
        <f t="shared" si="10"/>
        <v>0</v>
      </c>
      <c r="G51" s="762">
        <f t="shared" si="10"/>
        <v>0</v>
      </c>
      <c r="H51" s="763">
        <f t="shared" si="4"/>
        <v>1</v>
      </c>
      <c r="I51" s="761">
        <f t="shared" ref="I51:M98" si="11">I$16</f>
        <v>0.2</v>
      </c>
      <c r="J51" s="762">
        <f t="shared" si="11"/>
        <v>0.3</v>
      </c>
      <c r="K51" s="762">
        <f t="shared" si="11"/>
        <v>0.25</v>
      </c>
      <c r="L51" s="762">
        <f t="shared" si="11"/>
        <v>0.05</v>
      </c>
      <c r="M51" s="762">
        <f t="shared" si="11"/>
        <v>0.2</v>
      </c>
      <c r="N51" s="763">
        <f t="shared" si="6"/>
        <v>1</v>
      </c>
      <c r="O51" s="764"/>
      <c r="R51" s="758">
        <f t="shared" si="7"/>
        <v>1</v>
      </c>
      <c r="S51" s="759">
        <f t="shared" si="8"/>
        <v>0.71500000000000008</v>
      </c>
    </row>
    <row r="52" spans="2:19">
      <c r="B52" s="760">
        <f t="shared" si="9"/>
        <v>2034</v>
      </c>
      <c r="C52" s="761">
        <f t="shared" si="10"/>
        <v>0</v>
      </c>
      <c r="D52" s="762">
        <f t="shared" si="10"/>
        <v>0</v>
      </c>
      <c r="E52" s="762">
        <f t="shared" si="10"/>
        <v>1</v>
      </c>
      <c r="F52" s="762">
        <f t="shared" si="10"/>
        <v>0</v>
      </c>
      <c r="G52" s="762">
        <f t="shared" si="10"/>
        <v>0</v>
      </c>
      <c r="H52" s="763">
        <f t="shared" si="4"/>
        <v>1</v>
      </c>
      <c r="I52" s="761">
        <f t="shared" si="11"/>
        <v>0.2</v>
      </c>
      <c r="J52" s="762">
        <f t="shared" si="11"/>
        <v>0.3</v>
      </c>
      <c r="K52" s="762">
        <f t="shared" si="11"/>
        <v>0.25</v>
      </c>
      <c r="L52" s="762">
        <f t="shared" si="11"/>
        <v>0.05</v>
      </c>
      <c r="M52" s="762">
        <f t="shared" si="11"/>
        <v>0.2</v>
      </c>
      <c r="N52" s="763">
        <f t="shared" si="6"/>
        <v>1</v>
      </c>
      <c r="O52" s="764"/>
      <c r="R52" s="758">
        <f t="shared" si="7"/>
        <v>1</v>
      </c>
      <c r="S52" s="759">
        <f t="shared" si="8"/>
        <v>0.71500000000000008</v>
      </c>
    </row>
    <row r="53" spans="2:19">
      <c r="B53" s="760">
        <f t="shared" si="9"/>
        <v>2035</v>
      </c>
      <c r="C53" s="761">
        <f t="shared" si="10"/>
        <v>0</v>
      </c>
      <c r="D53" s="762">
        <f t="shared" si="10"/>
        <v>0</v>
      </c>
      <c r="E53" s="762">
        <f t="shared" si="10"/>
        <v>1</v>
      </c>
      <c r="F53" s="762">
        <f t="shared" si="10"/>
        <v>0</v>
      </c>
      <c r="G53" s="762">
        <f t="shared" si="10"/>
        <v>0</v>
      </c>
      <c r="H53" s="763">
        <f t="shared" si="4"/>
        <v>1</v>
      </c>
      <c r="I53" s="761">
        <f t="shared" si="11"/>
        <v>0.2</v>
      </c>
      <c r="J53" s="762">
        <f t="shared" si="11"/>
        <v>0.3</v>
      </c>
      <c r="K53" s="762">
        <f t="shared" si="11"/>
        <v>0.25</v>
      </c>
      <c r="L53" s="762">
        <f t="shared" si="11"/>
        <v>0.05</v>
      </c>
      <c r="M53" s="762">
        <f t="shared" si="11"/>
        <v>0.2</v>
      </c>
      <c r="N53" s="763">
        <f t="shared" si="6"/>
        <v>1</v>
      </c>
      <c r="O53" s="764"/>
      <c r="R53" s="758">
        <f t="shared" si="7"/>
        <v>1</v>
      </c>
      <c r="S53" s="759">
        <f t="shared" si="8"/>
        <v>0.71500000000000008</v>
      </c>
    </row>
    <row r="54" spans="2:19">
      <c r="B54" s="760">
        <f t="shared" si="9"/>
        <v>2036</v>
      </c>
      <c r="C54" s="761">
        <f t="shared" si="10"/>
        <v>0</v>
      </c>
      <c r="D54" s="762">
        <f t="shared" si="10"/>
        <v>0</v>
      </c>
      <c r="E54" s="762">
        <f t="shared" si="10"/>
        <v>1</v>
      </c>
      <c r="F54" s="762">
        <f t="shared" si="10"/>
        <v>0</v>
      </c>
      <c r="G54" s="762">
        <f t="shared" si="10"/>
        <v>0</v>
      </c>
      <c r="H54" s="763">
        <f t="shared" si="4"/>
        <v>1</v>
      </c>
      <c r="I54" s="761">
        <f t="shared" si="11"/>
        <v>0.2</v>
      </c>
      <c r="J54" s="762">
        <f t="shared" si="11"/>
        <v>0.3</v>
      </c>
      <c r="K54" s="762">
        <f t="shared" si="11"/>
        <v>0.25</v>
      </c>
      <c r="L54" s="762">
        <f t="shared" si="11"/>
        <v>0.05</v>
      </c>
      <c r="M54" s="762">
        <f t="shared" si="11"/>
        <v>0.2</v>
      </c>
      <c r="N54" s="763">
        <f t="shared" si="6"/>
        <v>1</v>
      </c>
      <c r="O54" s="764"/>
      <c r="R54" s="758">
        <f t="shared" si="7"/>
        <v>1</v>
      </c>
      <c r="S54" s="759">
        <f t="shared" si="8"/>
        <v>0.71500000000000008</v>
      </c>
    </row>
    <row r="55" spans="2:19">
      <c r="B55" s="760">
        <f t="shared" si="9"/>
        <v>2037</v>
      </c>
      <c r="C55" s="761">
        <f t="shared" si="10"/>
        <v>0</v>
      </c>
      <c r="D55" s="762">
        <f t="shared" si="10"/>
        <v>0</v>
      </c>
      <c r="E55" s="762">
        <f t="shared" si="10"/>
        <v>1</v>
      </c>
      <c r="F55" s="762">
        <f t="shared" si="10"/>
        <v>0</v>
      </c>
      <c r="G55" s="762">
        <f t="shared" si="10"/>
        <v>0</v>
      </c>
      <c r="H55" s="763">
        <f t="shared" si="4"/>
        <v>1</v>
      </c>
      <c r="I55" s="761">
        <f t="shared" si="11"/>
        <v>0.2</v>
      </c>
      <c r="J55" s="762">
        <f t="shared" si="11"/>
        <v>0.3</v>
      </c>
      <c r="K55" s="762">
        <f t="shared" si="11"/>
        <v>0.25</v>
      </c>
      <c r="L55" s="762">
        <f t="shared" si="11"/>
        <v>0.05</v>
      </c>
      <c r="M55" s="762">
        <f t="shared" si="11"/>
        <v>0.2</v>
      </c>
      <c r="N55" s="763">
        <f t="shared" si="6"/>
        <v>1</v>
      </c>
      <c r="O55" s="764"/>
      <c r="R55" s="758">
        <f t="shared" si="7"/>
        <v>1</v>
      </c>
      <c r="S55" s="759">
        <f t="shared" si="8"/>
        <v>0.71500000000000008</v>
      </c>
    </row>
    <row r="56" spans="2:19">
      <c r="B56" s="760">
        <f t="shared" si="9"/>
        <v>2038</v>
      </c>
      <c r="C56" s="761">
        <f t="shared" si="10"/>
        <v>0</v>
      </c>
      <c r="D56" s="762">
        <f t="shared" si="10"/>
        <v>0</v>
      </c>
      <c r="E56" s="762">
        <f t="shared" si="10"/>
        <v>1</v>
      </c>
      <c r="F56" s="762">
        <f t="shared" si="10"/>
        <v>0</v>
      </c>
      <c r="G56" s="762">
        <f t="shared" si="10"/>
        <v>0</v>
      </c>
      <c r="H56" s="763">
        <f t="shared" si="4"/>
        <v>1</v>
      </c>
      <c r="I56" s="761">
        <f t="shared" si="11"/>
        <v>0.2</v>
      </c>
      <c r="J56" s="762">
        <f t="shared" si="11"/>
        <v>0.3</v>
      </c>
      <c r="K56" s="762">
        <f t="shared" si="11"/>
        <v>0.25</v>
      </c>
      <c r="L56" s="762">
        <f t="shared" si="11"/>
        <v>0.05</v>
      </c>
      <c r="M56" s="762">
        <f t="shared" si="11"/>
        <v>0.2</v>
      </c>
      <c r="N56" s="763">
        <f t="shared" si="6"/>
        <v>1</v>
      </c>
      <c r="O56" s="764"/>
      <c r="R56" s="758">
        <f t="shared" si="7"/>
        <v>1</v>
      </c>
      <c r="S56" s="759">
        <f t="shared" si="8"/>
        <v>0.71500000000000008</v>
      </c>
    </row>
    <row r="57" spans="2:19">
      <c r="B57" s="760">
        <f t="shared" si="9"/>
        <v>2039</v>
      </c>
      <c r="C57" s="761">
        <f t="shared" si="10"/>
        <v>0</v>
      </c>
      <c r="D57" s="762">
        <f t="shared" si="10"/>
        <v>0</v>
      </c>
      <c r="E57" s="762">
        <f t="shared" si="10"/>
        <v>1</v>
      </c>
      <c r="F57" s="762">
        <f t="shared" si="10"/>
        <v>0</v>
      </c>
      <c r="G57" s="762">
        <f t="shared" si="10"/>
        <v>0</v>
      </c>
      <c r="H57" s="763">
        <f t="shared" si="4"/>
        <v>1</v>
      </c>
      <c r="I57" s="761">
        <f t="shared" si="11"/>
        <v>0.2</v>
      </c>
      <c r="J57" s="762">
        <f t="shared" si="11"/>
        <v>0.3</v>
      </c>
      <c r="K57" s="762">
        <f t="shared" si="11"/>
        <v>0.25</v>
      </c>
      <c r="L57" s="762">
        <f t="shared" si="11"/>
        <v>0.05</v>
      </c>
      <c r="M57" s="762">
        <f t="shared" si="11"/>
        <v>0.2</v>
      </c>
      <c r="N57" s="763">
        <f t="shared" si="6"/>
        <v>1</v>
      </c>
      <c r="O57" s="764"/>
      <c r="R57" s="758">
        <f t="shared" si="7"/>
        <v>1</v>
      </c>
      <c r="S57" s="759">
        <f t="shared" si="8"/>
        <v>0.71500000000000008</v>
      </c>
    </row>
    <row r="58" spans="2:19">
      <c r="B58" s="760">
        <f t="shared" si="9"/>
        <v>2040</v>
      </c>
      <c r="C58" s="761">
        <f t="shared" si="10"/>
        <v>0</v>
      </c>
      <c r="D58" s="762">
        <f t="shared" si="10"/>
        <v>0</v>
      </c>
      <c r="E58" s="762">
        <f t="shared" si="10"/>
        <v>1</v>
      </c>
      <c r="F58" s="762">
        <f t="shared" si="10"/>
        <v>0</v>
      </c>
      <c r="G58" s="762">
        <f t="shared" si="10"/>
        <v>0</v>
      </c>
      <c r="H58" s="763">
        <f t="shared" si="4"/>
        <v>1</v>
      </c>
      <c r="I58" s="761">
        <f t="shared" si="11"/>
        <v>0.2</v>
      </c>
      <c r="J58" s="762">
        <f t="shared" si="11"/>
        <v>0.3</v>
      </c>
      <c r="K58" s="762">
        <f t="shared" si="11"/>
        <v>0.25</v>
      </c>
      <c r="L58" s="762">
        <f t="shared" si="11"/>
        <v>0.05</v>
      </c>
      <c r="M58" s="762">
        <f t="shared" si="11"/>
        <v>0.2</v>
      </c>
      <c r="N58" s="763">
        <f t="shared" si="6"/>
        <v>1</v>
      </c>
      <c r="O58" s="764"/>
      <c r="R58" s="758">
        <f t="shared" si="7"/>
        <v>1</v>
      </c>
      <c r="S58" s="759">
        <f t="shared" si="8"/>
        <v>0.71500000000000008</v>
      </c>
    </row>
    <row r="59" spans="2:19">
      <c r="B59" s="760">
        <f t="shared" si="9"/>
        <v>2041</v>
      </c>
      <c r="C59" s="761">
        <f t="shared" si="10"/>
        <v>0</v>
      </c>
      <c r="D59" s="762">
        <f t="shared" si="10"/>
        <v>0</v>
      </c>
      <c r="E59" s="762">
        <f t="shared" si="10"/>
        <v>1</v>
      </c>
      <c r="F59" s="762">
        <f t="shared" si="10"/>
        <v>0</v>
      </c>
      <c r="G59" s="762">
        <f t="shared" si="10"/>
        <v>0</v>
      </c>
      <c r="H59" s="763">
        <f t="shared" si="4"/>
        <v>1</v>
      </c>
      <c r="I59" s="761">
        <f t="shared" si="11"/>
        <v>0.2</v>
      </c>
      <c r="J59" s="762">
        <f t="shared" si="11"/>
        <v>0.3</v>
      </c>
      <c r="K59" s="762">
        <f t="shared" si="11"/>
        <v>0.25</v>
      </c>
      <c r="L59" s="762">
        <f t="shared" si="11"/>
        <v>0.05</v>
      </c>
      <c r="M59" s="762">
        <f t="shared" si="11"/>
        <v>0.2</v>
      </c>
      <c r="N59" s="763">
        <f t="shared" si="6"/>
        <v>1</v>
      </c>
      <c r="O59" s="764"/>
      <c r="R59" s="758">
        <f t="shared" si="7"/>
        <v>1</v>
      </c>
      <c r="S59" s="759">
        <f t="shared" si="8"/>
        <v>0.71500000000000008</v>
      </c>
    </row>
    <row r="60" spans="2:19">
      <c r="B60" s="760">
        <f t="shared" si="9"/>
        <v>2042</v>
      </c>
      <c r="C60" s="761">
        <f t="shared" si="10"/>
        <v>0</v>
      </c>
      <c r="D60" s="762">
        <f t="shared" si="10"/>
        <v>0</v>
      </c>
      <c r="E60" s="762">
        <f t="shared" si="10"/>
        <v>1</v>
      </c>
      <c r="F60" s="762">
        <f t="shared" si="10"/>
        <v>0</v>
      </c>
      <c r="G60" s="762">
        <f t="shared" si="10"/>
        <v>0</v>
      </c>
      <c r="H60" s="763">
        <f t="shared" si="4"/>
        <v>1</v>
      </c>
      <c r="I60" s="761">
        <f t="shared" si="11"/>
        <v>0.2</v>
      </c>
      <c r="J60" s="762">
        <f t="shared" si="11"/>
        <v>0.3</v>
      </c>
      <c r="K60" s="762">
        <f t="shared" si="11"/>
        <v>0.25</v>
      </c>
      <c r="L60" s="762">
        <f t="shared" si="11"/>
        <v>0.05</v>
      </c>
      <c r="M60" s="762">
        <f t="shared" si="11"/>
        <v>0.2</v>
      </c>
      <c r="N60" s="763">
        <f t="shared" si="6"/>
        <v>1</v>
      </c>
      <c r="O60" s="764"/>
      <c r="R60" s="758">
        <f t="shared" si="7"/>
        <v>1</v>
      </c>
      <c r="S60" s="759">
        <f t="shared" si="8"/>
        <v>0.71500000000000008</v>
      </c>
    </row>
    <row r="61" spans="2:19">
      <c r="B61" s="760">
        <f t="shared" si="9"/>
        <v>2043</v>
      </c>
      <c r="C61" s="761">
        <f t="shared" si="10"/>
        <v>0</v>
      </c>
      <c r="D61" s="762">
        <f t="shared" si="10"/>
        <v>0</v>
      </c>
      <c r="E61" s="762">
        <f t="shared" si="10"/>
        <v>1</v>
      </c>
      <c r="F61" s="762">
        <f t="shared" si="10"/>
        <v>0</v>
      </c>
      <c r="G61" s="762">
        <f t="shared" si="10"/>
        <v>0</v>
      </c>
      <c r="H61" s="763">
        <f t="shared" si="4"/>
        <v>1</v>
      </c>
      <c r="I61" s="761">
        <f t="shared" si="11"/>
        <v>0.2</v>
      </c>
      <c r="J61" s="762">
        <f t="shared" si="11"/>
        <v>0.3</v>
      </c>
      <c r="K61" s="762">
        <f t="shared" si="11"/>
        <v>0.25</v>
      </c>
      <c r="L61" s="762">
        <f t="shared" si="11"/>
        <v>0.05</v>
      </c>
      <c r="M61" s="762">
        <f t="shared" si="11"/>
        <v>0.2</v>
      </c>
      <c r="N61" s="763">
        <f t="shared" si="6"/>
        <v>1</v>
      </c>
      <c r="O61" s="764"/>
      <c r="R61" s="758">
        <f t="shared" si="7"/>
        <v>1</v>
      </c>
      <c r="S61" s="759">
        <f t="shared" si="8"/>
        <v>0.71500000000000008</v>
      </c>
    </row>
    <row r="62" spans="2:19">
      <c r="B62" s="760">
        <f t="shared" si="9"/>
        <v>2044</v>
      </c>
      <c r="C62" s="761">
        <f t="shared" si="10"/>
        <v>0</v>
      </c>
      <c r="D62" s="762">
        <f t="shared" si="10"/>
        <v>0</v>
      </c>
      <c r="E62" s="762">
        <f t="shared" si="10"/>
        <v>1</v>
      </c>
      <c r="F62" s="762">
        <f t="shared" si="10"/>
        <v>0</v>
      </c>
      <c r="G62" s="762">
        <f t="shared" si="10"/>
        <v>0</v>
      </c>
      <c r="H62" s="763">
        <f t="shared" si="4"/>
        <v>1</v>
      </c>
      <c r="I62" s="761">
        <f t="shared" si="11"/>
        <v>0.2</v>
      </c>
      <c r="J62" s="762">
        <f t="shared" si="11"/>
        <v>0.3</v>
      </c>
      <c r="K62" s="762">
        <f t="shared" si="11"/>
        <v>0.25</v>
      </c>
      <c r="L62" s="762">
        <f t="shared" si="11"/>
        <v>0.05</v>
      </c>
      <c r="M62" s="762">
        <f t="shared" si="11"/>
        <v>0.2</v>
      </c>
      <c r="N62" s="763">
        <f t="shared" si="6"/>
        <v>1</v>
      </c>
      <c r="O62" s="764"/>
      <c r="R62" s="758">
        <f t="shared" si="7"/>
        <v>1</v>
      </c>
      <c r="S62" s="759">
        <f t="shared" si="8"/>
        <v>0.71500000000000008</v>
      </c>
    </row>
    <row r="63" spans="2:19">
      <c r="B63" s="760">
        <f t="shared" si="9"/>
        <v>2045</v>
      </c>
      <c r="C63" s="761">
        <f t="shared" si="10"/>
        <v>0</v>
      </c>
      <c r="D63" s="762">
        <f t="shared" si="10"/>
        <v>0</v>
      </c>
      <c r="E63" s="762">
        <f t="shared" si="10"/>
        <v>1</v>
      </c>
      <c r="F63" s="762">
        <f t="shared" si="10"/>
        <v>0</v>
      </c>
      <c r="G63" s="762">
        <f t="shared" si="10"/>
        <v>0</v>
      </c>
      <c r="H63" s="763">
        <f t="shared" si="4"/>
        <v>1</v>
      </c>
      <c r="I63" s="761">
        <f t="shared" si="11"/>
        <v>0.2</v>
      </c>
      <c r="J63" s="762">
        <f t="shared" si="11"/>
        <v>0.3</v>
      </c>
      <c r="K63" s="762">
        <f t="shared" si="11"/>
        <v>0.25</v>
      </c>
      <c r="L63" s="762">
        <f t="shared" si="11"/>
        <v>0.05</v>
      </c>
      <c r="M63" s="762">
        <f t="shared" si="11"/>
        <v>0.2</v>
      </c>
      <c r="N63" s="763">
        <f t="shared" si="6"/>
        <v>1</v>
      </c>
      <c r="O63" s="764"/>
      <c r="R63" s="758">
        <f t="shared" si="7"/>
        <v>1</v>
      </c>
      <c r="S63" s="759">
        <f t="shared" si="8"/>
        <v>0.71500000000000008</v>
      </c>
    </row>
    <row r="64" spans="2:19">
      <c r="B64" s="760">
        <f t="shared" si="9"/>
        <v>2046</v>
      </c>
      <c r="C64" s="761">
        <f t="shared" si="10"/>
        <v>0</v>
      </c>
      <c r="D64" s="762">
        <f t="shared" si="10"/>
        <v>0</v>
      </c>
      <c r="E64" s="762">
        <f t="shared" si="10"/>
        <v>1</v>
      </c>
      <c r="F64" s="762">
        <f t="shared" si="10"/>
        <v>0</v>
      </c>
      <c r="G64" s="762">
        <f t="shared" si="10"/>
        <v>0</v>
      </c>
      <c r="H64" s="763">
        <f t="shared" si="4"/>
        <v>1</v>
      </c>
      <c r="I64" s="761">
        <f t="shared" si="11"/>
        <v>0.2</v>
      </c>
      <c r="J64" s="762">
        <f t="shared" si="11"/>
        <v>0.3</v>
      </c>
      <c r="K64" s="762">
        <f t="shared" si="11"/>
        <v>0.25</v>
      </c>
      <c r="L64" s="762">
        <f t="shared" si="11"/>
        <v>0.05</v>
      </c>
      <c r="M64" s="762">
        <f t="shared" si="11"/>
        <v>0.2</v>
      </c>
      <c r="N64" s="763">
        <f t="shared" si="6"/>
        <v>1</v>
      </c>
      <c r="O64" s="764"/>
      <c r="R64" s="758">
        <f t="shared" si="7"/>
        <v>1</v>
      </c>
      <c r="S64" s="759">
        <f t="shared" si="8"/>
        <v>0.71500000000000008</v>
      </c>
    </row>
    <row r="65" spans="2:19">
      <c r="B65" s="760">
        <f t="shared" si="9"/>
        <v>2047</v>
      </c>
      <c r="C65" s="761">
        <f t="shared" si="10"/>
        <v>0</v>
      </c>
      <c r="D65" s="762">
        <f t="shared" si="10"/>
        <v>0</v>
      </c>
      <c r="E65" s="762">
        <f t="shared" si="10"/>
        <v>1</v>
      </c>
      <c r="F65" s="762">
        <f t="shared" si="10"/>
        <v>0</v>
      </c>
      <c r="G65" s="762">
        <f t="shared" si="10"/>
        <v>0</v>
      </c>
      <c r="H65" s="763">
        <f t="shared" si="4"/>
        <v>1</v>
      </c>
      <c r="I65" s="761">
        <f t="shared" si="11"/>
        <v>0.2</v>
      </c>
      <c r="J65" s="762">
        <f t="shared" si="11"/>
        <v>0.3</v>
      </c>
      <c r="K65" s="762">
        <f t="shared" si="11"/>
        <v>0.25</v>
      </c>
      <c r="L65" s="762">
        <f t="shared" si="11"/>
        <v>0.05</v>
      </c>
      <c r="M65" s="762">
        <f t="shared" si="11"/>
        <v>0.2</v>
      </c>
      <c r="N65" s="763">
        <f t="shared" si="6"/>
        <v>1</v>
      </c>
      <c r="O65" s="764"/>
      <c r="R65" s="758">
        <f t="shared" si="7"/>
        <v>1</v>
      </c>
      <c r="S65" s="759">
        <f t="shared" si="8"/>
        <v>0.71500000000000008</v>
      </c>
    </row>
    <row r="66" spans="2:19">
      <c r="B66" s="760">
        <f t="shared" si="9"/>
        <v>2048</v>
      </c>
      <c r="C66" s="761">
        <f t="shared" si="10"/>
        <v>0</v>
      </c>
      <c r="D66" s="762">
        <f t="shared" si="10"/>
        <v>0</v>
      </c>
      <c r="E66" s="762">
        <f t="shared" si="10"/>
        <v>1</v>
      </c>
      <c r="F66" s="762">
        <f t="shared" si="10"/>
        <v>0</v>
      </c>
      <c r="G66" s="762">
        <f t="shared" si="10"/>
        <v>0</v>
      </c>
      <c r="H66" s="763">
        <f t="shared" si="4"/>
        <v>1</v>
      </c>
      <c r="I66" s="761">
        <f t="shared" si="11"/>
        <v>0.2</v>
      </c>
      <c r="J66" s="762">
        <f t="shared" si="11"/>
        <v>0.3</v>
      </c>
      <c r="K66" s="762">
        <f t="shared" si="11"/>
        <v>0.25</v>
      </c>
      <c r="L66" s="762">
        <f t="shared" si="11"/>
        <v>0.05</v>
      </c>
      <c r="M66" s="762">
        <f t="shared" si="11"/>
        <v>0.2</v>
      </c>
      <c r="N66" s="763">
        <f t="shared" si="6"/>
        <v>1</v>
      </c>
      <c r="O66" s="764"/>
      <c r="R66" s="758">
        <f t="shared" si="7"/>
        <v>1</v>
      </c>
      <c r="S66" s="759">
        <f t="shared" si="8"/>
        <v>0.71500000000000008</v>
      </c>
    </row>
    <row r="67" spans="2:19">
      <c r="B67" s="760">
        <f t="shared" si="9"/>
        <v>2049</v>
      </c>
      <c r="C67" s="761">
        <f t="shared" si="10"/>
        <v>0</v>
      </c>
      <c r="D67" s="762">
        <f t="shared" si="10"/>
        <v>0</v>
      </c>
      <c r="E67" s="762">
        <f t="shared" si="10"/>
        <v>1</v>
      </c>
      <c r="F67" s="762">
        <f t="shared" si="10"/>
        <v>0</v>
      </c>
      <c r="G67" s="762">
        <f t="shared" si="10"/>
        <v>0</v>
      </c>
      <c r="H67" s="763">
        <f t="shared" si="4"/>
        <v>1</v>
      </c>
      <c r="I67" s="761">
        <f t="shared" si="11"/>
        <v>0.2</v>
      </c>
      <c r="J67" s="762">
        <f t="shared" si="11"/>
        <v>0.3</v>
      </c>
      <c r="K67" s="762">
        <f t="shared" si="11"/>
        <v>0.25</v>
      </c>
      <c r="L67" s="762">
        <f t="shared" si="11"/>
        <v>0.05</v>
      </c>
      <c r="M67" s="762">
        <f t="shared" si="11"/>
        <v>0.2</v>
      </c>
      <c r="N67" s="763">
        <f t="shared" si="6"/>
        <v>1</v>
      </c>
      <c r="O67" s="764"/>
      <c r="R67" s="758">
        <f t="shared" si="7"/>
        <v>1</v>
      </c>
      <c r="S67" s="759">
        <f t="shared" si="8"/>
        <v>0.71500000000000008</v>
      </c>
    </row>
    <row r="68" spans="2:19">
      <c r="B68" s="760">
        <f t="shared" si="9"/>
        <v>2050</v>
      </c>
      <c r="C68" s="761">
        <f t="shared" si="10"/>
        <v>0</v>
      </c>
      <c r="D68" s="762">
        <f t="shared" si="10"/>
        <v>0</v>
      </c>
      <c r="E68" s="762">
        <f t="shared" si="10"/>
        <v>1</v>
      </c>
      <c r="F68" s="762">
        <f t="shared" si="10"/>
        <v>0</v>
      </c>
      <c r="G68" s="762">
        <f t="shared" si="10"/>
        <v>0</v>
      </c>
      <c r="H68" s="763">
        <f t="shared" si="4"/>
        <v>1</v>
      </c>
      <c r="I68" s="761">
        <f t="shared" si="11"/>
        <v>0.2</v>
      </c>
      <c r="J68" s="762">
        <f t="shared" si="11"/>
        <v>0.3</v>
      </c>
      <c r="K68" s="762">
        <f t="shared" si="11"/>
        <v>0.25</v>
      </c>
      <c r="L68" s="762">
        <f t="shared" si="11"/>
        <v>0.05</v>
      </c>
      <c r="M68" s="762">
        <f t="shared" si="11"/>
        <v>0.2</v>
      </c>
      <c r="N68" s="763">
        <f t="shared" si="6"/>
        <v>1</v>
      </c>
      <c r="O68" s="764"/>
      <c r="R68" s="758">
        <f t="shared" si="7"/>
        <v>1</v>
      </c>
      <c r="S68" s="759">
        <f t="shared" si="8"/>
        <v>0.71500000000000008</v>
      </c>
    </row>
    <row r="69" spans="2:19">
      <c r="B69" s="760">
        <f t="shared" si="9"/>
        <v>2051</v>
      </c>
      <c r="C69" s="761">
        <f t="shared" si="10"/>
        <v>0</v>
      </c>
      <c r="D69" s="762">
        <f t="shared" si="10"/>
        <v>0</v>
      </c>
      <c r="E69" s="762">
        <f t="shared" si="10"/>
        <v>1</v>
      </c>
      <c r="F69" s="762">
        <f t="shared" si="10"/>
        <v>0</v>
      </c>
      <c r="G69" s="762">
        <f t="shared" si="10"/>
        <v>0</v>
      </c>
      <c r="H69" s="763">
        <f t="shared" si="4"/>
        <v>1</v>
      </c>
      <c r="I69" s="761">
        <f t="shared" si="11"/>
        <v>0.2</v>
      </c>
      <c r="J69" s="762">
        <f t="shared" si="11"/>
        <v>0.3</v>
      </c>
      <c r="K69" s="762">
        <f t="shared" si="11"/>
        <v>0.25</v>
      </c>
      <c r="L69" s="762">
        <f t="shared" si="11"/>
        <v>0.05</v>
      </c>
      <c r="M69" s="762">
        <f t="shared" si="11"/>
        <v>0.2</v>
      </c>
      <c r="N69" s="763">
        <f t="shared" si="6"/>
        <v>1</v>
      </c>
      <c r="O69" s="764"/>
      <c r="R69" s="758">
        <f t="shared" si="7"/>
        <v>1</v>
      </c>
      <c r="S69" s="759">
        <f t="shared" si="8"/>
        <v>0.71500000000000008</v>
      </c>
    </row>
    <row r="70" spans="2:19">
      <c r="B70" s="760">
        <f t="shared" si="9"/>
        <v>2052</v>
      </c>
      <c r="C70" s="761">
        <f t="shared" si="10"/>
        <v>0</v>
      </c>
      <c r="D70" s="762">
        <f t="shared" si="10"/>
        <v>0</v>
      </c>
      <c r="E70" s="762">
        <f t="shared" si="10"/>
        <v>1</v>
      </c>
      <c r="F70" s="762">
        <f t="shared" si="10"/>
        <v>0</v>
      </c>
      <c r="G70" s="762">
        <f t="shared" si="10"/>
        <v>0</v>
      </c>
      <c r="H70" s="763">
        <f t="shared" si="4"/>
        <v>1</v>
      </c>
      <c r="I70" s="761">
        <f t="shared" si="11"/>
        <v>0.2</v>
      </c>
      <c r="J70" s="762">
        <f t="shared" si="11"/>
        <v>0.3</v>
      </c>
      <c r="K70" s="762">
        <f t="shared" si="11"/>
        <v>0.25</v>
      </c>
      <c r="L70" s="762">
        <f t="shared" si="11"/>
        <v>0.05</v>
      </c>
      <c r="M70" s="762">
        <f t="shared" si="11"/>
        <v>0.2</v>
      </c>
      <c r="N70" s="763">
        <f t="shared" si="6"/>
        <v>1</v>
      </c>
      <c r="O70" s="764"/>
      <c r="R70" s="758">
        <f t="shared" si="7"/>
        <v>1</v>
      </c>
      <c r="S70" s="759">
        <f t="shared" si="8"/>
        <v>0.71500000000000008</v>
      </c>
    </row>
    <row r="71" spans="2:19">
      <c r="B71" s="760">
        <f t="shared" si="9"/>
        <v>2053</v>
      </c>
      <c r="C71" s="761">
        <f t="shared" si="10"/>
        <v>0</v>
      </c>
      <c r="D71" s="762">
        <f t="shared" si="10"/>
        <v>0</v>
      </c>
      <c r="E71" s="762">
        <f t="shared" si="10"/>
        <v>1</v>
      </c>
      <c r="F71" s="762">
        <f t="shared" si="10"/>
        <v>0</v>
      </c>
      <c r="G71" s="762">
        <f t="shared" si="10"/>
        <v>0</v>
      </c>
      <c r="H71" s="763">
        <f t="shared" si="4"/>
        <v>1</v>
      </c>
      <c r="I71" s="761">
        <f t="shared" si="11"/>
        <v>0.2</v>
      </c>
      <c r="J71" s="762">
        <f t="shared" si="11"/>
        <v>0.3</v>
      </c>
      <c r="K71" s="762">
        <f t="shared" si="11"/>
        <v>0.25</v>
      </c>
      <c r="L71" s="762">
        <f t="shared" si="11"/>
        <v>0.05</v>
      </c>
      <c r="M71" s="762">
        <f t="shared" si="11"/>
        <v>0.2</v>
      </c>
      <c r="N71" s="763">
        <f t="shared" si="6"/>
        <v>1</v>
      </c>
      <c r="O71" s="764"/>
      <c r="R71" s="758">
        <f t="shared" si="7"/>
        <v>1</v>
      </c>
      <c r="S71" s="759">
        <f t="shared" si="8"/>
        <v>0.71500000000000008</v>
      </c>
    </row>
    <row r="72" spans="2:19">
      <c r="B72" s="760">
        <f t="shared" si="9"/>
        <v>2054</v>
      </c>
      <c r="C72" s="761">
        <f t="shared" si="10"/>
        <v>0</v>
      </c>
      <c r="D72" s="762">
        <f t="shared" si="10"/>
        <v>0</v>
      </c>
      <c r="E72" s="762">
        <f t="shared" si="10"/>
        <v>1</v>
      </c>
      <c r="F72" s="762">
        <f t="shared" si="10"/>
        <v>0</v>
      </c>
      <c r="G72" s="762">
        <f t="shared" si="10"/>
        <v>0</v>
      </c>
      <c r="H72" s="763">
        <f t="shared" si="4"/>
        <v>1</v>
      </c>
      <c r="I72" s="761">
        <f t="shared" si="11"/>
        <v>0.2</v>
      </c>
      <c r="J72" s="762">
        <f t="shared" si="11"/>
        <v>0.3</v>
      </c>
      <c r="K72" s="762">
        <f t="shared" si="11"/>
        <v>0.25</v>
      </c>
      <c r="L72" s="762">
        <f t="shared" si="11"/>
        <v>0.05</v>
      </c>
      <c r="M72" s="762">
        <f t="shared" si="11"/>
        <v>0.2</v>
      </c>
      <c r="N72" s="763">
        <f t="shared" si="6"/>
        <v>1</v>
      </c>
      <c r="O72" s="764"/>
      <c r="R72" s="758">
        <f t="shared" si="7"/>
        <v>1</v>
      </c>
      <c r="S72" s="759">
        <f t="shared" si="8"/>
        <v>0.71500000000000008</v>
      </c>
    </row>
    <row r="73" spans="2:19">
      <c r="B73" s="760">
        <f t="shared" si="9"/>
        <v>2055</v>
      </c>
      <c r="C73" s="761">
        <f t="shared" si="10"/>
        <v>0</v>
      </c>
      <c r="D73" s="762">
        <f t="shared" si="10"/>
        <v>0</v>
      </c>
      <c r="E73" s="762">
        <f t="shared" si="10"/>
        <v>1</v>
      </c>
      <c r="F73" s="762">
        <f t="shared" si="10"/>
        <v>0</v>
      </c>
      <c r="G73" s="762">
        <f t="shared" si="10"/>
        <v>0</v>
      </c>
      <c r="H73" s="763">
        <f t="shared" si="4"/>
        <v>1</v>
      </c>
      <c r="I73" s="761">
        <f t="shared" si="11"/>
        <v>0.2</v>
      </c>
      <c r="J73" s="762">
        <f t="shared" si="11"/>
        <v>0.3</v>
      </c>
      <c r="K73" s="762">
        <f t="shared" si="11"/>
        <v>0.25</v>
      </c>
      <c r="L73" s="762">
        <f t="shared" si="11"/>
        <v>0.05</v>
      </c>
      <c r="M73" s="762">
        <f t="shared" si="11"/>
        <v>0.2</v>
      </c>
      <c r="N73" s="763">
        <f t="shared" si="6"/>
        <v>1</v>
      </c>
      <c r="O73" s="764"/>
      <c r="R73" s="758">
        <f t="shared" si="7"/>
        <v>1</v>
      </c>
      <c r="S73" s="759">
        <f t="shared" si="8"/>
        <v>0.71500000000000008</v>
      </c>
    </row>
    <row r="74" spans="2:19">
      <c r="B74" s="760">
        <f t="shared" si="9"/>
        <v>2056</v>
      </c>
      <c r="C74" s="761">
        <f t="shared" si="10"/>
        <v>0</v>
      </c>
      <c r="D74" s="762">
        <f t="shared" si="10"/>
        <v>0</v>
      </c>
      <c r="E74" s="762">
        <f t="shared" si="10"/>
        <v>1</v>
      </c>
      <c r="F74" s="762">
        <f t="shared" si="10"/>
        <v>0</v>
      </c>
      <c r="G74" s="762">
        <f t="shared" si="10"/>
        <v>0</v>
      </c>
      <c r="H74" s="763">
        <f t="shared" si="4"/>
        <v>1</v>
      </c>
      <c r="I74" s="761">
        <f t="shared" si="11"/>
        <v>0.2</v>
      </c>
      <c r="J74" s="762">
        <f t="shared" si="11"/>
        <v>0.3</v>
      </c>
      <c r="K74" s="762">
        <f t="shared" si="11"/>
        <v>0.25</v>
      </c>
      <c r="L74" s="762">
        <f t="shared" si="11"/>
        <v>0.05</v>
      </c>
      <c r="M74" s="762">
        <f t="shared" si="11"/>
        <v>0.2</v>
      </c>
      <c r="N74" s="763">
        <f t="shared" si="6"/>
        <v>1</v>
      </c>
      <c r="O74" s="764"/>
      <c r="R74" s="758">
        <f t="shared" si="7"/>
        <v>1</v>
      </c>
      <c r="S74" s="759">
        <f t="shared" si="8"/>
        <v>0.71500000000000008</v>
      </c>
    </row>
    <row r="75" spans="2:19">
      <c r="B75" s="760">
        <f t="shared" si="9"/>
        <v>2057</v>
      </c>
      <c r="C75" s="761">
        <f t="shared" si="10"/>
        <v>0</v>
      </c>
      <c r="D75" s="762">
        <f t="shared" si="10"/>
        <v>0</v>
      </c>
      <c r="E75" s="762">
        <f t="shared" si="10"/>
        <v>1</v>
      </c>
      <c r="F75" s="762">
        <f t="shared" si="10"/>
        <v>0</v>
      </c>
      <c r="G75" s="762">
        <f t="shared" si="10"/>
        <v>0</v>
      </c>
      <c r="H75" s="763">
        <f t="shared" si="4"/>
        <v>1</v>
      </c>
      <c r="I75" s="761">
        <f t="shared" si="11"/>
        <v>0.2</v>
      </c>
      <c r="J75" s="762">
        <f t="shared" si="11"/>
        <v>0.3</v>
      </c>
      <c r="K75" s="762">
        <f t="shared" si="11"/>
        <v>0.25</v>
      </c>
      <c r="L75" s="762">
        <f t="shared" si="11"/>
        <v>0.05</v>
      </c>
      <c r="M75" s="762">
        <f t="shared" si="11"/>
        <v>0.2</v>
      </c>
      <c r="N75" s="763">
        <f t="shared" si="6"/>
        <v>1</v>
      </c>
      <c r="O75" s="764"/>
      <c r="R75" s="758">
        <f t="shared" si="7"/>
        <v>1</v>
      </c>
      <c r="S75" s="759">
        <f t="shared" si="8"/>
        <v>0.71500000000000008</v>
      </c>
    </row>
    <row r="76" spans="2:19">
      <c r="B76" s="760">
        <f t="shared" si="9"/>
        <v>2058</v>
      </c>
      <c r="C76" s="761">
        <f t="shared" si="10"/>
        <v>0</v>
      </c>
      <c r="D76" s="762">
        <f t="shared" si="10"/>
        <v>0</v>
      </c>
      <c r="E76" s="762">
        <f t="shared" si="10"/>
        <v>1</v>
      </c>
      <c r="F76" s="762">
        <f t="shared" si="10"/>
        <v>0</v>
      </c>
      <c r="G76" s="762">
        <f t="shared" si="10"/>
        <v>0</v>
      </c>
      <c r="H76" s="763">
        <f t="shared" si="4"/>
        <v>1</v>
      </c>
      <c r="I76" s="761">
        <f t="shared" si="11"/>
        <v>0.2</v>
      </c>
      <c r="J76" s="762">
        <f t="shared" si="11"/>
        <v>0.3</v>
      </c>
      <c r="K76" s="762">
        <f t="shared" si="11"/>
        <v>0.25</v>
      </c>
      <c r="L76" s="762">
        <f t="shared" si="11"/>
        <v>0.05</v>
      </c>
      <c r="M76" s="762">
        <f t="shared" si="11"/>
        <v>0.2</v>
      </c>
      <c r="N76" s="763">
        <f t="shared" si="6"/>
        <v>1</v>
      </c>
      <c r="O76" s="764"/>
      <c r="R76" s="758">
        <f t="shared" si="7"/>
        <v>1</v>
      </c>
      <c r="S76" s="759">
        <f t="shared" si="8"/>
        <v>0.71500000000000008</v>
      </c>
    </row>
    <row r="77" spans="2:19">
      <c r="B77" s="760">
        <f t="shared" si="9"/>
        <v>2059</v>
      </c>
      <c r="C77" s="761">
        <f t="shared" si="10"/>
        <v>0</v>
      </c>
      <c r="D77" s="762">
        <f t="shared" si="10"/>
        <v>0</v>
      </c>
      <c r="E77" s="762">
        <f t="shared" si="10"/>
        <v>1</v>
      </c>
      <c r="F77" s="762">
        <f t="shared" si="10"/>
        <v>0</v>
      </c>
      <c r="G77" s="762">
        <f t="shared" si="10"/>
        <v>0</v>
      </c>
      <c r="H77" s="763">
        <f t="shared" si="4"/>
        <v>1</v>
      </c>
      <c r="I77" s="761">
        <f t="shared" si="11"/>
        <v>0.2</v>
      </c>
      <c r="J77" s="762">
        <f t="shared" si="11"/>
        <v>0.3</v>
      </c>
      <c r="K77" s="762">
        <f t="shared" si="11"/>
        <v>0.25</v>
      </c>
      <c r="L77" s="762">
        <f t="shared" si="11"/>
        <v>0.05</v>
      </c>
      <c r="M77" s="762">
        <f t="shared" si="11"/>
        <v>0.2</v>
      </c>
      <c r="N77" s="763">
        <f t="shared" si="6"/>
        <v>1</v>
      </c>
      <c r="O77" s="764"/>
      <c r="R77" s="758">
        <f t="shared" si="7"/>
        <v>1</v>
      </c>
      <c r="S77" s="759">
        <f t="shared" si="8"/>
        <v>0.71500000000000008</v>
      </c>
    </row>
    <row r="78" spans="2:19">
      <c r="B78" s="760">
        <f t="shared" si="9"/>
        <v>2060</v>
      </c>
      <c r="C78" s="761">
        <f t="shared" si="10"/>
        <v>0</v>
      </c>
      <c r="D78" s="762">
        <f t="shared" si="10"/>
        <v>0</v>
      </c>
      <c r="E78" s="762">
        <f t="shared" si="10"/>
        <v>1</v>
      </c>
      <c r="F78" s="762">
        <f t="shared" si="10"/>
        <v>0</v>
      </c>
      <c r="G78" s="762">
        <f t="shared" si="10"/>
        <v>0</v>
      </c>
      <c r="H78" s="763">
        <f t="shared" si="4"/>
        <v>1</v>
      </c>
      <c r="I78" s="761">
        <f t="shared" si="11"/>
        <v>0.2</v>
      </c>
      <c r="J78" s="762">
        <f t="shared" si="11"/>
        <v>0.3</v>
      </c>
      <c r="K78" s="762">
        <f t="shared" si="11"/>
        <v>0.25</v>
      </c>
      <c r="L78" s="762">
        <f t="shared" si="11"/>
        <v>0.05</v>
      </c>
      <c r="M78" s="762">
        <f t="shared" si="11"/>
        <v>0.2</v>
      </c>
      <c r="N78" s="763">
        <f t="shared" si="6"/>
        <v>1</v>
      </c>
      <c r="O78" s="764"/>
      <c r="R78" s="758">
        <f t="shared" si="7"/>
        <v>1</v>
      </c>
      <c r="S78" s="759">
        <f t="shared" si="8"/>
        <v>0.71500000000000008</v>
      </c>
    </row>
    <row r="79" spans="2:19">
      <c r="B79" s="760">
        <f t="shared" si="9"/>
        <v>2061</v>
      </c>
      <c r="C79" s="761">
        <f t="shared" si="10"/>
        <v>0</v>
      </c>
      <c r="D79" s="762">
        <f t="shared" si="10"/>
        <v>0</v>
      </c>
      <c r="E79" s="762">
        <f t="shared" si="10"/>
        <v>1</v>
      </c>
      <c r="F79" s="762">
        <f t="shared" si="10"/>
        <v>0</v>
      </c>
      <c r="G79" s="762">
        <f t="shared" si="10"/>
        <v>0</v>
      </c>
      <c r="H79" s="763">
        <f t="shared" si="4"/>
        <v>1</v>
      </c>
      <c r="I79" s="761">
        <f t="shared" si="11"/>
        <v>0.2</v>
      </c>
      <c r="J79" s="762">
        <f t="shared" si="11"/>
        <v>0.3</v>
      </c>
      <c r="K79" s="762">
        <f t="shared" si="11"/>
        <v>0.25</v>
      </c>
      <c r="L79" s="762">
        <f t="shared" si="11"/>
        <v>0.05</v>
      </c>
      <c r="M79" s="762">
        <f t="shared" si="11"/>
        <v>0.2</v>
      </c>
      <c r="N79" s="763">
        <f t="shared" si="6"/>
        <v>1</v>
      </c>
      <c r="O79" s="764"/>
      <c r="R79" s="758">
        <f t="shared" si="7"/>
        <v>1</v>
      </c>
      <c r="S79" s="759">
        <f t="shared" si="8"/>
        <v>0.71500000000000008</v>
      </c>
    </row>
    <row r="80" spans="2:19">
      <c r="B80" s="760">
        <f t="shared" si="9"/>
        <v>2062</v>
      </c>
      <c r="C80" s="761">
        <f t="shared" si="10"/>
        <v>0</v>
      </c>
      <c r="D80" s="762">
        <f t="shared" si="10"/>
        <v>0</v>
      </c>
      <c r="E80" s="762">
        <f t="shared" si="10"/>
        <v>1</v>
      </c>
      <c r="F80" s="762">
        <f t="shared" si="10"/>
        <v>0</v>
      </c>
      <c r="G80" s="762">
        <f t="shared" si="10"/>
        <v>0</v>
      </c>
      <c r="H80" s="763">
        <f t="shared" si="4"/>
        <v>1</v>
      </c>
      <c r="I80" s="761">
        <f t="shared" si="11"/>
        <v>0.2</v>
      </c>
      <c r="J80" s="762">
        <f t="shared" si="11"/>
        <v>0.3</v>
      </c>
      <c r="K80" s="762">
        <f t="shared" si="11"/>
        <v>0.25</v>
      </c>
      <c r="L80" s="762">
        <f t="shared" si="11"/>
        <v>0.05</v>
      </c>
      <c r="M80" s="762">
        <f t="shared" si="11"/>
        <v>0.2</v>
      </c>
      <c r="N80" s="763">
        <f t="shared" si="6"/>
        <v>1</v>
      </c>
      <c r="O80" s="764"/>
      <c r="R80" s="758">
        <f t="shared" si="7"/>
        <v>1</v>
      </c>
      <c r="S80" s="759">
        <f t="shared" si="8"/>
        <v>0.71500000000000008</v>
      </c>
    </row>
    <row r="81" spans="2:19">
      <c r="B81" s="760">
        <f t="shared" si="9"/>
        <v>2063</v>
      </c>
      <c r="C81" s="761">
        <f t="shared" si="10"/>
        <v>0</v>
      </c>
      <c r="D81" s="762">
        <f t="shared" si="10"/>
        <v>0</v>
      </c>
      <c r="E81" s="762">
        <f t="shared" si="10"/>
        <v>1</v>
      </c>
      <c r="F81" s="762">
        <f t="shared" si="10"/>
        <v>0</v>
      </c>
      <c r="G81" s="762">
        <f t="shared" si="10"/>
        <v>0</v>
      </c>
      <c r="H81" s="763">
        <f t="shared" si="4"/>
        <v>1</v>
      </c>
      <c r="I81" s="761">
        <f t="shared" si="11"/>
        <v>0.2</v>
      </c>
      <c r="J81" s="762">
        <f t="shared" si="11"/>
        <v>0.3</v>
      </c>
      <c r="K81" s="762">
        <f t="shared" si="11"/>
        <v>0.25</v>
      </c>
      <c r="L81" s="762">
        <f t="shared" si="11"/>
        <v>0.05</v>
      </c>
      <c r="M81" s="762">
        <f t="shared" si="11"/>
        <v>0.2</v>
      </c>
      <c r="N81" s="763">
        <f t="shared" si="6"/>
        <v>1</v>
      </c>
      <c r="O81" s="764"/>
      <c r="R81" s="758">
        <f t="shared" si="7"/>
        <v>1</v>
      </c>
      <c r="S81" s="759">
        <f t="shared" si="8"/>
        <v>0.71500000000000008</v>
      </c>
    </row>
    <row r="82" spans="2:19">
      <c r="B82" s="760">
        <f t="shared" si="9"/>
        <v>2064</v>
      </c>
      <c r="C82" s="761">
        <f t="shared" si="10"/>
        <v>0</v>
      </c>
      <c r="D82" s="762">
        <f t="shared" si="10"/>
        <v>0</v>
      </c>
      <c r="E82" s="762">
        <f t="shared" si="10"/>
        <v>1</v>
      </c>
      <c r="F82" s="762">
        <f t="shared" si="10"/>
        <v>0</v>
      </c>
      <c r="G82" s="762">
        <f t="shared" si="10"/>
        <v>0</v>
      </c>
      <c r="H82" s="763">
        <f t="shared" si="4"/>
        <v>1</v>
      </c>
      <c r="I82" s="761">
        <f t="shared" si="11"/>
        <v>0.2</v>
      </c>
      <c r="J82" s="762">
        <f t="shared" si="11"/>
        <v>0.3</v>
      </c>
      <c r="K82" s="762">
        <f t="shared" si="11"/>
        <v>0.25</v>
      </c>
      <c r="L82" s="762">
        <f t="shared" si="11"/>
        <v>0.05</v>
      </c>
      <c r="M82" s="762">
        <f t="shared" si="11"/>
        <v>0.2</v>
      </c>
      <c r="N82" s="763">
        <f t="shared" si="6"/>
        <v>1</v>
      </c>
      <c r="O82" s="764"/>
      <c r="R82" s="758">
        <f t="shared" si="7"/>
        <v>1</v>
      </c>
      <c r="S82" s="759">
        <f t="shared" si="8"/>
        <v>0.71500000000000008</v>
      </c>
    </row>
    <row r="83" spans="2:19">
      <c r="B83" s="760">
        <f t="shared" ref="B83:B98" si="12">B82+1</f>
        <v>2065</v>
      </c>
      <c r="C83" s="761">
        <f t="shared" si="10"/>
        <v>0</v>
      </c>
      <c r="D83" s="762">
        <f t="shared" si="10"/>
        <v>0</v>
      </c>
      <c r="E83" s="762">
        <f t="shared" si="10"/>
        <v>1</v>
      </c>
      <c r="F83" s="762">
        <f t="shared" si="10"/>
        <v>0</v>
      </c>
      <c r="G83" s="762">
        <f t="shared" si="10"/>
        <v>0</v>
      </c>
      <c r="H83" s="763">
        <f t="shared" ref="H83:H98" si="13">SUM(C83:G83)</f>
        <v>1</v>
      </c>
      <c r="I83" s="761">
        <f t="shared" si="11"/>
        <v>0.2</v>
      </c>
      <c r="J83" s="762">
        <f t="shared" si="11"/>
        <v>0.3</v>
      </c>
      <c r="K83" s="762">
        <f t="shared" si="11"/>
        <v>0.25</v>
      </c>
      <c r="L83" s="762">
        <f t="shared" si="11"/>
        <v>0.05</v>
      </c>
      <c r="M83" s="762">
        <f t="shared" si="11"/>
        <v>0.2</v>
      </c>
      <c r="N83" s="763">
        <f t="shared" ref="N83:N98" si="14">SUM(I83:M83)</f>
        <v>1</v>
      </c>
      <c r="O83" s="764"/>
      <c r="R83" s="758">
        <f t="shared" ref="R83:R98" si="15">C83*C$13+D83*D$13+E83*E$13+F83*F$13+G83*G$13</f>
        <v>1</v>
      </c>
      <c r="S83" s="759">
        <f t="shared" ref="S83:S98" si="16">I83*I$13+J83*J$13+K83*K$13+L83*L$13+M83*M$13</f>
        <v>0.71500000000000008</v>
      </c>
    </row>
    <row r="84" spans="2:19">
      <c r="B84" s="760">
        <f t="shared" si="12"/>
        <v>2066</v>
      </c>
      <c r="C84" s="761">
        <f t="shared" si="10"/>
        <v>0</v>
      </c>
      <c r="D84" s="762">
        <f t="shared" si="10"/>
        <v>0</v>
      </c>
      <c r="E84" s="762">
        <f t="shared" si="10"/>
        <v>1</v>
      </c>
      <c r="F84" s="762">
        <f t="shared" si="10"/>
        <v>0</v>
      </c>
      <c r="G84" s="762">
        <f t="shared" si="10"/>
        <v>0</v>
      </c>
      <c r="H84" s="763">
        <f t="shared" si="13"/>
        <v>1</v>
      </c>
      <c r="I84" s="761">
        <f t="shared" si="11"/>
        <v>0.2</v>
      </c>
      <c r="J84" s="762">
        <f t="shared" si="11"/>
        <v>0.3</v>
      </c>
      <c r="K84" s="762">
        <f t="shared" si="11"/>
        <v>0.25</v>
      </c>
      <c r="L84" s="762">
        <f t="shared" si="11"/>
        <v>0.05</v>
      </c>
      <c r="M84" s="762">
        <f t="shared" si="11"/>
        <v>0.2</v>
      </c>
      <c r="N84" s="763">
        <f t="shared" si="14"/>
        <v>1</v>
      </c>
      <c r="O84" s="764"/>
      <c r="R84" s="758">
        <f t="shared" si="15"/>
        <v>1</v>
      </c>
      <c r="S84" s="759">
        <f t="shared" si="16"/>
        <v>0.71500000000000008</v>
      </c>
    </row>
    <row r="85" spans="2:19">
      <c r="B85" s="760">
        <f t="shared" si="12"/>
        <v>2067</v>
      </c>
      <c r="C85" s="761">
        <f t="shared" si="10"/>
        <v>0</v>
      </c>
      <c r="D85" s="762">
        <f t="shared" si="10"/>
        <v>0</v>
      </c>
      <c r="E85" s="762">
        <f t="shared" si="10"/>
        <v>1</v>
      </c>
      <c r="F85" s="762">
        <f t="shared" si="10"/>
        <v>0</v>
      </c>
      <c r="G85" s="762">
        <f t="shared" si="10"/>
        <v>0</v>
      </c>
      <c r="H85" s="763">
        <f t="shared" si="13"/>
        <v>1</v>
      </c>
      <c r="I85" s="761">
        <f t="shared" si="11"/>
        <v>0.2</v>
      </c>
      <c r="J85" s="762">
        <f t="shared" si="11"/>
        <v>0.3</v>
      </c>
      <c r="K85" s="762">
        <f t="shared" si="11"/>
        <v>0.25</v>
      </c>
      <c r="L85" s="762">
        <f t="shared" si="11"/>
        <v>0.05</v>
      </c>
      <c r="M85" s="762">
        <f t="shared" si="11"/>
        <v>0.2</v>
      </c>
      <c r="N85" s="763">
        <f t="shared" si="14"/>
        <v>1</v>
      </c>
      <c r="O85" s="764"/>
      <c r="R85" s="758">
        <f t="shared" si="15"/>
        <v>1</v>
      </c>
      <c r="S85" s="759">
        <f t="shared" si="16"/>
        <v>0.71500000000000008</v>
      </c>
    </row>
    <row r="86" spans="2:19">
      <c r="B86" s="760">
        <f t="shared" si="12"/>
        <v>2068</v>
      </c>
      <c r="C86" s="761">
        <f t="shared" si="10"/>
        <v>0</v>
      </c>
      <c r="D86" s="762">
        <f t="shared" si="10"/>
        <v>0</v>
      </c>
      <c r="E86" s="762">
        <f t="shared" si="10"/>
        <v>1</v>
      </c>
      <c r="F86" s="762">
        <f t="shared" si="10"/>
        <v>0</v>
      </c>
      <c r="G86" s="762">
        <f t="shared" si="10"/>
        <v>0</v>
      </c>
      <c r="H86" s="763">
        <f t="shared" si="13"/>
        <v>1</v>
      </c>
      <c r="I86" s="761">
        <f t="shared" si="11"/>
        <v>0.2</v>
      </c>
      <c r="J86" s="762">
        <f t="shared" si="11"/>
        <v>0.3</v>
      </c>
      <c r="K86" s="762">
        <f t="shared" si="11"/>
        <v>0.25</v>
      </c>
      <c r="L86" s="762">
        <f t="shared" si="11"/>
        <v>0.05</v>
      </c>
      <c r="M86" s="762">
        <f t="shared" si="11"/>
        <v>0.2</v>
      </c>
      <c r="N86" s="763">
        <f t="shared" si="14"/>
        <v>1</v>
      </c>
      <c r="O86" s="764"/>
      <c r="R86" s="758">
        <f t="shared" si="15"/>
        <v>1</v>
      </c>
      <c r="S86" s="759">
        <f t="shared" si="16"/>
        <v>0.71500000000000008</v>
      </c>
    </row>
    <row r="87" spans="2:19">
      <c r="B87" s="760">
        <f t="shared" si="12"/>
        <v>2069</v>
      </c>
      <c r="C87" s="761">
        <f t="shared" si="10"/>
        <v>0</v>
      </c>
      <c r="D87" s="762">
        <f t="shared" si="10"/>
        <v>0</v>
      </c>
      <c r="E87" s="762">
        <f t="shared" si="10"/>
        <v>1</v>
      </c>
      <c r="F87" s="762">
        <f t="shared" si="10"/>
        <v>0</v>
      </c>
      <c r="G87" s="762">
        <f t="shared" si="10"/>
        <v>0</v>
      </c>
      <c r="H87" s="763">
        <f t="shared" si="13"/>
        <v>1</v>
      </c>
      <c r="I87" s="761">
        <f t="shared" si="11"/>
        <v>0.2</v>
      </c>
      <c r="J87" s="762">
        <f t="shared" si="11"/>
        <v>0.3</v>
      </c>
      <c r="K87" s="762">
        <f t="shared" si="11"/>
        <v>0.25</v>
      </c>
      <c r="L87" s="762">
        <f t="shared" si="11"/>
        <v>0.05</v>
      </c>
      <c r="M87" s="762">
        <f t="shared" si="11"/>
        <v>0.2</v>
      </c>
      <c r="N87" s="763">
        <f t="shared" si="14"/>
        <v>1</v>
      </c>
      <c r="O87" s="764"/>
      <c r="R87" s="758">
        <f t="shared" si="15"/>
        <v>1</v>
      </c>
      <c r="S87" s="759">
        <f t="shared" si="16"/>
        <v>0.71500000000000008</v>
      </c>
    </row>
    <row r="88" spans="2:19">
      <c r="B88" s="760">
        <f t="shared" si="12"/>
        <v>2070</v>
      </c>
      <c r="C88" s="761">
        <f t="shared" si="10"/>
        <v>0</v>
      </c>
      <c r="D88" s="762">
        <f t="shared" si="10"/>
        <v>0</v>
      </c>
      <c r="E88" s="762">
        <f t="shared" si="10"/>
        <v>1</v>
      </c>
      <c r="F88" s="762">
        <f t="shared" si="10"/>
        <v>0</v>
      </c>
      <c r="G88" s="762">
        <f t="shared" si="10"/>
        <v>0</v>
      </c>
      <c r="H88" s="763">
        <f t="shared" si="13"/>
        <v>1</v>
      </c>
      <c r="I88" s="761">
        <f t="shared" si="11"/>
        <v>0.2</v>
      </c>
      <c r="J88" s="762">
        <f t="shared" si="11"/>
        <v>0.3</v>
      </c>
      <c r="K88" s="762">
        <f t="shared" si="11"/>
        <v>0.25</v>
      </c>
      <c r="L88" s="762">
        <f t="shared" si="11"/>
        <v>0.05</v>
      </c>
      <c r="M88" s="762">
        <f t="shared" si="11"/>
        <v>0.2</v>
      </c>
      <c r="N88" s="763">
        <f t="shared" si="14"/>
        <v>1</v>
      </c>
      <c r="O88" s="764"/>
      <c r="R88" s="758">
        <f t="shared" si="15"/>
        <v>1</v>
      </c>
      <c r="S88" s="759">
        <f t="shared" si="16"/>
        <v>0.71500000000000008</v>
      </c>
    </row>
    <row r="89" spans="2:19">
      <c r="B89" s="760">
        <f t="shared" si="12"/>
        <v>2071</v>
      </c>
      <c r="C89" s="761">
        <f t="shared" si="10"/>
        <v>0</v>
      </c>
      <c r="D89" s="762">
        <f t="shared" si="10"/>
        <v>0</v>
      </c>
      <c r="E89" s="762">
        <f t="shared" si="10"/>
        <v>1</v>
      </c>
      <c r="F89" s="762">
        <f t="shared" si="10"/>
        <v>0</v>
      </c>
      <c r="G89" s="762">
        <f t="shared" si="10"/>
        <v>0</v>
      </c>
      <c r="H89" s="763">
        <f t="shared" si="13"/>
        <v>1</v>
      </c>
      <c r="I89" s="761">
        <f t="shared" si="11"/>
        <v>0.2</v>
      </c>
      <c r="J89" s="762">
        <f t="shared" si="11"/>
        <v>0.3</v>
      </c>
      <c r="K89" s="762">
        <f t="shared" si="11"/>
        <v>0.25</v>
      </c>
      <c r="L89" s="762">
        <f t="shared" si="11"/>
        <v>0.05</v>
      </c>
      <c r="M89" s="762">
        <f t="shared" si="11"/>
        <v>0.2</v>
      </c>
      <c r="N89" s="763">
        <f t="shared" si="14"/>
        <v>1</v>
      </c>
      <c r="O89" s="764"/>
      <c r="R89" s="758">
        <f t="shared" si="15"/>
        <v>1</v>
      </c>
      <c r="S89" s="759">
        <f t="shared" si="16"/>
        <v>0.71500000000000008</v>
      </c>
    </row>
    <row r="90" spans="2:19">
      <c r="B90" s="760">
        <f t="shared" si="12"/>
        <v>2072</v>
      </c>
      <c r="C90" s="761">
        <f t="shared" si="10"/>
        <v>0</v>
      </c>
      <c r="D90" s="762">
        <f t="shared" si="10"/>
        <v>0</v>
      </c>
      <c r="E90" s="762">
        <f t="shared" si="10"/>
        <v>1</v>
      </c>
      <c r="F90" s="762">
        <f t="shared" si="10"/>
        <v>0</v>
      </c>
      <c r="G90" s="762">
        <f t="shared" si="10"/>
        <v>0</v>
      </c>
      <c r="H90" s="763">
        <f t="shared" si="13"/>
        <v>1</v>
      </c>
      <c r="I90" s="761">
        <f t="shared" si="11"/>
        <v>0.2</v>
      </c>
      <c r="J90" s="762">
        <f t="shared" si="11"/>
        <v>0.3</v>
      </c>
      <c r="K90" s="762">
        <f t="shared" si="11"/>
        <v>0.25</v>
      </c>
      <c r="L90" s="762">
        <f t="shared" si="11"/>
        <v>0.05</v>
      </c>
      <c r="M90" s="762">
        <f t="shared" si="11"/>
        <v>0.2</v>
      </c>
      <c r="N90" s="763">
        <f t="shared" si="14"/>
        <v>1</v>
      </c>
      <c r="O90" s="764"/>
      <c r="R90" s="758">
        <f t="shared" si="15"/>
        <v>1</v>
      </c>
      <c r="S90" s="759">
        <f t="shared" si="16"/>
        <v>0.71500000000000008</v>
      </c>
    </row>
    <row r="91" spans="2:19">
      <c r="B91" s="760">
        <f t="shared" si="12"/>
        <v>2073</v>
      </c>
      <c r="C91" s="761">
        <f t="shared" si="10"/>
        <v>0</v>
      </c>
      <c r="D91" s="762">
        <f t="shared" si="10"/>
        <v>0</v>
      </c>
      <c r="E91" s="762">
        <f t="shared" si="10"/>
        <v>1</v>
      </c>
      <c r="F91" s="762">
        <f t="shared" si="10"/>
        <v>0</v>
      </c>
      <c r="G91" s="762">
        <f t="shared" si="10"/>
        <v>0</v>
      </c>
      <c r="H91" s="763">
        <f t="shared" si="13"/>
        <v>1</v>
      </c>
      <c r="I91" s="761">
        <f t="shared" si="11"/>
        <v>0.2</v>
      </c>
      <c r="J91" s="762">
        <f t="shared" si="11"/>
        <v>0.3</v>
      </c>
      <c r="K91" s="762">
        <f t="shared" si="11"/>
        <v>0.25</v>
      </c>
      <c r="L91" s="762">
        <f t="shared" si="11"/>
        <v>0.05</v>
      </c>
      <c r="M91" s="762">
        <f t="shared" si="11"/>
        <v>0.2</v>
      </c>
      <c r="N91" s="763">
        <f t="shared" si="14"/>
        <v>1</v>
      </c>
      <c r="O91" s="764"/>
      <c r="R91" s="758">
        <f t="shared" si="15"/>
        <v>1</v>
      </c>
      <c r="S91" s="759">
        <f t="shared" si="16"/>
        <v>0.71500000000000008</v>
      </c>
    </row>
    <row r="92" spans="2:19">
      <c r="B92" s="760">
        <f t="shared" si="12"/>
        <v>2074</v>
      </c>
      <c r="C92" s="761">
        <f t="shared" si="10"/>
        <v>0</v>
      </c>
      <c r="D92" s="762">
        <f t="shared" si="10"/>
        <v>0</v>
      </c>
      <c r="E92" s="762">
        <f t="shared" si="10"/>
        <v>1</v>
      </c>
      <c r="F92" s="762">
        <f t="shared" si="10"/>
        <v>0</v>
      </c>
      <c r="G92" s="762">
        <f t="shared" si="10"/>
        <v>0</v>
      </c>
      <c r="H92" s="763">
        <f t="shared" si="13"/>
        <v>1</v>
      </c>
      <c r="I92" s="761">
        <f t="shared" si="11"/>
        <v>0.2</v>
      </c>
      <c r="J92" s="762">
        <f t="shared" si="11"/>
        <v>0.3</v>
      </c>
      <c r="K92" s="762">
        <f t="shared" si="11"/>
        <v>0.25</v>
      </c>
      <c r="L92" s="762">
        <f t="shared" si="11"/>
        <v>0.05</v>
      </c>
      <c r="M92" s="762">
        <f t="shared" si="11"/>
        <v>0.2</v>
      </c>
      <c r="N92" s="763">
        <f t="shared" si="14"/>
        <v>1</v>
      </c>
      <c r="O92" s="764"/>
      <c r="R92" s="758">
        <f t="shared" si="15"/>
        <v>1</v>
      </c>
      <c r="S92" s="759">
        <f t="shared" si="16"/>
        <v>0.71500000000000008</v>
      </c>
    </row>
    <row r="93" spans="2:19">
      <c r="B93" s="760">
        <f t="shared" si="12"/>
        <v>2075</v>
      </c>
      <c r="C93" s="761">
        <f t="shared" si="10"/>
        <v>0</v>
      </c>
      <c r="D93" s="762">
        <f t="shared" si="10"/>
        <v>0</v>
      </c>
      <c r="E93" s="762">
        <f t="shared" si="10"/>
        <v>1</v>
      </c>
      <c r="F93" s="762">
        <f t="shared" si="10"/>
        <v>0</v>
      </c>
      <c r="G93" s="762">
        <f t="shared" si="10"/>
        <v>0</v>
      </c>
      <c r="H93" s="763">
        <f t="shared" si="13"/>
        <v>1</v>
      </c>
      <c r="I93" s="761">
        <f t="shared" si="11"/>
        <v>0.2</v>
      </c>
      <c r="J93" s="762">
        <f t="shared" si="11"/>
        <v>0.3</v>
      </c>
      <c r="K93" s="762">
        <f t="shared" si="11"/>
        <v>0.25</v>
      </c>
      <c r="L93" s="762">
        <f t="shared" si="11"/>
        <v>0.05</v>
      </c>
      <c r="M93" s="762">
        <f t="shared" si="11"/>
        <v>0.2</v>
      </c>
      <c r="N93" s="763">
        <f t="shared" si="14"/>
        <v>1</v>
      </c>
      <c r="O93" s="764"/>
      <c r="R93" s="758">
        <f t="shared" si="15"/>
        <v>1</v>
      </c>
      <c r="S93" s="759">
        <f t="shared" si="16"/>
        <v>0.71500000000000008</v>
      </c>
    </row>
    <row r="94" spans="2:19">
      <c r="B94" s="760">
        <f t="shared" si="12"/>
        <v>2076</v>
      </c>
      <c r="C94" s="761">
        <f t="shared" si="10"/>
        <v>0</v>
      </c>
      <c r="D94" s="762">
        <f t="shared" si="10"/>
        <v>0</v>
      </c>
      <c r="E94" s="762">
        <f t="shared" si="10"/>
        <v>1</v>
      </c>
      <c r="F94" s="762">
        <f t="shared" si="10"/>
        <v>0</v>
      </c>
      <c r="G94" s="762">
        <f t="shared" si="10"/>
        <v>0</v>
      </c>
      <c r="H94" s="763">
        <f t="shared" si="13"/>
        <v>1</v>
      </c>
      <c r="I94" s="761">
        <f t="shared" si="11"/>
        <v>0.2</v>
      </c>
      <c r="J94" s="762">
        <f t="shared" si="11"/>
        <v>0.3</v>
      </c>
      <c r="K94" s="762">
        <f t="shared" si="11"/>
        <v>0.25</v>
      </c>
      <c r="L94" s="762">
        <f t="shared" si="11"/>
        <v>0.05</v>
      </c>
      <c r="M94" s="762">
        <f t="shared" si="11"/>
        <v>0.2</v>
      </c>
      <c r="N94" s="763">
        <f t="shared" si="14"/>
        <v>1</v>
      </c>
      <c r="O94" s="764"/>
      <c r="R94" s="758">
        <f t="shared" si="15"/>
        <v>1</v>
      </c>
      <c r="S94" s="759">
        <f t="shared" si="16"/>
        <v>0.71500000000000008</v>
      </c>
    </row>
    <row r="95" spans="2:19">
      <c r="B95" s="760">
        <f t="shared" si="12"/>
        <v>2077</v>
      </c>
      <c r="C95" s="761">
        <f t="shared" si="10"/>
        <v>0</v>
      </c>
      <c r="D95" s="762">
        <f t="shared" si="10"/>
        <v>0</v>
      </c>
      <c r="E95" s="762">
        <f t="shared" si="10"/>
        <v>1</v>
      </c>
      <c r="F95" s="762">
        <f t="shared" si="10"/>
        <v>0</v>
      </c>
      <c r="G95" s="762">
        <f t="shared" si="10"/>
        <v>0</v>
      </c>
      <c r="H95" s="763">
        <f t="shared" si="13"/>
        <v>1</v>
      </c>
      <c r="I95" s="761">
        <f t="shared" si="11"/>
        <v>0.2</v>
      </c>
      <c r="J95" s="762">
        <f t="shared" si="11"/>
        <v>0.3</v>
      </c>
      <c r="K95" s="762">
        <f t="shared" si="11"/>
        <v>0.25</v>
      </c>
      <c r="L95" s="762">
        <f t="shared" si="11"/>
        <v>0.05</v>
      </c>
      <c r="M95" s="762">
        <f t="shared" si="11"/>
        <v>0.2</v>
      </c>
      <c r="N95" s="763">
        <f t="shared" si="14"/>
        <v>1</v>
      </c>
      <c r="O95" s="764"/>
      <c r="R95" s="758">
        <f t="shared" si="15"/>
        <v>1</v>
      </c>
      <c r="S95" s="759">
        <f t="shared" si="16"/>
        <v>0.71500000000000008</v>
      </c>
    </row>
    <row r="96" spans="2:19">
      <c r="B96" s="760">
        <f t="shared" si="12"/>
        <v>2078</v>
      </c>
      <c r="C96" s="761">
        <f t="shared" si="10"/>
        <v>0</v>
      </c>
      <c r="D96" s="762">
        <f t="shared" si="10"/>
        <v>0</v>
      </c>
      <c r="E96" s="762">
        <f t="shared" si="10"/>
        <v>1</v>
      </c>
      <c r="F96" s="762">
        <f t="shared" si="10"/>
        <v>0</v>
      </c>
      <c r="G96" s="762">
        <f t="shared" si="10"/>
        <v>0</v>
      </c>
      <c r="H96" s="763">
        <f t="shared" si="13"/>
        <v>1</v>
      </c>
      <c r="I96" s="761">
        <f t="shared" si="11"/>
        <v>0.2</v>
      </c>
      <c r="J96" s="762">
        <f t="shared" si="11"/>
        <v>0.3</v>
      </c>
      <c r="K96" s="762">
        <f t="shared" si="11"/>
        <v>0.25</v>
      </c>
      <c r="L96" s="762">
        <f t="shared" si="11"/>
        <v>0.05</v>
      </c>
      <c r="M96" s="762">
        <f t="shared" si="11"/>
        <v>0.2</v>
      </c>
      <c r="N96" s="763">
        <f t="shared" si="14"/>
        <v>1</v>
      </c>
      <c r="O96" s="764"/>
      <c r="R96" s="758">
        <f t="shared" si="15"/>
        <v>1</v>
      </c>
      <c r="S96" s="759">
        <f t="shared" si="16"/>
        <v>0.71500000000000008</v>
      </c>
    </row>
    <row r="97" spans="2:19">
      <c r="B97" s="760">
        <f t="shared" si="12"/>
        <v>2079</v>
      </c>
      <c r="C97" s="761">
        <f t="shared" si="10"/>
        <v>0</v>
      </c>
      <c r="D97" s="762">
        <f t="shared" si="10"/>
        <v>0</v>
      </c>
      <c r="E97" s="762">
        <f t="shared" si="10"/>
        <v>1</v>
      </c>
      <c r="F97" s="762">
        <f t="shared" si="10"/>
        <v>0</v>
      </c>
      <c r="G97" s="762">
        <f t="shared" si="10"/>
        <v>0</v>
      </c>
      <c r="H97" s="763">
        <f t="shared" si="13"/>
        <v>1</v>
      </c>
      <c r="I97" s="761">
        <f t="shared" si="11"/>
        <v>0.2</v>
      </c>
      <c r="J97" s="762">
        <f t="shared" si="11"/>
        <v>0.3</v>
      </c>
      <c r="K97" s="762">
        <f t="shared" si="11"/>
        <v>0.25</v>
      </c>
      <c r="L97" s="762">
        <f t="shared" si="11"/>
        <v>0.05</v>
      </c>
      <c r="M97" s="762">
        <f t="shared" si="11"/>
        <v>0.2</v>
      </c>
      <c r="N97" s="763">
        <f t="shared" si="14"/>
        <v>1</v>
      </c>
      <c r="O97" s="764"/>
      <c r="R97" s="758">
        <f t="shared" si="15"/>
        <v>1</v>
      </c>
      <c r="S97" s="759">
        <f t="shared" si="16"/>
        <v>0.71500000000000008</v>
      </c>
    </row>
    <row r="98" spans="2:19" ht="13.5" thickBot="1">
      <c r="B98" s="765">
        <f t="shared" si="12"/>
        <v>2080</v>
      </c>
      <c r="C98" s="766">
        <f t="shared" si="10"/>
        <v>0</v>
      </c>
      <c r="D98" s="767">
        <f t="shared" si="10"/>
        <v>0</v>
      </c>
      <c r="E98" s="767">
        <f t="shared" si="10"/>
        <v>1</v>
      </c>
      <c r="F98" s="767">
        <f t="shared" si="10"/>
        <v>0</v>
      </c>
      <c r="G98" s="767">
        <f t="shared" si="10"/>
        <v>0</v>
      </c>
      <c r="H98" s="768">
        <f t="shared" si="13"/>
        <v>1</v>
      </c>
      <c r="I98" s="766">
        <f t="shared" si="11"/>
        <v>0.2</v>
      </c>
      <c r="J98" s="767">
        <f t="shared" si="11"/>
        <v>0.3</v>
      </c>
      <c r="K98" s="767">
        <f t="shared" si="11"/>
        <v>0.25</v>
      </c>
      <c r="L98" s="767">
        <f t="shared" si="11"/>
        <v>0.05</v>
      </c>
      <c r="M98" s="767">
        <f t="shared" si="11"/>
        <v>0.2</v>
      </c>
      <c r="N98" s="768">
        <f t="shared" si="14"/>
        <v>1</v>
      </c>
      <c r="O98" s="769"/>
      <c r="R98" s="770">
        <f t="shared" si="15"/>
        <v>1</v>
      </c>
      <c r="S98" s="770">
        <f t="shared" si="16"/>
        <v>0.71500000000000008</v>
      </c>
    </row>
    <row r="99" spans="2:19">
      <c r="H99" s="771"/>
    </row>
    <row r="100" spans="2:19">
      <c r="H100" s="771"/>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2"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customWidth="1"/>
    <col min="22" max="22" width="10.28515625" style="586" customWidth="1"/>
    <col min="23" max="23" width="9.7109375" style="586" customWidth="1"/>
    <col min="24" max="24" width="9.42578125" style="586" customWidth="1"/>
    <col min="25" max="27" width="11.42578125" style="586"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588">
        <v>0.66390000000000005</v>
      </c>
    </row>
    <row r="3" spans="2:30">
      <c r="B3" s="589"/>
      <c r="C3" s="589"/>
      <c r="S3" s="589"/>
      <c r="AC3" s="586" t="s">
        <v>256</v>
      </c>
      <c r="AD3" s="588">
        <v>0.1285</v>
      </c>
    </row>
    <row r="4" spans="2:30">
      <c r="B4" s="589"/>
      <c r="C4" s="589" t="s">
        <v>38</v>
      </c>
      <c r="S4" s="589" t="s">
        <v>301</v>
      </c>
      <c r="AC4" s="586" t="s">
        <v>2</v>
      </c>
      <c r="AD4" s="588">
        <v>0</v>
      </c>
    </row>
    <row r="5" spans="2:30">
      <c r="B5" s="589"/>
      <c r="C5" s="589"/>
      <c r="S5" s="589" t="s">
        <v>38</v>
      </c>
      <c r="AC5" s="586" t="s">
        <v>16</v>
      </c>
      <c r="AD5" s="588">
        <v>8.1000000000000013E-3</v>
      </c>
    </row>
    <row r="6" spans="2:30">
      <c r="B6" s="589"/>
      <c r="S6" s="589"/>
      <c r="AC6" s="586" t="s">
        <v>331</v>
      </c>
      <c r="AD6" s="588">
        <v>0</v>
      </c>
    </row>
    <row r="7" spans="2:30" ht="13.5" thickBot="1">
      <c r="B7" s="589"/>
      <c r="C7" s="590"/>
      <c r="S7" s="589"/>
      <c r="AC7" s="586" t="s">
        <v>332</v>
      </c>
      <c r="AD7" s="588">
        <v>0.10710000000000001</v>
      </c>
    </row>
    <row r="8" spans="2:30" ht="13.5" thickBot="1">
      <c r="B8" s="589"/>
      <c r="D8" s="591">
        <v>6.2100000000000002E-2</v>
      </c>
      <c r="E8" s="592">
        <v>0.66390000000000005</v>
      </c>
      <c r="F8" s="593">
        <v>0.1285</v>
      </c>
      <c r="G8" s="593">
        <v>0</v>
      </c>
      <c r="H8" s="593">
        <v>0</v>
      </c>
      <c r="I8" s="593">
        <v>0</v>
      </c>
      <c r="J8" s="593">
        <v>8.0999999999999996E-3</v>
      </c>
      <c r="K8" s="593">
        <v>0</v>
      </c>
      <c r="L8" s="593">
        <v>0.1071</v>
      </c>
      <c r="M8" s="593">
        <v>1.77E-2</v>
      </c>
      <c r="N8" s="593">
        <v>1.3299999999999999E-2</v>
      </c>
      <c r="O8" s="593">
        <v>6.2100000000000002E-2</v>
      </c>
      <c r="P8" s="594">
        <f>SUM(E8:O8)</f>
        <v>1.0006999999999999</v>
      </c>
      <c r="S8" s="589"/>
      <c r="T8" s="589"/>
      <c r="AC8" s="586" t="s">
        <v>231</v>
      </c>
      <c r="AD8" s="588">
        <v>1.77E-2</v>
      </c>
    </row>
    <row r="9" spans="2:30" ht="13.5" thickBot="1">
      <c r="B9" s="595"/>
      <c r="C9" s="596"/>
      <c r="D9" s="597"/>
      <c r="E9" s="819" t="s">
        <v>41</v>
      </c>
      <c r="F9" s="820"/>
      <c r="G9" s="820"/>
      <c r="H9" s="820"/>
      <c r="I9" s="820"/>
      <c r="J9" s="820"/>
      <c r="K9" s="820"/>
      <c r="L9" s="820"/>
      <c r="M9" s="820"/>
      <c r="N9" s="820"/>
      <c r="O9" s="820"/>
      <c r="P9" s="598"/>
      <c r="AC9" s="586" t="s">
        <v>232</v>
      </c>
      <c r="AD9" s="588">
        <v>1.3300000000000001E-2</v>
      </c>
    </row>
    <row r="10" spans="2:30" ht="21.75" customHeight="1" thickBot="1">
      <c r="B10" s="817" t="s">
        <v>1</v>
      </c>
      <c r="C10" s="817" t="s">
        <v>33</v>
      </c>
      <c r="D10" s="817" t="s">
        <v>40</v>
      </c>
      <c r="E10" s="817" t="s">
        <v>228</v>
      </c>
      <c r="F10" s="817" t="s">
        <v>271</v>
      </c>
      <c r="G10" s="809" t="s">
        <v>267</v>
      </c>
      <c r="H10" s="817" t="s">
        <v>270</v>
      </c>
      <c r="I10" s="809" t="s">
        <v>2</v>
      </c>
      <c r="J10" s="817" t="s">
        <v>16</v>
      </c>
      <c r="K10" s="809" t="s">
        <v>229</v>
      </c>
      <c r="L10" s="806" t="s">
        <v>273</v>
      </c>
      <c r="M10" s="807"/>
      <c r="N10" s="807"/>
      <c r="O10" s="808"/>
      <c r="P10" s="817" t="s">
        <v>27</v>
      </c>
      <c r="AC10" s="586" t="s">
        <v>233</v>
      </c>
      <c r="AD10" s="588">
        <v>6.2100000000000002E-2</v>
      </c>
    </row>
    <row r="11" spans="2:30" s="600" customFormat="1" ht="42" customHeight="1" thickBot="1">
      <c r="B11" s="818"/>
      <c r="C11" s="818"/>
      <c r="D11" s="818"/>
      <c r="E11" s="818"/>
      <c r="F11" s="818"/>
      <c r="G11" s="811"/>
      <c r="H11" s="818"/>
      <c r="I11" s="811"/>
      <c r="J11" s="818"/>
      <c r="K11" s="811"/>
      <c r="L11" s="599" t="s">
        <v>230</v>
      </c>
      <c r="M11" s="599" t="s">
        <v>231</v>
      </c>
      <c r="N11" s="599" t="s">
        <v>232</v>
      </c>
      <c r="O11" s="599" t="s">
        <v>233</v>
      </c>
      <c r="P11" s="818"/>
      <c r="S11" s="365" t="s">
        <v>1</v>
      </c>
      <c r="T11" s="369" t="s">
        <v>302</v>
      </c>
      <c r="U11" s="365" t="s">
        <v>303</v>
      </c>
      <c r="V11" s="369" t="s">
        <v>304</v>
      </c>
      <c r="W11" s="365" t="s">
        <v>40</v>
      </c>
      <c r="X11" s="369" t="s">
        <v>305</v>
      </c>
    </row>
    <row r="12" spans="2:30" s="607" customFormat="1" ht="26.25" thickBot="1">
      <c r="B12" s="601"/>
      <c r="C12" s="602" t="s">
        <v>15</v>
      </c>
      <c r="D12" s="602" t="s">
        <v>24</v>
      </c>
      <c r="E12" s="603" t="s">
        <v>24</v>
      </c>
      <c r="F12" s="604" t="s">
        <v>24</v>
      </c>
      <c r="G12" s="604" t="s">
        <v>24</v>
      </c>
      <c r="H12" s="604" t="s">
        <v>24</v>
      </c>
      <c r="I12" s="604" t="s">
        <v>24</v>
      </c>
      <c r="J12" s="604" t="s">
        <v>24</v>
      </c>
      <c r="K12" s="604" t="s">
        <v>24</v>
      </c>
      <c r="L12" s="604" t="s">
        <v>24</v>
      </c>
      <c r="M12" s="604" t="s">
        <v>24</v>
      </c>
      <c r="N12" s="604" t="s">
        <v>24</v>
      </c>
      <c r="O12" s="605" t="s">
        <v>24</v>
      </c>
      <c r="P12" s="606" t="s">
        <v>39</v>
      </c>
      <c r="S12" s="608"/>
      <c r="T12" s="609" t="s">
        <v>306</v>
      </c>
      <c r="U12" s="608" t="s">
        <v>307</v>
      </c>
      <c r="V12" s="609" t="s">
        <v>15</v>
      </c>
      <c r="W12" s="610" t="s">
        <v>24</v>
      </c>
      <c r="X12" s="609" t="s">
        <v>15</v>
      </c>
    </row>
    <row r="13" spans="2:30">
      <c r="B13" s="611">
        <f>year</f>
        <v>2000</v>
      </c>
      <c r="C13" s="612">
        <f>'[2]Fraksi pengelolaan sampah BaU'!B30</f>
        <v>28.291980486</v>
      </c>
      <c r="D13" s="613">
        <v>1</v>
      </c>
      <c r="E13" s="614">
        <f t="shared" ref="E13:O28" si="0">E$8</f>
        <v>0.66390000000000005</v>
      </c>
      <c r="F13" s="614">
        <f t="shared" si="0"/>
        <v>0.1285</v>
      </c>
      <c r="G13" s="614">
        <f t="shared" si="0"/>
        <v>0</v>
      </c>
      <c r="H13" s="614">
        <f t="shared" si="0"/>
        <v>0</v>
      </c>
      <c r="I13" s="614">
        <f t="shared" si="0"/>
        <v>0</v>
      </c>
      <c r="J13" s="614">
        <f t="shared" si="0"/>
        <v>8.0999999999999996E-3</v>
      </c>
      <c r="K13" s="614">
        <f t="shared" si="0"/>
        <v>0</v>
      </c>
      <c r="L13" s="614">
        <f t="shared" si="0"/>
        <v>0.1071</v>
      </c>
      <c r="M13" s="614">
        <f t="shared" si="0"/>
        <v>1.77E-2</v>
      </c>
      <c r="N13" s="614">
        <f t="shared" si="0"/>
        <v>1.3299999999999999E-2</v>
      </c>
      <c r="O13" s="614">
        <f t="shared" si="0"/>
        <v>6.2100000000000002E-2</v>
      </c>
      <c r="P13" s="615">
        <f t="shared" ref="P13:P44" si="1">SUM(E13:O13)</f>
        <v>1.0006999999999999</v>
      </c>
      <c r="S13" s="611">
        <f>year</f>
        <v>2000</v>
      </c>
      <c r="T13" s="616">
        <v>0</v>
      </c>
      <c r="U13" s="616">
        <v>5</v>
      </c>
      <c r="V13" s="617">
        <f>T13*U13</f>
        <v>0</v>
      </c>
      <c r="W13" s="618">
        <v>1</v>
      </c>
      <c r="X13" s="619">
        <f t="shared" ref="X13:X44" si="2">V13*W13</f>
        <v>0</v>
      </c>
    </row>
    <row r="14" spans="2:30">
      <c r="B14" s="620">
        <f t="shared" ref="B14:B45" si="3">B13+1</f>
        <v>2001</v>
      </c>
      <c r="C14" s="612">
        <f>'[2]Fraksi pengelolaan sampah BaU'!B31</f>
        <v>28.654433389999994</v>
      </c>
      <c r="D14" s="613">
        <v>1</v>
      </c>
      <c r="E14" s="614">
        <f t="shared" si="0"/>
        <v>0.66390000000000005</v>
      </c>
      <c r="F14" s="614">
        <f t="shared" si="0"/>
        <v>0.1285</v>
      </c>
      <c r="G14" s="614">
        <f t="shared" si="0"/>
        <v>0</v>
      </c>
      <c r="H14" s="614">
        <f t="shared" si="0"/>
        <v>0</v>
      </c>
      <c r="I14" s="614">
        <f t="shared" si="0"/>
        <v>0</v>
      </c>
      <c r="J14" s="614">
        <f t="shared" si="0"/>
        <v>8.0999999999999996E-3</v>
      </c>
      <c r="K14" s="614">
        <f t="shared" si="0"/>
        <v>0</v>
      </c>
      <c r="L14" s="614">
        <f t="shared" si="0"/>
        <v>0.1071</v>
      </c>
      <c r="M14" s="614">
        <f t="shared" si="0"/>
        <v>1.77E-2</v>
      </c>
      <c r="N14" s="614">
        <f t="shared" si="0"/>
        <v>1.3299999999999999E-2</v>
      </c>
      <c r="O14" s="614">
        <f t="shared" si="0"/>
        <v>6.2100000000000002E-2</v>
      </c>
      <c r="P14" s="621">
        <f t="shared" si="1"/>
        <v>1.0006999999999999</v>
      </c>
      <c r="S14" s="620">
        <f t="shared" ref="S14:S77" si="4">S13+1</f>
        <v>2001</v>
      </c>
      <c r="T14" s="622">
        <v>0</v>
      </c>
      <c r="U14" s="622">
        <v>5</v>
      </c>
      <c r="V14" s="623">
        <f>T14*U14</f>
        <v>0</v>
      </c>
      <c r="W14" s="624">
        <v>1</v>
      </c>
      <c r="X14" s="625">
        <f t="shared" si="2"/>
        <v>0</v>
      </c>
    </row>
    <row r="15" spans="2:30">
      <c r="B15" s="620">
        <f t="shared" si="3"/>
        <v>2002</v>
      </c>
      <c r="C15" s="612">
        <f>'[2]Fraksi pengelolaan sampah BaU'!B32</f>
        <v>29.300130859999999</v>
      </c>
      <c r="D15" s="613">
        <v>1</v>
      </c>
      <c r="E15" s="614">
        <f t="shared" si="0"/>
        <v>0.66390000000000005</v>
      </c>
      <c r="F15" s="614">
        <f t="shared" si="0"/>
        <v>0.1285</v>
      </c>
      <c r="G15" s="614">
        <f t="shared" si="0"/>
        <v>0</v>
      </c>
      <c r="H15" s="614">
        <f t="shared" si="0"/>
        <v>0</v>
      </c>
      <c r="I15" s="614">
        <f t="shared" si="0"/>
        <v>0</v>
      </c>
      <c r="J15" s="614">
        <f t="shared" si="0"/>
        <v>8.0999999999999996E-3</v>
      </c>
      <c r="K15" s="614">
        <f t="shared" si="0"/>
        <v>0</v>
      </c>
      <c r="L15" s="614">
        <f t="shared" si="0"/>
        <v>0.1071</v>
      </c>
      <c r="M15" s="614">
        <f t="shared" si="0"/>
        <v>1.77E-2</v>
      </c>
      <c r="N15" s="614">
        <f t="shared" si="0"/>
        <v>1.3299999999999999E-2</v>
      </c>
      <c r="O15" s="614">
        <f t="shared" si="0"/>
        <v>6.2100000000000002E-2</v>
      </c>
      <c r="P15" s="621">
        <f t="shared" si="1"/>
        <v>1.0006999999999999</v>
      </c>
      <c r="S15" s="620">
        <f t="shared" si="4"/>
        <v>2002</v>
      </c>
      <c r="T15" s="622">
        <v>0</v>
      </c>
      <c r="U15" s="622">
        <v>5</v>
      </c>
      <c r="V15" s="623">
        <f t="shared" ref="V15:V78" si="5">T15*U15</f>
        <v>0</v>
      </c>
      <c r="W15" s="624">
        <v>1</v>
      </c>
      <c r="X15" s="625">
        <f t="shared" si="2"/>
        <v>0</v>
      </c>
    </row>
    <row r="16" spans="2:30">
      <c r="B16" s="620">
        <f t="shared" si="3"/>
        <v>2003</v>
      </c>
      <c r="C16" s="612">
        <f>'[2]Fraksi pengelolaan sampah BaU'!B33</f>
        <v>29.820930898</v>
      </c>
      <c r="D16" s="613">
        <v>1</v>
      </c>
      <c r="E16" s="614">
        <f t="shared" si="0"/>
        <v>0.66390000000000005</v>
      </c>
      <c r="F16" s="614">
        <f t="shared" si="0"/>
        <v>0.1285</v>
      </c>
      <c r="G16" s="614">
        <f t="shared" si="0"/>
        <v>0</v>
      </c>
      <c r="H16" s="614">
        <f t="shared" si="0"/>
        <v>0</v>
      </c>
      <c r="I16" s="614">
        <f t="shared" si="0"/>
        <v>0</v>
      </c>
      <c r="J16" s="614">
        <f t="shared" si="0"/>
        <v>8.0999999999999996E-3</v>
      </c>
      <c r="K16" s="614">
        <f t="shared" si="0"/>
        <v>0</v>
      </c>
      <c r="L16" s="614">
        <f t="shared" si="0"/>
        <v>0.1071</v>
      </c>
      <c r="M16" s="614">
        <f t="shared" si="0"/>
        <v>1.77E-2</v>
      </c>
      <c r="N16" s="614">
        <f t="shared" si="0"/>
        <v>1.3299999999999999E-2</v>
      </c>
      <c r="O16" s="614">
        <f t="shared" si="0"/>
        <v>6.2100000000000002E-2</v>
      </c>
      <c r="P16" s="621">
        <f t="shared" si="1"/>
        <v>1.0006999999999999</v>
      </c>
      <c r="S16" s="620">
        <f t="shared" si="4"/>
        <v>2003</v>
      </c>
      <c r="T16" s="622">
        <v>0</v>
      </c>
      <c r="U16" s="622">
        <v>5</v>
      </c>
      <c r="V16" s="623">
        <f t="shared" si="5"/>
        <v>0</v>
      </c>
      <c r="W16" s="624">
        <v>1</v>
      </c>
      <c r="X16" s="625">
        <f t="shared" si="2"/>
        <v>0</v>
      </c>
    </row>
    <row r="17" spans="2:24">
      <c r="B17" s="620">
        <f t="shared" si="3"/>
        <v>2004</v>
      </c>
      <c r="C17" s="612">
        <f>'[2]Fraksi pengelolaan sampah BaU'!B34</f>
        <v>29.980460246</v>
      </c>
      <c r="D17" s="613">
        <v>1</v>
      </c>
      <c r="E17" s="614">
        <f t="shared" si="0"/>
        <v>0.66390000000000005</v>
      </c>
      <c r="F17" s="614">
        <f t="shared" si="0"/>
        <v>0.1285</v>
      </c>
      <c r="G17" s="614">
        <f t="shared" si="0"/>
        <v>0</v>
      </c>
      <c r="H17" s="614">
        <f t="shared" si="0"/>
        <v>0</v>
      </c>
      <c r="I17" s="614">
        <f t="shared" si="0"/>
        <v>0</v>
      </c>
      <c r="J17" s="614">
        <f t="shared" si="0"/>
        <v>8.0999999999999996E-3</v>
      </c>
      <c r="K17" s="614">
        <f t="shared" si="0"/>
        <v>0</v>
      </c>
      <c r="L17" s="614">
        <f t="shared" si="0"/>
        <v>0.1071</v>
      </c>
      <c r="M17" s="614">
        <f t="shared" si="0"/>
        <v>1.77E-2</v>
      </c>
      <c r="N17" s="614">
        <f t="shared" si="0"/>
        <v>1.3299999999999999E-2</v>
      </c>
      <c r="O17" s="614">
        <f t="shared" si="0"/>
        <v>6.2100000000000002E-2</v>
      </c>
      <c r="P17" s="621">
        <f t="shared" si="1"/>
        <v>1.0006999999999999</v>
      </c>
      <c r="S17" s="620">
        <f t="shared" si="4"/>
        <v>2004</v>
      </c>
      <c r="T17" s="622">
        <v>0</v>
      </c>
      <c r="U17" s="622">
        <v>5</v>
      </c>
      <c r="V17" s="623">
        <f t="shared" si="5"/>
        <v>0</v>
      </c>
      <c r="W17" s="624">
        <v>1</v>
      </c>
      <c r="X17" s="625">
        <f t="shared" si="2"/>
        <v>0</v>
      </c>
    </row>
    <row r="18" spans="2:24">
      <c r="B18" s="620">
        <f t="shared" si="3"/>
        <v>2005</v>
      </c>
      <c r="C18" s="612">
        <f>'[2]Fraksi pengelolaan sampah BaU'!B35</f>
        <v>33.208391259999999</v>
      </c>
      <c r="D18" s="613">
        <v>1</v>
      </c>
      <c r="E18" s="614">
        <f t="shared" si="0"/>
        <v>0.66390000000000005</v>
      </c>
      <c r="F18" s="614">
        <f t="shared" si="0"/>
        <v>0.1285</v>
      </c>
      <c r="G18" s="614">
        <f t="shared" si="0"/>
        <v>0</v>
      </c>
      <c r="H18" s="614">
        <f t="shared" si="0"/>
        <v>0</v>
      </c>
      <c r="I18" s="614">
        <f t="shared" si="0"/>
        <v>0</v>
      </c>
      <c r="J18" s="614">
        <f t="shared" si="0"/>
        <v>8.0999999999999996E-3</v>
      </c>
      <c r="K18" s="614">
        <f t="shared" si="0"/>
        <v>0</v>
      </c>
      <c r="L18" s="614">
        <f t="shared" si="0"/>
        <v>0.1071</v>
      </c>
      <c r="M18" s="614">
        <f t="shared" si="0"/>
        <v>1.77E-2</v>
      </c>
      <c r="N18" s="614">
        <f t="shared" si="0"/>
        <v>1.3299999999999999E-2</v>
      </c>
      <c r="O18" s="614">
        <f t="shared" si="0"/>
        <v>6.2100000000000002E-2</v>
      </c>
      <c r="P18" s="621">
        <f t="shared" si="1"/>
        <v>1.0006999999999999</v>
      </c>
      <c r="S18" s="620">
        <f t="shared" si="4"/>
        <v>2005</v>
      </c>
      <c r="T18" s="622">
        <v>0</v>
      </c>
      <c r="U18" s="622">
        <v>5</v>
      </c>
      <c r="V18" s="623">
        <f t="shared" si="5"/>
        <v>0</v>
      </c>
      <c r="W18" s="624">
        <v>1</v>
      </c>
      <c r="X18" s="625">
        <f t="shared" si="2"/>
        <v>0</v>
      </c>
    </row>
    <row r="19" spans="2:24">
      <c r="B19" s="620">
        <f t="shared" si="3"/>
        <v>2006</v>
      </c>
      <c r="C19" s="612">
        <f>'[2]Fraksi pengelolaan sampah BaU'!B36</f>
        <v>33.891502326000001</v>
      </c>
      <c r="D19" s="613">
        <v>1</v>
      </c>
      <c r="E19" s="614">
        <f t="shared" si="0"/>
        <v>0.66390000000000005</v>
      </c>
      <c r="F19" s="614">
        <f t="shared" si="0"/>
        <v>0.1285</v>
      </c>
      <c r="G19" s="614">
        <f t="shared" si="0"/>
        <v>0</v>
      </c>
      <c r="H19" s="614">
        <f t="shared" si="0"/>
        <v>0</v>
      </c>
      <c r="I19" s="614">
        <f t="shared" si="0"/>
        <v>0</v>
      </c>
      <c r="J19" s="614">
        <f t="shared" si="0"/>
        <v>8.0999999999999996E-3</v>
      </c>
      <c r="K19" s="614">
        <f t="shared" si="0"/>
        <v>0</v>
      </c>
      <c r="L19" s="614">
        <f t="shared" si="0"/>
        <v>0.1071</v>
      </c>
      <c r="M19" s="614">
        <f t="shared" si="0"/>
        <v>1.77E-2</v>
      </c>
      <c r="N19" s="614">
        <f t="shared" si="0"/>
        <v>1.3299999999999999E-2</v>
      </c>
      <c r="O19" s="614">
        <f t="shared" si="0"/>
        <v>6.2100000000000002E-2</v>
      </c>
      <c r="P19" s="621">
        <f t="shared" si="1"/>
        <v>1.0006999999999999</v>
      </c>
      <c r="S19" s="620">
        <f t="shared" si="4"/>
        <v>2006</v>
      </c>
      <c r="T19" s="622">
        <v>0</v>
      </c>
      <c r="U19" s="622">
        <v>5</v>
      </c>
      <c r="V19" s="623">
        <f t="shared" si="5"/>
        <v>0</v>
      </c>
      <c r="W19" s="624">
        <v>1</v>
      </c>
      <c r="X19" s="625">
        <f t="shared" si="2"/>
        <v>0</v>
      </c>
    </row>
    <row r="20" spans="2:24">
      <c r="B20" s="620">
        <f t="shared" si="3"/>
        <v>2007</v>
      </c>
      <c r="C20" s="612">
        <f>'[2]Fraksi pengelolaan sampah BaU'!B37</f>
        <v>34.574057056000001</v>
      </c>
      <c r="D20" s="613">
        <v>1</v>
      </c>
      <c r="E20" s="614">
        <f t="shared" si="0"/>
        <v>0.66390000000000005</v>
      </c>
      <c r="F20" s="614">
        <f t="shared" si="0"/>
        <v>0.1285</v>
      </c>
      <c r="G20" s="614">
        <f t="shared" si="0"/>
        <v>0</v>
      </c>
      <c r="H20" s="614">
        <f t="shared" si="0"/>
        <v>0</v>
      </c>
      <c r="I20" s="614">
        <f t="shared" si="0"/>
        <v>0</v>
      </c>
      <c r="J20" s="614">
        <f t="shared" si="0"/>
        <v>8.0999999999999996E-3</v>
      </c>
      <c r="K20" s="614">
        <f t="shared" si="0"/>
        <v>0</v>
      </c>
      <c r="L20" s="614">
        <f t="shared" si="0"/>
        <v>0.1071</v>
      </c>
      <c r="M20" s="614">
        <f t="shared" si="0"/>
        <v>1.77E-2</v>
      </c>
      <c r="N20" s="614">
        <f t="shared" si="0"/>
        <v>1.3299999999999999E-2</v>
      </c>
      <c r="O20" s="614">
        <f t="shared" si="0"/>
        <v>6.2100000000000002E-2</v>
      </c>
      <c r="P20" s="621">
        <f t="shared" si="1"/>
        <v>1.0006999999999999</v>
      </c>
      <c r="S20" s="620">
        <f t="shared" si="4"/>
        <v>2007</v>
      </c>
      <c r="T20" s="622">
        <v>0</v>
      </c>
      <c r="U20" s="622">
        <v>5</v>
      </c>
      <c r="V20" s="623">
        <f t="shared" si="5"/>
        <v>0</v>
      </c>
      <c r="W20" s="624">
        <v>1</v>
      </c>
      <c r="X20" s="625">
        <f t="shared" si="2"/>
        <v>0</v>
      </c>
    </row>
    <row r="21" spans="2:24">
      <c r="B21" s="620">
        <f t="shared" si="3"/>
        <v>2008</v>
      </c>
      <c r="C21" s="612">
        <f>'[2]Fraksi pengelolaan sampah BaU'!B38</f>
        <v>35.251882930000001</v>
      </c>
      <c r="D21" s="613">
        <v>1</v>
      </c>
      <c r="E21" s="614">
        <f t="shared" si="0"/>
        <v>0.66390000000000005</v>
      </c>
      <c r="F21" s="614">
        <f t="shared" si="0"/>
        <v>0.1285</v>
      </c>
      <c r="G21" s="614">
        <f t="shared" si="0"/>
        <v>0</v>
      </c>
      <c r="H21" s="614">
        <f t="shared" si="0"/>
        <v>0</v>
      </c>
      <c r="I21" s="614">
        <f t="shared" si="0"/>
        <v>0</v>
      </c>
      <c r="J21" s="614">
        <f t="shared" si="0"/>
        <v>8.0999999999999996E-3</v>
      </c>
      <c r="K21" s="614">
        <f t="shared" si="0"/>
        <v>0</v>
      </c>
      <c r="L21" s="614">
        <f t="shared" si="0"/>
        <v>0.1071</v>
      </c>
      <c r="M21" s="614">
        <f t="shared" si="0"/>
        <v>1.77E-2</v>
      </c>
      <c r="N21" s="614">
        <f t="shared" si="0"/>
        <v>1.3299999999999999E-2</v>
      </c>
      <c r="O21" s="614">
        <f t="shared" si="0"/>
        <v>6.2100000000000002E-2</v>
      </c>
      <c r="P21" s="621">
        <f t="shared" si="1"/>
        <v>1.0006999999999999</v>
      </c>
      <c r="S21" s="620">
        <f t="shared" si="4"/>
        <v>2008</v>
      </c>
      <c r="T21" s="622">
        <v>0</v>
      </c>
      <c r="U21" s="622">
        <v>5</v>
      </c>
      <c r="V21" s="623">
        <f t="shared" si="5"/>
        <v>0</v>
      </c>
      <c r="W21" s="624">
        <v>1</v>
      </c>
      <c r="X21" s="625">
        <f t="shared" si="2"/>
        <v>0</v>
      </c>
    </row>
    <row r="22" spans="2:24">
      <c r="B22" s="620">
        <f t="shared" si="3"/>
        <v>2009</v>
      </c>
      <c r="C22" s="612">
        <f>'[2]Fraksi pengelolaan sampah BaU'!B39</f>
        <v>35.919972924</v>
      </c>
      <c r="D22" s="613">
        <v>1</v>
      </c>
      <c r="E22" s="614">
        <f t="shared" si="0"/>
        <v>0.66390000000000005</v>
      </c>
      <c r="F22" s="614">
        <f t="shared" si="0"/>
        <v>0.1285</v>
      </c>
      <c r="G22" s="614">
        <f t="shared" si="0"/>
        <v>0</v>
      </c>
      <c r="H22" s="614">
        <f t="shared" si="0"/>
        <v>0</v>
      </c>
      <c r="I22" s="614">
        <f t="shared" si="0"/>
        <v>0</v>
      </c>
      <c r="J22" s="614">
        <f t="shared" si="0"/>
        <v>8.0999999999999996E-3</v>
      </c>
      <c r="K22" s="614">
        <f t="shared" si="0"/>
        <v>0</v>
      </c>
      <c r="L22" s="614">
        <f t="shared" si="0"/>
        <v>0.1071</v>
      </c>
      <c r="M22" s="614">
        <f t="shared" si="0"/>
        <v>1.77E-2</v>
      </c>
      <c r="N22" s="614">
        <f t="shared" si="0"/>
        <v>1.3299999999999999E-2</v>
      </c>
      <c r="O22" s="614">
        <f t="shared" si="0"/>
        <v>6.2100000000000002E-2</v>
      </c>
      <c r="P22" s="621">
        <f t="shared" si="1"/>
        <v>1.0006999999999999</v>
      </c>
      <c r="S22" s="620">
        <f t="shared" si="4"/>
        <v>2009</v>
      </c>
      <c r="T22" s="622">
        <v>0</v>
      </c>
      <c r="U22" s="622">
        <v>5</v>
      </c>
      <c r="V22" s="623">
        <f t="shared" si="5"/>
        <v>0</v>
      </c>
      <c r="W22" s="624">
        <v>1</v>
      </c>
      <c r="X22" s="625">
        <f t="shared" si="2"/>
        <v>0</v>
      </c>
    </row>
    <row r="23" spans="2:24">
      <c r="B23" s="620">
        <f t="shared" si="3"/>
        <v>2010</v>
      </c>
      <c r="C23" s="612">
        <f>'[2]Fraksi pengelolaan sampah BaU'!B40</f>
        <v>38.775158818000001</v>
      </c>
      <c r="D23" s="613">
        <v>1</v>
      </c>
      <c r="E23" s="614">
        <f t="shared" ref="E23:O38" si="6">E$8</f>
        <v>0.66390000000000005</v>
      </c>
      <c r="F23" s="614">
        <f t="shared" si="6"/>
        <v>0.1285</v>
      </c>
      <c r="G23" s="614">
        <f t="shared" si="0"/>
        <v>0</v>
      </c>
      <c r="H23" s="614">
        <f t="shared" si="6"/>
        <v>0</v>
      </c>
      <c r="I23" s="614">
        <f t="shared" si="0"/>
        <v>0</v>
      </c>
      <c r="J23" s="614">
        <f t="shared" si="6"/>
        <v>8.0999999999999996E-3</v>
      </c>
      <c r="K23" s="614">
        <f t="shared" si="6"/>
        <v>0</v>
      </c>
      <c r="L23" s="614">
        <f t="shared" si="6"/>
        <v>0.1071</v>
      </c>
      <c r="M23" s="614">
        <f t="shared" si="6"/>
        <v>1.77E-2</v>
      </c>
      <c r="N23" s="614">
        <f t="shared" si="6"/>
        <v>1.3299999999999999E-2</v>
      </c>
      <c r="O23" s="614">
        <f t="shared" si="6"/>
        <v>6.2100000000000002E-2</v>
      </c>
      <c r="P23" s="621">
        <f t="shared" si="1"/>
        <v>1.0006999999999999</v>
      </c>
      <c r="S23" s="620">
        <f t="shared" si="4"/>
        <v>2010</v>
      </c>
      <c r="T23" s="622">
        <v>0</v>
      </c>
      <c r="U23" s="622">
        <v>5</v>
      </c>
      <c r="V23" s="623">
        <f t="shared" si="5"/>
        <v>0</v>
      </c>
      <c r="W23" s="624">
        <v>1</v>
      </c>
      <c r="X23" s="625">
        <f t="shared" si="2"/>
        <v>0</v>
      </c>
    </row>
    <row r="24" spans="2:24">
      <c r="B24" s="620">
        <f t="shared" si="3"/>
        <v>2011</v>
      </c>
      <c r="C24" s="626"/>
      <c r="D24" s="613">
        <v>1</v>
      </c>
      <c r="E24" s="614">
        <f t="shared" si="6"/>
        <v>0.66390000000000005</v>
      </c>
      <c r="F24" s="614">
        <f t="shared" si="6"/>
        <v>0.1285</v>
      </c>
      <c r="G24" s="614">
        <f t="shared" si="0"/>
        <v>0</v>
      </c>
      <c r="H24" s="614">
        <f t="shared" si="6"/>
        <v>0</v>
      </c>
      <c r="I24" s="614">
        <f t="shared" si="0"/>
        <v>0</v>
      </c>
      <c r="J24" s="614">
        <f t="shared" si="6"/>
        <v>8.0999999999999996E-3</v>
      </c>
      <c r="K24" s="614">
        <f t="shared" si="6"/>
        <v>0</v>
      </c>
      <c r="L24" s="614">
        <f t="shared" si="6"/>
        <v>0.1071</v>
      </c>
      <c r="M24" s="614">
        <f t="shared" si="6"/>
        <v>1.77E-2</v>
      </c>
      <c r="N24" s="614">
        <f t="shared" si="6"/>
        <v>1.3299999999999999E-2</v>
      </c>
      <c r="O24" s="614">
        <f t="shared" si="6"/>
        <v>6.2100000000000002E-2</v>
      </c>
      <c r="P24" s="621">
        <f t="shared" si="1"/>
        <v>1.0006999999999999</v>
      </c>
      <c r="S24" s="620">
        <f t="shared" si="4"/>
        <v>2011</v>
      </c>
      <c r="T24" s="622">
        <v>0</v>
      </c>
      <c r="U24" s="622">
        <v>5</v>
      </c>
      <c r="V24" s="623">
        <f t="shared" si="5"/>
        <v>0</v>
      </c>
      <c r="W24" s="624">
        <v>1</v>
      </c>
      <c r="X24" s="625">
        <f t="shared" si="2"/>
        <v>0</v>
      </c>
    </row>
    <row r="25" spans="2:24">
      <c r="B25" s="620">
        <f t="shared" si="3"/>
        <v>2012</v>
      </c>
      <c r="C25" s="627"/>
      <c r="D25" s="613">
        <v>1</v>
      </c>
      <c r="E25" s="614">
        <f t="shared" si="6"/>
        <v>0.66390000000000005</v>
      </c>
      <c r="F25" s="614">
        <f t="shared" si="6"/>
        <v>0.1285</v>
      </c>
      <c r="G25" s="614">
        <f t="shared" si="0"/>
        <v>0</v>
      </c>
      <c r="H25" s="614">
        <f t="shared" si="6"/>
        <v>0</v>
      </c>
      <c r="I25" s="614">
        <f t="shared" si="0"/>
        <v>0</v>
      </c>
      <c r="J25" s="614">
        <f t="shared" si="6"/>
        <v>8.0999999999999996E-3</v>
      </c>
      <c r="K25" s="614">
        <f t="shared" si="6"/>
        <v>0</v>
      </c>
      <c r="L25" s="614">
        <f t="shared" si="6"/>
        <v>0.1071</v>
      </c>
      <c r="M25" s="614">
        <f t="shared" si="6"/>
        <v>1.77E-2</v>
      </c>
      <c r="N25" s="614">
        <f t="shared" si="6"/>
        <v>1.3299999999999999E-2</v>
      </c>
      <c r="O25" s="614">
        <f t="shared" si="6"/>
        <v>6.2100000000000002E-2</v>
      </c>
      <c r="P25" s="621">
        <f t="shared" si="1"/>
        <v>1.0006999999999999</v>
      </c>
      <c r="S25" s="620">
        <f t="shared" si="4"/>
        <v>2012</v>
      </c>
      <c r="T25" s="622">
        <v>0</v>
      </c>
      <c r="U25" s="622">
        <v>5</v>
      </c>
      <c r="V25" s="623">
        <f t="shared" si="5"/>
        <v>0</v>
      </c>
      <c r="W25" s="624">
        <v>1</v>
      </c>
      <c r="X25" s="625">
        <f t="shared" si="2"/>
        <v>0</v>
      </c>
    </row>
    <row r="26" spans="2:24">
      <c r="B26" s="620">
        <f t="shared" si="3"/>
        <v>2013</v>
      </c>
      <c r="C26" s="627"/>
      <c r="D26" s="613">
        <v>1</v>
      </c>
      <c r="E26" s="614">
        <f t="shared" si="6"/>
        <v>0.66390000000000005</v>
      </c>
      <c r="F26" s="614">
        <f t="shared" si="6"/>
        <v>0.1285</v>
      </c>
      <c r="G26" s="614">
        <f t="shared" si="0"/>
        <v>0</v>
      </c>
      <c r="H26" s="614">
        <f t="shared" si="6"/>
        <v>0</v>
      </c>
      <c r="I26" s="614">
        <f t="shared" si="0"/>
        <v>0</v>
      </c>
      <c r="J26" s="614">
        <f t="shared" si="6"/>
        <v>8.0999999999999996E-3</v>
      </c>
      <c r="K26" s="614">
        <f t="shared" si="6"/>
        <v>0</v>
      </c>
      <c r="L26" s="614">
        <f t="shared" si="6"/>
        <v>0.1071</v>
      </c>
      <c r="M26" s="614">
        <f t="shared" si="6"/>
        <v>1.77E-2</v>
      </c>
      <c r="N26" s="614">
        <f t="shared" si="6"/>
        <v>1.3299999999999999E-2</v>
      </c>
      <c r="O26" s="614">
        <f t="shared" si="6"/>
        <v>6.2100000000000002E-2</v>
      </c>
      <c r="P26" s="621">
        <f t="shared" si="1"/>
        <v>1.0006999999999999</v>
      </c>
      <c r="S26" s="620">
        <f t="shared" si="4"/>
        <v>2013</v>
      </c>
      <c r="T26" s="622">
        <v>0</v>
      </c>
      <c r="U26" s="622">
        <v>5</v>
      </c>
      <c r="V26" s="623">
        <f t="shared" si="5"/>
        <v>0</v>
      </c>
      <c r="W26" s="624">
        <v>1</v>
      </c>
      <c r="X26" s="625">
        <f t="shared" si="2"/>
        <v>0</v>
      </c>
    </row>
    <row r="27" spans="2:24">
      <c r="B27" s="620">
        <f t="shared" si="3"/>
        <v>2014</v>
      </c>
      <c r="C27" s="627"/>
      <c r="D27" s="613">
        <v>1</v>
      </c>
      <c r="E27" s="614">
        <f t="shared" si="6"/>
        <v>0.66390000000000005</v>
      </c>
      <c r="F27" s="614">
        <f t="shared" si="6"/>
        <v>0.1285</v>
      </c>
      <c r="G27" s="614">
        <f t="shared" si="0"/>
        <v>0</v>
      </c>
      <c r="H27" s="614">
        <f t="shared" si="6"/>
        <v>0</v>
      </c>
      <c r="I27" s="614">
        <f t="shared" si="0"/>
        <v>0</v>
      </c>
      <c r="J27" s="614">
        <f t="shared" si="6"/>
        <v>8.0999999999999996E-3</v>
      </c>
      <c r="K27" s="614">
        <f t="shared" si="6"/>
        <v>0</v>
      </c>
      <c r="L27" s="614">
        <f t="shared" si="6"/>
        <v>0.1071</v>
      </c>
      <c r="M27" s="614">
        <f t="shared" si="6"/>
        <v>1.77E-2</v>
      </c>
      <c r="N27" s="614">
        <f t="shared" si="6"/>
        <v>1.3299999999999999E-2</v>
      </c>
      <c r="O27" s="614">
        <f t="shared" si="6"/>
        <v>6.2100000000000002E-2</v>
      </c>
      <c r="P27" s="621">
        <f t="shared" si="1"/>
        <v>1.0006999999999999</v>
      </c>
      <c r="S27" s="620">
        <f t="shared" si="4"/>
        <v>2014</v>
      </c>
      <c r="T27" s="622">
        <v>0</v>
      </c>
      <c r="U27" s="622">
        <v>5</v>
      </c>
      <c r="V27" s="623">
        <f t="shared" si="5"/>
        <v>0</v>
      </c>
      <c r="W27" s="624">
        <v>1</v>
      </c>
      <c r="X27" s="625">
        <f t="shared" si="2"/>
        <v>0</v>
      </c>
    </row>
    <row r="28" spans="2:24">
      <c r="B28" s="620">
        <f t="shared" si="3"/>
        <v>2015</v>
      </c>
      <c r="C28" s="627"/>
      <c r="D28" s="613">
        <v>1</v>
      </c>
      <c r="E28" s="614">
        <f t="shared" si="6"/>
        <v>0.66390000000000005</v>
      </c>
      <c r="F28" s="614">
        <f t="shared" si="6"/>
        <v>0.1285</v>
      </c>
      <c r="G28" s="614">
        <f t="shared" si="0"/>
        <v>0</v>
      </c>
      <c r="H28" s="614">
        <f t="shared" si="6"/>
        <v>0</v>
      </c>
      <c r="I28" s="614">
        <f t="shared" si="0"/>
        <v>0</v>
      </c>
      <c r="J28" s="614">
        <f t="shared" si="6"/>
        <v>8.0999999999999996E-3</v>
      </c>
      <c r="K28" s="614">
        <f t="shared" si="6"/>
        <v>0</v>
      </c>
      <c r="L28" s="614">
        <f t="shared" si="6"/>
        <v>0.1071</v>
      </c>
      <c r="M28" s="614">
        <f t="shared" si="6"/>
        <v>1.77E-2</v>
      </c>
      <c r="N28" s="614">
        <f t="shared" si="6"/>
        <v>1.3299999999999999E-2</v>
      </c>
      <c r="O28" s="614">
        <f t="shared" si="6"/>
        <v>6.2100000000000002E-2</v>
      </c>
      <c r="P28" s="621">
        <f t="shared" si="1"/>
        <v>1.0006999999999999</v>
      </c>
      <c r="S28" s="620">
        <f t="shared" si="4"/>
        <v>2015</v>
      </c>
      <c r="T28" s="622">
        <v>0</v>
      </c>
      <c r="U28" s="622">
        <v>5</v>
      </c>
      <c r="V28" s="623">
        <f t="shared" si="5"/>
        <v>0</v>
      </c>
      <c r="W28" s="624">
        <v>1</v>
      </c>
      <c r="X28" s="625">
        <f t="shared" si="2"/>
        <v>0</v>
      </c>
    </row>
    <row r="29" spans="2:24">
      <c r="B29" s="620">
        <f t="shared" si="3"/>
        <v>2016</v>
      </c>
      <c r="C29" s="627"/>
      <c r="D29" s="613">
        <v>1</v>
      </c>
      <c r="E29" s="614">
        <f t="shared" si="6"/>
        <v>0.66390000000000005</v>
      </c>
      <c r="F29" s="614">
        <f t="shared" si="6"/>
        <v>0.1285</v>
      </c>
      <c r="G29" s="614">
        <f t="shared" si="6"/>
        <v>0</v>
      </c>
      <c r="H29" s="614">
        <f t="shared" si="6"/>
        <v>0</v>
      </c>
      <c r="I29" s="614">
        <f t="shared" si="6"/>
        <v>0</v>
      </c>
      <c r="J29" s="614">
        <f t="shared" si="6"/>
        <v>8.0999999999999996E-3</v>
      </c>
      <c r="K29" s="614">
        <f t="shared" si="6"/>
        <v>0</v>
      </c>
      <c r="L29" s="614">
        <f t="shared" si="6"/>
        <v>0.1071</v>
      </c>
      <c r="M29" s="614">
        <f t="shared" si="6"/>
        <v>1.77E-2</v>
      </c>
      <c r="N29" s="614">
        <f t="shared" si="6"/>
        <v>1.3299999999999999E-2</v>
      </c>
      <c r="O29" s="614">
        <f t="shared" si="6"/>
        <v>6.2100000000000002E-2</v>
      </c>
      <c r="P29" s="621">
        <f t="shared" si="1"/>
        <v>1.0006999999999999</v>
      </c>
      <c r="S29" s="620">
        <f t="shared" si="4"/>
        <v>2016</v>
      </c>
      <c r="T29" s="622">
        <v>0</v>
      </c>
      <c r="U29" s="622">
        <v>5</v>
      </c>
      <c r="V29" s="623">
        <f t="shared" si="5"/>
        <v>0</v>
      </c>
      <c r="W29" s="624">
        <v>1</v>
      </c>
      <c r="X29" s="625">
        <f t="shared" si="2"/>
        <v>0</v>
      </c>
    </row>
    <row r="30" spans="2:24">
      <c r="B30" s="620">
        <f t="shared" si="3"/>
        <v>2017</v>
      </c>
      <c r="C30" s="627"/>
      <c r="D30" s="613">
        <v>1</v>
      </c>
      <c r="E30" s="614">
        <f t="shared" si="6"/>
        <v>0.66390000000000005</v>
      </c>
      <c r="F30" s="614">
        <f t="shared" si="6"/>
        <v>0.1285</v>
      </c>
      <c r="G30" s="614">
        <f t="shared" si="6"/>
        <v>0</v>
      </c>
      <c r="H30" s="614">
        <f t="shared" si="6"/>
        <v>0</v>
      </c>
      <c r="I30" s="614">
        <f t="shared" si="6"/>
        <v>0</v>
      </c>
      <c r="J30" s="614">
        <f t="shared" si="6"/>
        <v>8.0999999999999996E-3</v>
      </c>
      <c r="K30" s="614">
        <f t="shared" si="6"/>
        <v>0</v>
      </c>
      <c r="L30" s="614">
        <f t="shared" si="6"/>
        <v>0.1071</v>
      </c>
      <c r="M30" s="614">
        <f t="shared" si="6"/>
        <v>1.77E-2</v>
      </c>
      <c r="N30" s="614">
        <f t="shared" si="6"/>
        <v>1.3299999999999999E-2</v>
      </c>
      <c r="O30" s="614">
        <f t="shared" si="6"/>
        <v>6.2100000000000002E-2</v>
      </c>
      <c r="P30" s="621">
        <f t="shared" si="1"/>
        <v>1.0006999999999999</v>
      </c>
      <c r="S30" s="620">
        <f t="shared" si="4"/>
        <v>2017</v>
      </c>
      <c r="T30" s="622">
        <v>0</v>
      </c>
      <c r="U30" s="622">
        <v>5</v>
      </c>
      <c r="V30" s="623">
        <f t="shared" si="5"/>
        <v>0</v>
      </c>
      <c r="W30" s="624">
        <v>1</v>
      </c>
      <c r="X30" s="625">
        <f t="shared" si="2"/>
        <v>0</v>
      </c>
    </row>
    <row r="31" spans="2:24">
      <c r="B31" s="620">
        <f t="shared" si="3"/>
        <v>2018</v>
      </c>
      <c r="C31" s="627"/>
      <c r="D31" s="613">
        <v>1</v>
      </c>
      <c r="E31" s="614">
        <f t="shared" si="6"/>
        <v>0.66390000000000005</v>
      </c>
      <c r="F31" s="614">
        <f t="shared" si="6"/>
        <v>0.1285</v>
      </c>
      <c r="G31" s="614">
        <f t="shared" si="6"/>
        <v>0</v>
      </c>
      <c r="H31" s="614">
        <f t="shared" si="6"/>
        <v>0</v>
      </c>
      <c r="I31" s="614">
        <f t="shared" si="6"/>
        <v>0</v>
      </c>
      <c r="J31" s="614">
        <f t="shared" si="6"/>
        <v>8.0999999999999996E-3</v>
      </c>
      <c r="K31" s="614">
        <f t="shared" si="6"/>
        <v>0</v>
      </c>
      <c r="L31" s="614">
        <f t="shared" si="6"/>
        <v>0.1071</v>
      </c>
      <c r="M31" s="614">
        <f t="shared" si="6"/>
        <v>1.77E-2</v>
      </c>
      <c r="N31" s="614">
        <f t="shared" si="6"/>
        <v>1.3299999999999999E-2</v>
      </c>
      <c r="O31" s="614">
        <f t="shared" si="6"/>
        <v>6.2100000000000002E-2</v>
      </c>
      <c r="P31" s="621">
        <f t="shared" si="1"/>
        <v>1.0006999999999999</v>
      </c>
      <c r="S31" s="620">
        <f t="shared" si="4"/>
        <v>2018</v>
      </c>
      <c r="T31" s="622">
        <v>0</v>
      </c>
      <c r="U31" s="622">
        <v>5</v>
      </c>
      <c r="V31" s="623">
        <f t="shared" si="5"/>
        <v>0</v>
      </c>
      <c r="W31" s="624">
        <v>1</v>
      </c>
      <c r="X31" s="625">
        <f t="shared" si="2"/>
        <v>0</v>
      </c>
    </row>
    <row r="32" spans="2:24">
      <c r="B32" s="620">
        <f t="shared" si="3"/>
        <v>2019</v>
      </c>
      <c r="C32" s="627"/>
      <c r="D32" s="613">
        <v>1</v>
      </c>
      <c r="E32" s="614">
        <f t="shared" si="6"/>
        <v>0.66390000000000005</v>
      </c>
      <c r="F32" s="614">
        <f t="shared" si="6"/>
        <v>0.1285</v>
      </c>
      <c r="G32" s="614">
        <f t="shared" si="6"/>
        <v>0</v>
      </c>
      <c r="H32" s="614">
        <f t="shared" si="6"/>
        <v>0</v>
      </c>
      <c r="I32" s="614">
        <f t="shared" si="6"/>
        <v>0</v>
      </c>
      <c r="J32" s="614">
        <f t="shared" si="6"/>
        <v>8.0999999999999996E-3</v>
      </c>
      <c r="K32" s="614">
        <f t="shared" si="6"/>
        <v>0</v>
      </c>
      <c r="L32" s="614">
        <f t="shared" si="6"/>
        <v>0.1071</v>
      </c>
      <c r="M32" s="614">
        <f t="shared" si="6"/>
        <v>1.77E-2</v>
      </c>
      <c r="N32" s="614">
        <f t="shared" si="6"/>
        <v>1.3299999999999999E-2</v>
      </c>
      <c r="O32" s="614">
        <f t="shared" si="6"/>
        <v>6.2100000000000002E-2</v>
      </c>
      <c r="P32" s="621">
        <f t="shared" si="1"/>
        <v>1.0006999999999999</v>
      </c>
      <c r="S32" s="620">
        <f t="shared" si="4"/>
        <v>2019</v>
      </c>
      <c r="T32" s="622">
        <v>0</v>
      </c>
      <c r="U32" s="622">
        <v>5</v>
      </c>
      <c r="V32" s="623">
        <f t="shared" si="5"/>
        <v>0</v>
      </c>
      <c r="W32" s="624">
        <v>1</v>
      </c>
      <c r="X32" s="625">
        <f t="shared" si="2"/>
        <v>0</v>
      </c>
    </row>
    <row r="33" spans="2:24">
      <c r="B33" s="620">
        <f t="shared" si="3"/>
        <v>2020</v>
      </c>
      <c r="C33" s="627"/>
      <c r="D33" s="613">
        <v>1</v>
      </c>
      <c r="E33" s="614">
        <f t="shared" ref="E33:O48" si="7">E$8</f>
        <v>0.66390000000000005</v>
      </c>
      <c r="F33" s="614">
        <f t="shared" si="7"/>
        <v>0.1285</v>
      </c>
      <c r="G33" s="614">
        <f t="shared" si="6"/>
        <v>0</v>
      </c>
      <c r="H33" s="614">
        <f t="shared" si="7"/>
        <v>0</v>
      </c>
      <c r="I33" s="614">
        <f t="shared" si="6"/>
        <v>0</v>
      </c>
      <c r="J33" s="614">
        <f t="shared" si="7"/>
        <v>8.0999999999999996E-3</v>
      </c>
      <c r="K33" s="614">
        <f t="shared" si="7"/>
        <v>0</v>
      </c>
      <c r="L33" s="614">
        <f t="shared" si="7"/>
        <v>0.1071</v>
      </c>
      <c r="M33" s="614">
        <f t="shared" si="7"/>
        <v>1.77E-2</v>
      </c>
      <c r="N33" s="614">
        <f t="shared" si="7"/>
        <v>1.3299999999999999E-2</v>
      </c>
      <c r="O33" s="614">
        <f t="shared" si="7"/>
        <v>6.2100000000000002E-2</v>
      </c>
      <c r="P33" s="621">
        <f t="shared" si="1"/>
        <v>1.0006999999999999</v>
      </c>
      <c r="S33" s="620">
        <f t="shared" si="4"/>
        <v>2020</v>
      </c>
      <c r="T33" s="622">
        <v>0</v>
      </c>
      <c r="U33" s="622">
        <v>5</v>
      </c>
      <c r="V33" s="623">
        <f t="shared" si="5"/>
        <v>0</v>
      </c>
      <c r="W33" s="624">
        <v>1</v>
      </c>
      <c r="X33" s="625">
        <f t="shared" si="2"/>
        <v>0</v>
      </c>
    </row>
    <row r="34" spans="2:24">
      <c r="B34" s="620">
        <f t="shared" si="3"/>
        <v>2021</v>
      </c>
      <c r="C34" s="627"/>
      <c r="D34" s="613">
        <v>1</v>
      </c>
      <c r="E34" s="614">
        <f t="shared" si="7"/>
        <v>0.66390000000000005</v>
      </c>
      <c r="F34" s="614">
        <f t="shared" si="7"/>
        <v>0.1285</v>
      </c>
      <c r="G34" s="614">
        <f t="shared" si="6"/>
        <v>0</v>
      </c>
      <c r="H34" s="614">
        <f t="shared" si="7"/>
        <v>0</v>
      </c>
      <c r="I34" s="614">
        <f t="shared" si="6"/>
        <v>0</v>
      </c>
      <c r="J34" s="614">
        <f t="shared" si="7"/>
        <v>8.0999999999999996E-3</v>
      </c>
      <c r="K34" s="614">
        <f t="shared" si="7"/>
        <v>0</v>
      </c>
      <c r="L34" s="614">
        <f t="shared" si="7"/>
        <v>0.1071</v>
      </c>
      <c r="M34" s="614">
        <f t="shared" si="7"/>
        <v>1.77E-2</v>
      </c>
      <c r="N34" s="614">
        <f t="shared" si="7"/>
        <v>1.3299999999999999E-2</v>
      </c>
      <c r="O34" s="614">
        <f t="shared" si="7"/>
        <v>6.2100000000000002E-2</v>
      </c>
      <c r="P34" s="621">
        <f t="shared" si="1"/>
        <v>1.0006999999999999</v>
      </c>
      <c r="S34" s="620">
        <f t="shared" si="4"/>
        <v>2021</v>
      </c>
      <c r="T34" s="622">
        <v>0</v>
      </c>
      <c r="U34" s="622">
        <v>5</v>
      </c>
      <c r="V34" s="623">
        <f t="shared" si="5"/>
        <v>0</v>
      </c>
      <c r="W34" s="624">
        <v>1</v>
      </c>
      <c r="X34" s="625">
        <f t="shared" si="2"/>
        <v>0</v>
      </c>
    </row>
    <row r="35" spans="2:24">
      <c r="B35" s="620">
        <f t="shared" si="3"/>
        <v>2022</v>
      </c>
      <c r="C35" s="627"/>
      <c r="D35" s="613">
        <v>1</v>
      </c>
      <c r="E35" s="614">
        <f t="shared" si="7"/>
        <v>0.66390000000000005</v>
      </c>
      <c r="F35" s="614">
        <f t="shared" si="7"/>
        <v>0.1285</v>
      </c>
      <c r="G35" s="614">
        <f t="shared" si="6"/>
        <v>0</v>
      </c>
      <c r="H35" s="614">
        <f t="shared" si="7"/>
        <v>0</v>
      </c>
      <c r="I35" s="614">
        <f t="shared" si="6"/>
        <v>0</v>
      </c>
      <c r="J35" s="614">
        <f t="shared" si="7"/>
        <v>8.0999999999999996E-3</v>
      </c>
      <c r="K35" s="614">
        <f t="shared" si="7"/>
        <v>0</v>
      </c>
      <c r="L35" s="614">
        <f t="shared" si="7"/>
        <v>0.1071</v>
      </c>
      <c r="M35" s="614">
        <f t="shared" si="7"/>
        <v>1.77E-2</v>
      </c>
      <c r="N35" s="614">
        <f t="shared" si="7"/>
        <v>1.3299999999999999E-2</v>
      </c>
      <c r="O35" s="614">
        <f t="shared" si="7"/>
        <v>6.2100000000000002E-2</v>
      </c>
      <c r="P35" s="621">
        <f t="shared" si="1"/>
        <v>1.0006999999999999</v>
      </c>
      <c r="S35" s="620">
        <f t="shared" si="4"/>
        <v>2022</v>
      </c>
      <c r="T35" s="622">
        <v>0</v>
      </c>
      <c r="U35" s="622">
        <v>5</v>
      </c>
      <c r="V35" s="623">
        <f t="shared" si="5"/>
        <v>0</v>
      </c>
      <c r="W35" s="624">
        <v>1</v>
      </c>
      <c r="X35" s="625">
        <f t="shared" si="2"/>
        <v>0</v>
      </c>
    </row>
    <row r="36" spans="2:24">
      <c r="B36" s="620">
        <f t="shared" si="3"/>
        <v>2023</v>
      </c>
      <c r="C36" s="627"/>
      <c r="D36" s="613">
        <v>1</v>
      </c>
      <c r="E36" s="614">
        <f t="shared" si="7"/>
        <v>0.66390000000000005</v>
      </c>
      <c r="F36" s="614">
        <f t="shared" si="7"/>
        <v>0.1285</v>
      </c>
      <c r="G36" s="614">
        <f t="shared" si="6"/>
        <v>0</v>
      </c>
      <c r="H36" s="614">
        <f t="shared" si="7"/>
        <v>0</v>
      </c>
      <c r="I36" s="614">
        <f t="shared" si="6"/>
        <v>0</v>
      </c>
      <c r="J36" s="614">
        <f t="shared" si="7"/>
        <v>8.0999999999999996E-3</v>
      </c>
      <c r="K36" s="614">
        <f t="shared" si="7"/>
        <v>0</v>
      </c>
      <c r="L36" s="614">
        <f t="shared" si="7"/>
        <v>0.1071</v>
      </c>
      <c r="M36" s="614">
        <f t="shared" si="7"/>
        <v>1.77E-2</v>
      </c>
      <c r="N36" s="614">
        <f t="shared" si="7"/>
        <v>1.3299999999999999E-2</v>
      </c>
      <c r="O36" s="614">
        <f t="shared" si="7"/>
        <v>6.2100000000000002E-2</v>
      </c>
      <c r="P36" s="621">
        <f t="shared" si="1"/>
        <v>1.0006999999999999</v>
      </c>
      <c r="S36" s="620">
        <f t="shared" si="4"/>
        <v>2023</v>
      </c>
      <c r="T36" s="622">
        <v>0</v>
      </c>
      <c r="U36" s="622">
        <v>5</v>
      </c>
      <c r="V36" s="623">
        <f t="shared" si="5"/>
        <v>0</v>
      </c>
      <c r="W36" s="624">
        <v>1</v>
      </c>
      <c r="X36" s="625">
        <f t="shared" si="2"/>
        <v>0</v>
      </c>
    </row>
    <row r="37" spans="2:24">
      <c r="B37" s="620">
        <f t="shared" si="3"/>
        <v>2024</v>
      </c>
      <c r="C37" s="627"/>
      <c r="D37" s="613">
        <v>1</v>
      </c>
      <c r="E37" s="614">
        <f t="shared" si="7"/>
        <v>0.66390000000000005</v>
      </c>
      <c r="F37" s="614">
        <f t="shared" si="7"/>
        <v>0.1285</v>
      </c>
      <c r="G37" s="614">
        <f t="shared" si="6"/>
        <v>0</v>
      </c>
      <c r="H37" s="614">
        <f t="shared" si="7"/>
        <v>0</v>
      </c>
      <c r="I37" s="614">
        <f t="shared" si="6"/>
        <v>0</v>
      </c>
      <c r="J37" s="614">
        <f t="shared" si="7"/>
        <v>8.0999999999999996E-3</v>
      </c>
      <c r="K37" s="614">
        <f t="shared" si="7"/>
        <v>0</v>
      </c>
      <c r="L37" s="614">
        <f t="shared" si="7"/>
        <v>0.1071</v>
      </c>
      <c r="M37" s="614">
        <f t="shared" si="7"/>
        <v>1.77E-2</v>
      </c>
      <c r="N37" s="614">
        <f t="shared" si="7"/>
        <v>1.3299999999999999E-2</v>
      </c>
      <c r="O37" s="614">
        <f t="shared" si="7"/>
        <v>6.2100000000000002E-2</v>
      </c>
      <c r="P37" s="621">
        <f t="shared" si="1"/>
        <v>1.0006999999999999</v>
      </c>
      <c r="S37" s="620">
        <f t="shared" si="4"/>
        <v>2024</v>
      </c>
      <c r="T37" s="622">
        <v>0</v>
      </c>
      <c r="U37" s="622">
        <v>5</v>
      </c>
      <c r="V37" s="623">
        <f t="shared" si="5"/>
        <v>0</v>
      </c>
      <c r="W37" s="624">
        <v>1</v>
      </c>
      <c r="X37" s="625">
        <f t="shared" si="2"/>
        <v>0</v>
      </c>
    </row>
    <row r="38" spans="2:24">
      <c r="B38" s="620">
        <f t="shared" si="3"/>
        <v>2025</v>
      </c>
      <c r="C38" s="627"/>
      <c r="D38" s="613">
        <v>1</v>
      </c>
      <c r="E38" s="614">
        <f t="shared" si="7"/>
        <v>0.66390000000000005</v>
      </c>
      <c r="F38" s="614">
        <f t="shared" si="7"/>
        <v>0.1285</v>
      </c>
      <c r="G38" s="614">
        <f t="shared" si="6"/>
        <v>0</v>
      </c>
      <c r="H38" s="614">
        <f t="shared" si="7"/>
        <v>0</v>
      </c>
      <c r="I38" s="614">
        <f t="shared" si="6"/>
        <v>0</v>
      </c>
      <c r="J38" s="614">
        <f t="shared" si="7"/>
        <v>8.0999999999999996E-3</v>
      </c>
      <c r="K38" s="614">
        <f t="shared" si="7"/>
        <v>0</v>
      </c>
      <c r="L38" s="614">
        <f t="shared" si="7"/>
        <v>0.1071</v>
      </c>
      <c r="M38" s="614">
        <f t="shared" si="7"/>
        <v>1.77E-2</v>
      </c>
      <c r="N38" s="614">
        <f t="shared" si="7"/>
        <v>1.3299999999999999E-2</v>
      </c>
      <c r="O38" s="614">
        <f t="shared" si="7"/>
        <v>6.2100000000000002E-2</v>
      </c>
      <c r="P38" s="621">
        <f t="shared" si="1"/>
        <v>1.0006999999999999</v>
      </c>
      <c r="S38" s="620">
        <f t="shared" si="4"/>
        <v>2025</v>
      </c>
      <c r="T38" s="622">
        <v>0</v>
      </c>
      <c r="U38" s="622">
        <v>5</v>
      </c>
      <c r="V38" s="623">
        <f t="shared" si="5"/>
        <v>0</v>
      </c>
      <c r="W38" s="624">
        <v>1</v>
      </c>
      <c r="X38" s="625">
        <f t="shared" si="2"/>
        <v>0</v>
      </c>
    </row>
    <row r="39" spans="2:24">
      <c r="B39" s="620">
        <f t="shared" si="3"/>
        <v>2026</v>
      </c>
      <c r="C39" s="627"/>
      <c r="D39" s="613">
        <v>1</v>
      </c>
      <c r="E39" s="614">
        <f t="shared" si="7"/>
        <v>0.66390000000000005</v>
      </c>
      <c r="F39" s="614">
        <f t="shared" si="7"/>
        <v>0.1285</v>
      </c>
      <c r="G39" s="614">
        <f t="shared" si="7"/>
        <v>0</v>
      </c>
      <c r="H39" s="614">
        <f t="shared" si="7"/>
        <v>0</v>
      </c>
      <c r="I39" s="614">
        <f t="shared" si="7"/>
        <v>0</v>
      </c>
      <c r="J39" s="614">
        <f t="shared" si="7"/>
        <v>8.0999999999999996E-3</v>
      </c>
      <c r="K39" s="614">
        <f t="shared" si="7"/>
        <v>0</v>
      </c>
      <c r="L39" s="614">
        <f t="shared" si="7"/>
        <v>0.1071</v>
      </c>
      <c r="M39" s="614">
        <f t="shared" si="7"/>
        <v>1.77E-2</v>
      </c>
      <c r="N39" s="614">
        <f t="shared" si="7"/>
        <v>1.3299999999999999E-2</v>
      </c>
      <c r="O39" s="614">
        <f t="shared" si="7"/>
        <v>6.2100000000000002E-2</v>
      </c>
      <c r="P39" s="621">
        <f t="shared" si="1"/>
        <v>1.0006999999999999</v>
      </c>
      <c r="S39" s="620">
        <f t="shared" si="4"/>
        <v>2026</v>
      </c>
      <c r="T39" s="622">
        <v>0</v>
      </c>
      <c r="U39" s="622">
        <v>5</v>
      </c>
      <c r="V39" s="623">
        <f t="shared" si="5"/>
        <v>0</v>
      </c>
      <c r="W39" s="624">
        <v>1</v>
      </c>
      <c r="X39" s="625">
        <f t="shared" si="2"/>
        <v>0</v>
      </c>
    </row>
    <row r="40" spans="2:24">
      <c r="B40" s="620">
        <f t="shared" si="3"/>
        <v>2027</v>
      </c>
      <c r="C40" s="627"/>
      <c r="D40" s="613">
        <v>1</v>
      </c>
      <c r="E40" s="614">
        <f t="shared" si="7"/>
        <v>0.66390000000000005</v>
      </c>
      <c r="F40" s="614">
        <f t="shared" si="7"/>
        <v>0.1285</v>
      </c>
      <c r="G40" s="614">
        <f t="shared" si="7"/>
        <v>0</v>
      </c>
      <c r="H40" s="614">
        <f t="shared" si="7"/>
        <v>0</v>
      </c>
      <c r="I40" s="614">
        <f t="shared" si="7"/>
        <v>0</v>
      </c>
      <c r="J40" s="614">
        <f t="shared" si="7"/>
        <v>8.0999999999999996E-3</v>
      </c>
      <c r="K40" s="614">
        <f t="shared" si="7"/>
        <v>0</v>
      </c>
      <c r="L40" s="614">
        <f t="shared" si="7"/>
        <v>0.1071</v>
      </c>
      <c r="M40" s="614">
        <f t="shared" si="7"/>
        <v>1.77E-2</v>
      </c>
      <c r="N40" s="614">
        <f t="shared" si="7"/>
        <v>1.3299999999999999E-2</v>
      </c>
      <c r="O40" s="614">
        <f t="shared" si="7"/>
        <v>6.2100000000000002E-2</v>
      </c>
      <c r="P40" s="621">
        <f t="shared" si="1"/>
        <v>1.0006999999999999</v>
      </c>
      <c r="S40" s="620">
        <f t="shared" si="4"/>
        <v>2027</v>
      </c>
      <c r="T40" s="622">
        <v>0</v>
      </c>
      <c r="U40" s="622">
        <v>5</v>
      </c>
      <c r="V40" s="623">
        <f t="shared" si="5"/>
        <v>0</v>
      </c>
      <c r="W40" s="624">
        <v>1</v>
      </c>
      <c r="X40" s="625">
        <f t="shared" si="2"/>
        <v>0</v>
      </c>
    </row>
    <row r="41" spans="2:24">
      <c r="B41" s="620">
        <f t="shared" si="3"/>
        <v>2028</v>
      </c>
      <c r="C41" s="627"/>
      <c r="D41" s="613">
        <v>1</v>
      </c>
      <c r="E41" s="614">
        <f t="shared" si="7"/>
        <v>0.66390000000000005</v>
      </c>
      <c r="F41" s="614">
        <f t="shared" si="7"/>
        <v>0.1285</v>
      </c>
      <c r="G41" s="614">
        <f t="shared" si="7"/>
        <v>0</v>
      </c>
      <c r="H41" s="614">
        <f t="shared" si="7"/>
        <v>0</v>
      </c>
      <c r="I41" s="614">
        <f t="shared" si="7"/>
        <v>0</v>
      </c>
      <c r="J41" s="614">
        <f t="shared" si="7"/>
        <v>8.0999999999999996E-3</v>
      </c>
      <c r="K41" s="614">
        <f t="shared" si="7"/>
        <v>0</v>
      </c>
      <c r="L41" s="614">
        <f t="shared" si="7"/>
        <v>0.1071</v>
      </c>
      <c r="M41" s="614">
        <f t="shared" si="7"/>
        <v>1.77E-2</v>
      </c>
      <c r="N41" s="614">
        <f t="shared" si="7"/>
        <v>1.3299999999999999E-2</v>
      </c>
      <c r="O41" s="614">
        <f t="shared" si="7"/>
        <v>6.2100000000000002E-2</v>
      </c>
      <c r="P41" s="621">
        <f t="shared" si="1"/>
        <v>1.0006999999999999</v>
      </c>
      <c r="S41" s="620">
        <f t="shared" si="4"/>
        <v>2028</v>
      </c>
      <c r="T41" s="622">
        <v>0</v>
      </c>
      <c r="U41" s="622">
        <v>5</v>
      </c>
      <c r="V41" s="623">
        <f t="shared" si="5"/>
        <v>0</v>
      </c>
      <c r="W41" s="624">
        <v>1</v>
      </c>
      <c r="X41" s="625">
        <f t="shared" si="2"/>
        <v>0</v>
      </c>
    </row>
    <row r="42" spans="2:24">
      <c r="B42" s="620">
        <f t="shared" si="3"/>
        <v>2029</v>
      </c>
      <c r="C42" s="627"/>
      <c r="D42" s="613">
        <v>1</v>
      </c>
      <c r="E42" s="614">
        <f t="shared" si="7"/>
        <v>0.66390000000000005</v>
      </c>
      <c r="F42" s="614">
        <f t="shared" si="7"/>
        <v>0.1285</v>
      </c>
      <c r="G42" s="614">
        <f t="shared" si="7"/>
        <v>0</v>
      </c>
      <c r="H42" s="614">
        <f t="shared" si="7"/>
        <v>0</v>
      </c>
      <c r="I42" s="614">
        <f t="shared" si="7"/>
        <v>0</v>
      </c>
      <c r="J42" s="614">
        <f t="shared" si="7"/>
        <v>8.0999999999999996E-3</v>
      </c>
      <c r="K42" s="614">
        <f t="shared" si="7"/>
        <v>0</v>
      </c>
      <c r="L42" s="614">
        <f t="shared" si="7"/>
        <v>0.1071</v>
      </c>
      <c r="M42" s="614">
        <f t="shared" si="7"/>
        <v>1.77E-2</v>
      </c>
      <c r="N42" s="614">
        <f t="shared" si="7"/>
        <v>1.3299999999999999E-2</v>
      </c>
      <c r="O42" s="614">
        <f t="shared" si="7"/>
        <v>6.2100000000000002E-2</v>
      </c>
      <c r="P42" s="621">
        <f t="shared" si="1"/>
        <v>1.0006999999999999</v>
      </c>
      <c r="S42" s="620">
        <f t="shared" si="4"/>
        <v>2029</v>
      </c>
      <c r="T42" s="622">
        <v>0</v>
      </c>
      <c r="U42" s="622">
        <v>5</v>
      </c>
      <c r="V42" s="623">
        <f t="shared" si="5"/>
        <v>0</v>
      </c>
      <c r="W42" s="624">
        <v>1</v>
      </c>
      <c r="X42" s="625">
        <f t="shared" si="2"/>
        <v>0</v>
      </c>
    </row>
    <row r="43" spans="2:24">
      <c r="B43" s="620">
        <f t="shared" si="3"/>
        <v>2030</v>
      </c>
      <c r="C43" s="627"/>
      <c r="D43" s="613">
        <v>1</v>
      </c>
      <c r="E43" s="614">
        <f t="shared" ref="E43:O58" si="8">E$8</f>
        <v>0.66390000000000005</v>
      </c>
      <c r="F43" s="614">
        <f t="shared" si="8"/>
        <v>0.1285</v>
      </c>
      <c r="G43" s="614">
        <f t="shared" si="7"/>
        <v>0</v>
      </c>
      <c r="H43" s="614">
        <f t="shared" si="8"/>
        <v>0</v>
      </c>
      <c r="I43" s="614">
        <f t="shared" si="7"/>
        <v>0</v>
      </c>
      <c r="J43" s="614">
        <f t="shared" si="8"/>
        <v>8.0999999999999996E-3</v>
      </c>
      <c r="K43" s="614">
        <f t="shared" si="8"/>
        <v>0</v>
      </c>
      <c r="L43" s="614">
        <f t="shared" si="8"/>
        <v>0.1071</v>
      </c>
      <c r="M43" s="614">
        <f t="shared" si="8"/>
        <v>1.77E-2</v>
      </c>
      <c r="N43" s="614">
        <f t="shared" si="8"/>
        <v>1.3299999999999999E-2</v>
      </c>
      <c r="O43" s="614">
        <f t="shared" si="8"/>
        <v>6.2100000000000002E-2</v>
      </c>
      <c r="P43" s="621">
        <f t="shared" si="1"/>
        <v>1.0006999999999999</v>
      </c>
      <c r="S43" s="620">
        <f t="shared" si="4"/>
        <v>2030</v>
      </c>
      <c r="T43" s="622">
        <v>0</v>
      </c>
      <c r="U43" s="622">
        <v>5</v>
      </c>
      <c r="V43" s="623">
        <f t="shared" si="5"/>
        <v>0</v>
      </c>
      <c r="W43" s="624">
        <v>1</v>
      </c>
      <c r="X43" s="625">
        <f t="shared" si="2"/>
        <v>0</v>
      </c>
    </row>
    <row r="44" spans="2:24">
      <c r="B44" s="620">
        <f t="shared" si="3"/>
        <v>2031</v>
      </c>
      <c r="C44" s="627"/>
      <c r="D44" s="613">
        <v>1</v>
      </c>
      <c r="E44" s="614">
        <f t="shared" si="8"/>
        <v>0.66390000000000005</v>
      </c>
      <c r="F44" s="614">
        <f t="shared" si="8"/>
        <v>0.1285</v>
      </c>
      <c r="G44" s="614">
        <f t="shared" si="7"/>
        <v>0</v>
      </c>
      <c r="H44" s="614">
        <f t="shared" si="8"/>
        <v>0</v>
      </c>
      <c r="I44" s="614">
        <f t="shared" si="7"/>
        <v>0</v>
      </c>
      <c r="J44" s="614">
        <f t="shared" si="8"/>
        <v>8.0999999999999996E-3</v>
      </c>
      <c r="K44" s="614">
        <f t="shared" si="8"/>
        <v>0</v>
      </c>
      <c r="L44" s="614">
        <f t="shared" si="8"/>
        <v>0.1071</v>
      </c>
      <c r="M44" s="614">
        <f t="shared" si="8"/>
        <v>1.77E-2</v>
      </c>
      <c r="N44" s="614">
        <f t="shared" si="8"/>
        <v>1.3299999999999999E-2</v>
      </c>
      <c r="O44" s="614">
        <f t="shared" si="8"/>
        <v>6.2100000000000002E-2</v>
      </c>
      <c r="P44" s="621">
        <f t="shared" si="1"/>
        <v>1.0006999999999999</v>
      </c>
      <c r="S44" s="620">
        <f t="shared" si="4"/>
        <v>2031</v>
      </c>
      <c r="T44" s="622">
        <v>0</v>
      </c>
      <c r="U44" s="622">
        <v>5</v>
      </c>
      <c r="V44" s="623">
        <f t="shared" si="5"/>
        <v>0</v>
      </c>
      <c r="W44" s="624">
        <v>1</v>
      </c>
      <c r="X44" s="625">
        <f t="shared" si="2"/>
        <v>0</v>
      </c>
    </row>
    <row r="45" spans="2:24">
      <c r="B45" s="620">
        <f t="shared" si="3"/>
        <v>2032</v>
      </c>
      <c r="C45" s="627"/>
      <c r="D45" s="613">
        <v>1</v>
      </c>
      <c r="E45" s="614">
        <f t="shared" si="8"/>
        <v>0.66390000000000005</v>
      </c>
      <c r="F45" s="614">
        <f t="shared" si="8"/>
        <v>0.1285</v>
      </c>
      <c r="G45" s="614">
        <f t="shared" si="7"/>
        <v>0</v>
      </c>
      <c r="H45" s="614">
        <f t="shared" si="8"/>
        <v>0</v>
      </c>
      <c r="I45" s="614">
        <f t="shared" si="7"/>
        <v>0</v>
      </c>
      <c r="J45" s="614">
        <f t="shared" si="8"/>
        <v>8.0999999999999996E-3</v>
      </c>
      <c r="K45" s="614">
        <f t="shared" si="8"/>
        <v>0</v>
      </c>
      <c r="L45" s="614">
        <f t="shared" si="8"/>
        <v>0.1071</v>
      </c>
      <c r="M45" s="614">
        <f t="shared" si="8"/>
        <v>1.77E-2</v>
      </c>
      <c r="N45" s="614">
        <f t="shared" si="8"/>
        <v>1.3299999999999999E-2</v>
      </c>
      <c r="O45" s="614">
        <f t="shared" si="8"/>
        <v>6.2100000000000002E-2</v>
      </c>
      <c r="P45" s="621">
        <f t="shared" ref="P45:P76" si="9">SUM(E45:O45)</f>
        <v>1.0006999999999999</v>
      </c>
      <c r="S45" s="620">
        <f t="shared" si="4"/>
        <v>2032</v>
      </c>
      <c r="T45" s="622">
        <v>0</v>
      </c>
      <c r="U45" s="622">
        <v>5</v>
      </c>
      <c r="V45" s="623">
        <f t="shared" si="5"/>
        <v>0</v>
      </c>
      <c r="W45" s="624">
        <v>1</v>
      </c>
      <c r="X45" s="625">
        <f t="shared" ref="X45:X76" si="10">V45*W45</f>
        <v>0</v>
      </c>
    </row>
    <row r="46" spans="2:24">
      <c r="B46" s="620">
        <f t="shared" ref="B46:B77" si="11">B45+1</f>
        <v>2033</v>
      </c>
      <c r="C46" s="627"/>
      <c r="D46" s="613">
        <v>1</v>
      </c>
      <c r="E46" s="614">
        <f t="shared" si="8"/>
        <v>0.66390000000000005</v>
      </c>
      <c r="F46" s="614">
        <f t="shared" si="8"/>
        <v>0.1285</v>
      </c>
      <c r="G46" s="614">
        <f t="shared" si="7"/>
        <v>0</v>
      </c>
      <c r="H46" s="614">
        <f t="shared" si="8"/>
        <v>0</v>
      </c>
      <c r="I46" s="614">
        <f t="shared" si="7"/>
        <v>0</v>
      </c>
      <c r="J46" s="614">
        <f t="shared" si="8"/>
        <v>8.0999999999999996E-3</v>
      </c>
      <c r="K46" s="614">
        <f t="shared" si="8"/>
        <v>0</v>
      </c>
      <c r="L46" s="614">
        <f t="shared" si="8"/>
        <v>0.1071</v>
      </c>
      <c r="M46" s="614">
        <f t="shared" si="8"/>
        <v>1.77E-2</v>
      </c>
      <c r="N46" s="614">
        <f t="shared" si="8"/>
        <v>1.3299999999999999E-2</v>
      </c>
      <c r="O46" s="614">
        <f t="shared" si="8"/>
        <v>6.2100000000000002E-2</v>
      </c>
      <c r="P46" s="621">
        <f t="shared" si="9"/>
        <v>1.0006999999999999</v>
      </c>
      <c r="S46" s="620">
        <f t="shared" si="4"/>
        <v>2033</v>
      </c>
      <c r="T46" s="622">
        <v>0</v>
      </c>
      <c r="U46" s="622">
        <v>5</v>
      </c>
      <c r="V46" s="623">
        <f t="shared" si="5"/>
        <v>0</v>
      </c>
      <c r="W46" s="624">
        <v>1</v>
      </c>
      <c r="X46" s="625">
        <f t="shared" si="10"/>
        <v>0</v>
      </c>
    </row>
    <row r="47" spans="2:24">
      <c r="B47" s="620">
        <f t="shared" si="11"/>
        <v>2034</v>
      </c>
      <c r="C47" s="627"/>
      <c r="D47" s="613">
        <v>1</v>
      </c>
      <c r="E47" s="614">
        <f t="shared" si="8"/>
        <v>0.66390000000000005</v>
      </c>
      <c r="F47" s="614">
        <f t="shared" si="8"/>
        <v>0.1285</v>
      </c>
      <c r="G47" s="614">
        <f t="shared" si="7"/>
        <v>0</v>
      </c>
      <c r="H47" s="614">
        <f t="shared" si="8"/>
        <v>0</v>
      </c>
      <c r="I47" s="614">
        <f t="shared" si="7"/>
        <v>0</v>
      </c>
      <c r="J47" s="614">
        <f t="shared" si="8"/>
        <v>8.0999999999999996E-3</v>
      </c>
      <c r="K47" s="614">
        <f t="shared" si="8"/>
        <v>0</v>
      </c>
      <c r="L47" s="614">
        <f t="shared" si="8"/>
        <v>0.1071</v>
      </c>
      <c r="M47" s="614">
        <f t="shared" si="8"/>
        <v>1.77E-2</v>
      </c>
      <c r="N47" s="614">
        <f t="shared" si="8"/>
        <v>1.3299999999999999E-2</v>
      </c>
      <c r="O47" s="614">
        <f t="shared" si="8"/>
        <v>6.2100000000000002E-2</v>
      </c>
      <c r="P47" s="621">
        <f t="shared" si="9"/>
        <v>1.0006999999999999</v>
      </c>
      <c r="S47" s="620">
        <f t="shared" si="4"/>
        <v>2034</v>
      </c>
      <c r="T47" s="622">
        <v>0</v>
      </c>
      <c r="U47" s="622">
        <v>5</v>
      </c>
      <c r="V47" s="623">
        <f t="shared" si="5"/>
        <v>0</v>
      </c>
      <c r="W47" s="624">
        <v>1</v>
      </c>
      <c r="X47" s="625">
        <f t="shared" si="10"/>
        <v>0</v>
      </c>
    </row>
    <row r="48" spans="2:24">
      <c r="B48" s="620">
        <f t="shared" si="11"/>
        <v>2035</v>
      </c>
      <c r="C48" s="627"/>
      <c r="D48" s="613">
        <v>1</v>
      </c>
      <c r="E48" s="614">
        <f t="shared" si="8"/>
        <v>0.66390000000000005</v>
      </c>
      <c r="F48" s="614">
        <f t="shared" si="8"/>
        <v>0.1285</v>
      </c>
      <c r="G48" s="614">
        <f t="shared" si="7"/>
        <v>0</v>
      </c>
      <c r="H48" s="614">
        <f t="shared" si="8"/>
        <v>0</v>
      </c>
      <c r="I48" s="614">
        <f t="shared" si="7"/>
        <v>0</v>
      </c>
      <c r="J48" s="614">
        <f t="shared" si="8"/>
        <v>8.0999999999999996E-3</v>
      </c>
      <c r="K48" s="614">
        <f t="shared" si="8"/>
        <v>0</v>
      </c>
      <c r="L48" s="614">
        <f t="shared" si="8"/>
        <v>0.1071</v>
      </c>
      <c r="M48" s="614">
        <f t="shared" si="8"/>
        <v>1.77E-2</v>
      </c>
      <c r="N48" s="614">
        <f t="shared" si="8"/>
        <v>1.3299999999999999E-2</v>
      </c>
      <c r="O48" s="614">
        <f t="shared" si="8"/>
        <v>6.2100000000000002E-2</v>
      </c>
      <c r="P48" s="621">
        <f t="shared" si="9"/>
        <v>1.0006999999999999</v>
      </c>
      <c r="S48" s="620">
        <f t="shared" si="4"/>
        <v>2035</v>
      </c>
      <c r="T48" s="622">
        <v>0</v>
      </c>
      <c r="U48" s="622">
        <v>5</v>
      </c>
      <c r="V48" s="623">
        <f t="shared" si="5"/>
        <v>0</v>
      </c>
      <c r="W48" s="624">
        <v>1</v>
      </c>
      <c r="X48" s="625">
        <f t="shared" si="10"/>
        <v>0</v>
      </c>
    </row>
    <row r="49" spans="2:24">
      <c r="B49" s="620">
        <f t="shared" si="11"/>
        <v>2036</v>
      </c>
      <c r="C49" s="627"/>
      <c r="D49" s="613">
        <v>1</v>
      </c>
      <c r="E49" s="614">
        <f t="shared" si="8"/>
        <v>0.66390000000000005</v>
      </c>
      <c r="F49" s="614">
        <f t="shared" si="8"/>
        <v>0.1285</v>
      </c>
      <c r="G49" s="614">
        <f t="shared" si="8"/>
        <v>0</v>
      </c>
      <c r="H49" s="614">
        <f t="shared" si="8"/>
        <v>0</v>
      </c>
      <c r="I49" s="614">
        <f t="shared" si="8"/>
        <v>0</v>
      </c>
      <c r="J49" s="614">
        <f t="shared" si="8"/>
        <v>8.0999999999999996E-3</v>
      </c>
      <c r="K49" s="614">
        <f t="shared" si="8"/>
        <v>0</v>
      </c>
      <c r="L49" s="614">
        <f t="shared" si="8"/>
        <v>0.1071</v>
      </c>
      <c r="M49" s="614">
        <f t="shared" si="8"/>
        <v>1.77E-2</v>
      </c>
      <c r="N49" s="614">
        <f t="shared" si="8"/>
        <v>1.3299999999999999E-2</v>
      </c>
      <c r="O49" s="614">
        <f t="shared" si="8"/>
        <v>6.2100000000000002E-2</v>
      </c>
      <c r="P49" s="621">
        <f t="shared" si="9"/>
        <v>1.0006999999999999</v>
      </c>
      <c r="S49" s="620">
        <f t="shared" si="4"/>
        <v>2036</v>
      </c>
      <c r="T49" s="622">
        <v>0</v>
      </c>
      <c r="U49" s="622">
        <v>5</v>
      </c>
      <c r="V49" s="623">
        <f t="shared" si="5"/>
        <v>0</v>
      </c>
      <c r="W49" s="624">
        <v>1</v>
      </c>
      <c r="X49" s="625">
        <f t="shared" si="10"/>
        <v>0</v>
      </c>
    </row>
    <row r="50" spans="2:24">
      <c r="B50" s="620">
        <f t="shared" si="11"/>
        <v>2037</v>
      </c>
      <c r="C50" s="627"/>
      <c r="D50" s="613">
        <v>1</v>
      </c>
      <c r="E50" s="614">
        <f t="shared" si="8"/>
        <v>0.66390000000000005</v>
      </c>
      <c r="F50" s="614">
        <f t="shared" si="8"/>
        <v>0.1285</v>
      </c>
      <c r="G50" s="614">
        <f t="shared" si="8"/>
        <v>0</v>
      </c>
      <c r="H50" s="614">
        <f t="shared" si="8"/>
        <v>0</v>
      </c>
      <c r="I50" s="614">
        <f t="shared" si="8"/>
        <v>0</v>
      </c>
      <c r="J50" s="614">
        <f t="shared" si="8"/>
        <v>8.0999999999999996E-3</v>
      </c>
      <c r="K50" s="614">
        <f t="shared" si="8"/>
        <v>0</v>
      </c>
      <c r="L50" s="614">
        <f t="shared" si="8"/>
        <v>0.1071</v>
      </c>
      <c r="M50" s="614">
        <f t="shared" si="8"/>
        <v>1.77E-2</v>
      </c>
      <c r="N50" s="614">
        <f t="shared" si="8"/>
        <v>1.3299999999999999E-2</v>
      </c>
      <c r="O50" s="614">
        <f t="shared" si="8"/>
        <v>6.2100000000000002E-2</v>
      </c>
      <c r="P50" s="621">
        <f t="shared" si="9"/>
        <v>1.0006999999999999</v>
      </c>
      <c r="S50" s="620">
        <f t="shared" si="4"/>
        <v>2037</v>
      </c>
      <c r="T50" s="622">
        <v>0</v>
      </c>
      <c r="U50" s="622">
        <v>5</v>
      </c>
      <c r="V50" s="623">
        <f t="shared" si="5"/>
        <v>0</v>
      </c>
      <c r="W50" s="624">
        <v>1</v>
      </c>
      <c r="X50" s="625">
        <f t="shared" si="10"/>
        <v>0</v>
      </c>
    </row>
    <row r="51" spans="2:24">
      <c r="B51" s="620">
        <f t="shared" si="11"/>
        <v>2038</v>
      </c>
      <c r="C51" s="627"/>
      <c r="D51" s="613">
        <v>1</v>
      </c>
      <c r="E51" s="614">
        <f t="shared" si="8"/>
        <v>0.66390000000000005</v>
      </c>
      <c r="F51" s="614">
        <f t="shared" si="8"/>
        <v>0.1285</v>
      </c>
      <c r="G51" s="614">
        <f t="shared" si="8"/>
        <v>0</v>
      </c>
      <c r="H51" s="614">
        <f t="shared" si="8"/>
        <v>0</v>
      </c>
      <c r="I51" s="614">
        <f t="shared" si="8"/>
        <v>0</v>
      </c>
      <c r="J51" s="614">
        <f t="shared" si="8"/>
        <v>8.0999999999999996E-3</v>
      </c>
      <c r="K51" s="614">
        <f t="shared" si="8"/>
        <v>0</v>
      </c>
      <c r="L51" s="614">
        <f t="shared" si="8"/>
        <v>0.1071</v>
      </c>
      <c r="M51" s="614">
        <f t="shared" si="8"/>
        <v>1.77E-2</v>
      </c>
      <c r="N51" s="614">
        <f t="shared" si="8"/>
        <v>1.3299999999999999E-2</v>
      </c>
      <c r="O51" s="614">
        <f t="shared" si="8"/>
        <v>6.2100000000000002E-2</v>
      </c>
      <c r="P51" s="621">
        <f t="shared" si="9"/>
        <v>1.0006999999999999</v>
      </c>
      <c r="S51" s="620">
        <f t="shared" si="4"/>
        <v>2038</v>
      </c>
      <c r="T51" s="622">
        <v>0</v>
      </c>
      <c r="U51" s="622">
        <v>5</v>
      </c>
      <c r="V51" s="623">
        <f t="shared" si="5"/>
        <v>0</v>
      </c>
      <c r="W51" s="624">
        <v>1</v>
      </c>
      <c r="X51" s="625">
        <f t="shared" si="10"/>
        <v>0</v>
      </c>
    </row>
    <row r="52" spans="2:24">
      <c r="B52" s="620">
        <f t="shared" si="11"/>
        <v>2039</v>
      </c>
      <c r="C52" s="627"/>
      <c r="D52" s="613">
        <v>1</v>
      </c>
      <c r="E52" s="614">
        <f t="shared" si="8"/>
        <v>0.66390000000000005</v>
      </c>
      <c r="F52" s="614">
        <f t="shared" si="8"/>
        <v>0.1285</v>
      </c>
      <c r="G52" s="614">
        <f t="shared" si="8"/>
        <v>0</v>
      </c>
      <c r="H52" s="614">
        <f t="shared" si="8"/>
        <v>0</v>
      </c>
      <c r="I52" s="614">
        <f t="shared" si="8"/>
        <v>0</v>
      </c>
      <c r="J52" s="614">
        <f t="shared" si="8"/>
        <v>8.0999999999999996E-3</v>
      </c>
      <c r="K52" s="614">
        <f t="shared" si="8"/>
        <v>0</v>
      </c>
      <c r="L52" s="614">
        <f t="shared" si="8"/>
        <v>0.1071</v>
      </c>
      <c r="M52" s="614">
        <f t="shared" si="8"/>
        <v>1.77E-2</v>
      </c>
      <c r="N52" s="614">
        <f t="shared" si="8"/>
        <v>1.3299999999999999E-2</v>
      </c>
      <c r="O52" s="614">
        <f t="shared" si="8"/>
        <v>6.2100000000000002E-2</v>
      </c>
      <c r="P52" s="621">
        <f t="shared" si="9"/>
        <v>1.0006999999999999</v>
      </c>
      <c r="S52" s="620">
        <f t="shared" si="4"/>
        <v>2039</v>
      </c>
      <c r="T52" s="622">
        <v>0</v>
      </c>
      <c r="U52" s="622">
        <v>5</v>
      </c>
      <c r="V52" s="623">
        <f t="shared" si="5"/>
        <v>0</v>
      </c>
      <c r="W52" s="624">
        <v>1</v>
      </c>
      <c r="X52" s="625">
        <f t="shared" si="10"/>
        <v>0</v>
      </c>
    </row>
    <row r="53" spans="2:24">
      <c r="B53" s="620">
        <f t="shared" si="11"/>
        <v>2040</v>
      </c>
      <c r="C53" s="627"/>
      <c r="D53" s="613">
        <v>1</v>
      </c>
      <c r="E53" s="614">
        <f t="shared" ref="E53:O68" si="12">E$8</f>
        <v>0.66390000000000005</v>
      </c>
      <c r="F53" s="614">
        <f t="shared" si="12"/>
        <v>0.1285</v>
      </c>
      <c r="G53" s="614">
        <f t="shared" si="8"/>
        <v>0</v>
      </c>
      <c r="H53" s="614">
        <f t="shared" si="12"/>
        <v>0</v>
      </c>
      <c r="I53" s="614">
        <f t="shared" si="8"/>
        <v>0</v>
      </c>
      <c r="J53" s="614">
        <f t="shared" si="12"/>
        <v>8.0999999999999996E-3</v>
      </c>
      <c r="K53" s="614">
        <f t="shared" si="12"/>
        <v>0</v>
      </c>
      <c r="L53" s="614">
        <f t="shared" si="12"/>
        <v>0.1071</v>
      </c>
      <c r="M53" s="614">
        <f t="shared" si="12"/>
        <v>1.77E-2</v>
      </c>
      <c r="N53" s="614">
        <f t="shared" si="12"/>
        <v>1.3299999999999999E-2</v>
      </c>
      <c r="O53" s="614">
        <f t="shared" si="12"/>
        <v>6.2100000000000002E-2</v>
      </c>
      <c r="P53" s="621">
        <f t="shared" si="9"/>
        <v>1.0006999999999999</v>
      </c>
      <c r="S53" s="620">
        <f t="shared" si="4"/>
        <v>2040</v>
      </c>
      <c r="T53" s="622">
        <v>0</v>
      </c>
      <c r="U53" s="622">
        <v>5</v>
      </c>
      <c r="V53" s="623">
        <f t="shared" si="5"/>
        <v>0</v>
      </c>
      <c r="W53" s="624">
        <v>1</v>
      </c>
      <c r="X53" s="625">
        <f t="shared" si="10"/>
        <v>0</v>
      </c>
    </row>
    <row r="54" spans="2:24">
      <c r="B54" s="620">
        <f t="shared" si="11"/>
        <v>2041</v>
      </c>
      <c r="C54" s="627"/>
      <c r="D54" s="613">
        <v>1</v>
      </c>
      <c r="E54" s="614">
        <f t="shared" si="12"/>
        <v>0.66390000000000005</v>
      </c>
      <c r="F54" s="614">
        <f t="shared" si="12"/>
        <v>0.1285</v>
      </c>
      <c r="G54" s="614">
        <f t="shared" si="8"/>
        <v>0</v>
      </c>
      <c r="H54" s="614">
        <f t="shared" si="12"/>
        <v>0</v>
      </c>
      <c r="I54" s="614">
        <f t="shared" si="8"/>
        <v>0</v>
      </c>
      <c r="J54" s="614">
        <f t="shared" si="12"/>
        <v>8.0999999999999996E-3</v>
      </c>
      <c r="K54" s="614">
        <f t="shared" si="12"/>
        <v>0</v>
      </c>
      <c r="L54" s="614">
        <f t="shared" si="12"/>
        <v>0.1071</v>
      </c>
      <c r="M54" s="614">
        <f t="shared" si="12"/>
        <v>1.77E-2</v>
      </c>
      <c r="N54" s="614">
        <f t="shared" si="12"/>
        <v>1.3299999999999999E-2</v>
      </c>
      <c r="O54" s="614">
        <f t="shared" si="12"/>
        <v>6.2100000000000002E-2</v>
      </c>
      <c r="P54" s="621">
        <f t="shared" si="9"/>
        <v>1.0006999999999999</v>
      </c>
      <c r="S54" s="620">
        <f t="shared" si="4"/>
        <v>2041</v>
      </c>
      <c r="T54" s="622">
        <v>0</v>
      </c>
      <c r="U54" s="622">
        <v>5</v>
      </c>
      <c r="V54" s="623">
        <f t="shared" si="5"/>
        <v>0</v>
      </c>
      <c r="W54" s="624">
        <v>1</v>
      </c>
      <c r="X54" s="625">
        <f t="shared" si="10"/>
        <v>0</v>
      </c>
    </row>
    <row r="55" spans="2:24">
      <c r="B55" s="620">
        <f t="shared" si="11"/>
        <v>2042</v>
      </c>
      <c r="C55" s="627"/>
      <c r="D55" s="613">
        <v>1</v>
      </c>
      <c r="E55" s="614">
        <f t="shared" si="12"/>
        <v>0.66390000000000005</v>
      </c>
      <c r="F55" s="614">
        <f t="shared" si="12"/>
        <v>0.1285</v>
      </c>
      <c r="G55" s="614">
        <f t="shared" si="8"/>
        <v>0</v>
      </c>
      <c r="H55" s="614">
        <f t="shared" si="12"/>
        <v>0</v>
      </c>
      <c r="I55" s="614">
        <f t="shared" si="8"/>
        <v>0</v>
      </c>
      <c r="J55" s="614">
        <f t="shared" si="12"/>
        <v>8.0999999999999996E-3</v>
      </c>
      <c r="K55" s="614">
        <f t="shared" si="12"/>
        <v>0</v>
      </c>
      <c r="L55" s="614">
        <f t="shared" si="12"/>
        <v>0.1071</v>
      </c>
      <c r="M55" s="614">
        <f t="shared" si="12"/>
        <v>1.77E-2</v>
      </c>
      <c r="N55" s="614">
        <f t="shared" si="12"/>
        <v>1.3299999999999999E-2</v>
      </c>
      <c r="O55" s="614">
        <f t="shared" si="12"/>
        <v>6.2100000000000002E-2</v>
      </c>
      <c r="P55" s="621">
        <f t="shared" si="9"/>
        <v>1.0006999999999999</v>
      </c>
      <c r="S55" s="620">
        <f t="shared" si="4"/>
        <v>2042</v>
      </c>
      <c r="T55" s="622">
        <v>0</v>
      </c>
      <c r="U55" s="622">
        <v>5</v>
      </c>
      <c r="V55" s="623">
        <f t="shared" si="5"/>
        <v>0</v>
      </c>
      <c r="W55" s="624">
        <v>1</v>
      </c>
      <c r="X55" s="625">
        <f t="shared" si="10"/>
        <v>0</v>
      </c>
    </row>
    <row r="56" spans="2:24">
      <c r="B56" s="620">
        <f t="shared" si="11"/>
        <v>2043</v>
      </c>
      <c r="C56" s="627"/>
      <c r="D56" s="613">
        <v>1</v>
      </c>
      <c r="E56" s="614">
        <f t="shared" si="12"/>
        <v>0.66390000000000005</v>
      </c>
      <c r="F56" s="614">
        <f t="shared" si="12"/>
        <v>0.1285</v>
      </c>
      <c r="G56" s="614">
        <f t="shared" si="8"/>
        <v>0</v>
      </c>
      <c r="H56" s="614">
        <f t="shared" si="12"/>
        <v>0</v>
      </c>
      <c r="I56" s="614">
        <f t="shared" si="8"/>
        <v>0</v>
      </c>
      <c r="J56" s="614">
        <f t="shared" si="12"/>
        <v>8.0999999999999996E-3</v>
      </c>
      <c r="K56" s="614">
        <f t="shared" si="12"/>
        <v>0</v>
      </c>
      <c r="L56" s="614">
        <f t="shared" si="12"/>
        <v>0.1071</v>
      </c>
      <c r="M56" s="614">
        <f t="shared" si="12"/>
        <v>1.77E-2</v>
      </c>
      <c r="N56" s="614">
        <f t="shared" si="12"/>
        <v>1.3299999999999999E-2</v>
      </c>
      <c r="O56" s="614">
        <f t="shared" si="12"/>
        <v>6.2100000000000002E-2</v>
      </c>
      <c r="P56" s="621">
        <f t="shared" si="9"/>
        <v>1.0006999999999999</v>
      </c>
      <c r="S56" s="620">
        <f t="shared" si="4"/>
        <v>2043</v>
      </c>
      <c r="T56" s="622">
        <v>0</v>
      </c>
      <c r="U56" s="622">
        <v>5</v>
      </c>
      <c r="V56" s="623">
        <f t="shared" si="5"/>
        <v>0</v>
      </c>
      <c r="W56" s="624">
        <v>1</v>
      </c>
      <c r="X56" s="625">
        <f t="shared" si="10"/>
        <v>0</v>
      </c>
    </row>
    <row r="57" spans="2:24">
      <c r="B57" s="620">
        <f t="shared" si="11"/>
        <v>2044</v>
      </c>
      <c r="C57" s="627"/>
      <c r="D57" s="613">
        <v>1</v>
      </c>
      <c r="E57" s="614">
        <f t="shared" si="12"/>
        <v>0.66390000000000005</v>
      </c>
      <c r="F57" s="614">
        <f t="shared" si="12"/>
        <v>0.1285</v>
      </c>
      <c r="G57" s="614">
        <f t="shared" si="8"/>
        <v>0</v>
      </c>
      <c r="H57" s="614">
        <f t="shared" si="12"/>
        <v>0</v>
      </c>
      <c r="I57" s="614">
        <f t="shared" si="8"/>
        <v>0</v>
      </c>
      <c r="J57" s="614">
        <f t="shared" si="12"/>
        <v>8.0999999999999996E-3</v>
      </c>
      <c r="K57" s="614">
        <f t="shared" si="12"/>
        <v>0</v>
      </c>
      <c r="L57" s="614">
        <f t="shared" si="12"/>
        <v>0.1071</v>
      </c>
      <c r="M57" s="614">
        <f t="shared" si="12"/>
        <v>1.77E-2</v>
      </c>
      <c r="N57" s="614">
        <f t="shared" si="12"/>
        <v>1.3299999999999999E-2</v>
      </c>
      <c r="O57" s="614">
        <f t="shared" si="12"/>
        <v>6.2100000000000002E-2</v>
      </c>
      <c r="P57" s="621">
        <f t="shared" si="9"/>
        <v>1.0006999999999999</v>
      </c>
      <c r="S57" s="620">
        <f t="shared" si="4"/>
        <v>2044</v>
      </c>
      <c r="T57" s="622">
        <v>0</v>
      </c>
      <c r="U57" s="622">
        <v>5</v>
      </c>
      <c r="V57" s="623">
        <f t="shared" si="5"/>
        <v>0</v>
      </c>
      <c r="W57" s="624">
        <v>1</v>
      </c>
      <c r="X57" s="625">
        <f t="shared" si="10"/>
        <v>0</v>
      </c>
    </row>
    <row r="58" spans="2:24">
      <c r="B58" s="620">
        <f t="shared" si="11"/>
        <v>2045</v>
      </c>
      <c r="C58" s="627"/>
      <c r="D58" s="613">
        <v>1</v>
      </c>
      <c r="E58" s="614">
        <f t="shared" si="12"/>
        <v>0.66390000000000005</v>
      </c>
      <c r="F58" s="614">
        <f t="shared" si="12"/>
        <v>0.1285</v>
      </c>
      <c r="G58" s="614">
        <f t="shared" si="8"/>
        <v>0</v>
      </c>
      <c r="H58" s="614">
        <f t="shared" si="12"/>
        <v>0</v>
      </c>
      <c r="I58" s="614">
        <f t="shared" si="8"/>
        <v>0</v>
      </c>
      <c r="J58" s="614">
        <f t="shared" si="12"/>
        <v>8.0999999999999996E-3</v>
      </c>
      <c r="K58" s="614">
        <f t="shared" si="12"/>
        <v>0</v>
      </c>
      <c r="L58" s="614">
        <f t="shared" si="12"/>
        <v>0.1071</v>
      </c>
      <c r="M58" s="614">
        <f t="shared" si="12"/>
        <v>1.77E-2</v>
      </c>
      <c r="N58" s="614">
        <f t="shared" si="12"/>
        <v>1.3299999999999999E-2</v>
      </c>
      <c r="O58" s="614">
        <f t="shared" si="12"/>
        <v>6.2100000000000002E-2</v>
      </c>
      <c r="P58" s="621">
        <f t="shared" si="9"/>
        <v>1.0006999999999999</v>
      </c>
      <c r="S58" s="620">
        <f t="shared" si="4"/>
        <v>2045</v>
      </c>
      <c r="T58" s="622">
        <v>0</v>
      </c>
      <c r="U58" s="622">
        <v>5</v>
      </c>
      <c r="V58" s="623">
        <f t="shared" si="5"/>
        <v>0</v>
      </c>
      <c r="W58" s="624">
        <v>1</v>
      </c>
      <c r="X58" s="625">
        <f t="shared" si="10"/>
        <v>0</v>
      </c>
    </row>
    <row r="59" spans="2:24">
      <c r="B59" s="620">
        <f t="shared" si="11"/>
        <v>2046</v>
      </c>
      <c r="C59" s="627"/>
      <c r="D59" s="613">
        <v>1</v>
      </c>
      <c r="E59" s="614">
        <f t="shared" si="12"/>
        <v>0.66390000000000005</v>
      </c>
      <c r="F59" s="614">
        <f t="shared" si="12"/>
        <v>0.1285</v>
      </c>
      <c r="G59" s="614">
        <f t="shared" si="12"/>
        <v>0</v>
      </c>
      <c r="H59" s="614">
        <f t="shared" si="12"/>
        <v>0</v>
      </c>
      <c r="I59" s="614">
        <f t="shared" si="12"/>
        <v>0</v>
      </c>
      <c r="J59" s="614">
        <f t="shared" si="12"/>
        <v>8.0999999999999996E-3</v>
      </c>
      <c r="K59" s="614">
        <f t="shared" si="12"/>
        <v>0</v>
      </c>
      <c r="L59" s="614">
        <f t="shared" si="12"/>
        <v>0.1071</v>
      </c>
      <c r="M59" s="614">
        <f t="shared" si="12"/>
        <v>1.77E-2</v>
      </c>
      <c r="N59" s="614">
        <f t="shared" si="12"/>
        <v>1.3299999999999999E-2</v>
      </c>
      <c r="O59" s="614">
        <f t="shared" si="12"/>
        <v>6.2100000000000002E-2</v>
      </c>
      <c r="P59" s="621">
        <f t="shared" si="9"/>
        <v>1.0006999999999999</v>
      </c>
      <c r="S59" s="620">
        <f t="shared" si="4"/>
        <v>2046</v>
      </c>
      <c r="T59" s="622">
        <v>0</v>
      </c>
      <c r="U59" s="622">
        <v>5</v>
      </c>
      <c r="V59" s="623">
        <f t="shared" si="5"/>
        <v>0</v>
      </c>
      <c r="W59" s="624">
        <v>1</v>
      </c>
      <c r="X59" s="625">
        <f t="shared" si="10"/>
        <v>0</v>
      </c>
    </row>
    <row r="60" spans="2:24">
      <c r="B60" s="620">
        <f t="shared" si="11"/>
        <v>2047</v>
      </c>
      <c r="C60" s="627"/>
      <c r="D60" s="613">
        <v>1</v>
      </c>
      <c r="E60" s="614">
        <f t="shared" si="12"/>
        <v>0.66390000000000005</v>
      </c>
      <c r="F60" s="614">
        <f t="shared" si="12"/>
        <v>0.1285</v>
      </c>
      <c r="G60" s="614">
        <f t="shared" si="12"/>
        <v>0</v>
      </c>
      <c r="H60" s="614">
        <f t="shared" si="12"/>
        <v>0</v>
      </c>
      <c r="I60" s="614">
        <f t="shared" si="12"/>
        <v>0</v>
      </c>
      <c r="J60" s="614">
        <f t="shared" si="12"/>
        <v>8.0999999999999996E-3</v>
      </c>
      <c r="K60" s="614">
        <f t="shared" si="12"/>
        <v>0</v>
      </c>
      <c r="L60" s="614">
        <f t="shared" si="12"/>
        <v>0.1071</v>
      </c>
      <c r="M60" s="614">
        <f t="shared" si="12"/>
        <v>1.77E-2</v>
      </c>
      <c r="N60" s="614">
        <f t="shared" si="12"/>
        <v>1.3299999999999999E-2</v>
      </c>
      <c r="O60" s="614">
        <f t="shared" si="12"/>
        <v>6.2100000000000002E-2</v>
      </c>
      <c r="P60" s="621">
        <f t="shared" si="9"/>
        <v>1.0006999999999999</v>
      </c>
      <c r="S60" s="620">
        <f t="shared" si="4"/>
        <v>2047</v>
      </c>
      <c r="T60" s="622">
        <v>0</v>
      </c>
      <c r="U60" s="622">
        <v>5</v>
      </c>
      <c r="V60" s="623">
        <f t="shared" si="5"/>
        <v>0</v>
      </c>
      <c r="W60" s="624">
        <v>1</v>
      </c>
      <c r="X60" s="625">
        <f t="shared" si="10"/>
        <v>0</v>
      </c>
    </row>
    <row r="61" spans="2:24">
      <c r="B61" s="620">
        <f t="shared" si="11"/>
        <v>2048</v>
      </c>
      <c r="C61" s="627"/>
      <c r="D61" s="613">
        <v>1</v>
      </c>
      <c r="E61" s="614">
        <f t="shared" si="12"/>
        <v>0.66390000000000005</v>
      </c>
      <c r="F61" s="614">
        <f t="shared" si="12"/>
        <v>0.1285</v>
      </c>
      <c r="G61" s="614">
        <f t="shared" si="12"/>
        <v>0</v>
      </c>
      <c r="H61" s="614">
        <f t="shared" si="12"/>
        <v>0</v>
      </c>
      <c r="I61" s="614">
        <f t="shared" si="12"/>
        <v>0</v>
      </c>
      <c r="J61" s="614">
        <f t="shared" si="12"/>
        <v>8.0999999999999996E-3</v>
      </c>
      <c r="K61" s="614">
        <f t="shared" si="12"/>
        <v>0</v>
      </c>
      <c r="L61" s="614">
        <f t="shared" si="12"/>
        <v>0.1071</v>
      </c>
      <c r="M61" s="614">
        <f t="shared" si="12"/>
        <v>1.77E-2</v>
      </c>
      <c r="N61" s="614">
        <f t="shared" si="12"/>
        <v>1.3299999999999999E-2</v>
      </c>
      <c r="O61" s="614">
        <f t="shared" si="12"/>
        <v>6.2100000000000002E-2</v>
      </c>
      <c r="P61" s="621">
        <f t="shared" si="9"/>
        <v>1.0006999999999999</v>
      </c>
      <c r="S61" s="620">
        <f t="shared" si="4"/>
        <v>2048</v>
      </c>
      <c r="T61" s="622">
        <v>0</v>
      </c>
      <c r="U61" s="622">
        <v>5</v>
      </c>
      <c r="V61" s="623">
        <f t="shared" si="5"/>
        <v>0</v>
      </c>
      <c r="W61" s="624">
        <v>1</v>
      </c>
      <c r="X61" s="625">
        <f t="shared" si="10"/>
        <v>0</v>
      </c>
    </row>
    <row r="62" spans="2:24">
      <c r="B62" s="620">
        <f t="shared" si="11"/>
        <v>2049</v>
      </c>
      <c r="C62" s="627"/>
      <c r="D62" s="613">
        <v>1</v>
      </c>
      <c r="E62" s="614">
        <f t="shared" si="12"/>
        <v>0.66390000000000005</v>
      </c>
      <c r="F62" s="614">
        <f t="shared" si="12"/>
        <v>0.1285</v>
      </c>
      <c r="G62" s="614">
        <f t="shared" si="12"/>
        <v>0</v>
      </c>
      <c r="H62" s="614">
        <f t="shared" si="12"/>
        <v>0</v>
      </c>
      <c r="I62" s="614">
        <f t="shared" si="12"/>
        <v>0</v>
      </c>
      <c r="J62" s="614">
        <f t="shared" si="12"/>
        <v>8.0999999999999996E-3</v>
      </c>
      <c r="K62" s="614">
        <f t="shared" si="12"/>
        <v>0</v>
      </c>
      <c r="L62" s="614">
        <f t="shared" si="12"/>
        <v>0.1071</v>
      </c>
      <c r="M62" s="614">
        <f t="shared" si="12"/>
        <v>1.77E-2</v>
      </c>
      <c r="N62" s="614">
        <f t="shared" si="12"/>
        <v>1.3299999999999999E-2</v>
      </c>
      <c r="O62" s="614">
        <f t="shared" si="12"/>
        <v>6.2100000000000002E-2</v>
      </c>
      <c r="P62" s="621">
        <f t="shared" si="9"/>
        <v>1.0006999999999999</v>
      </c>
      <c r="S62" s="620">
        <f t="shared" si="4"/>
        <v>2049</v>
      </c>
      <c r="T62" s="622">
        <v>0</v>
      </c>
      <c r="U62" s="622">
        <v>5</v>
      </c>
      <c r="V62" s="623">
        <f t="shared" si="5"/>
        <v>0</v>
      </c>
      <c r="W62" s="624">
        <v>1</v>
      </c>
      <c r="X62" s="625">
        <f t="shared" si="10"/>
        <v>0</v>
      </c>
    </row>
    <row r="63" spans="2:24">
      <c r="B63" s="620">
        <f t="shared" si="11"/>
        <v>2050</v>
      </c>
      <c r="C63" s="627"/>
      <c r="D63" s="613">
        <v>1</v>
      </c>
      <c r="E63" s="614">
        <f t="shared" ref="E63:O78" si="13">E$8</f>
        <v>0.66390000000000005</v>
      </c>
      <c r="F63" s="614">
        <f t="shared" si="13"/>
        <v>0.1285</v>
      </c>
      <c r="G63" s="614">
        <f t="shared" si="12"/>
        <v>0</v>
      </c>
      <c r="H63" s="614">
        <f t="shared" si="13"/>
        <v>0</v>
      </c>
      <c r="I63" s="614">
        <f t="shared" si="12"/>
        <v>0</v>
      </c>
      <c r="J63" s="614">
        <f t="shared" si="13"/>
        <v>8.0999999999999996E-3</v>
      </c>
      <c r="K63" s="614">
        <f t="shared" si="13"/>
        <v>0</v>
      </c>
      <c r="L63" s="614">
        <f t="shared" si="13"/>
        <v>0.1071</v>
      </c>
      <c r="M63" s="614">
        <f t="shared" si="13"/>
        <v>1.77E-2</v>
      </c>
      <c r="N63" s="614">
        <f t="shared" si="13"/>
        <v>1.3299999999999999E-2</v>
      </c>
      <c r="O63" s="614">
        <f t="shared" si="13"/>
        <v>6.2100000000000002E-2</v>
      </c>
      <c r="P63" s="621">
        <f t="shared" si="9"/>
        <v>1.0006999999999999</v>
      </c>
      <c r="S63" s="620">
        <f t="shared" si="4"/>
        <v>2050</v>
      </c>
      <c r="T63" s="622">
        <v>0</v>
      </c>
      <c r="U63" s="622">
        <v>5</v>
      </c>
      <c r="V63" s="623">
        <f t="shared" si="5"/>
        <v>0</v>
      </c>
      <c r="W63" s="624">
        <v>1</v>
      </c>
      <c r="X63" s="625">
        <f t="shared" si="10"/>
        <v>0</v>
      </c>
    </row>
    <row r="64" spans="2:24">
      <c r="B64" s="620">
        <f t="shared" si="11"/>
        <v>2051</v>
      </c>
      <c r="C64" s="627"/>
      <c r="D64" s="613">
        <v>1</v>
      </c>
      <c r="E64" s="614">
        <f t="shared" si="13"/>
        <v>0.66390000000000005</v>
      </c>
      <c r="F64" s="614">
        <f t="shared" si="13"/>
        <v>0.1285</v>
      </c>
      <c r="G64" s="614">
        <f t="shared" si="12"/>
        <v>0</v>
      </c>
      <c r="H64" s="614">
        <f t="shared" si="13"/>
        <v>0</v>
      </c>
      <c r="I64" s="614">
        <f t="shared" si="12"/>
        <v>0</v>
      </c>
      <c r="J64" s="614">
        <f t="shared" si="13"/>
        <v>8.0999999999999996E-3</v>
      </c>
      <c r="K64" s="614">
        <f t="shared" si="13"/>
        <v>0</v>
      </c>
      <c r="L64" s="614">
        <f t="shared" si="13"/>
        <v>0.1071</v>
      </c>
      <c r="M64" s="614">
        <f t="shared" si="13"/>
        <v>1.77E-2</v>
      </c>
      <c r="N64" s="614">
        <f t="shared" si="13"/>
        <v>1.3299999999999999E-2</v>
      </c>
      <c r="O64" s="614">
        <f t="shared" si="13"/>
        <v>6.2100000000000002E-2</v>
      </c>
      <c r="P64" s="621">
        <f t="shared" si="9"/>
        <v>1.0006999999999999</v>
      </c>
      <c r="S64" s="620">
        <f t="shared" si="4"/>
        <v>2051</v>
      </c>
      <c r="T64" s="622">
        <v>0</v>
      </c>
      <c r="U64" s="622">
        <v>5</v>
      </c>
      <c r="V64" s="623">
        <f t="shared" si="5"/>
        <v>0</v>
      </c>
      <c r="W64" s="624">
        <v>1</v>
      </c>
      <c r="X64" s="625">
        <f t="shared" si="10"/>
        <v>0</v>
      </c>
    </row>
    <row r="65" spans="2:24">
      <c r="B65" s="620">
        <f t="shared" si="11"/>
        <v>2052</v>
      </c>
      <c r="C65" s="627"/>
      <c r="D65" s="613">
        <v>1</v>
      </c>
      <c r="E65" s="614">
        <f t="shared" si="13"/>
        <v>0.66390000000000005</v>
      </c>
      <c r="F65" s="614">
        <f t="shared" si="13"/>
        <v>0.1285</v>
      </c>
      <c r="G65" s="614">
        <f t="shared" si="12"/>
        <v>0</v>
      </c>
      <c r="H65" s="614">
        <f t="shared" si="13"/>
        <v>0</v>
      </c>
      <c r="I65" s="614">
        <f t="shared" si="12"/>
        <v>0</v>
      </c>
      <c r="J65" s="614">
        <f t="shared" si="13"/>
        <v>8.0999999999999996E-3</v>
      </c>
      <c r="K65" s="614">
        <f t="shared" si="13"/>
        <v>0</v>
      </c>
      <c r="L65" s="614">
        <f t="shared" si="13"/>
        <v>0.1071</v>
      </c>
      <c r="M65" s="614">
        <f t="shared" si="13"/>
        <v>1.77E-2</v>
      </c>
      <c r="N65" s="614">
        <f t="shared" si="13"/>
        <v>1.3299999999999999E-2</v>
      </c>
      <c r="O65" s="614">
        <f t="shared" si="13"/>
        <v>6.2100000000000002E-2</v>
      </c>
      <c r="P65" s="621">
        <f t="shared" si="9"/>
        <v>1.0006999999999999</v>
      </c>
      <c r="S65" s="620">
        <f t="shared" si="4"/>
        <v>2052</v>
      </c>
      <c r="T65" s="622">
        <v>0</v>
      </c>
      <c r="U65" s="622">
        <v>5</v>
      </c>
      <c r="V65" s="623">
        <f t="shared" si="5"/>
        <v>0</v>
      </c>
      <c r="W65" s="624">
        <v>1</v>
      </c>
      <c r="X65" s="625">
        <f t="shared" si="10"/>
        <v>0</v>
      </c>
    </row>
    <row r="66" spans="2:24">
      <c r="B66" s="620">
        <f t="shared" si="11"/>
        <v>2053</v>
      </c>
      <c r="C66" s="627"/>
      <c r="D66" s="613">
        <v>1</v>
      </c>
      <c r="E66" s="614">
        <f t="shared" si="13"/>
        <v>0.66390000000000005</v>
      </c>
      <c r="F66" s="614">
        <f t="shared" si="13"/>
        <v>0.1285</v>
      </c>
      <c r="G66" s="614">
        <f t="shared" si="12"/>
        <v>0</v>
      </c>
      <c r="H66" s="614">
        <f t="shared" si="13"/>
        <v>0</v>
      </c>
      <c r="I66" s="614">
        <f t="shared" si="12"/>
        <v>0</v>
      </c>
      <c r="J66" s="614">
        <f t="shared" si="13"/>
        <v>8.0999999999999996E-3</v>
      </c>
      <c r="K66" s="614">
        <f t="shared" si="13"/>
        <v>0</v>
      </c>
      <c r="L66" s="614">
        <f t="shared" si="13"/>
        <v>0.1071</v>
      </c>
      <c r="M66" s="614">
        <f t="shared" si="13"/>
        <v>1.77E-2</v>
      </c>
      <c r="N66" s="614">
        <f t="shared" si="13"/>
        <v>1.3299999999999999E-2</v>
      </c>
      <c r="O66" s="614">
        <f t="shared" si="13"/>
        <v>6.2100000000000002E-2</v>
      </c>
      <c r="P66" s="621">
        <f t="shared" si="9"/>
        <v>1.0006999999999999</v>
      </c>
      <c r="S66" s="620">
        <f t="shared" si="4"/>
        <v>2053</v>
      </c>
      <c r="T66" s="622">
        <v>0</v>
      </c>
      <c r="U66" s="622">
        <v>5</v>
      </c>
      <c r="V66" s="623">
        <f t="shared" si="5"/>
        <v>0</v>
      </c>
      <c r="W66" s="624">
        <v>1</v>
      </c>
      <c r="X66" s="625">
        <f t="shared" si="10"/>
        <v>0</v>
      </c>
    </row>
    <row r="67" spans="2:24">
      <c r="B67" s="620">
        <f t="shared" si="11"/>
        <v>2054</v>
      </c>
      <c r="C67" s="627"/>
      <c r="D67" s="613">
        <v>1</v>
      </c>
      <c r="E67" s="614">
        <f t="shared" si="13"/>
        <v>0.66390000000000005</v>
      </c>
      <c r="F67" s="614">
        <f t="shared" si="13"/>
        <v>0.1285</v>
      </c>
      <c r="G67" s="614">
        <f t="shared" si="12"/>
        <v>0</v>
      </c>
      <c r="H67" s="614">
        <f t="shared" si="13"/>
        <v>0</v>
      </c>
      <c r="I67" s="614">
        <f t="shared" si="12"/>
        <v>0</v>
      </c>
      <c r="J67" s="614">
        <f t="shared" si="13"/>
        <v>8.0999999999999996E-3</v>
      </c>
      <c r="K67" s="614">
        <f t="shared" si="13"/>
        <v>0</v>
      </c>
      <c r="L67" s="614">
        <f t="shared" si="13"/>
        <v>0.1071</v>
      </c>
      <c r="M67" s="614">
        <f t="shared" si="13"/>
        <v>1.77E-2</v>
      </c>
      <c r="N67" s="614">
        <f t="shared" si="13"/>
        <v>1.3299999999999999E-2</v>
      </c>
      <c r="O67" s="614">
        <f t="shared" si="13"/>
        <v>6.2100000000000002E-2</v>
      </c>
      <c r="P67" s="621">
        <f t="shared" si="9"/>
        <v>1.0006999999999999</v>
      </c>
      <c r="S67" s="620">
        <f t="shared" si="4"/>
        <v>2054</v>
      </c>
      <c r="T67" s="622">
        <v>0</v>
      </c>
      <c r="U67" s="622">
        <v>5</v>
      </c>
      <c r="V67" s="623">
        <f t="shared" si="5"/>
        <v>0</v>
      </c>
      <c r="W67" s="624">
        <v>1</v>
      </c>
      <c r="X67" s="625">
        <f t="shared" si="10"/>
        <v>0</v>
      </c>
    </row>
    <row r="68" spans="2:24">
      <c r="B68" s="620">
        <f t="shared" si="11"/>
        <v>2055</v>
      </c>
      <c r="C68" s="627"/>
      <c r="D68" s="613">
        <v>1</v>
      </c>
      <c r="E68" s="614">
        <f t="shared" si="13"/>
        <v>0.66390000000000005</v>
      </c>
      <c r="F68" s="614">
        <f t="shared" si="13"/>
        <v>0.1285</v>
      </c>
      <c r="G68" s="614">
        <f t="shared" si="12"/>
        <v>0</v>
      </c>
      <c r="H68" s="614">
        <f t="shared" si="13"/>
        <v>0</v>
      </c>
      <c r="I68" s="614">
        <f t="shared" si="12"/>
        <v>0</v>
      </c>
      <c r="J68" s="614">
        <f t="shared" si="13"/>
        <v>8.0999999999999996E-3</v>
      </c>
      <c r="K68" s="614">
        <f t="shared" si="13"/>
        <v>0</v>
      </c>
      <c r="L68" s="614">
        <f t="shared" si="13"/>
        <v>0.1071</v>
      </c>
      <c r="M68" s="614">
        <f t="shared" si="13"/>
        <v>1.77E-2</v>
      </c>
      <c r="N68" s="614">
        <f t="shared" si="13"/>
        <v>1.3299999999999999E-2</v>
      </c>
      <c r="O68" s="614">
        <f t="shared" si="13"/>
        <v>6.2100000000000002E-2</v>
      </c>
      <c r="P68" s="621">
        <f t="shared" si="9"/>
        <v>1.0006999999999999</v>
      </c>
      <c r="S68" s="620">
        <f t="shared" si="4"/>
        <v>2055</v>
      </c>
      <c r="T68" s="622">
        <v>0</v>
      </c>
      <c r="U68" s="622">
        <v>5</v>
      </c>
      <c r="V68" s="623">
        <f t="shared" si="5"/>
        <v>0</v>
      </c>
      <c r="W68" s="624">
        <v>1</v>
      </c>
      <c r="X68" s="625">
        <f t="shared" si="10"/>
        <v>0</v>
      </c>
    </row>
    <row r="69" spans="2:24">
      <c r="B69" s="620">
        <f t="shared" si="11"/>
        <v>2056</v>
      </c>
      <c r="C69" s="627"/>
      <c r="D69" s="613">
        <v>1</v>
      </c>
      <c r="E69" s="614">
        <f t="shared" si="13"/>
        <v>0.66390000000000005</v>
      </c>
      <c r="F69" s="614">
        <f t="shared" si="13"/>
        <v>0.1285</v>
      </c>
      <c r="G69" s="614">
        <f t="shared" si="13"/>
        <v>0</v>
      </c>
      <c r="H69" s="614">
        <f t="shared" si="13"/>
        <v>0</v>
      </c>
      <c r="I69" s="614">
        <f t="shared" si="13"/>
        <v>0</v>
      </c>
      <c r="J69" s="614">
        <f t="shared" si="13"/>
        <v>8.0999999999999996E-3</v>
      </c>
      <c r="K69" s="614">
        <f t="shared" si="13"/>
        <v>0</v>
      </c>
      <c r="L69" s="614">
        <f t="shared" si="13"/>
        <v>0.1071</v>
      </c>
      <c r="M69" s="614">
        <f t="shared" si="13"/>
        <v>1.77E-2</v>
      </c>
      <c r="N69" s="614">
        <f t="shared" si="13"/>
        <v>1.3299999999999999E-2</v>
      </c>
      <c r="O69" s="614">
        <f t="shared" si="13"/>
        <v>6.2100000000000002E-2</v>
      </c>
      <c r="P69" s="621">
        <f t="shared" si="9"/>
        <v>1.0006999999999999</v>
      </c>
      <c r="S69" s="620">
        <f t="shared" si="4"/>
        <v>2056</v>
      </c>
      <c r="T69" s="622">
        <v>0</v>
      </c>
      <c r="U69" s="622">
        <v>5</v>
      </c>
      <c r="V69" s="623">
        <f t="shared" si="5"/>
        <v>0</v>
      </c>
      <c r="W69" s="624">
        <v>1</v>
      </c>
      <c r="X69" s="625">
        <f t="shared" si="10"/>
        <v>0</v>
      </c>
    </row>
    <row r="70" spans="2:24">
      <c r="B70" s="620">
        <f t="shared" si="11"/>
        <v>2057</v>
      </c>
      <c r="C70" s="627"/>
      <c r="D70" s="613">
        <v>1</v>
      </c>
      <c r="E70" s="614">
        <f t="shared" si="13"/>
        <v>0.66390000000000005</v>
      </c>
      <c r="F70" s="614">
        <f t="shared" si="13"/>
        <v>0.1285</v>
      </c>
      <c r="G70" s="614">
        <f t="shared" si="13"/>
        <v>0</v>
      </c>
      <c r="H70" s="614">
        <f t="shared" si="13"/>
        <v>0</v>
      </c>
      <c r="I70" s="614">
        <f t="shared" si="13"/>
        <v>0</v>
      </c>
      <c r="J70" s="614">
        <f t="shared" si="13"/>
        <v>8.0999999999999996E-3</v>
      </c>
      <c r="K70" s="614">
        <f t="shared" si="13"/>
        <v>0</v>
      </c>
      <c r="L70" s="614">
        <f t="shared" si="13"/>
        <v>0.1071</v>
      </c>
      <c r="M70" s="614">
        <f t="shared" si="13"/>
        <v>1.77E-2</v>
      </c>
      <c r="N70" s="614">
        <f t="shared" si="13"/>
        <v>1.3299999999999999E-2</v>
      </c>
      <c r="O70" s="614">
        <f t="shared" si="13"/>
        <v>6.2100000000000002E-2</v>
      </c>
      <c r="P70" s="621">
        <f t="shared" si="9"/>
        <v>1.0006999999999999</v>
      </c>
      <c r="S70" s="620">
        <f t="shared" si="4"/>
        <v>2057</v>
      </c>
      <c r="T70" s="622">
        <v>0</v>
      </c>
      <c r="U70" s="622">
        <v>5</v>
      </c>
      <c r="V70" s="623">
        <f t="shared" si="5"/>
        <v>0</v>
      </c>
      <c r="W70" s="624">
        <v>1</v>
      </c>
      <c r="X70" s="625">
        <f t="shared" si="10"/>
        <v>0</v>
      </c>
    </row>
    <row r="71" spans="2:24">
      <c r="B71" s="620">
        <f t="shared" si="11"/>
        <v>2058</v>
      </c>
      <c r="C71" s="627"/>
      <c r="D71" s="613">
        <v>1</v>
      </c>
      <c r="E71" s="614">
        <f t="shared" si="13"/>
        <v>0.66390000000000005</v>
      </c>
      <c r="F71" s="614">
        <f t="shared" si="13"/>
        <v>0.1285</v>
      </c>
      <c r="G71" s="614">
        <f t="shared" si="13"/>
        <v>0</v>
      </c>
      <c r="H71" s="614">
        <f t="shared" si="13"/>
        <v>0</v>
      </c>
      <c r="I71" s="614">
        <f t="shared" si="13"/>
        <v>0</v>
      </c>
      <c r="J71" s="614">
        <f t="shared" si="13"/>
        <v>8.0999999999999996E-3</v>
      </c>
      <c r="K71" s="614">
        <f t="shared" si="13"/>
        <v>0</v>
      </c>
      <c r="L71" s="614">
        <f t="shared" si="13"/>
        <v>0.1071</v>
      </c>
      <c r="M71" s="614">
        <f t="shared" si="13"/>
        <v>1.77E-2</v>
      </c>
      <c r="N71" s="614">
        <f t="shared" si="13"/>
        <v>1.3299999999999999E-2</v>
      </c>
      <c r="O71" s="614">
        <f t="shared" si="13"/>
        <v>6.2100000000000002E-2</v>
      </c>
      <c r="P71" s="621">
        <f t="shared" si="9"/>
        <v>1.0006999999999999</v>
      </c>
      <c r="S71" s="620">
        <f t="shared" si="4"/>
        <v>2058</v>
      </c>
      <c r="T71" s="622">
        <v>0</v>
      </c>
      <c r="U71" s="622">
        <v>5</v>
      </c>
      <c r="V71" s="623">
        <f t="shared" si="5"/>
        <v>0</v>
      </c>
      <c r="W71" s="624">
        <v>1</v>
      </c>
      <c r="X71" s="625">
        <f t="shared" si="10"/>
        <v>0</v>
      </c>
    </row>
    <row r="72" spans="2:24">
      <c r="B72" s="620">
        <f t="shared" si="11"/>
        <v>2059</v>
      </c>
      <c r="C72" s="627"/>
      <c r="D72" s="613">
        <v>1</v>
      </c>
      <c r="E72" s="614">
        <f t="shared" si="13"/>
        <v>0.66390000000000005</v>
      </c>
      <c r="F72" s="614">
        <f t="shared" si="13"/>
        <v>0.1285</v>
      </c>
      <c r="G72" s="614">
        <f t="shared" si="13"/>
        <v>0</v>
      </c>
      <c r="H72" s="614">
        <f t="shared" si="13"/>
        <v>0</v>
      </c>
      <c r="I72" s="614">
        <f t="shared" si="13"/>
        <v>0</v>
      </c>
      <c r="J72" s="614">
        <f t="shared" si="13"/>
        <v>8.0999999999999996E-3</v>
      </c>
      <c r="K72" s="614">
        <f t="shared" si="13"/>
        <v>0</v>
      </c>
      <c r="L72" s="614">
        <f t="shared" si="13"/>
        <v>0.1071</v>
      </c>
      <c r="M72" s="614">
        <f t="shared" si="13"/>
        <v>1.77E-2</v>
      </c>
      <c r="N72" s="614">
        <f t="shared" si="13"/>
        <v>1.3299999999999999E-2</v>
      </c>
      <c r="O72" s="614">
        <f t="shared" si="13"/>
        <v>6.2100000000000002E-2</v>
      </c>
      <c r="P72" s="621">
        <f t="shared" si="9"/>
        <v>1.0006999999999999</v>
      </c>
      <c r="S72" s="620">
        <f t="shared" si="4"/>
        <v>2059</v>
      </c>
      <c r="T72" s="622">
        <v>0</v>
      </c>
      <c r="U72" s="622">
        <v>5</v>
      </c>
      <c r="V72" s="623">
        <f t="shared" si="5"/>
        <v>0</v>
      </c>
      <c r="W72" s="624">
        <v>1</v>
      </c>
      <c r="X72" s="625">
        <f t="shared" si="10"/>
        <v>0</v>
      </c>
    </row>
    <row r="73" spans="2:24">
      <c r="B73" s="620">
        <f t="shared" si="11"/>
        <v>2060</v>
      </c>
      <c r="C73" s="627"/>
      <c r="D73" s="613">
        <v>1</v>
      </c>
      <c r="E73" s="614">
        <f t="shared" ref="E73:O88" si="14">E$8</f>
        <v>0.66390000000000005</v>
      </c>
      <c r="F73" s="614">
        <f t="shared" si="14"/>
        <v>0.1285</v>
      </c>
      <c r="G73" s="614">
        <f t="shared" si="13"/>
        <v>0</v>
      </c>
      <c r="H73" s="614">
        <f t="shared" si="14"/>
        <v>0</v>
      </c>
      <c r="I73" s="614">
        <f t="shared" si="13"/>
        <v>0</v>
      </c>
      <c r="J73" s="614">
        <f t="shared" si="14"/>
        <v>8.0999999999999996E-3</v>
      </c>
      <c r="K73" s="614">
        <f t="shared" si="14"/>
        <v>0</v>
      </c>
      <c r="L73" s="614">
        <f t="shared" si="14"/>
        <v>0.1071</v>
      </c>
      <c r="M73" s="614">
        <f t="shared" si="14"/>
        <v>1.77E-2</v>
      </c>
      <c r="N73" s="614">
        <f t="shared" si="14"/>
        <v>1.3299999999999999E-2</v>
      </c>
      <c r="O73" s="614">
        <f t="shared" si="14"/>
        <v>6.2100000000000002E-2</v>
      </c>
      <c r="P73" s="621">
        <f t="shared" si="9"/>
        <v>1.0006999999999999</v>
      </c>
      <c r="S73" s="620">
        <f t="shared" si="4"/>
        <v>2060</v>
      </c>
      <c r="T73" s="622">
        <v>0</v>
      </c>
      <c r="U73" s="622">
        <v>5</v>
      </c>
      <c r="V73" s="623">
        <f t="shared" si="5"/>
        <v>0</v>
      </c>
      <c r="W73" s="624">
        <v>1</v>
      </c>
      <c r="X73" s="625">
        <f t="shared" si="10"/>
        <v>0</v>
      </c>
    </row>
    <row r="74" spans="2:24">
      <c r="B74" s="620">
        <f t="shared" si="11"/>
        <v>2061</v>
      </c>
      <c r="C74" s="627"/>
      <c r="D74" s="613">
        <v>1</v>
      </c>
      <c r="E74" s="614">
        <f t="shared" si="14"/>
        <v>0.66390000000000005</v>
      </c>
      <c r="F74" s="614">
        <f t="shared" si="14"/>
        <v>0.1285</v>
      </c>
      <c r="G74" s="614">
        <f t="shared" si="13"/>
        <v>0</v>
      </c>
      <c r="H74" s="614">
        <f t="shared" si="14"/>
        <v>0</v>
      </c>
      <c r="I74" s="614">
        <f t="shared" si="13"/>
        <v>0</v>
      </c>
      <c r="J74" s="614">
        <f t="shared" si="14"/>
        <v>8.0999999999999996E-3</v>
      </c>
      <c r="K74" s="614">
        <f t="shared" si="14"/>
        <v>0</v>
      </c>
      <c r="L74" s="614">
        <f t="shared" si="14"/>
        <v>0.1071</v>
      </c>
      <c r="M74" s="614">
        <f t="shared" si="14"/>
        <v>1.77E-2</v>
      </c>
      <c r="N74" s="614">
        <f t="shared" si="14"/>
        <v>1.3299999999999999E-2</v>
      </c>
      <c r="O74" s="614">
        <f t="shared" si="14"/>
        <v>6.2100000000000002E-2</v>
      </c>
      <c r="P74" s="621">
        <f t="shared" si="9"/>
        <v>1.0006999999999999</v>
      </c>
      <c r="S74" s="620">
        <f t="shared" si="4"/>
        <v>2061</v>
      </c>
      <c r="T74" s="622">
        <v>0</v>
      </c>
      <c r="U74" s="622">
        <v>5</v>
      </c>
      <c r="V74" s="623">
        <f t="shared" si="5"/>
        <v>0</v>
      </c>
      <c r="W74" s="624">
        <v>1</v>
      </c>
      <c r="X74" s="625">
        <f t="shared" si="10"/>
        <v>0</v>
      </c>
    </row>
    <row r="75" spans="2:24">
      <c r="B75" s="620">
        <f t="shared" si="11"/>
        <v>2062</v>
      </c>
      <c r="C75" s="627"/>
      <c r="D75" s="613">
        <v>1</v>
      </c>
      <c r="E75" s="614">
        <f t="shared" si="14"/>
        <v>0.66390000000000005</v>
      </c>
      <c r="F75" s="614">
        <f t="shared" si="14"/>
        <v>0.1285</v>
      </c>
      <c r="G75" s="614">
        <f t="shared" si="13"/>
        <v>0</v>
      </c>
      <c r="H75" s="614">
        <f t="shared" si="14"/>
        <v>0</v>
      </c>
      <c r="I75" s="614">
        <f t="shared" si="13"/>
        <v>0</v>
      </c>
      <c r="J75" s="614">
        <f t="shared" si="14"/>
        <v>8.0999999999999996E-3</v>
      </c>
      <c r="K75" s="614">
        <f t="shared" si="14"/>
        <v>0</v>
      </c>
      <c r="L75" s="614">
        <f t="shared" si="14"/>
        <v>0.1071</v>
      </c>
      <c r="M75" s="614">
        <f t="shared" si="14"/>
        <v>1.77E-2</v>
      </c>
      <c r="N75" s="614">
        <f t="shared" si="14"/>
        <v>1.3299999999999999E-2</v>
      </c>
      <c r="O75" s="614">
        <f t="shared" si="14"/>
        <v>6.2100000000000002E-2</v>
      </c>
      <c r="P75" s="621">
        <f t="shared" si="9"/>
        <v>1.0006999999999999</v>
      </c>
      <c r="S75" s="620">
        <f t="shared" si="4"/>
        <v>2062</v>
      </c>
      <c r="T75" s="622">
        <v>0</v>
      </c>
      <c r="U75" s="622">
        <v>5</v>
      </c>
      <c r="V75" s="623">
        <f t="shared" si="5"/>
        <v>0</v>
      </c>
      <c r="W75" s="624">
        <v>1</v>
      </c>
      <c r="X75" s="625">
        <f t="shared" si="10"/>
        <v>0</v>
      </c>
    </row>
    <row r="76" spans="2:24">
      <c r="B76" s="620">
        <f t="shared" si="11"/>
        <v>2063</v>
      </c>
      <c r="C76" s="627"/>
      <c r="D76" s="613">
        <v>1</v>
      </c>
      <c r="E76" s="614">
        <f t="shared" si="14"/>
        <v>0.66390000000000005</v>
      </c>
      <c r="F76" s="614">
        <f t="shared" si="14"/>
        <v>0.1285</v>
      </c>
      <c r="G76" s="614">
        <f t="shared" si="13"/>
        <v>0</v>
      </c>
      <c r="H76" s="614">
        <f t="shared" si="14"/>
        <v>0</v>
      </c>
      <c r="I76" s="614">
        <f t="shared" si="13"/>
        <v>0</v>
      </c>
      <c r="J76" s="614">
        <f t="shared" si="14"/>
        <v>8.0999999999999996E-3</v>
      </c>
      <c r="K76" s="614">
        <f t="shared" si="14"/>
        <v>0</v>
      </c>
      <c r="L76" s="614">
        <f t="shared" si="14"/>
        <v>0.1071</v>
      </c>
      <c r="M76" s="614">
        <f t="shared" si="14"/>
        <v>1.77E-2</v>
      </c>
      <c r="N76" s="614">
        <f t="shared" si="14"/>
        <v>1.3299999999999999E-2</v>
      </c>
      <c r="O76" s="614">
        <f t="shared" si="14"/>
        <v>6.2100000000000002E-2</v>
      </c>
      <c r="P76" s="621">
        <f t="shared" si="9"/>
        <v>1.0006999999999999</v>
      </c>
      <c r="S76" s="620">
        <f t="shared" si="4"/>
        <v>2063</v>
      </c>
      <c r="T76" s="622">
        <v>0</v>
      </c>
      <c r="U76" s="622">
        <v>5</v>
      </c>
      <c r="V76" s="623">
        <f t="shared" si="5"/>
        <v>0</v>
      </c>
      <c r="W76" s="624">
        <v>1</v>
      </c>
      <c r="X76" s="625">
        <f t="shared" si="10"/>
        <v>0</v>
      </c>
    </row>
    <row r="77" spans="2:24">
      <c r="B77" s="620">
        <f t="shared" si="11"/>
        <v>2064</v>
      </c>
      <c r="C77" s="627"/>
      <c r="D77" s="613">
        <v>1</v>
      </c>
      <c r="E77" s="614">
        <f t="shared" si="14"/>
        <v>0.66390000000000005</v>
      </c>
      <c r="F77" s="614">
        <f t="shared" si="14"/>
        <v>0.1285</v>
      </c>
      <c r="G77" s="614">
        <f t="shared" si="13"/>
        <v>0</v>
      </c>
      <c r="H77" s="614">
        <f t="shared" si="14"/>
        <v>0</v>
      </c>
      <c r="I77" s="614">
        <f t="shared" si="13"/>
        <v>0</v>
      </c>
      <c r="J77" s="614">
        <f t="shared" si="14"/>
        <v>8.0999999999999996E-3</v>
      </c>
      <c r="K77" s="614">
        <f t="shared" si="14"/>
        <v>0</v>
      </c>
      <c r="L77" s="614">
        <f t="shared" si="14"/>
        <v>0.1071</v>
      </c>
      <c r="M77" s="614">
        <f t="shared" si="14"/>
        <v>1.77E-2</v>
      </c>
      <c r="N77" s="614">
        <f t="shared" si="14"/>
        <v>1.3299999999999999E-2</v>
      </c>
      <c r="O77" s="614">
        <f t="shared" si="14"/>
        <v>6.2100000000000002E-2</v>
      </c>
      <c r="P77" s="621">
        <f t="shared" ref="P77:P93" si="15">SUM(E77:O77)</f>
        <v>1.0006999999999999</v>
      </c>
      <c r="S77" s="620">
        <f t="shared" si="4"/>
        <v>2064</v>
      </c>
      <c r="T77" s="622">
        <v>0</v>
      </c>
      <c r="U77" s="622">
        <v>5</v>
      </c>
      <c r="V77" s="623">
        <f t="shared" si="5"/>
        <v>0</v>
      </c>
      <c r="W77" s="624">
        <v>1</v>
      </c>
      <c r="X77" s="625">
        <f t="shared" ref="X77:X93" si="16">V77*W77</f>
        <v>0</v>
      </c>
    </row>
    <row r="78" spans="2:24">
      <c r="B78" s="620">
        <f t="shared" ref="B78:B93" si="17">B77+1</f>
        <v>2065</v>
      </c>
      <c r="C78" s="627"/>
      <c r="D78" s="613">
        <v>1</v>
      </c>
      <c r="E78" s="614">
        <f t="shared" si="14"/>
        <v>0.66390000000000005</v>
      </c>
      <c r="F78" s="614">
        <f t="shared" si="14"/>
        <v>0.1285</v>
      </c>
      <c r="G78" s="614">
        <f t="shared" si="13"/>
        <v>0</v>
      </c>
      <c r="H78" s="614">
        <f t="shared" si="14"/>
        <v>0</v>
      </c>
      <c r="I78" s="614">
        <f t="shared" si="13"/>
        <v>0</v>
      </c>
      <c r="J78" s="614">
        <f t="shared" si="14"/>
        <v>8.0999999999999996E-3</v>
      </c>
      <c r="K78" s="614">
        <f t="shared" si="14"/>
        <v>0</v>
      </c>
      <c r="L78" s="614">
        <f t="shared" si="14"/>
        <v>0.1071</v>
      </c>
      <c r="M78" s="614">
        <f t="shared" si="14"/>
        <v>1.77E-2</v>
      </c>
      <c r="N78" s="614">
        <f t="shared" si="14"/>
        <v>1.3299999999999999E-2</v>
      </c>
      <c r="O78" s="614">
        <f t="shared" si="14"/>
        <v>6.2100000000000002E-2</v>
      </c>
      <c r="P78" s="621">
        <f t="shared" si="15"/>
        <v>1.0006999999999999</v>
      </c>
      <c r="S78" s="620">
        <f t="shared" ref="S78:S93" si="18">S77+1</f>
        <v>2065</v>
      </c>
      <c r="T78" s="622">
        <v>0</v>
      </c>
      <c r="U78" s="622">
        <v>5</v>
      </c>
      <c r="V78" s="623">
        <f t="shared" si="5"/>
        <v>0</v>
      </c>
      <c r="W78" s="624">
        <v>1</v>
      </c>
      <c r="X78" s="625">
        <f t="shared" si="16"/>
        <v>0</v>
      </c>
    </row>
    <row r="79" spans="2:24">
      <c r="B79" s="620">
        <f t="shared" si="17"/>
        <v>2066</v>
      </c>
      <c r="C79" s="627"/>
      <c r="D79" s="613">
        <v>1</v>
      </c>
      <c r="E79" s="614">
        <f t="shared" si="14"/>
        <v>0.66390000000000005</v>
      </c>
      <c r="F79" s="614">
        <f t="shared" si="14"/>
        <v>0.1285</v>
      </c>
      <c r="G79" s="614">
        <f t="shared" si="14"/>
        <v>0</v>
      </c>
      <c r="H79" s="614">
        <f t="shared" si="14"/>
        <v>0</v>
      </c>
      <c r="I79" s="614">
        <f t="shared" si="14"/>
        <v>0</v>
      </c>
      <c r="J79" s="614">
        <f t="shared" si="14"/>
        <v>8.0999999999999996E-3</v>
      </c>
      <c r="K79" s="614">
        <f t="shared" si="14"/>
        <v>0</v>
      </c>
      <c r="L79" s="614">
        <f t="shared" si="14"/>
        <v>0.1071</v>
      </c>
      <c r="M79" s="614">
        <f t="shared" si="14"/>
        <v>1.77E-2</v>
      </c>
      <c r="N79" s="614">
        <f t="shared" si="14"/>
        <v>1.3299999999999999E-2</v>
      </c>
      <c r="O79" s="614">
        <f t="shared" si="14"/>
        <v>6.2100000000000002E-2</v>
      </c>
      <c r="P79" s="621">
        <f t="shared" si="15"/>
        <v>1.0006999999999999</v>
      </c>
      <c r="S79" s="620">
        <f t="shared" si="18"/>
        <v>2066</v>
      </c>
      <c r="T79" s="622">
        <v>0</v>
      </c>
      <c r="U79" s="622">
        <v>5</v>
      </c>
      <c r="V79" s="623">
        <f t="shared" ref="V79:V93" si="19">T79*U79</f>
        <v>0</v>
      </c>
      <c r="W79" s="624">
        <v>1</v>
      </c>
      <c r="X79" s="625">
        <f t="shared" si="16"/>
        <v>0</v>
      </c>
    </row>
    <row r="80" spans="2:24">
      <c r="B80" s="620">
        <f t="shared" si="17"/>
        <v>2067</v>
      </c>
      <c r="C80" s="627"/>
      <c r="D80" s="613">
        <v>1</v>
      </c>
      <c r="E80" s="614">
        <f t="shared" si="14"/>
        <v>0.66390000000000005</v>
      </c>
      <c r="F80" s="614">
        <f t="shared" si="14"/>
        <v>0.1285</v>
      </c>
      <c r="G80" s="614">
        <f t="shared" si="14"/>
        <v>0</v>
      </c>
      <c r="H80" s="614">
        <f t="shared" si="14"/>
        <v>0</v>
      </c>
      <c r="I80" s="614">
        <f t="shared" si="14"/>
        <v>0</v>
      </c>
      <c r="J80" s="614">
        <f t="shared" si="14"/>
        <v>8.0999999999999996E-3</v>
      </c>
      <c r="K80" s="614">
        <f t="shared" si="14"/>
        <v>0</v>
      </c>
      <c r="L80" s="614">
        <f t="shared" si="14"/>
        <v>0.1071</v>
      </c>
      <c r="M80" s="614">
        <f t="shared" si="14"/>
        <v>1.77E-2</v>
      </c>
      <c r="N80" s="614">
        <f t="shared" si="14"/>
        <v>1.3299999999999999E-2</v>
      </c>
      <c r="O80" s="614">
        <f t="shared" si="14"/>
        <v>6.2100000000000002E-2</v>
      </c>
      <c r="P80" s="621">
        <f t="shared" si="15"/>
        <v>1.0006999999999999</v>
      </c>
      <c r="S80" s="620">
        <f t="shared" si="18"/>
        <v>2067</v>
      </c>
      <c r="T80" s="622">
        <v>0</v>
      </c>
      <c r="U80" s="622">
        <v>5</v>
      </c>
      <c r="V80" s="623">
        <f t="shared" si="19"/>
        <v>0</v>
      </c>
      <c r="W80" s="624">
        <v>1</v>
      </c>
      <c r="X80" s="625">
        <f t="shared" si="16"/>
        <v>0</v>
      </c>
    </row>
    <row r="81" spans="2:24">
      <c r="B81" s="620">
        <f t="shared" si="17"/>
        <v>2068</v>
      </c>
      <c r="C81" s="627"/>
      <c r="D81" s="613">
        <v>1</v>
      </c>
      <c r="E81" s="614">
        <f t="shared" si="14"/>
        <v>0.66390000000000005</v>
      </c>
      <c r="F81" s="614">
        <f t="shared" si="14"/>
        <v>0.1285</v>
      </c>
      <c r="G81" s="614">
        <f t="shared" si="14"/>
        <v>0</v>
      </c>
      <c r="H81" s="614">
        <f t="shared" si="14"/>
        <v>0</v>
      </c>
      <c r="I81" s="614">
        <f t="shared" si="14"/>
        <v>0</v>
      </c>
      <c r="J81" s="614">
        <f t="shared" si="14"/>
        <v>8.0999999999999996E-3</v>
      </c>
      <c r="K81" s="614">
        <f t="shared" si="14"/>
        <v>0</v>
      </c>
      <c r="L81" s="614">
        <f t="shared" si="14"/>
        <v>0.1071</v>
      </c>
      <c r="M81" s="614">
        <f t="shared" si="14"/>
        <v>1.77E-2</v>
      </c>
      <c r="N81" s="614">
        <f t="shared" si="14"/>
        <v>1.3299999999999999E-2</v>
      </c>
      <c r="O81" s="614">
        <f t="shared" si="14"/>
        <v>6.2100000000000002E-2</v>
      </c>
      <c r="P81" s="621">
        <f t="shared" si="15"/>
        <v>1.0006999999999999</v>
      </c>
      <c r="S81" s="620">
        <f t="shared" si="18"/>
        <v>2068</v>
      </c>
      <c r="T81" s="622">
        <v>0</v>
      </c>
      <c r="U81" s="622">
        <v>5</v>
      </c>
      <c r="V81" s="623">
        <f t="shared" si="19"/>
        <v>0</v>
      </c>
      <c r="W81" s="624">
        <v>1</v>
      </c>
      <c r="X81" s="625">
        <f t="shared" si="16"/>
        <v>0</v>
      </c>
    </row>
    <row r="82" spans="2:24">
      <c r="B82" s="620">
        <f t="shared" si="17"/>
        <v>2069</v>
      </c>
      <c r="C82" s="627"/>
      <c r="D82" s="613">
        <v>1</v>
      </c>
      <c r="E82" s="614">
        <f t="shared" si="14"/>
        <v>0.66390000000000005</v>
      </c>
      <c r="F82" s="614">
        <f t="shared" si="14"/>
        <v>0.1285</v>
      </c>
      <c r="G82" s="614">
        <f t="shared" si="14"/>
        <v>0</v>
      </c>
      <c r="H82" s="614">
        <f t="shared" si="14"/>
        <v>0</v>
      </c>
      <c r="I82" s="614">
        <f t="shared" si="14"/>
        <v>0</v>
      </c>
      <c r="J82" s="614">
        <f t="shared" si="14"/>
        <v>8.0999999999999996E-3</v>
      </c>
      <c r="K82" s="614">
        <f t="shared" si="14"/>
        <v>0</v>
      </c>
      <c r="L82" s="614">
        <f t="shared" si="14"/>
        <v>0.1071</v>
      </c>
      <c r="M82" s="614">
        <f t="shared" si="14"/>
        <v>1.77E-2</v>
      </c>
      <c r="N82" s="614">
        <f t="shared" si="14"/>
        <v>1.3299999999999999E-2</v>
      </c>
      <c r="O82" s="614">
        <f t="shared" si="14"/>
        <v>6.2100000000000002E-2</v>
      </c>
      <c r="P82" s="621">
        <f t="shared" si="15"/>
        <v>1.0006999999999999</v>
      </c>
      <c r="S82" s="620">
        <f t="shared" si="18"/>
        <v>2069</v>
      </c>
      <c r="T82" s="622">
        <v>0</v>
      </c>
      <c r="U82" s="622">
        <v>5</v>
      </c>
      <c r="V82" s="623">
        <f t="shared" si="19"/>
        <v>0</v>
      </c>
      <c r="W82" s="624">
        <v>1</v>
      </c>
      <c r="X82" s="625">
        <f t="shared" si="16"/>
        <v>0</v>
      </c>
    </row>
    <row r="83" spans="2:24">
      <c r="B83" s="620">
        <f t="shared" si="17"/>
        <v>2070</v>
      </c>
      <c r="C83" s="627"/>
      <c r="D83" s="613">
        <v>1</v>
      </c>
      <c r="E83" s="614">
        <f t="shared" ref="E83:O93" si="20">E$8</f>
        <v>0.66390000000000005</v>
      </c>
      <c r="F83" s="614">
        <f t="shared" si="20"/>
        <v>0.1285</v>
      </c>
      <c r="G83" s="614">
        <f t="shared" si="14"/>
        <v>0</v>
      </c>
      <c r="H83" s="614">
        <f t="shared" si="20"/>
        <v>0</v>
      </c>
      <c r="I83" s="614">
        <f t="shared" si="14"/>
        <v>0</v>
      </c>
      <c r="J83" s="614">
        <f t="shared" si="20"/>
        <v>8.0999999999999996E-3</v>
      </c>
      <c r="K83" s="614">
        <f t="shared" si="20"/>
        <v>0</v>
      </c>
      <c r="L83" s="614">
        <f t="shared" si="20"/>
        <v>0.1071</v>
      </c>
      <c r="M83" s="614">
        <f t="shared" si="20"/>
        <v>1.77E-2</v>
      </c>
      <c r="N83" s="614">
        <f t="shared" si="20"/>
        <v>1.3299999999999999E-2</v>
      </c>
      <c r="O83" s="614">
        <f t="shared" si="20"/>
        <v>6.2100000000000002E-2</v>
      </c>
      <c r="P83" s="621">
        <f t="shared" si="15"/>
        <v>1.0006999999999999</v>
      </c>
      <c r="S83" s="620">
        <f t="shared" si="18"/>
        <v>2070</v>
      </c>
      <c r="T83" s="622">
        <v>0</v>
      </c>
      <c r="U83" s="622">
        <v>5</v>
      </c>
      <c r="V83" s="623">
        <f t="shared" si="19"/>
        <v>0</v>
      </c>
      <c r="W83" s="624">
        <v>1</v>
      </c>
      <c r="X83" s="625">
        <f t="shared" si="16"/>
        <v>0</v>
      </c>
    </row>
    <row r="84" spans="2:24">
      <c r="B84" s="620">
        <f t="shared" si="17"/>
        <v>2071</v>
      </c>
      <c r="C84" s="627"/>
      <c r="D84" s="613">
        <v>1</v>
      </c>
      <c r="E84" s="614">
        <f t="shared" si="20"/>
        <v>0.66390000000000005</v>
      </c>
      <c r="F84" s="614">
        <f t="shared" si="20"/>
        <v>0.1285</v>
      </c>
      <c r="G84" s="614">
        <f t="shared" si="14"/>
        <v>0</v>
      </c>
      <c r="H84" s="614">
        <f t="shared" si="20"/>
        <v>0</v>
      </c>
      <c r="I84" s="614">
        <f t="shared" si="14"/>
        <v>0</v>
      </c>
      <c r="J84" s="614">
        <f t="shared" si="20"/>
        <v>8.0999999999999996E-3</v>
      </c>
      <c r="K84" s="614">
        <f t="shared" si="20"/>
        <v>0</v>
      </c>
      <c r="L84" s="614">
        <f t="shared" si="20"/>
        <v>0.1071</v>
      </c>
      <c r="M84" s="614">
        <f t="shared" si="20"/>
        <v>1.77E-2</v>
      </c>
      <c r="N84" s="614">
        <f t="shared" si="20"/>
        <v>1.3299999999999999E-2</v>
      </c>
      <c r="O84" s="614">
        <f t="shared" si="20"/>
        <v>6.2100000000000002E-2</v>
      </c>
      <c r="P84" s="621">
        <f t="shared" si="15"/>
        <v>1.0006999999999999</v>
      </c>
      <c r="S84" s="620">
        <f t="shared" si="18"/>
        <v>2071</v>
      </c>
      <c r="T84" s="622">
        <v>0</v>
      </c>
      <c r="U84" s="622">
        <v>5</v>
      </c>
      <c r="V84" s="623">
        <f t="shared" si="19"/>
        <v>0</v>
      </c>
      <c r="W84" s="624">
        <v>1</v>
      </c>
      <c r="X84" s="625">
        <f t="shared" si="16"/>
        <v>0</v>
      </c>
    </row>
    <row r="85" spans="2:24">
      <c r="B85" s="620">
        <f t="shared" si="17"/>
        <v>2072</v>
      </c>
      <c r="C85" s="627"/>
      <c r="D85" s="613">
        <v>1</v>
      </c>
      <c r="E85" s="614">
        <f t="shared" si="20"/>
        <v>0.66390000000000005</v>
      </c>
      <c r="F85" s="614">
        <f t="shared" si="20"/>
        <v>0.1285</v>
      </c>
      <c r="G85" s="614">
        <f t="shared" si="14"/>
        <v>0</v>
      </c>
      <c r="H85" s="614">
        <f t="shared" si="20"/>
        <v>0</v>
      </c>
      <c r="I85" s="614">
        <f t="shared" si="14"/>
        <v>0</v>
      </c>
      <c r="J85" s="614">
        <f t="shared" si="20"/>
        <v>8.0999999999999996E-3</v>
      </c>
      <c r="K85" s="614">
        <f t="shared" si="20"/>
        <v>0</v>
      </c>
      <c r="L85" s="614">
        <f t="shared" si="20"/>
        <v>0.1071</v>
      </c>
      <c r="M85" s="614">
        <f t="shared" si="20"/>
        <v>1.77E-2</v>
      </c>
      <c r="N85" s="614">
        <f t="shared" si="20"/>
        <v>1.3299999999999999E-2</v>
      </c>
      <c r="O85" s="614">
        <f t="shared" si="20"/>
        <v>6.2100000000000002E-2</v>
      </c>
      <c r="P85" s="621">
        <f t="shared" si="15"/>
        <v>1.0006999999999999</v>
      </c>
      <c r="S85" s="620">
        <f t="shared" si="18"/>
        <v>2072</v>
      </c>
      <c r="T85" s="622">
        <v>0</v>
      </c>
      <c r="U85" s="622">
        <v>5</v>
      </c>
      <c r="V85" s="623">
        <f t="shared" si="19"/>
        <v>0</v>
      </c>
      <c r="W85" s="624">
        <v>1</v>
      </c>
      <c r="X85" s="625">
        <f t="shared" si="16"/>
        <v>0</v>
      </c>
    </row>
    <row r="86" spans="2:24">
      <c r="B86" s="620">
        <f t="shared" si="17"/>
        <v>2073</v>
      </c>
      <c r="C86" s="627"/>
      <c r="D86" s="613">
        <v>1</v>
      </c>
      <c r="E86" s="614">
        <f t="shared" si="20"/>
        <v>0.66390000000000005</v>
      </c>
      <c r="F86" s="614">
        <f t="shared" si="20"/>
        <v>0.1285</v>
      </c>
      <c r="G86" s="614">
        <f t="shared" si="14"/>
        <v>0</v>
      </c>
      <c r="H86" s="614">
        <f t="shared" si="20"/>
        <v>0</v>
      </c>
      <c r="I86" s="614">
        <f t="shared" si="14"/>
        <v>0</v>
      </c>
      <c r="J86" s="614">
        <f t="shared" si="20"/>
        <v>8.0999999999999996E-3</v>
      </c>
      <c r="K86" s="614">
        <f t="shared" si="20"/>
        <v>0</v>
      </c>
      <c r="L86" s="614">
        <f t="shared" si="20"/>
        <v>0.1071</v>
      </c>
      <c r="M86" s="614">
        <f t="shared" si="20"/>
        <v>1.77E-2</v>
      </c>
      <c r="N86" s="614">
        <f t="shared" si="20"/>
        <v>1.3299999999999999E-2</v>
      </c>
      <c r="O86" s="614">
        <f t="shared" si="20"/>
        <v>6.2100000000000002E-2</v>
      </c>
      <c r="P86" s="621">
        <f t="shared" si="15"/>
        <v>1.0006999999999999</v>
      </c>
      <c r="S86" s="620">
        <f t="shared" si="18"/>
        <v>2073</v>
      </c>
      <c r="T86" s="622">
        <v>0</v>
      </c>
      <c r="U86" s="622">
        <v>5</v>
      </c>
      <c r="V86" s="623">
        <f t="shared" si="19"/>
        <v>0</v>
      </c>
      <c r="W86" s="624">
        <v>1</v>
      </c>
      <c r="X86" s="625">
        <f t="shared" si="16"/>
        <v>0</v>
      </c>
    </row>
    <row r="87" spans="2:24">
      <c r="B87" s="620">
        <f t="shared" si="17"/>
        <v>2074</v>
      </c>
      <c r="C87" s="627"/>
      <c r="D87" s="613">
        <v>1</v>
      </c>
      <c r="E87" s="614">
        <f t="shared" si="20"/>
        <v>0.66390000000000005</v>
      </c>
      <c r="F87" s="614">
        <f t="shared" si="20"/>
        <v>0.1285</v>
      </c>
      <c r="G87" s="614">
        <f t="shared" si="14"/>
        <v>0</v>
      </c>
      <c r="H87" s="614">
        <f t="shared" si="20"/>
        <v>0</v>
      </c>
      <c r="I87" s="614">
        <f t="shared" si="14"/>
        <v>0</v>
      </c>
      <c r="J87" s="614">
        <f t="shared" si="20"/>
        <v>8.0999999999999996E-3</v>
      </c>
      <c r="K87" s="614">
        <f t="shared" si="20"/>
        <v>0</v>
      </c>
      <c r="L87" s="614">
        <f t="shared" si="20"/>
        <v>0.1071</v>
      </c>
      <c r="M87" s="614">
        <f t="shared" si="20"/>
        <v>1.77E-2</v>
      </c>
      <c r="N87" s="614">
        <f t="shared" si="20"/>
        <v>1.3299999999999999E-2</v>
      </c>
      <c r="O87" s="614">
        <f t="shared" si="20"/>
        <v>6.2100000000000002E-2</v>
      </c>
      <c r="P87" s="621">
        <f t="shared" si="15"/>
        <v>1.0006999999999999</v>
      </c>
      <c r="S87" s="620">
        <f t="shared" si="18"/>
        <v>2074</v>
      </c>
      <c r="T87" s="622">
        <v>0</v>
      </c>
      <c r="U87" s="622">
        <v>5</v>
      </c>
      <c r="V87" s="623">
        <f t="shared" si="19"/>
        <v>0</v>
      </c>
      <c r="W87" s="624">
        <v>1</v>
      </c>
      <c r="X87" s="625">
        <f t="shared" si="16"/>
        <v>0</v>
      </c>
    </row>
    <row r="88" spans="2:24">
      <c r="B88" s="620">
        <f t="shared" si="17"/>
        <v>2075</v>
      </c>
      <c r="C88" s="627"/>
      <c r="D88" s="613">
        <v>1</v>
      </c>
      <c r="E88" s="614">
        <f t="shared" si="20"/>
        <v>0.66390000000000005</v>
      </c>
      <c r="F88" s="614">
        <f t="shared" si="20"/>
        <v>0.1285</v>
      </c>
      <c r="G88" s="614">
        <f t="shared" si="14"/>
        <v>0</v>
      </c>
      <c r="H88" s="614">
        <f t="shared" si="20"/>
        <v>0</v>
      </c>
      <c r="I88" s="614">
        <f t="shared" si="14"/>
        <v>0</v>
      </c>
      <c r="J88" s="614">
        <f t="shared" si="20"/>
        <v>8.0999999999999996E-3</v>
      </c>
      <c r="K88" s="614">
        <f t="shared" si="20"/>
        <v>0</v>
      </c>
      <c r="L88" s="614">
        <f t="shared" si="20"/>
        <v>0.1071</v>
      </c>
      <c r="M88" s="614">
        <f t="shared" si="20"/>
        <v>1.77E-2</v>
      </c>
      <c r="N88" s="614">
        <f t="shared" si="20"/>
        <v>1.3299999999999999E-2</v>
      </c>
      <c r="O88" s="614">
        <f t="shared" si="20"/>
        <v>6.2100000000000002E-2</v>
      </c>
      <c r="P88" s="621">
        <f t="shared" si="15"/>
        <v>1.0006999999999999</v>
      </c>
      <c r="S88" s="620">
        <f t="shared" si="18"/>
        <v>2075</v>
      </c>
      <c r="T88" s="622">
        <v>0</v>
      </c>
      <c r="U88" s="622">
        <v>5</v>
      </c>
      <c r="V88" s="623">
        <f t="shared" si="19"/>
        <v>0</v>
      </c>
      <c r="W88" s="624">
        <v>1</v>
      </c>
      <c r="X88" s="625">
        <f t="shared" si="16"/>
        <v>0</v>
      </c>
    </row>
    <row r="89" spans="2:24">
      <c r="B89" s="620">
        <f t="shared" si="17"/>
        <v>2076</v>
      </c>
      <c r="C89" s="627"/>
      <c r="D89" s="613">
        <v>1</v>
      </c>
      <c r="E89" s="614">
        <f t="shared" si="20"/>
        <v>0.66390000000000005</v>
      </c>
      <c r="F89" s="614">
        <f t="shared" si="20"/>
        <v>0.1285</v>
      </c>
      <c r="G89" s="614">
        <f t="shared" si="20"/>
        <v>0</v>
      </c>
      <c r="H89" s="614">
        <f t="shared" si="20"/>
        <v>0</v>
      </c>
      <c r="I89" s="614">
        <f t="shared" si="20"/>
        <v>0</v>
      </c>
      <c r="J89" s="614">
        <f t="shared" si="20"/>
        <v>8.0999999999999996E-3</v>
      </c>
      <c r="K89" s="614">
        <f t="shared" si="20"/>
        <v>0</v>
      </c>
      <c r="L89" s="614">
        <f t="shared" si="20"/>
        <v>0.1071</v>
      </c>
      <c r="M89" s="614">
        <f t="shared" si="20"/>
        <v>1.77E-2</v>
      </c>
      <c r="N89" s="614">
        <f t="shared" si="20"/>
        <v>1.3299999999999999E-2</v>
      </c>
      <c r="O89" s="614">
        <f t="shared" si="20"/>
        <v>6.2100000000000002E-2</v>
      </c>
      <c r="P89" s="621">
        <f t="shared" si="15"/>
        <v>1.0006999999999999</v>
      </c>
      <c r="S89" s="620">
        <f t="shared" si="18"/>
        <v>2076</v>
      </c>
      <c r="T89" s="622">
        <v>0</v>
      </c>
      <c r="U89" s="622">
        <v>5</v>
      </c>
      <c r="V89" s="623">
        <f t="shared" si="19"/>
        <v>0</v>
      </c>
      <c r="W89" s="624">
        <v>1</v>
      </c>
      <c r="X89" s="625">
        <f t="shared" si="16"/>
        <v>0</v>
      </c>
    </row>
    <row r="90" spans="2:24">
      <c r="B90" s="620">
        <f t="shared" si="17"/>
        <v>2077</v>
      </c>
      <c r="C90" s="627"/>
      <c r="D90" s="613">
        <v>1</v>
      </c>
      <c r="E90" s="614">
        <f t="shared" si="20"/>
        <v>0.66390000000000005</v>
      </c>
      <c r="F90" s="614">
        <f t="shared" si="20"/>
        <v>0.1285</v>
      </c>
      <c r="G90" s="614">
        <f t="shared" si="20"/>
        <v>0</v>
      </c>
      <c r="H90" s="614">
        <f t="shared" si="20"/>
        <v>0</v>
      </c>
      <c r="I90" s="614">
        <f t="shared" si="20"/>
        <v>0</v>
      </c>
      <c r="J90" s="614">
        <f t="shared" si="20"/>
        <v>8.0999999999999996E-3</v>
      </c>
      <c r="K90" s="614">
        <f t="shared" si="20"/>
        <v>0</v>
      </c>
      <c r="L90" s="614">
        <f t="shared" si="20"/>
        <v>0.1071</v>
      </c>
      <c r="M90" s="614">
        <f t="shared" si="20"/>
        <v>1.77E-2</v>
      </c>
      <c r="N90" s="614">
        <f t="shared" si="20"/>
        <v>1.3299999999999999E-2</v>
      </c>
      <c r="O90" s="614">
        <f t="shared" si="20"/>
        <v>6.2100000000000002E-2</v>
      </c>
      <c r="P90" s="621">
        <f t="shared" si="15"/>
        <v>1.0006999999999999</v>
      </c>
      <c r="S90" s="620">
        <f t="shared" si="18"/>
        <v>2077</v>
      </c>
      <c r="T90" s="622">
        <v>0</v>
      </c>
      <c r="U90" s="622">
        <v>5</v>
      </c>
      <c r="V90" s="623">
        <f t="shared" si="19"/>
        <v>0</v>
      </c>
      <c r="W90" s="624">
        <v>1</v>
      </c>
      <c r="X90" s="625">
        <f t="shared" si="16"/>
        <v>0</v>
      </c>
    </row>
    <row r="91" spans="2:24">
      <c r="B91" s="620">
        <f t="shared" si="17"/>
        <v>2078</v>
      </c>
      <c r="C91" s="627"/>
      <c r="D91" s="613">
        <v>1</v>
      </c>
      <c r="E91" s="614">
        <f t="shared" si="20"/>
        <v>0.66390000000000005</v>
      </c>
      <c r="F91" s="614">
        <f t="shared" si="20"/>
        <v>0.1285</v>
      </c>
      <c r="G91" s="614">
        <f t="shared" si="20"/>
        <v>0</v>
      </c>
      <c r="H91" s="614">
        <f t="shared" si="20"/>
        <v>0</v>
      </c>
      <c r="I91" s="614">
        <f t="shared" si="20"/>
        <v>0</v>
      </c>
      <c r="J91" s="614">
        <f t="shared" si="20"/>
        <v>8.0999999999999996E-3</v>
      </c>
      <c r="K91" s="614">
        <f t="shared" si="20"/>
        <v>0</v>
      </c>
      <c r="L91" s="614">
        <f t="shared" si="20"/>
        <v>0.1071</v>
      </c>
      <c r="M91" s="614">
        <f t="shared" si="20"/>
        <v>1.77E-2</v>
      </c>
      <c r="N91" s="614">
        <f t="shared" si="20"/>
        <v>1.3299999999999999E-2</v>
      </c>
      <c r="O91" s="614">
        <f t="shared" si="20"/>
        <v>6.2100000000000002E-2</v>
      </c>
      <c r="P91" s="621">
        <f t="shared" si="15"/>
        <v>1.0006999999999999</v>
      </c>
      <c r="S91" s="620">
        <f t="shared" si="18"/>
        <v>2078</v>
      </c>
      <c r="T91" s="622">
        <v>0</v>
      </c>
      <c r="U91" s="622">
        <v>5</v>
      </c>
      <c r="V91" s="623">
        <f t="shared" si="19"/>
        <v>0</v>
      </c>
      <c r="W91" s="624">
        <v>1</v>
      </c>
      <c r="X91" s="625">
        <f t="shared" si="16"/>
        <v>0</v>
      </c>
    </row>
    <row r="92" spans="2:24">
      <c r="B92" s="620">
        <f t="shared" si="17"/>
        <v>2079</v>
      </c>
      <c r="C92" s="627"/>
      <c r="D92" s="613">
        <v>1</v>
      </c>
      <c r="E92" s="614">
        <f t="shared" si="20"/>
        <v>0.66390000000000005</v>
      </c>
      <c r="F92" s="614">
        <f t="shared" si="20"/>
        <v>0.1285</v>
      </c>
      <c r="G92" s="614">
        <f t="shared" si="20"/>
        <v>0</v>
      </c>
      <c r="H92" s="614">
        <f t="shared" si="20"/>
        <v>0</v>
      </c>
      <c r="I92" s="614">
        <f t="shared" si="20"/>
        <v>0</v>
      </c>
      <c r="J92" s="614">
        <f t="shared" si="20"/>
        <v>8.0999999999999996E-3</v>
      </c>
      <c r="K92" s="614">
        <f t="shared" si="20"/>
        <v>0</v>
      </c>
      <c r="L92" s="614">
        <f t="shared" si="20"/>
        <v>0.1071</v>
      </c>
      <c r="M92" s="614">
        <f t="shared" si="20"/>
        <v>1.77E-2</v>
      </c>
      <c r="N92" s="614">
        <f t="shared" si="20"/>
        <v>1.3299999999999999E-2</v>
      </c>
      <c r="O92" s="614">
        <f t="shared" si="20"/>
        <v>6.2100000000000002E-2</v>
      </c>
      <c r="P92" s="621">
        <f t="shared" si="15"/>
        <v>1.0006999999999999</v>
      </c>
      <c r="S92" s="620">
        <f t="shared" si="18"/>
        <v>2079</v>
      </c>
      <c r="T92" s="622">
        <v>0</v>
      </c>
      <c r="U92" s="622">
        <v>5</v>
      </c>
      <c r="V92" s="623">
        <f t="shared" si="19"/>
        <v>0</v>
      </c>
      <c r="W92" s="624">
        <v>1</v>
      </c>
      <c r="X92" s="625">
        <f t="shared" si="16"/>
        <v>0</v>
      </c>
    </row>
    <row r="93" spans="2:24" ht="13.5" thickBot="1">
      <c r="B93" s="628">
        <f t="shared" si="17"/>
        <v>2080</v>
      </c>
      <c r="C93" s="629"/>
      <c r="D93" s="613">
        <v>1</v>
      </c>
      <c r="E93" s="630">
        <f t="shared" si="20"/>
        <v>0.66390000000000005</v>
      </c>
      <c r="F93" s="630">
        <f t="shared" si="20"/>
        <v>0.1285</v>
      </c>
      <c r="G93" s="630">
        <f t="shared" si="20"/>
        <v>0</v>
      </c>
      <c r="H93" s="630">
        <f t="shared" si="20"/>
        <v>0</v>
      </c>
      <c r="I93" s="630">
        <f t="shared" si="20"/>
        <v>0</v>
      </c>
      <c r="J93" s="630">
        <f t="shared" si="20"/>
        <v>8.0999999999999996E-3</v>
      </c>
      <c r="K93" s="630">
        <f t="shared" si="20"/>
        <v>0</v>
      </c>
      <c r="L93" s="630">
        <f t="shared" si="20"/>
        <v>0.1071</v>
      </c>
      <c r="M93" s="630">
        <f t="shared" si="20"/>
        <v>1.77E-2</v>
      </c>
      <c r="N93" s="630">
        <f t="shared" si="20"/>
        <v>1.3299999999999999E-2</v>
      </c>
      <c r="O93" s="631">
        <f t="shared" si="20"/>
        <v>6.2100000000000002E-2</v>
      </c>
      <c r="P93" s="632">
        <f t="shared" si="15"/>
        <v>1.0006999999999999</v>
      </c>
      <c r="S93" s="628">
        <f t="shared" si="18"/>
        <v>2080</v>
      </c>
      <c r="T93" s="633">
        <v>0</v>
      </c>
      <c r="U93" s="634">
        <v>5</v>
      </c>
      <c r="V93" s="635">
        <f t="shared" si="19"/>
        <v>0</v>
      </c>
      <c r="W93" s="636">
        <v>1</v>
      </c>
      <c r="X93" s="637">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Balikpapan</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2">
        <f>Activity!$C13*Activity!$D13*Activity!E13</f>
        <v>18.783045844655401</v>
      </c>
      <c r="D14" s="548">
        <f>Activity!$C13*Activity!$D13*Activity!F13</f>
        <v>3.6355194924509999</v>
      </c>
      <c r="E14" s="548">
        <f>Activity!$C13*Activity!$D13*Activity!G13</f>
        <v>0</v>
      </c>
      <c r="F14" s="548">
        <f>Activity!$C13*Activity!$D13*Activity!H13</f>
        <v>0</v>
      </c>
      <c r="G14" s="548">
        <f>Activity!$C13*Activity!$D13*Activity!I13</f>
        <v>0</v>
      </c>
      <c r="H14" s="548">
        <f>Activity!$C13*Activity!$D13*Activity!J13</f>
        <v>0.22916504193659998</v>
      </c>
      <c r="I14" s="548">
        <f>Activity!$C13*Activity!$D13*Activity!K13</f>
        <v>0</v>
      </c>
      <c r="J14" s="548">
        <f>Activity!$C13*Activity!$D13*Activity!L13</f>
        <v>3.0300711100506001</v>
      </c>
      <c r="K14" s="549">
        <f>Activity!$C13*Activity!$D13*Activity!M13</f>
        <v>0.50076805460219997</v>
      </c>
      <c r="L14" s="549">
        <f>Activity!$C13*Activity!$D13*Activity!N13</f>
        <v>0.37628334046379996</v>
      </c>
      <c r="M14" s="548">
        <f>Activity!$C13*Activity!$D13*Activity!O13</f>
        <v>1.7569319881806</v>
      </c>
      <c r="N14" s="412">
        <v>0</v>
      </c>
      <c r="O14" s="556">
        <f>Activity!C13*Activity!D13</f>
        <v>28.291980486</v>
      </c>
      <c r="P14" s="557">
        <f>Activity!X13</f>
        <v>0</v>
      </c>
    </row>
    <row r="15" spans="2:16">
      <c r="B15" s="34">
        <f>B14+1</f>
        <v>2001</v>
      </c>
      <c r="C15" s="773">
        <f>Activity!$C14*Activity!$D14*Activity!E14</f>
        <v>19.023678327620999</v>
      </c>
      <c r="D15" s="551">
        <f>Activity!$C14*Activity!$D14*Activity!F14</f>
        <v>3.6820946906149992</v>
      </c>
      <c r="E15" s="549">
        <f>Activity!$C14*Activity!$D14*Activity!G14</f>
        <v>0</v>
      </c>
      <c r="F15" s="551">
        <f>Activity!$C14*Activity!$D14*Activity!H14</f>
        <v>0</v>
      </c>
      <c r="G15" s="551">
        <f>Activity!$C14*Activity!$D14*Activity!I14</f>
        <v>0</v>
      </c>
      <c r="H15" s="551">
        <f>Activity!$C14*Activity!$D14*Activity!J14</f>
        <v>0.23210091045899994</v>
      </c>
      <c r="I15" s="551">
        <f>Activity!$C14*Activity!$D14*Activity!K14</f>
        <v>0</v>
      </c>
      <c r="J15" s="552">
        <f>Activity!$C14*Activity!$D14*Activity!L14</f>
        <v>3.0688898160689995</v>
      </c>
      <c r="K15" s="551">
        <f>Activity!$C14*Activity!$D14*Activity!M14</f>
        <v>0.50718347100299987</v>
      </c>
      <c r="L15" s="551">
        <f>Activity!$C14*Activity!$D14*Activity!N14</f>
        <v>0.38110396408699992</v>
      </c>
      <c r="M15" s="549">
        <f>Activity!$C14*Activity!$D14*Activity!O14</f>
        <v>1.7794403135189998</v>
      </c>
      <c r="N15" s="413">
        <v>0</v>
      </c>
      <c r="O15" s="551">
        <f>Activity!C14*Activity!D14</f>
        <v>28.654433389999994</v>
      </c>
      <c r="P15" s="558">
        <f>Activity!X14</f>
        <v>0</v>
      </c>
    </row>
    <row r="16" spans="2:16">
      <c r="B16" s="7">
        <f t="shared" ref="B16:B21" si="0">B15+1</f>
        <v>2002</v>
      </c>
      <c r="C16" s="773">
        <f>Activity!$C15*Activity!$D15*Activity!E15</f>
        <v>19.452356877953999</v>
      </c>
      <c r="D16" s="551">
        <f>Activity!$C15*Activity!$D15*Activity!F15</f>
        <v>3.76506681551</v>
      </c>
      <c r="E16" s="549">
        <f>Activity!$C15*Activity!$D15*Activity!G15</f>
        <v>0</v>
      </c>
      <c r="F16" s="551">
        <f>Activity!$C15*Activity!$D15*Activity!H15</f>
        <v>0</v>
      </c>
      <c r="G16" s="551">
        <f>Activity!$C15*Activity!$D15*Activity!I15</f>
        <v>0</v>
      </c>
      <c r="H16" s="551">
        <f>Activity!$C15*Activity!$D15*Activity!J15</f>
        <v>0.23733105996599999</v>
      </c>
      <c r="I16" s="551">
        <f>Activity!$C15*Activity!$D15*Activity!K15</f>
        <v>0</v>
      </c>
      <c r="J16" s="552">
        <f>Activity!$C15*Activity!$D15*Activity!L15</f>
        <v>3.1380440151059998</v>
      </c>
      <c r="K16" s="551">
        <f>Activity!$C15*Activity!$D15*Activity!M15</f>
        <v>0.51861231622199999</v>
      </c>
      <c r="L16" s="551">
        <f>Activity!$C15*Activity!$D15*Activity!N15</f>
        <v>0.38969174043799998</v>
      </c>
      <c r="M16" s="549">
        <f>Activity!$C15*Activity!$D15*Activity!O15</f>
        <v>1.819538126406</v>
      </c>
      <c r="N16" s="413">
        <v>0</v>
      </c>
      <c r="O16" s="551">
        <f>Activity!C15*Activity!D15</f>
        <v>29.300130859999999</v>
      </c>
      <c r="P16" s="558">
        <f>Activity!X15</f>
        <v>0</v>
      </c>
    </row>
    <row r="17" spans="2:16">
      <c r="B17" s="7">
        <f t="shared" si="0"/>
        <v>2003</v>
      </c>
      <c r="C17" s="773">
        <f>Activity!$C16*Activity!$D16*Activity!E16</f>
        <v>19.798116023182203</v>
      </c>
      <c r="D17" s="551">
        <f>Activity!$C16*Activity!$D16*Activity!F16</f>
        <v>3.8319896203930002</v>
      </c>
      <c r="E17" s="549">
        <f>Activity!$C16*Activity!$D16*Activity!G16</f>
        <v>0</v>
      </c>
      <c r="F17" s="551">
        <f>Activity!$C16*Activity!$D16*Activity!H16</f>
        <v>0</v>
      </c>
      <c r="G17" s="551">
        <f>Activity!$C16*Activity!$D16*Activity!I16</f>
        <v>0</v>
      </c>
      <c r="H17" s="551">
        <f>Activity!$C16*Activity!$D16*Activity!J16</f>
        <v>0.24154954027379999</v>
      </c>
      <c r="I17" s="551">
        <f>Activity!$C16*Activity!$D16*Activity!K16</f>
        <v>0</v>
      </c>
      <c r="J17" s="552">
        <f>Activity!$C16*Activity!$D16*Activity!L16</f>
        <v>3.1938216991758002</v>
      </c>
      <c r="K17" s="551">
        <f>Activity!$C16*Activity!$D16*Activity!M16</f>
        <v>0.52783047689460005</v>
      </c>
      <c r="L17" s="551">
        <f>Activity!$C16*Activity!$D16*Activity!N16</f>
        <v>0.39661838094339996</v>
      </c>
      <c r="M17" s="549">
        <f>Activity!$C16*Activity!$D16*Activity!O16</f>
        <v>1.8518798087658002</v>
      </c>
      <c r="N17" s="413">
        <v>0</v>
      </c>
      <c r="O17" s="551">
        <f>Activity!C16*Activity!D16</f>
        <v>29.820930898</v>
      </c>
      <c r="P17" s="558">
        <f>Activity!X16</f>
        <v>0</v>
      </c>
    </row>
    <row r="18" spans="2:16">
      <c r="B18" s="7">
        <f t="shared" si="0"/>
        <v>2004</v>
      </c>
      <c r="C18" s="773">
        <f>Activity!$C17*Activity!$D17*Activity!E17</f>
        <v>19.904027557319402</v>
      </c>
      <c r="D18" s="551">
        <f>Activity!$C17*Activity!$D17*Activity!F17</f>
        <v>3.8524891416110001</v>
      </c>
      <c r="E18" s="549">
        <f>Activity!$C17*Activity!$D17*Activity!G17</f>
        <v>0</v>
      </c>
      <c r="F18" s="551">
        <f>Activity!$C17*Activity!$D17*Activity!H17</f>
        <v>0</v>
      </c>
      <c r="G18" s="551">
        <f>Activity!$C17*Activity!$D17*Activity!I17</f>
        <v>0</v>
      </c>
      <c r="H18" s="551">
        <f>Activity!$C17*Activity!$D17*Activity!J17</f>
        <v>0.24284172799259998</v>
      </c>
      <c r="I18" s="551">
        <f>Activity!$C17*Activity!$D17*Activity!K17</f>
        <v>0</v>
      </c>
      <c r="J18" s="552">
        <f>Activity!$C17*Activity!$D17*Activity!L17</f>
        <v>3.2109072923466</v>
      </c>
      <c r="K18" s="551">
        <f>Activity!$C17*Activity!$D17*Activity!M17</f>
        <v>0.53065414635420005</v>
      </c>
      <c r="L18" s="551">
        <f>Activity!$C17*Activity!$D17*Activity!N17</f>
        <v>0.39874012127179997</v>
      </c>
      <c r="M18" s="549">
        <f>Activity!$C17*Activity!$D17*Activity!O17</f>
        <v>1.8617865812766001</v>
      </c>
      <c r="N18" s="413">
        <v>0</v>
      </c>
      <c r="O18" s="551">
        <f>Activity!C17*Activity!D17</f>
        <v>29.980460246</v>
      </c>
      <c r="P18" s="558">
        <f>Activity!X17</f>
        <v>0</v>
      </c>
    </row>
    <row r="19" spans="2:16">
      <c r="B19" s="7">
        <f t="shared" si="0"/>
        <v>2005</v>
      </c>
      <c r="C19" s="773">
        <f>Activity!$C18*Activity!$D18*Activity!E18</f>
        <v>22.047050957513999</v>
      </c>
      <c r="D19" s="551">
        <f>Activity!$C18*Activity!$D18*Activity!F18</f>
        <v>4.2672782769099999</v>
      </c>
      <c r="E19" s="549">
        <f>Activity!$C18*Activity!$D18*Activity!G18</f>
        <v>0</v>
      </c>
      <c r="F19" s="551">
        <f>Activity!$C18*Activity!$D18*Activity!H18</f>
        <v>0</v>
      </c>
      <c r="G19" s="551">
        <f>Activity!$C18*Activity!$D18*Activity!I18</f>
        <v>0</v>
      </c>
      <c r="H19" s="551">
        <f>Activity!$C18*Activity!$D18*Activity!J18</f>
        <v>0.26898796920599999</v>
      </c>
      <c r="I19" s="551">
        <f>Activity!$C18*Activity!$D18*Activity!K18</f>
        <v>0</v>
      </c>
      <c r="J19" s="552">
        <f>Activity!$C18*Activity!$D18*Activity!L18</f>
        <v>3.556618703946</v>
      </c>
      <c r="K19" s="551">
        <f>Activity!$C18*Activity!$D18*Activity!M18</f>
        <v>0.58778852530199999</v>
      </c>
      <c r="L19" s="551">
        <f>Activity!$C18*Activity!$D18*Activity!N18</f>
        <v>0.44167160375799996</v>
      </c>
      <c r="M19" s="549">
        <f>Activity!$C18*Activity!$D18*Activity!O18</f>
        <v>2.0622410972459999</v>
      </c>
      <c r="N19" s="413">
        <v>0</v>
      </c>
      <c r="O19" s="551">
        <f>Activity!C18*Activity!D18</f>
        <v>33.208391259999999</v>
      </c>
      <c r="P19" s="558">
        <f>Activity!X18</f>
        <v>0</v>
      </c>
    </row>
    <row r="20" spans="2:16">
      <c r="B20" s="7">
        <f t="shared" si="0"/>
        <v>2006</v>
      </c>
      <c r="C20" s="773">
        <f>Activity!$C19*Activity!$D19*Activity!E19</f>
        <v>22.500568394231401</v>
      </c>
      <c r="D20" s="551">
        <f>Activity!$C19*Activity!$D19*Activity!F19</f>
        <v>4.3550580488910002</v>
      </c>
      <c r="E20" s="549">
        <f>Activity!$C19*Activity!$D19*Activity!G19</f>
        <v>0</v>
      </c>
      <c r="F20" s="551">
        <f>Activity!$C19*Activity!$D19*Activity!H19</f>
        <v>0</v>
      </c>
      <c r="G20" s="551">
        <f>Activity!$C19*Activity!$D19*Activity!I19</f>
        <v>0</v>
      </c>
      <c r="H20" s="551">
        <f>Activity!$C19*Activity!$D19*Activity!J19</f>
        <v>0.27452116884060002</v>
      </c>
      <c r="I20" s="551">
        <f>Activity!$C19*Activity!$D19*Activity!K19</f>
        <v>0</v>
      </c>
      <c r="J20" s="552">
        <f>Activity!$C19*Activity!$D19*Activity!L19</f>
        <v>3.6297798991146002</v>
      </c>
      <c r="K20" s="551">
        <f>Activity!$C19*Activity!$D19*Activity!M19</f>
        <v>0.59987959117020007</v>
      </c>
      <c r="L20" s="551">
        <f>Activity!$C19*Activity!$D19*Activity!N19</f>
        <v>0.45075698093579997</v>
      </c>
      <c r="M20" s="549">
        <f>Activity!$C19*Activity!$D19*Activity!O19</f>
        <v>2.1046622944446001</v>
      </c>
      <c r="N20" s="413">
        <v>0</v>
      </c>
      <c r="O20" s="551">
        <f>Activity!C19*Activity!D19</f>
        <v>33.891502326000001</v>
      </c>
      <c r="P20" s="558">
        <f>Activity!X19</f>
        <v>0</v>
      </c>
    </row>
    <row r="21" spans="2:16">
      <c r="B21" s="7">
        <f t="shared" si="0"/>
        <v>2007</v>
      </c>
      <c r="C21" s="773">
        <f>Activity!$C20*Activity!$D20*Activity!E20</f>
        <v>22.953716479478402</v>
      </c>
      <c r="D21" s="551">
        <f>Activity!$C20*Activity!$D20*Activity!F20</f>
        <v>4.4427663316960002</v>
      </c>
      <c r="E21" s="549">
        <f>Activity!$C20*Activity!$D20*Activity!G20</f>
        <v>0</v>
      </c>
      <c r="F21" s="551">
        <f>Activity!$C20*Activity!$D20*Activity!H20</f>
        <v>0</v>
      </c>
      <c r="G21" s="551">
        <f>Activity!$C20*Activity!$D20*Activity!I20</f>
        <v>0</v>
      </c>
      <c r="H21" s="551">
        <f>Activity!$C20*Activity!$D20*Activity!J20</f>
        <v>0.2800498621536</v>
      </c>
      <c r="I21" s="551">
        <f>Activity!$C20*Activity!$D20*Activity!K20</f>
        <v>0</v>
      </c>
      <c r="J21" s="552">
        <f>Activity!$C20*Activity!$D20*Activity!L20</f>
        <v>3.7028815106976003</v>
      </c>
      <c r="K21" s="551">
        <f>Activity!$C20*Activity!$D20*Activity!M20</f>
        <v>0.61196080989120005</v>
      </c>
      <c r="L21" s="551">
        <f>Activity!$C20*Activity!$D20*Activity!N20</f>
        <v>0.45983495884479997</v>
      </c>
      <c r="M21" s="549">
        <f>Activity!$C20*Activity!$D20*Activity!O20</f>
        <v>2.1470489431776003</v>
      </c>
      <c r="N21" s="413">
        <v>0</v>
      </c>
      <c r="O21" s="551">
        <f>Activity!C20*Activity!D20</f>
        <v>34.574057056000001</v>
      </c>
      <c r="P21" s="558">
        <f>Activity!X20</f>
        <v>0</v>
      </c>
    </row>
    <row r="22" spans="2:16">
      <c r="B22" s="7">
        <f t="shared" ref="B22:B85" si="1">B21+1</f>
        <v>2008</v>
      </c>
      <c r="C22" s="773">
        <f>Activity!$C21*Activity!$D21*Activity!E21</f>
        <v>23.403725077227001</v>
      </c>
      <c r="D22" s="551">
        <f>Activity!$C21*Activity!$D21*Activity!F21</f>
        <v>4.5298669565049998</v>
      </c>
      <c r="E22" s="549">
        <f>Activity!$C21*Activity!$D21*Activity!G21</f>
        <v>0</v>
      </c>
      <c r="F22" s="551">
        <f>Activity!$C21*Activity!$D21*Activity!H21</f>
        <v>0</v>
      </c>
      <c r="G22" s="551">
        <f>Activity!$C21*Activity!$D21*Activity!I21</f>
        <v>0</v>
      </c>
      <c r="H22" s="551">
        <f>Activity!$C21*Activity!$D21*Activity!J21</f>
        <v>0.28554025173300002</v>
      </c>
      <c r="I22" s="551">
        <f>Activity!$C21*Activity!$D21*Activity!K21</f>
        <v>0</v>
      </c>
      <c r="J22" s="552">
        <f>Activity!$C21*Activity!$D21*Activity!L21</f>
        <v>3.7754766618030002</v>
      </c>
      <c r="K22" s="551">
        <f>Activity!$C21*Activity!$D21*Activity!M21</f>
        <v>0.62395832786100003</v>
      </c>
      <c r="L22" s="551">
        <f>Activity!$C21*Activity!$D21*Activity!N21</f>
        <v>0.46885004296899996</v>
      </c>
      <c r="M22" s="549">
        <f>Activity!$C21*Activity!$D21*Activity!O21</f>
        <v>2.1891419299530002</v>
      </c>
      <c r="N22" s="413">
        <v>0</v>
      </c>
      <c r="O22" s="551">
        <f>Activity!C21*Activity!D21</f>
        <v>35.251882930000001</v>
      </c>
      <c r="P22" s="558">
        <f>Activity!X21</f>
        <v>0</v>
      </c>
    </row>
    <row r="23" spans="2:16">
      <c r="B23" s="7">
        <f t="shared" si="1"/>
        <v>2009</v>
      </c>
      <c r="C23" s="773">
        <f>Activity!$C22*Activity!$D22*Activity!E22</f>
        <v>23.847270024243603</v>
      </c>
      <c r="D23" s="551">
        <f>Activity!$C22*Activity!$D22*Activity!F22</f>
        <v>4.6157165207339999</v>
      </c>
      <c r="E23" s="549">
        <f>Activity!$C22*Activity!$D22*Activity!G22</f>
        <v>0</v>
      </c>
      <c r="F23" s="551">
        <f>Activity!$C22*Activity!$D22*Activity!H22</f>
        <v>0</v>
      </c>
      <c r="G23" s="551">
        <f>Activity!$C22*Activity!$D22*Activity!I22</f>
        <v>0</v>
      </c>
      <c r="H23" s="551">
        <f>Activity!$C22*Activity!$D22*Activity!J22</f>
        <v>0.29095178068439997</v>
      </c>
      <c r="I23" s="551">
        <f>Activity!$C22*Activity!$D22*Activity!K22</f>
        <v>0</v>
      </c>
      <c r="J23" s="552">
        <f>Activity!$C22*Activity!$D22*Activity!L22</f>
        <v>3.8470291001604</v>
      </c>
      <c r="K23" s="551">
        <f>Activity!$C22*Activity!$D22*Activity!M22</f>
        <v>0.63578352075480005</v>
      </c>
      <c r="L23" s="551">
        <f>Activity!$C22*Activity!$D22*Activity!N22</f>
        <v>0.47773563988919998</v>
      </c>
      <c r="M23" s="549">
        <f>Activity!$C22*Activity!$D22*Activity!O22</f>
        <v>2.2306303185804</v>
      </c>
      <c r="N23" s="413">
        <v>0</v>
      </c>
      <c r="O23" s="551">
        <f>Activity!C22*Activity!D22</f>
        <v>35.919972924</v>
      </c>
      <c r="P23" s="558">
        <f>Activity!X22</f>
        <v>0</v>
      </c>
    </row>
    <row r="24" spans="2:16">
      <c r="B24" s="7">
        <f t="shared" si="1"/>
        <v>2010</v>
      </c>
      <c r="C24" s="773">
        <f>Activity!$C23*Activity!$D23*Activity!E23</f>
        <v>25.742827939270203</v>
      </c>
      <c r="D24" s="551">
        <f>Activity!$C23*Activity!$D23*Activity!F23</f>
        <v>4.9826079081130006</v>
      </c>
      <c r="E24" s="549">
        <f>Activity!$C23*Activity!$D23*Activity!G23</f>
        <v>0</v>
      </c>
      <c r="F24" s="551">
        <f>Activity!$C23*Activity!$D23*Activity!H23</f>
        <v>0</v>
      </c>
      <c r="G24" s="551">
        <f>Activity!$C23*Activity!$D23*Activity!I23</f>
        <v>0</v>
      </c>
      <c r="H24" s="551">
        <f>Activity!$C23*Activity!$D23*Activity!J23</f>
        <v>0.31407878642580001</v>
      </c>
      <c r="I24" s="551">
        <f>Activity!$C23*Activity!$D23*Activity!K23</f>
        <v>0</v>
      </c>
      <c r="J24" s="552">
        <f>Activity!$C23*Activity!$D23*Activity!L23</f>
        <v>4.1528195094078004</v>
      </c>
      <c r="K24" s="551">
        <f>Activity!$C23*Activity!$D23*Activity!M23</f>
        <v>0.68632031107860003</v>
      </c>
      <c r="L24" s="551">
        <f>Activity!$C23*Activity!$D23*Activity!N23</f>
        <v>0.51570961227940004</v>
      </c>
      <c r="M24" s="549">
        <f>Activity!$C23*Activity!$D23*Activity!O23</f>
        <v>2.4079373625978002</v>
      </c>
      <c r="N24" s="413">
        <v>0</v>
      </c>
      <c r="O24" s="551">
        <f>Activity!C23*Activity!D23</f>
        <v>38.775158818000001</v>
      </c>
      <c r="P24" s="558">
        <f>Activity!X23</f>
        <v>0</v>
      </c>
    </row>
    <row r="25" spans="2:16">
      <c r="B25" s="7">
        <f t="shared" si="1"/>
        <v>2011</v>
      </c>
      <c r="C25" s="550">
        <f>Activity!$C24*Activity!$D24*Activity!E24</f>
        <v>0</v>
      </c>
      <c r="D25" s="551">
        <f>Activity!$C24*Activity!$D24*Activity!F24</f>
        <v>0</v>
      </c>
      <c r="E25" s="549">
        <f>Activity!$C24*Activity!$D24*Activity!G24</f>
        <v>0</v>
      </c>
      <c r="F25" s="551">
        <f>Activity!$C24*Activity!$D24*Activity!H24</f>
        <v>0</v>
      </c>
      <c r="G25" s="551">
        <f>Activity!$C24*Activity!$D24*Activity!I24</f>
        <v>0</v>
      </c>
      <c r="H25" s="551">
        <f>Activity!$C24*Activity!$D24*Activity!J24</f>
        <v>0</v>
      </c>
      <c r="I25" s="551">
        <f>Activity!$C24*Activity!$D24*Activity!K24</f>
        <v>0</v>
      </c>
      <c r="J25" s="552">
        <f>Activity!$C24*Activity!$D24*Activity!L24</f>
        <v>0</v>
      </c>
      <c r="K25" s="551">
        <f>Activity!$C24*Activity!$D24*Activity!M24</f>
        <v>0</v>
      </c>
      <c r="L25" s="551">
        <f>Activity!$C24*Activity!$D24*Activity!N24</f>
        <v>0</v>
      </c>
      <c r="M25" s="549">
        <f>Activity!$C24*Activity!$D24*Activity!O24</f>
        <v>0</v>
      </c>
      <c r="N25" s="413">
        <v>0</v>
      </c>
      <c r="O25" s="551">
        <f>Activity!C24*Activity!D24</f>
        <v>0</v>
      </c>
      <c r="P25" s="558">
        <f>Activity!X24</f>
        <v>0</v>
      </c>
    </row>
    <row r="26" spans="2:16">
      <c r="B26" s="7">
        <f t="shared" si="1"/>
        <v>2012</v>
      </c>
      <c r="C26" s="550">
        <f>Activity!$C25*Activity!$D25*Activity!E25</f>
        <v>0</v>
      </c>
      <c r="D26" s="551">
        <f>Activity!$C25*Activity!$D25*Activity!F25</f>
        <v>0</v>
      </c>
      <c r="E26" s="549">
        <f>Activity!$C25*Activity!$D25*Activity!G25</f>
        <v>0</v>
      </c>
      <c r="F26" s="551">
        <f>Activity!$C25*Activity!$D25*Activity!H25</f>
        <v>0</v>
      </c>
      <c r="G26" s="551">
        <f>Activity!$C25*Activity!$D25*Activity!I25</f>
        <v>0</v>
      </c>
      <c r="H26" s="551">
        <f>Activity!$C25*Activity!$D25*Activity!J25</f>
        <v>0</v>
      </c>
      <c r="I26" s="551">
        <f>Activity!$C25*Activity!$D25*Activity!K25</f>
        <v>0</v>
      </c>
      <c r="J26" s="552">
        <f>Activity!$C25*Activity!$D25*Activity!L25</f>
        <v>0</v>
      </c>
      <c r="K26" s="551">
        <f>Activity!$C25*Activity!$D25*Activity!M25</f>
        <v>0</v>
      </c>
      <c r="L26" s="551">
        <f>Activity!$C25*Activity!$D25*Activity!N25</f>
        <v>0</v>
      </c>
      <c r="M26" s="549">
        <f>Activity!$C25*Activity!$D25*Activity!O25</f>
        <v>0</v>
      </c>
      <c r="N26" s="413">
        <v>0</v>
      </c>
      <c r="O26" s="551">
        <f>Activity!C25*Activity!D25</f>
        <v>0</v>
      </c>
      <c r="P26" s="558">
        <f>Activity!X25</f>
        <v>0</v>
      </c>
    </row>
    <row r="27" spans="2:16">
      <c r="B27" s="7">
        <f t="shared" si="1"/>
        <v>2013</v>
      </c>
      <c r="C27" s="550">
        <f>Activity!$C26*Activity!$D26*Activity!E26</f>
        <v>0</v>
      </c>
      <c r="D27" s="551">
        <f>Activity!$C26*Activity!$D26*Activity!F26</f>
        <v>0</v>
      </c>
      <c r="E27" s="549">
        <f>Activity!$C26*Activity!$D26*Activity!G26</f>
        <v>0</v>
      </c>
      <c r="F27" s="551">
        <f>Activity!$C26*Activity!$D26*Activity!H26</f>
        <v>0</v>
      </c>
      <c r="G27" s="551">
        <f>Activity!$C26*Activity!$D26*Activity!I26</f>
        <v>0</v>
      </c>
      <c r="H27" s="551">
        <f>Activity!$C26*Activity!$D26*Activity!J26</f>
        <v>0</v>
      </c>
      <c r="I27" s="551">
        <f>Activity!$C26*Activity!$D26*Activity!K26</f>
        <v>0</v>
      </c>
      <c r="J27" s="552">
        <f>Activity!$C26*Activity!$D26*Activity!L26</f>
        <v>0</v>
      </c>
      <c r="K27" s="551">
        <f>Activity!$C26*Activity!$D26*Activity!M26</f>
        <v>0</v>
      </c>
      <c r="L27" s="551">
        <f>Activity!$C26*Activity!$D26*Activity!N26</f>
        <v>0</v>
      </c>
      <c r="M27" s="549">
        <f>Activity!$C26*Activity!$D26*Activity!O26</f>
        <v>0</v>
      </c>
      <c r="N27" s="413">
        <v>0</v>
      </c>
      <c r="O27" s="551">
        <f>Activity!C26*Activity!D26</f>
        <v>0</v>
      </c>
      <c r="P27" s="558">
        <f>Activity!X26</f>
        <v>0</v>
      </c>
    </row>
    <row r="28" spans="2:16">
      <c r="B28" s="7">
        <f t="shared" si="1"/>
        <v>2014</v>
      </c>
      <c r="C28" s="550">
        <f>Activity!$C27*Activity!$D27*Activity!E27</f>
        <v>0</v>
      </c>
      <c r="D28" s="551">
        <f>Activity!$C27*Activity!$D27*Activity!F27</f>
        <v>0</v>
      </c>
      <c r="E28" s="549">
        <f>Activity!$C27*Activity!$D27*Activity!G27</f>
        <v>0</v>
      </c>
      <c r="F28" s="551">
        <f>Activity!$C27*Activity!$D27*Activity!H27</f>
        <v>0</v>
      </c>
      <c r="G28" s="551">
        <f>Activity!$C27*Activity!$D27*Activity!I27</f>
        <v>0</v>
      </c>
      <c r="H28" s="551">
        <f>Activity!$C27*Activity!$D27*Activity!J27</f>
        <v>0</v>
      </c>
      <c r="I28" s="551">
        <f>Activity!$C27*Activity!$D27*Activity!K27</f>
        <v>0</v>
      </c>
      <c r="J28" s="552">
        <f>Activity!$C27*Activity!$D27*Activity!L27</f>
        <v>0</v>
      </c>
      <c r="K28" s="551">
        <f>Activity!$C27*Activity!$D27*Activity!M27</f>
        <v>0</v>
      </c>
      <c r="L28" s="551">
        <f>Activity!$C27*Activity!$D27*Activity!N27</f>
        <v>0</v>
      </c>
      <c r="M28" s="549">
        <f>Activity!$C27*Activity!$D27*Activity!O27</f>
        <v>0</v>
      </c>
      <c r="N28" s="413">
        <v>0</v>
      </c>
      <c r="O28" s="551">
        <f>Activity!C27*Activity!D27</f>
        <v>0</v>
      </c>
      <c r="P28" s="558">
        <f>Activity!X27</f>
        <v>0</v>
      </c>
    </row>
    <row r="29" spans="2:16">
      <c r="B29" s="7">
        <f t="shared" si="1"/>
        <v>2015</v>
      </c>
      <c r="C29" s="550">
        <f>Activity!$C28*Activity!$D28*Activity!E28</f>
        <v>0</v>
      </c>
      <c r="D29" s="551">
        <f>Activity!$C28*Activity!$D28*Activity!F28</f>
        <v>0</v>
      </c>
      <c r="E29" s="549">
        <f>Activity!$C28*Activity!$D28*Activity!G28</f>
        <v>0</v>
      </c>
      <c r="F29" s="551">
        <f>Activity!$C28*Activity!$D28*Activity!H28</f>
        <v>0</v>
      </c>
      <c r="G29" s="551">
        <f>Activity!$C28*Activity!$D28*Activity!I28</f>
        <v>0</v>
      </c>
      <c r="H29" s="551">
        <f>Activity!$C28*Activity!$D28*Activity!J28</f>
        <v>0</v>
      </c>
      <c r="I29" s="551">
        <f>Activity!$C28*Activity!$D28*Activity!K28</f>
        <v>0</v>
      </c>
      <c r="J29" s="552">
        <f>Activity!$C28*Activity!$D28*Activity!L28</f>
        <v>0</v>
      </c>
      <c r="K29" s="551">
        <f>Activity!$C28*Activity!$D28*Activity!M28</f>
        <v>0</v>
      </c>
      <c r="L29" s="551">
        <f>Activity!$C28*Activity!$D28*Activity!N28</f>
        <v>0</v>
      </c>
      <c r="M29" s="549">
        <f>Activity!$C28*Activity!$D28*Activity!O28</f>
        <v>0</v>
      </c>
      <c r="N29" s="413">
        <v>0</v>
      </c>
      <c r="O29" s="551">
        <f>Activity!C28*Activity!D28</f>
        <v>0</v>
      </c>
      <c r="P29" s="558">
        <f>Activity!X28</f>
        <v>0</v>
      </c>
    </row>
    <row r="30" spans="2:16">
      <c r="B30" s="7">
        <f t="shared" si="1"/>
        <v>2016</v>
      </c>
      <c r="C30" s="550">
        <f>Activity!$C29*Activity!$D29*Activity!E29</f>
        <v>0</v>
      </c>
      <c r="D30" s="551">
        <f>Activity!$C29*Activity!$D29*Activity!F29</f>
        <v>0</v>
      </c>
      <c r="E30" s="549">
        <f>Activity!$C29*Activity!$D29*Activity!G29</f>
        <v>0</v>
      </c>
      <c r="F30" s="551">
        <f>Activity!$C29*Activity!$D29*Activity!H29</f>
        <v>0</v>
      </c>
      <c r="G30" s="551">
        <f>Activity!$C29*Activity!$D29*Activity!I29</f>
        <v>0</v>
      </c>
      <c r="H30" s="551">
        <f>Activity!$C29*Activity!$D29*Activity!J29</f>
        <v>0</v>
      </c>
      <c r="I30" s="551">
        <f>Activity!$C29*Activity!$D29*Activity!K29</f>
        <v>0</v>
      </c>
      <c r="J30" s="552">
        <f>Activity!$C29*Activity!$D29*Activity!L29</f>
        <v>0</v>
      </c>
      <c r="K30" s="551">
        <f>Activity!$C29*Activity!$D29*Activity!M29</f>
        <v>0</v>
      </c>
      <c r="L30" s="551">
        <f>Activity!$C29*Activity!$D29*Activity!N29</f>
        <v>0</v>
      </c>
      <c r="M30" s="549">
        <f>Activity!$C29*Activity!$D29*Activity!O29</f>
        <v>0</v>
      </c>
      <c r="N30" s="413">
        <v>0</v>
      </c>
      <c r="O30" s="551">
        <f>Activity!C29*Activity!D29</f>
        <v>0</v>
      </c>
      <c r="P30" s="558">
        <f>Activity!X29</f>
        <v>0</v>
      </c>
    </row>
    <row r="31" spans="2:16">
      <c r="B31" s="7">
        <f t="shared" si="1"/>
        <v>2017</v>
      </c>
      <c r="C31" s="550">
        <f>Activity!$C30*Activity!$D30*Activity!E30</f>
        <v>0</v>
      </c>
      <c r="D31" s="551">
        <f>Activity!$C30*Activity!$D30*Activity!F30</f>
        <v>0</v>
      </c>
      <c r="E31" s="549">
        <f>Activity!$C30*Activity!$D30*Activity!G30</f>
        <v>0</v>
      </c>
      <c r="F31" s="551">
        <f>Activity!$C30*Activity!$D30*Activity!H30</f>
        <v>0</v>
      </c>
      <c r="G31" s="551">
        <f>Activity!$C30*Activity!$D30*Activity!I30</f>
        <v>0</v>
      </c>
      <c r="H31" s="551">
        <f>Activity!$C30*Activity!$D30*Activity!J30</f>
        <v>0</v>
      </c>
      <c r="I31" s="551">
        <f>Activity!$C30*Activity!$D30*Activity!K30</f>
        <v>0</v>
      </c>
      <c r="J31" s="552">
        <f>Activity!$C30*Activity!$D30*Activity!L30</f>
        <v>0</v>
      </c>
      <c r="K31" s="551">
        <f>Activity!$C30*Activity!$D30*Activity!M30</f>
        <v>0</v>
      </c>
      <c r="L31" s="551">
        <f>Activity!$C30*Activity!$D30*Activity!N30</f>
        <v>0</v>
      </c>
      <c r="M31" s="549">
        <f>Activity!$C30*Activity!$D30*Activity!O30</f>
        <v>0</v>
      </c>
      <c r="N31" s="413">
        <v>0</v>
      </c>
      <c r="O31" s="551">
        <f>Activity!C30*Activity!D30</f>
        <v>0</v>
      </c>
      <c r="P31" s="558">
        <f>Activity!X30</f>
        <v>0</v>
      </c>
    </row>
    <row r="32" spans="2:16">
      <c r="B32" s="7">
        <f t="shared" si="1"/>
        <v>2018</v>
      </c>
      <c r="C32" s="550">
        <f>Activity!$C31*Activity!$D31*Activity!E31</f>
        <v>0</v>
      </c>
      <c r="D32" s="551">
        <f>Activity!$C31*Activity!$D31*Activity!F31</f>
        <v>0</v>
      </c>
      <c r="E32" s="549">
        <f>Activity!$C31*Activity!$D31*Activity!G31</f>
        <v>0</v>
      </c>
      <c r="F32" s="551">
        <f>Activity!$C31*Activity!$D31*Activity!H31</f>
        <v>0</v>
      </c>
      <c r="G32" s="551">
        <f>Activity!$C31*Activity!$D31*Activity!I31</f>
        <v>0</v>
      </c>
      <c r="H32" s="551">
        <f>Activity!$C31*Activity!$D31*Activity!J31</f>
        <v>0</v>
      </c>
      <c r="I32" s="551">
        <f>Activity!$C31*Activity!$D31*Activity!K31</f>
        <v>0</v>
      </c>
      <c r="J32" s="552">
        <f>Activity!$C31*Activity!$D31*Activity!L31</f>
        <v>0</v>
      </c>
      <c r="K32" s="551">
        <f>Activity!$C31*Activity!$D31*Activity!M31</f>
        <v>0</v>
      </c>
      <c r="L32" s="551">
        <f>Activity!$C31*Activity!$D31*Activity!N31</f>
        <v>0</v>
      </c>
      <c r="M32" s="549">
        <f>Activity!$C31*Activity!$D31*Activity!O31</f>
        <v>0</v>
      </c>
      <c r="N32" s="413">
        <v>0</v>
      </c>
      <c r="O32" s="551">
        <f>Activity!C31*Activity!D31</f>
        <v>0</v>
      </c>
      <c r="P32" s="558">
        <f>Activity!X31</f>
        <v>0</v>
      </c>
    </row>
    <row r="33" spans="2:16">
      <c r="B33" s="7">
        <f t="shared" si="1"/>
        <v>2019</v>
      </c>
      <c r="C33" s="550">
        <f>Activity!$C32*Activity!$D32*Activity!E32</f>
        <v>0</v>
      </c>
      <c r="D33" s="551">
        <f>Activity!$C32*Activity!$D32*Activity!F32</f>
        <v>0</v>
      </c>
      <c r="E33" s="549">
        <f>Activity!$C32*Activity!$D32*Activity!G32</f>
        <v>0</v>
      </c>
      <c r="F33" s="551">
        <f>Activity!$C32*Activity!$D32*Activity!H32</f>
        <v>0</v>
      </c>
      <c r="G33" s="551">
        <f>Activity!$C32*Activity!$D32*Activity!I32</f>
        <v>0</v>
      </c>
      <c r="H33" s="551">
        <f>Activity!$C32*Activity!$D32*Activity!J32</f>
        <v>0</v>
      </c>
      <c r="I33" s="551">
        <f>Activity!$C32*Activity!$D32*Activity!K32</f>
        <v>0</v>
      </c>
      <c r="J33" s="552">
        <f>Activity!$C32*Activity!$D32*Activity!L32</f>
        <v>0</v>
      </c>
      <c r="K33" s="551">
        <f>Activity!$C32*Activity!$D32*Activity!M32</f>
        <v>0</v>
      </c>
      <c r="L33" s="551">
        <f>Activity!$C32*Activity!$D32*Activity!N32</f>
        <v>0</v>
      </c>
      <c r="M33" s="549">
        <f>Activity!$C32*Activity!$D32*Activity!O32</f>
        <v>0</v>
      </c>
      <c r="N33" s="413">
        <v>0</v>
      </c>
      <c r="O33" s="551">
        <f>Activity!C32*Activity!D32</f>
        <v>0</v>
      </c>
      <c r="P33" s="558">
        <f>Activity!X32</f>
        <v>0</v>
      </c>
    </row>
    <row r="34" spans="2:16">
      <c r="B34" s="7">
        <f t="shared" si="1"/>
        <v>2020</v>
      </c>
      <c r="C34" s="550">
        <f>Activity!$C33*Activity!$D33*Activity!E33</f>
        <v>0</v>
      </c>
      <c r="D34" s="551">
        <f>Activity!$C33*Activity!$D33*Activity!F33</f>
        <v>0</v>
      </c>
      <c r="E34" s="549">
        <f>Activity!$C33*Activity!$D33*Activity!G33</f>
        <v>0</v>
      </c>
      <c r="F34" s="551">
        <f>Activity!$C33*Activity!$D33*Activity!H33</f>
        <v>0</v>
      </c>
      <c r="G34" s="551">
        <f>Activity!$C33*Activity!$D33*Activity!I33</f>
        <v>0</v>
      </c>
      <c r="H34" s="551">
        <f>Activity!$C33*Activity!$D33*Activity!J33</f>
        <v>0</v>
      </c>
      <c r="I34" s="551">
        <f>Activity!$C33*Activity!$D33*Activity!K33</f>
        <v>0</v>
      </c>
      <c r="J34" s="552">
        <f>Activity!$C33*Activity!$D33*Activity!L33</f>
        <v>0</v>
      </c>
      <c r="K34" s="551">
        <f>Activity!$C33*Activity!$D33*Activity!M33</f>
        <v>0</v>
      </c>
      <c r="L34" s="551">
        <f>Activity!$C33*Activity!$D33*Activity!N33</f>
        <v>0</v>
      </c>
      <c r="M34" s="549">
        <f>Activity!$C33*Activity!$D33*Activity!O33</f>
        <v>0</v>
      </c>
      <c r="N34" s="413">
        <v>0</v>
      </c>
      <c r="O34" s="551">
        <f>Activity!C33*Activity!D33</f>
        <v>0</v>
      </c>
      <c r="P34" s="558">
        <f>Activity!X33</f>
        <v>0</v>
      </c>
    </row>
    <row r="35" spans="2:16">
      <c r="B35" s="7">
        <f t="shared" si="1"/>
        <v>2021</v>
      </c>
      <c r="C35" s="550">
        <f>Activity!$C34*Activity!$D34*Activity!E34</f>
        <v>0</v>
      </c>
      <c r="D35" s="551">
        <f>Activity!$C34*Activity!$D34*Activity!F34</f>
        <v>0</v>
      </c>
      <c r="E35" s="549">
        <f>Activity!$C34*Activity!$D34*Activity!G34</f>
        <v>0</v>
      </c>
      <c r="F35" s="551">
        <f>Activity!$C34*Activity!$D34*Activity!H34</f>
        <v>0</v>
      </c>
      <c r="G35" s="551">
        <f>Activity!$C34*Activity!$D34*Activity!I34</f>
        <v>0</v>
      </c>
      <c r="H35" s="551">
        <f>Activity!$C34*Activity!$D34*Activity!J34</f>
        <v>0</v>
      </c>
      <c r="I35" s="551">
        <f>Activity!$C34*Activity!$D34*Activity!K34</f>
        <v>0</v>
      </c>
      <c r="J35" s="552">
        <f>Activity!$C34*Activity!$D34*Activity!L34</f>
        <v>0</v>
      </c>
      <c r="K35" s="551">
        <f>Activity!$C34*Activity!$D34*Activity!M34</f>
        <v>0</v>
      </c>
      <c r="L35" s="551">
        <f>Activity!$C34*Activity!$D34*Activity!N34</f>
        <v>0</v>
      </c>
      <c r="M35" s="549">
        <f>Activity!$C34*Activity!$D34*Activity!O34</f>
        <v>0</v>
      </c>
      <c r="N35" s="413">
        <v>0</v>
      </c>
      <c r="O35" s="551">
        <f>Activity!C34*Activity!D34</f>
        <v>0</v>
      </c>
      <c r="P35" s="558">
        <f>Activity!X34</f>
        <v>0</v>
      </c>
    </row>
    <row r="36" spans="2:16">
      <c r="B36" s="7">
        <f t="shared" si="1"/>
        <v>2022</v>
      </c>
      <c r="C36" s="550">
        <f>Activity!$C35*Activity!$D35*Activity!E35</f>
        <v>0</v>
      </c>
      <c r="D36" s="551">
        <f>Activity!$C35*Activity!$D35*Activity!F35</f>
        <v>0</v>
      </c>
      <c r="E36" s="549">
        <f>Activity!$C35*Activity!$D35*Activity!G35</f>
        <v>0</v>
      </c>
      <c r="F36" s="551">
        <f>Activity!$C35*Activity!$D35*Activity!H35</f>
        <v>0</v>
      </c>
      <c r="G36" s="551">
        <f>Activity!$C35*Activity!$D35*Activity!I35</f>
        <v>0</v>
      </c>
      <c r="H36" s="551">
        <f>Activity!$C35*Activity!$D35*Activity!J35</f>
        <v>0</v>
      </c>
      <c r="I36" s="551">
        <f>Activity!$C35*Activity!$D35*Activity!K35</f>
        <v>0</v>
      </c>
      <c r="J36" s="552">
        <f>Activity!$C35*Activity!$D35*Activity!L35</f>
        <v>0</v>
      </c>
      <c r="K36" s="551">
        <f>Activity!$C35*Activity!$D35*Activity!M35</f>
        <v>0</v>
      </c>
      <c r="L36" s="551">
        <f>Activity!$C35*Activity!$D35*Activity!N35</f>
        <v>0</v>
      </c>
      <c r="M36" s="549">
        <f>Activity!$C35*Activity!$D35*Activity!O35</f>
        <v>0</v>
      </c>
      <c r="N36" s="413">
        <v>0</v>
      </c>
      <c r="O36" s="551">
        <f>Activity!C35*Activity!D35</f>
        <v>0</v>
      </c>
      <c r="P36" s="558">
        <f>Activity!X35</f>
        <v>0</v>
      </c>
    </row>
    <row r="37" spans="2:16">
      <c r="B37" s="7">
        <f t="shared" si="1"/>
        <v>2023</v>
      </c>
      <c r="C37" s="550">
        <f>Activity!$C36*Activity!$D36*Activity!E36</f>
        <v>0</v>
      </c>
      <c r="D37" s="551">
        <f>Activity!$C36*Activity!$D36*Activity!F36</f>
        <v>0</v>
      </c>
      <c r="E37" s="549">
        <f>Activity!$C36*Activity!$D36*Activity!G36</f>
        <v>0</v>
      </c>
      <c r="F37" s="551">
        <f>Activity!$C36*Activity!$D36*Activity!H36</f>
        <v>0</v>
      </c>
      <c r="G37" s="551">
        <f>Activity!$C36*Activity!$D36*Activity!I36</f>
        <v>0</v>
      </c>
      <c r="H37" s="551">
        <f>Activity!$C36*Activity!$D36*Activity!J36</f>
        <v>0</v>
      </c>
      <c r="I37" s="551">
        <f>Activity!$C36*Activity!$D36*Activity!K36</f>
        <v>0</v>
      </c>
      <c r="J37" s="552">
        <f>Activity!$C36*Activity!$D36*Activity!L36</f>
        <v>0</v>
      </c>
      <c r="K37" s="551">
        <f>Activity!$C36*Activity!$D36*Activity!M36</f>
        <v>0</v>
      </c>
      <c r="L37" s="551">
        <f>Activity!$C36*Activity!$D36*Activity!N36</f>
        <v>0</v>
      </c>
      <c r="M37" s="549">
        <f>Activity!$C36*Activity!$D36*Activity!O36</f>
        <v>0</v>
      </c>
      <c r="N37" s="413">
        <v>0</v>
      </c>
      <c r="O37" s="551">
        <f>Activity!C36*Activity!D36</f>
        <v>0</v>
      </c>
      <c r="P37" s="558">
        <f>Activity!X36</f>
        <v>0</v>
      </c>
    </row>
    <row r="38" spans="2:16">
      <c r="B38" s="7">
        <f t="shared" si="1"/>
        <v>2024</v>
      </c>
      <c r="C38" s="550">
        <f>Activity!$C37*Activity!$D37*Activity!E37</f>
        <v>0</v>
      </c>
      <c r="D38" s="551">
        <f>Activity!$C37*Activity!$D37*Activity!F37</f>
        <v>0</v>
      </c>
      <c r="E38" s="549">
        <f>Activity!$C37*Activity!$D37*Activity!G37</f>
        <v>0</v>
      </c>
      <c r="F38" s="551">
        <f>Activity!$C37*Activity!$D37*Activity!H37</f>
        <v>0</v>
      </c>
      <c r="G38" s="551">
        <f>Activity!$C37*Activity!$D37*Activity!I37</f>
        <v>0</v>
      </c>
      <c r="H38" s="551">
        <f>Activity!$C37*Activity!$D37*Activity!J37</f>
        <v>0</v>
      </c>
      <c r="I38" s="551">
        <f>Activity!$C37*Activity!$D37*Activity!K37</f>
        <v>0</v>
      </c>
      <c r="J38" s="552">
        <f>Activity!$C37*Activity!$D37*Activity!L37</f>
        <v>0</v>
      </c>
      <c r="K38" s="551">
        <f>Activity!$C37*Activity!$D37*Activity!M37</f>
        <v>0</v>
      </c>
      <c r="L38" s="551">
        <f>Activity!$C37*Activity!$D37*Activity!N37</f>
        <v>0</v>
      </c>
      <c r="M38" s="549">
        <f>Activity!$C37*Activity!$D37*Activity!O37</f>
        <v>0</v>
      </c>
      <c r="N38" s="413">
        <v>0</v>
      </c>
      <c r="O38" s="551">
        <f>Activity!C37*Activity!D37</f>
        <v>0</v>
      </c>
      <c r="P38" s="558">
        <f>Activity!X37</f>
        <v>0</v>
      </c>
    </row>
    <row r="39" spans="2:16">
      <c r="B39" s="7">
        <f t="shared" si="1"/>
        <v>2025</v>
      </c>
      <c r="C39" s="550">
        <f>Activity!$C38*Activity!$D38*Activity!E38</f>
        <v>0</v>
      </c>
      <c r="D39" s="551">
        <f>Activity!$C38*Activity!$D38*Activity!F38</f>
        <v>0</v>
      </c>
      <c r="E39" s="549">
        <f>Activity!$C38*Activity!$D38*Activity!G38</f>
        <v>0</v>
      </c>
      <c r="F39" s="551">
        <f>Activity!$C38*Activity!$D38*Activity!H38</f>
        <v>0</v>
      </c>
      <c r="G39" s="551">
        <f>Activity!$C38*Activity!$D38*Activity!I38</f>
        <v>0</v>
      </c>
      <c r="H39" s="551">
        <f>Activity!$C38*Activity!$D38*Activity!J38</f>
        <v>0</v>
      </c>
      <c r="I39" s="551">
        <f>Activity!$C38*Activity!$D38*Activity!K38</f>
        <v>0</v>
      </c>
      <c r="J39" s="552">
        <f>Activity!$C38*Activity!$D38*Activity!L38</f>
        <v>0</v>
      </c>
      <c r="K39" s="551">
        <f>Activity!$C38*Activity!$D38*Activity!M38</f>
        <v>0</v>
      </c>
      <c r="L39" s="551">
        <f>Activity!$C38*Activity!$D38*Activity!N38</f>
        <v>0</v>
      </c>
      <c r="M39" s="549">
        <f>Activity!$C38*Activity!$D38*Activity!O38</f>
        <v>0</v>
      </c>
      <c r="N39" s="413">
        <v>0</v>
      </c>
      <c r="O39" s="551">
        <f>Activity!C38*Activity!D38</f>
        <v>0</v>
      </c>
      <c r="P39" s="558">
        <f>Activity!X38</f>
        <v>0</v>
      </c>
    </row>
    <row r="40" spans="2:16">
      <c r="B40" s="7">
        <f t="shared" si="1"/>
        <v>2026</v>
      </c>
      <c r="C40" s="550">
        <f>Activity!$C39*Activity!$D39*Activity!E39</f>
        <v>0</v>
      </c>
      <c r="D40" s="551">
        <f>Activity!$C39*Activity!$D39*Activity!F39</f>
        <v>0</v>
      </c>
      <c r="E40" s="549">
        <f>Activity!$C39*Activity!$D39*Activity!G39</f>
        <v>0</v>
      </c>
      <c r="F40" s="551">
        <f>Activity!$C39*Activity!$D39*Activity!H39</f>
        <v>0</v>
      </c>
      <c r="G40" s="551">
        <f>Activity!$C39*Activity!$D39*Activity!I39</f>
        <v>0</v>
      </c>
      <c r="H40" s="551">
        <f>Activity!$C39*Activity!$D39*Activity!J39</f>
        <v>0</v>
      </c>
      <c r="I40" s="551">
        <f>Activity!$C39*Activity!$D39*Activity!K39</f>
        <v>0</v>
      </c>
      <c r="J40" s="552">
        <f>Activity!$C39*Activity!$D39*Activity!L39</f>
        <v>0</v>
      </c>
      <c r="K40" s="551">
        <f>Activity!$C39*Activity!$D39*Activity!M39</f>
        <v>0</v>
      </c>
      <c r="L40" s="551">
        <f>Activity!$C39*Activity!$D39*Activity!N39</f>
        <v>0</v>
      </c>
      <c r="M40" s="549">
        <f>Activity!$C39*Activity!$D39*Activity!O39</f>
        <v>0</v>
      </c>
      <c r="N40" s="413">
        <v>0</v>
      </c>
      <c r="O40" s="551">
        <f>Activity!C39*Activity!D39</f>
        <v>0</v>
      </c>
      <c r="P40" s="558">
        <f>Activity!X39</f>
        <v>0</v>
      </c>
    </row>
    <row r="41" spans="2:16">
      <c r="B41" s="7">
        <f t="shared" si="1"/>
        <v>2027</v>
      </c>
      <c r="C41" s="550">
        <f>Activity!$C40*Activity!$D40*Activity!E40</f>
        <v>0</v>
      </c>
      <c r="D41" s="551">
        <f>Activity!$C40*Activity!$D40*Activity!F40</f>
        <v>0</v>
      </c>
      <c r="E41" s="549">
        <f>Activity!$C40*Activity!$D40*Activity!G40</f>
        <v>0</v>
      </c>
      <c r="F41" s="551">
        <f>Activity!$C40*Activity!$D40*Activity!H40</f>
        <v>0</v>
      </c>
      <c r="G41" s="551">
        <f>Activity!$C40*Activity!$D40*Activity!I40</f>
        <v>0</v>
      </c>
      <c r="H41" s="551">
        <f>Activity!$C40*Activity!$D40*Activity!J40</f>
        <v>0</v>
      </c>
      <c r="I41" s="551">
        <f>Activity!$C40*Activity!$D40*Activity!K40</f>
        <v>0</v>
      </c>
      <c r="J41" s="552">
        <f>Activity!$C40*Activity!$D40*Activity!L40</f>
        <v>0</v>
      </c>
      <c r="K41" s="551">
        <f>Activity!$C40*Activity!$D40*Activity!M40</f>
        <v>0</v>
      </c>
      <c r="L41" s="551">
        <f>Activity!$C40*Activity!$D40*Activity!N40</f>
        <v>0</v>
      </c>
      <c r="M41" s="549">
        <f>Activity!$C40*Activity!$D40*Activity!O40</f>
        <v>0</v>
      </c>
      <c r="N41" s="413">
        <v>0</v>
      </c>
      <c r="O41" s="551">
        <f>Activity!C40*Activity!D40</f>
        <v>0</v>
      </c>
      <c r="P41" s="558">
        <f>Activity!X40</f>
        <v>0</v>
      </c>
    </row>
    <row r="42" spans="2:16">
      <c r="B42" s="7">
        <f t="shared" si="1"/>
        <v>2028</v>
      </c>
      <c r="C42" s="550">
        <f>Activity!$C41*Activity!$D41*Activity!E41</f>
        <v>0</v>
      </c>
      <c r="D42" s="551">
        <f>Activity!$C41*Activity!$D41*Activity!F41</f>
        <v>0</v>
      </c>
      <c r="E42" s="549">
        <f>Activity!$C41*Activity!$D41*Activity!G41</f>
        <v>0</v>
      </c>
      <c r="F42" s="551">
        <f>Activity!$C41*Activity!$D41*Activity!H41</f>
        <v>0</v>
      </c>
      <c r="G42" s="551">
        <f>Activity!$C41*Activity!$D41*Activity!I41</f>
        <v>0</v>
      </c>
      <c r="H42" s="551">
        <f>Activity!$C41*Activity!$D41*Activity!J41</f>
        <v>0</v>
      </c>
      <c r="I42" s="551">
        <f>Activity!$C41*Activity!$D41*Activity!K41</f>
        <v>0</v>
      </c>
      <c r="J42" s="552">
        <f>Activity!$C41*Activity!$D41*Activity!L41</f>
        <v>0</v>
      </c>
      <c r="K42" s="551">
        <f>Activity!$C41*Activity!$D41*Activity!M41</f>
        <v>0</v>
      </c>
      <c r="L42" s="551">
        <f>Activity!$C41*Activity!$D41*Activity!N41</f>
        <v>0</v>
      </c>
      <c r="M42" s="549">
        <f>Activity!$C41*Activity!$D41*Activity!O41</f>
        <v>0</v>
      </c>
      <c r="N42" s="413">
        <v>0</v>
      </c>
      <c r="O42" s="551">
        <f>Activity!C41*Activity!D41</f>
        <v>0</v>
      </c>
      <c r="P42" s="558">
        <f>Activity!X41</f>
        <v>0</v>
      </c>
    </row>
    <row r="43" spans="2:16">
      <c r="B43" s="7">
        <f t="shared" si="1"/>
        <v>2029</v>
      </c>
      <c r="C43" s="550">
        <f>Activity!$C42*Activity!$D42*Activity!E42</f>
        <v>0</v>
      </c>
      <c r="D43" s="551">
        <f>Activity!$C42*Activity!$D42*Activity!F42</f>
        <v>0</v>
      </c>
      <c r="E43" s="549">
        <f>Activity!$C42*Activity!$D42*Activity!G42</f>
        <v>0</v>
      </c>
      <c r="F43" s="551">
        <f>Activity!$C42*Activity!$D42*Activity!H42</f>
        <v>0</v>
      </c>
      <c r="G43" s="551">
        <f>Activity!$C42*Activity!$D42*Activity!I42</f>
        <v>0</v>
      </c>
      <c r="H43" s="551">
        <f>Activity!$C42*Activity!$D42*Activity!J42</f>
        <v>0</v>
      </c>
      <c r="I43" s="551">
        <f>Activity!$C42*Activity!$D42*Activity!K42</f>
        <v>0</v>
      </c>
      <c r="J43" s="552">
        <f>Activity!$C42*Activity!$D42*Activity!L42</f>
        <v>0</v>
      </c>
      <c r="K43" s="551">
        <f>Activity!$C42*Activity!$D42*Activity!M42</f>
        <v>0</v>
      </c>
      <c r="L43" s="551">
        <f>Activity!$C42*Activity!$D42*Activity!N42</f>
        <v>0</v>
      </c>
      <c r="M43" s="549">
        <f>Activity!$C42*Activity!$D42*Activity!O42</f>
        <v>0</v>
      </c>
      <c r="N43" s="413">
        <v>0</v>
      </c>
      <c r="O43" s="551">
        <f>Activity!C42*Activity!D42</f>
        <v>0</v>
      </c>
      <c r="P43" s="558">
        <f>Activity!X42</f>
        <v>0</v>
      </c>
    </row>
    <row r="44" spans="2:16">
      <c r="B44" s="7">
        <f t="shared" si="1"/>
        <v>2030</v>
      </c>
      <c r="C44" s="550">
        <f>Activity!$C43*Activity!$D43*Activity!E43</f>
        <v>0</v>
      </c>
      <c r="D44" s="551">
        <f>Activity!$C43*Activity!$D43*Activity!F43</f>
        <v>0</v>
      </c>
      <c r="E44" s="549">
        <f>Activity!$C43*Activity!$D43*Activity!G43</f>
        <v>0</v>
      </c>
      <c r="F44" s="551">
        <f>Activity!$C43*Activity!$D43*Activity!H43</f>
        <v>0</v>
      </c>
      <c r="G44" s="551">
        <f>Activity!$C43*Activity!$D43*Activity!I43</f>
        <v>0</v>
      </c>
      <c r="H44" s="551">
        <f>Activity!$C43*Activity!$D43*Activity!J43</f>
        <v>0</v>
      </c>
      <c r="I44" s="551">
        <f>Activity!$C43*Activity!$D43*Activity!K43</f>
        <v>0</v>
      </c>
      <c r="J44" s="552">
        <f>Activity!$C43*Activity!$D43*Activity!L43</f>
        <v>0</v>
      </c>
      <c r="K44" s="551">
        <f>Activity!$C43*Activity!$D43*Activity!M43</f>
        <v>0</v>
      </c>
      <c r="L44" s="551">
        <f>Activity!$C43*Activity!$D43*Activity!N43</f>
        <v>0</v>
      </c>
      <c r="M44" s="549">
        <f>Activity!$C43*Activity!$D43*Activity!O43</f>
        <v>0</v>
      </c>
      <c r="N44" s="413">
        <v>0</v>
      </c>
      <c r="O44" s="551">
        <f>Activity!C43*Activity!D43</f>
        <v>0</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0" zoomScale="85" zoomScaleNormal="85" workbookViewId="0">
      <selection activeCell="O17" sqref="O17"/>
    </sheetView>
  </sheetViews>
  <sheetFormatPr defaultColWidth="8.85546875" defaultRowHeight="12.75"/>
  <cols>
    <col min="1" max="1" width="8.85546875" style="643"/>
    <col min="2" max="2" width="7" style="639" customWidth="1"/>
    <col min="3" max="3" width="8.85546875" style="639"/>
    <col min="4" max="4" width="10.85546875" style="639" customWidth="1"/>
    <col min="5" max="10" width="8.85546875" style="639"/>
    <col min="11" max="11" width="10.42578125" style="639" customWidth="1"/>
    <col min="12" max="12" width="8.85546875" style="639"/>
    <col min="13" max="13" width="9.42578125" style="639" bestFit="1" customWidth="1"/>
    <col min="14" max="14" width="3" style="639" customWidth="1"/>
    <col min="15" max="15" width="14.85546875" style="640" customWidth="1"/>
    <col min="16" max="16" width="8.28515625" style="639" customWidth="1"/>
    <col min="17" max="17" width="2" style="642" customWidth="1"/>
    <col min="18" max="20" width="8.85546875" style="643"/>
    <col min="21" max="21" width="10.7109375" style="643" customWidth="1"/>
    <col min="22" max="27" width="8.85546875" style="643"/>
    <col min="28" max="28" width="8.85546875" style="639"/>
    <col min="29" max="29" width="8.85546875" style="643"/>
    <col min="30" max="30" width="10.7109375" style="643" customWidth="1"/>
    <col min="31" max="31" width="2.7109375" style="643" customWidth="1"/>
    <col min="32" max="32" width="15.42578125" style="643" customWidth="1"/>
    <col min="33" max="16384" width="8.85546875" style="643"/>
  </cols>
  <sheetData>
    <row r="1" spans="1:32">
      <c r="A1" s="638"/>
      <c r="P1" s="641"/>
    </row>
    <row r="2" spans="1:32" ht="15.75">
      <c r="A2" s="638"/>
      <c r="B2" s="644" t="s">
        <v>94</v>
      </c>
      <c r="D2" s="644"/>
      <c r="E2" s="644"/>
    </row>
    <row r="3" spans="1:32" ht="15.75">
      <c r="A3" s="638"/>
      <c r="B3" s="644"/>
      <c r="D3" s="644"/>
      <c r="E3" s="644"/>
      <c r="I3" s="645"/>
      <c r="J3" s="646"/>
      <c r="K3" s="646"/>
      <c r="L3" s="646"/>
      <c r="M3" s="646"/>
      <c r="N3" s="646"/>
      <c r="O3" s="647"/>
      <c r="AB3" s="646"/>
    </row>
    <row r="4" spans="1:32" ht="16.5" thickBot="1">
      <c r="A4" s="638"/>
      <c r="B4" s="645" t="s">
        <v>265</v>
      </c>
      <c r="D4" s="644"/>
      <c r="E4" s="645" t="s">
        <v>276</v>
      </c>
      <c r="H4" s="645" t="s">
        <v>30</v>
      </c>
      <c r="I4" s="645"/>
      <c r="J4" s="646"/>
      <c r="K4" s="646"/>
      <c r="L4" s="646"/>
      <c r="M4" s="646"/>
      <c r="N4" s="646"/>
      <c r="O4" s="647"/>
      <c r="AB4" s="646"/>
    </row>
    <row r="5" spans="1:32" ht="13.5" thickBot="1">
      <c r="A5" s="638"/>
      <c r="B5" s="648" t="str">
        <f>city</f>
        <v>Balikpapan</v>
      </c>
      <c r="C5" s="649"/>
      <c r="D5" s="649"/>
      <c r="E5" s="648" t="str">
        <f>province</f>
        <v>Kalimantan Timur</v>
      </c>
      <c r="F5" s="649"/>
      <c r="G5" s="649"/>
      <c r="H5" s="648" t="str">
        <f>country</f>
        <v>Indonesia</v>
      </c>
      <c r="I5" s="649"/>
      <c r="J5" s="650"/>
      <c r="K5" s="646"/>
      <c r="L5" s="646"/>
      <c r="M5" s="646"/>
      <c r="N5" s="646"/>
      <c r="O5" s="647"/>
      <c r="AB5" s="646"/>
    </row>
    <row r="6" spans="1:32">
      <c r="A6" s="638"/>
      <c r="C6" s="645"/>
      <c r="D6" s="645"/>
      <c r="E6" s="645"/>
    </row>
    <row r="7" spans="1:32">
      <c r="A7" s="638"/>
      <c r="B7" s="639" t="s">
        <v>35</v>
      </c>
      <c r="P7" s="641"/>
    </row>
    <row r="8" spans="1:32">
      <c r="A8" s="638"/>
      <c r="B8" s="639" t="s">
        <v>37</v>
      </c>
      <c r="P8" s="641"/>
    </row>
    <row r="9" spans="1:32">
      <c r="B9" s="651"/>
      <c r="P9" s="641"/>
    </row>
    <row r="10" spans="1:32">
      <c r="P10" s="652"/>
    </row>
    <row r="11" spans="1:32" ht="13.5" thickBot="1">
      <c r="A11" s="653"/>
      <c r="P11" s="653"/>
      <c r="Q11" s="654"/>
    </row>
    <row r="12" spans="1:32" ht="13.5" thickBot="1">
      <c r="A12" s="655"/>
      <c r="B12" s="656"/>
      <c r="C12" s="830" t="s">
        <v>91</v>
      </c>
      <c r="D12" s="831"/>
      <c r="E12" s="831"/>
      <c r="F12" s="831"/>
      <c r="G12" s="831"/>
      <c r="H12" s="831"/>
      <c r="I12" s="831"/>
      <c r="J12" s="831"/>
      <c r="K12" s="831"/>
      <c r="L12" s="831"/>
      <c r="M12" s="832"/>
      <c r="N12" s="657"/>
      <c r="O12" s="658"/>
      <c r="P12" s="655"/>
      <c r="Q12" s="654"/>
      <c r="S12" s="656"/>
      <c r="T12" s="830" t="s">
        <v>91</v>
      </c>
      <c r="U12" s="831"/>
      <c r="V12" s="831"/>
      <c r="W12" s="831"/>
      <c r="X12" s="831"/>
      <c r="Y12" s="831"/>
      <c r="Z12" s="831"/>
      <c r="AA12" s="831"/>
      <c r="AB12" s="831"/>
      <c r="AC12" s="831"/>
      <c r="AD12" s="832"/>
      <c r="AE12" s="657"/>
      <c r="AF12" s="659"/>
    </row>
    <row r="13" spans="1:32" ht="39" thickBot="1">
      <c r="A13" s="660"/>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60"/>
      <c r="Q13" s="654"/>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60"/>
      <c r="B14" s="661"/>
      <c r="C14" s="662" t="s">
        <v>81</v>
      </c>
      <c r="D14" s="663" t="s">
        <v>87</v>
      </c>
      <c r="E14" s="663" t="s">
        <v>88</v>
      </c>
      <c r="F14" s="663" t="s">
        <v>275</v>
      </c>
      <c r="G14" s="663" t="s">
        <v>89</v>
      </c>
      <c r="H14" s="663" t="s">
        <v>82</v>
      </c>
      <c r="I14" s="664" t="s">
        <v>92</v>
      </c>
      <c r="J14" s="665" t="s">
        <v>93</v>
      </c>
      <c r="K14" s="665" t="s">
        <v>316</v>
      </c>
      <c r="L14" s="666" t="s">
        <v>194</v>
      </c>
      <c r="M14" s="665" t="s">
        <v>162</v>
      </c>
      <c r="N14" s="667"/>
      <c r="O14" s="668" t="s">
        <v>163</v>
      </c>
      <c r="P14" s="660"/>
      <c r="Q14" s="654"/>
      <c r="S14" s="661"/>
      <c r="T14" s="662" t="s">
        <v>81</v>
      </c>
      <c r="U14" s="663" t="s">
        <v>87</v>
      </c>
      <c r="V14" s="663" t="s">
        <v>88</v>
      </c>
      <c r="W14" s="663" t="s">
        <v>275</v>
      </c>
      <c r="X14" s="663" t="s">
        <v>89</v>
      </c>
      <c r="Y14" s="663" t="s">
        <v>82</v>
      </c>
      <c r="Z14" s="664" t="s">
        <v>92</v>
      </c>
      <c r="AA14" s="665" t="s">
        <v>93</v>
      </c>
      <c r="AB14" s="665" t="s">
        <v>316</v>
      </c>
      <c r="AC14" s="666" t="s">
        <v>194</v>
      </c>
      <c r="AD14" s="665" t="s">
        <v>162</v>
      </c>
      <c r="AE14" s="667"/>
      <c r="AF14" s="669" t="s">
        <v>163</v>
      </c>
    </row>
    <row r="15" spans="1:32" ht="13.5" thickBot="1">
      <c r="B15" s="670"/>
      <c r="C15" s="671" t="s">
        <v>15</v>
      </c>
      <c r="D15" s="672" t="s">
        <v>15</v>
      </c>
      <c r="E15" s="672" t="s">
        <v>15</v>
      </c>
      <c r="F15" s="672" t="s">
        <v>15</v>
      </c>
      <c r="G15" s="672" t="s">
        <v>15</v>
      </c>
      <c r="H15" s="672" t="s">
        <v>15</v>
      </c>
      <c r="I15" s="673" t="s">
        <v>15</v>
      </c>
      <c r="J15" s="673" t="s">
        <v>15</v>
      </c>
      <c r="K15" s="673" t="s">
        <v>15</v>
      </c>
      <c r="L15" s="674" t="s">
        <v>15</v>
      </c>
      <c r="M15" s="673" t="s">
        <v>15</v>
      </c>
      <c r="N15" s="675"/>
      <c r="O15" s="676" t="s">
        <v>15</v>
      </c>
      <c r="P15" s="643"/>
      <c r="Q15" s="654"/>
      <c r="S15" s="670"/>
      <c r="T15" s="671" t="s">
        <v>15</v>
      </c>
      <c r="U15" s="672" t="s">
        <v>15</v>
      </c>
      <c r="V15" s="672" t="s">
        <v>15</v>
      </c>
      <c r="W15" s="672" t="s">
        <v>15</v>
      </c>
      <c r="X15" s="672" t="s">
        <v>15</v>
      </c>
      <c r="Y15" s="672" t="s">
        <v>15</v>
      </c>
      <c r="Z15" s="673" t="s">
        <v>15</v>
      </c>
      <c r="AA15" s="673" t="s">
        <v>15</v>
      </c>
      <c r="AB15" s="673" t="s">
        <v>15</v>
      </c>
      <c r="AC15" s="674" t="s">
        <v>15</v>
      </c>
      <c r="AD15" s="673" t="s">
        <v>15</v>
      </c>
      <c r="AE15" s="675"/>
      <c r="AF15" s="677" t="s">
        <v>15</v>
      </c>
    </row>
    <row r="16" spans="1:32" ht="13.5" thickBot="1">
      <c r="B16" s="678"/>
      <c r="C16" s="679"/>
      <c r="D16" s="680"/>
      <c r="E16" s="680"/>
      <c r="F16" s="680"/>
      <c r="G16" s="680"/>
      <c r="H16" s="680"/>
      <c r="I16" s="681"/>
      <c r="J16" s="681"/>
      <c r="K16" s="682"/>
      <c r="L16" s="683"/>
      <c r="M16" s="682"/>
      <c r="N16" s="684"/>
      <c r="O16" s="685"/>
      <c r="P16" s="643"/>
      <c r="Q16" s="654"/>
      <c r="S16" s="678"/>
      <c r="T16" s="679"/>
      <c r="U16" s="680"/>
      <c r="V16" s="680"/>
      <c r="W16" s="680"/>
      <c r="X16" s="680"/>
      <c r="Y16" s="680"/>
      <c r="Z16" s="681"/>
      <c r="AA16" s="681"/>
      <c r="AB16" s="682"/>
      <c r="AC16" s="683"/>
      <c r="AD16" s="682"/>
      <c r="AE16" s="684"/>
      <c r="AF16" s="686"/>
    </row>
    <row r="17" spans="2:34">
      <c r="B17" s="687">
        <f>year</f>
        <v>2000</v>
      </c>
      <c r="C17" s="688">
        <f>IF(Select2=1,Food!$K19,"")</f>
        <v>0</v>
      </c>
      <c r="D17" s="689">
        <f>IF(Select2=1,Paper!$K19,"")</f>
        <v>0</v>
      </c>
      <c r="E17" s="689">
        <f>IF(Select2=1,Nappies!$K19,"")</f>
        <v>0</v>
      </c>
      <c r="F17" s="689">
        <f>IF(Select2=1,Garden!$K19,"")</f>
        <v>0</v>
      </c>
      <c r="G17" s="689">
        <f>IF(Select2=1,Wood!$K19,"")</f>
        <v>0</v>
      </c>
      <c r="H17" s="689">
        <f>IF(Select2=1,Textiles!$K19,"")</f>
        <v>0</v>
      </c>
      <c r="I17" s="690">
        <f>Sludge!K19</f>
        <v>0</v>
      </c>
      <c r="J17" s="691" t="str">
        <f>IF(Select2=2,MSW!$K19,"")</f>
        <v/>
      </c>
      <c r="K17" s="690">
        <f>Industry!$K19</f>
        <v>0</v>
      </c>
      <c r="L17" s="692">
        <f>SUM(C17:K17)</f>
        <v>0</v>
      </c>
      <c r="M17" s="693">
        <f>Recovery_OX!C12</f>
        <v>0</v>
      </c>
      <c r="N17" s="652"/>
      <c r="O17" s="694">
        <f>(L17-M17)*(1-Recovery_OX!F12)</f>
        <v>0</v>
      </c>
      <c r="P17" s="695"/>
      <c r="Q17" s="654"/>
      <c r="S17" s="687">
        <f>year</f>
        <v>2000</v>
      </c>
      <c r="T17" s="688">
        <f>IF(Select2=1,Food!$W19,"")</f>
        <v>0</v>
      </c>
      <c r="U17" s="689">
        <f>IF(Select2=1,Paper!$W19,"")</f>
        <v>0</v>
      </c>
      <c r="V17" s="689">
        <f>IF(Select2=1,Nappies!$W19,"")</f>
        <v>0</v>
      </c>
      <c r="W17" s="689">
        <f>IF(Select2=1,Garden!$W19,"")</f>
        <v>0</v>
      </c>
      <c r="X17" s="689">
        <f>IF(Select2=1,Wood!$W19,"")</f>
        <v>0</v>
      </c>
      <c r="Y17" s="689">
        <f>IF(Select2=1,Textiles!$W19,"")</f>
        <v>0</v>
      </c>
      <c r="Z17" s="690">
        <f>Sludge!W19</f>
        <v>0</v>
      </c>
      <c r="AA17" s="691" t="str">
        <f>IF(Select2=2,MSW!$W19,"")</f>
        <v/>
      </c>
      <c r="AB17" s="690">
        <f>Industry!$W19</f>
        <v>0</v>
      </c>
      <c r="AC17" s="692">
        <f t="shared" ref="AC17:AC48" si="0">SUM(T17:AA17)</f>
        <v>0</v>
      </c>
      <c r="AD17" s="693">
        <f>Recovery_OX!R12</f>
        <v>0</v>
      </c>
      <c r="AE17" s="652"/>
      <c r="AF17" s="696">
        <f>(AC17-AD17)*(1-Recovery_OX!U12)</f>
        <v>0</v>
      </c>
      <c r="AH17" s="639"/>
    </row>
    <row r="18" spans="2:34">
      <c r="B18" s="697">
        <f t="shared" ref="B18:B81" si="1">B17+1</f>
        <v>2001</v>
      </c>
      <c r="C18" s="698">
        <f>IF(Select2=1,Food!$K20,"")</f>
        <v>0.14979400334601678</v>
      </c>
      <c r="D18" s="699">
        <f>IF(Select2=1,Paper!$K20,"")</f>
        <v>1.0093512579594662E-3</v>
      </c>
      <c r="E18" s="689">
        <f>IF(Select2=1,Nappies!$K20,"")</f>
        <v>2.3340634511851027E-3</v>
      </c>
      <c r="F18" s="699">
        <f>IF(Select2=1,Garden!$K20,"")</f>
        <v>0</v>
      </c>
      <c r="G18" s="689">
        <f>IF(Select2=1,Wood!$K20,"")</f>
        <v>0</v>
      </c>
      <c r="H18" s="699">
        <f>IF(Select2=1,Textiles!$K20,"")</f>
        <v>1.884978393398581E-5</v>
      </c>
      <c r="I18" s="700">
        <f>Sludge!K20</f>
        <v>0</v>
      </c>
      <c r="J18" s="700" t="str">
        <f>IF(Select2=2,MSW!$K20,"")</f>
        <v/>
      </c>
      <c r="K18" s="700">
        <f>Industry!$K20</f>
        <v>0</v>
      </c>
      <c r="L18" s="701">
        <f>SUM(C18:K18)</f>
        <v>0.15315626783909536</v>
      </c>
      <c r="M18" s="702">
        <f>Recovery_OX!C13</f>
        <v>0</v>
      </c>
      <c r="N18" s="652"/>
      <c r="O18" s="703">
        <f>(L18-M18)*(1-Recovery_OX!F13)</f>
        <v>0.15315626783909536</v>
      </c>
      <c r="P18" s="695"/>
      <c r="Q18" s="654"/>
      <c r="S18" s="697">
        <f t="shared" ref="S18:S81" si="2">S17+1</f>
        <v>2001</v>
      </c>
      <c r="T18" s="698">
        <f>IF(Select2=1,Food!$W20,"")</f>
        <v>0.30961968446882338</v>
      </c>
      <c r="U18" s="699">
        <f>IF(Select2=1,Paper!$W20,"")</f>
        <v>3.2771144738943714E-2</v>
      </c>
      <c r="V18" s="689">
        <f>IF(Select2=1,Nappies!$W20,"")</f>
        <v>0</v>
      </c>
      <c r="W18" s="699">
        <f>IF(Select2=1,Garden!$W20,"")</f>
        <v>0</v>
      </c>
      <c r="X18" s="689">
        <f>IF(Select2=1,Wood!$W20,"")</f>
        <v>0</v>
      </c>
      <c r="Y18" s="699">
        <f>IF(Select2=1,Textiles!$W20,"")</f>
        <v>1.2394378477141356E-3</v>
      </c>
      <c r="Z18" s="691">
        <f>Sludge!W20</f>
        <v>0</v>
      </c>
      <c r="AA18" s="691" t="str">
        <f>IF(Select2=2,MSW!$W20,"")</f>
        <v/>
      </c>
      <c r="AB18" s="700">
        <f>Industry!$W20</f>
        <v>0</v>
      </c>
      <c r="AC18" s="701">
        <f t="shared" si="0"/>
        <v>0.34363026705548122</v>
      </c>
      <c r="AD18" s="702">
        <f>Recovery_OX!R13</f>
        <v>0</v>
      </c>
      <c r="AE18" s="652"/>
      <c r="AF18" s="704">
        <f>(AC18-AD18)*(1-Recovery_OX!U13)</f>
        <v>0.34363026705548122</v>
      </c>
      <c r="AH18" s="639"/>
    </row>
    <row r="19" spans="2:34">
      <c r="B19" s="697">
        <f t="shared" si="1"/>
        <v>2002</v>
      </c>
      <c r="C19" s="698">
        <f>IF(Select2=1,Food!$K21,"")</f>
        <v>0.25212296053065797</v>
      </c>
      <c r="D19" s="699">
        <f>IF(Select2=1,Paper!$K21,"")</f>
        <v>1.9633950868668654E-3</v>
      </c>
      <c r="E19" s="689">
        <f>IF(Select2=1,Nappies!$K21,"")</f>
        <v>4.3331327097373027E-3</v>
      </c>
      <c r="F19" s="699">
        <f>IF(Select2=1,Garden!$K21,"")</f>
        <v>0</v>
      </c>
      <c r="G19" s="689">
        <f>IF(Select2=1,Wood!$K21,"")</f>
        <v>0</v>
      </c>
      <c r="H19" s="699">
        <f>IF(Select2=1,Textiles!$K21,"")</f>
        <v>3.6666693455466977E-5</v>
      </c>
      <c r="I19" s="700">
        <f>Sludge!K21</f>
        <v>0</v>
      </c>
      <c r="J19" s="700" t="str">
        <f>IF(Select2=2,MSW!$K21,"")</f>
        <v/>
      </c>
      <c r="K19" s="700">
        <f>Industry!$K21</f>
        <v>0</v>
      </c>
      <c r="L19" s="701">
        <f t="shared" ref="L19:L82" si="3">SUM(C19:K19)</f>
        <v>0.25845615502071762</v>
      </c>
      <c r="M19" s="702">
        <f>Recovery_OX!C14</f>
        <v>0</v>
      </c>
      <c r="N19" s="652"/>
      <c r="O19" s="703">
        <f>(L19-M19)*(1-Recovery_OX!F14)</f>
        <v>0.25845615502071762</v>
      </c>
      <c r="P19" s="695"/>
      <c r="Q19" s="654"/>
      <c r="S19" s="697">
        <f t="shared" si="2"/>
        <v>2002</v>
      </c>
      <c r="T19" s="698">
        <f>IF(Select2=1,Food!$W21,"")</f>
        <v>0.52113055091082661</v>
      </c>
      <c r="U19" s="699">
        <f>IF(Select2=1,Paper!$W21,"")</f>
        <v>6.374659372944369E-2</v>
      </c>
      <c r="V19" s="689">
        <f>IF(Select2=1,Nappies!$W21,"")</f>
        <v>0</v>
      </c>
      <c r="W19" s="699">
        <f>IF(Select2=1,Garden!$W21,"")</f>
        <v>0</v>
      </c>
      <c r="X19" s="689">
        <f>IF(Select2=1,Wood!$W21,"")</f>
        <v>0</v>
      </c>
      <c r="Y19" s="699">
        <f>IF(Select2=1,Textiles!$W21,"")</f>
        <v>2.4109606655649514E-3</v>
      </c>
      <c r="Z19" s="691">
        <f>Sludge!W21</f>
        <v>0</v>
      </c>
      <c r="AA19" s="691" t="str">
        <f>IF(Select2=2,MSW!$W21,"")</f>
        <v/>
      </c>
      <c r="AB19" s="700">
        <f>Industry!$W21</f>
        <v>0</v>
      </c>
      <c r="AC19" s="701">
        <f t="shared" si="0"/>
        <v>0.5872881053058352</v>
      </c>
      <c r="AD19" s="702">
        <f>Recovery_OX!R14</f>
        <v>0</v>
      </c>
      <c r="AE19" s="652"/>
      <c r="AF19" s="704">
        <f>(AC19-AD19)*(1-Recovery_OX!U14)</f>
        <v>0.5872881053058352</v>
      </c>
      <c r="AH19" s="639"/>
    </row>
    <row r="20" spans="2:34">
      <c r="B20" s="697">
        <f t="shared" si="1"/>
        <v>2003</v>
      </c>
      <c r="C20" s="698">
        <f>IF(Select2=1,Food!$K22,"")</f>
        <v>0.32413480529288907</v>
      </c>
      <c r="D20" s="699">
        <f>IF(Select2=1,Paper!$K22,"")</f>
        <v>2.8759757095645822E-3</v>
      </c>
      <c r="E20" s="689">
        <f>IF(Select2=1,Nappies!$K22,"")</f>
        <v>6.0729465812206411E-3</v>
      </c>
      <c r="F20" s="699">
        <f>IF(Select2=1,Garden!$K22,"")</f>
        <v>0</v>
      </c>
      <c r="G20" s="689">
        <f>IF(Select2=1,Wood!$K22,"")</f>
        <v>0</v>
      </c>
      <c r="H20" s="699">
        <f>IF(Select2=1,Textiles!$K22,"")</f>
        <v>5.370927147233115E-5</v>
      </c>
      <c r="I20" s="700">
        <f>Sludge!K22</f>
        <v>0</v>
      </c>
      <c r="J20" s="700" t="str">
        <f>IF(Select2=2,MSW!$K22,"")</f>
        <v/>
      </c>
      <c r="K20" s="700">
        <f>Industry!$K22</f>
        <v>0</v>
      </c>
      <c r="L20" s="701">
        <f t="shared" si="3"/>
        <v>0.33313743685514668</v>
      </c>
      <c r="M20" s="702">
        <f>Recovery_OX!C15</f>
        <v>0</v>
      </c>
      <c r="N20" s="652"/>
      <c r="O20" s="703">
        <f>(L20-M20)*(1-Recovery_OX!F15)</f>
        <v>0.33313743685514668</v>
      </c>
      <c r="P20" s="695"/>
      <c r="Q20" s="654"/>
      <c r="S20" s="697">
        <f t="shared" si="2"/>
        <v>2003</v>
      </c>
      <c r="T20" s="698">
        <f>IF(Select2=1,Food!$W22,"")</f>
        <v>0.66997686087823294</v>
      </c>
      <c r="U20" s="699">
        <f>IF(Select2=1,Paper!$W22,"")</f>
        <v>9.3375834726122833E-2</v>
      </c>
      <c r="V20" s="689">
        <f>IF(Select2=1,Nappies!$W22,"")</f>
        <v>0</v>
      </c>
      <c r="W20" s="699">
        <f>IF(Select2=1,Garden!$W22,"")</f>
        <v>0</v>
      </c>
      <c r="X20" s="689">
        <f>IF(Select2=1,Wood!$W22,"")</f>
        <v>0</v>
      </c>
      <c r="Y20" s="699">
        <f>IF(Select2=1,Textiles!$W22,"")</f>
        <v>3.5315685351669794E-3</v>
      </c>
      <c r="Z20" s="691">
        <f>Sludge!W22</f>
        <v>0</v>
      </c>
      <c r="AA20" s="691" t="str">
        <f>IF(Select2=2,MSW!$W22,"")</f>
        <v/>
      </c>
      <c r="AB20" s="700">
        <f>Industry!$W22</f>
        <v>0</v>
      </c>
      <c r="AC20" s="701">
        <f t="shared" si="0"/>
        <v>0.76688426413952282</v>
      </c>
      <c r="AD20" s="702">
        <f>Recovery_OX!R15</f>
        <v>0</v>
      </c>
      <c r="AE20" s="652"/>
      <c r="AF20" s="704">
        <f>(AC20-AD20)*(1-Recovery_OX!U15)</f>
        <v>0.76688426413952282</v>
      </c>
      <c r="AH20" s="639"/>
    </row>
    <row r="21" spans="2:34">
      <c r="B21" s="697">
        <f t="shared" si="1"/>
        <v>2004</v>
      </c>
      <c r="C21" s="698">
        <f>IF(Select2=1,Food!$K23,"")</f>
        <v>0.37516320308020279</v>
      </c>
      <c r="D21" s="699">
        <f>IF(Select2=1,Paper!$K23,"")</f>
        <v>3.7454404252857268E-3</v>
      </c>
      <c r="E21" s="689">
        <f>IF(Select2=1,Nappies!$K23,"")</f>
        <v>7.5837318760759113E-3</v>
      </c>
      <c r="F21" s="699">
        <f>IF(Select2=1,Garden!$K23,"")</f>
        <v>0</v>
      </c>
      <c r="G21" s="689">
        <f>IF(Select2=1,Wood!$K23,"")</f>
        <v>0</v>
      </c>
      <c r="H21" s="699">
        <f>IF(Select2=1,Textiles!$K23,"")</f>
        <v>6.9946653553471945E-5</v>
      </c>
      <c r="I21" s="700">
        <f>Sludge!K23</f>
        <v>0</v>
      </c>
      <c r="J21" s="700" t="str">
        <f>IF(Select2=2,MSW!$K23,"")</f>
        <v/>
      </c>
      <c r="K21" s="700">
        <f>Industry!$K23</f>
        <v>0</v>
      </c>
      <c r="L21" s="701">
        <f t="shared" si="3"/>
        <v>0.38656232203511792</v>
      </c>
      <c r="M21" s="702">
        <f>Recovery_OX!C16</f>
        <v>0</v>
      </c>
      <c r="N21" s="652"/>
      <c r="O21" s="703">
        <f>(L21-M21)*(1-Recovery_OX!F16)</f>
        <v>0.38656232203511792</v>
      </c>
      <c r="P21" s="695"/>
      <c r="Q21" s="654"/>
      <c r="S21" s="697">
        <f t="shared" si="2"/>
        <v>2004</v>
      </c>
      <c r="T21" s="698">
        <f>IF(Select2=1,Food!$W23,"")</f>
        <v>0.77545101918189929</v>
      </c>
      <c r="U21" s="699">
        <f>IF(Select2=1,Paper!$W23,"")</f>
        <v>0.12160520861317298</v>
      </c>
      <c r="V21" s="689">
        <f>IF(Select2=1,Nappies!$W23,"")</f>
        <v>0</v>
      </c>
      <c r="W21" s="699">
        <f>IF(Select2=1,Garden!$W23,"")</f>
        <v>0</v>
      </c>
      <c r="X21" s="689">
        <f>IF(Select2=1,Wood!$W23,"")</f>
        <v>0</v>
      </c>
      <c r="Y21" s="699">
        <f>IF(Select2=1,Textiles!$W23,"")</f>
        <v>4.5992320144748675E-3</v>
      </c>
      <c r="Z21" s="691">
        <f>Sludge!W23</f>
        <v>0</v>
      </c>
      <c r="AA21" s="691" t="str">
        <f>IF(Select2=2,MSW!$W23,"")</f>
        <v/>
      </c>
      <c r="AB21" s="700">
        <f>Industry!$W23</f>
        <v>0</v>
      </c>
      <c r="AC21" s="701">
        <f t="shared" si="0"/>
        <v>0.90165545980954709</v>
      </c>
      <c r="AD21" s="702">
        <f>Recovery_OX!R16</f>
        <v>0</v>
      </c>
      <c r="AE21" s="652"/>
      <c r="AF21" s="704">
        <f>(AC21-AD21)*(1-Recovery_OX!U16)</f>
        <v>0.90165545980954709</v>
      </c>
    </row>
    <row r="22" spans="2:34">
      <c r="B22" s="697">
        <f t="shared" si="1"/>
        <v>2005</v>
      </c>
      <c r="C22" s="698">
        <f>IF(Select2=1,Food!$K24,"")</f>
        <v>0.41021320107973014</v>
      </c>
      <c r="D22" s="699">
        <f>IF(Select2=1,Paper!$K24,"")</f>
        <v>4.5618153588714468E-3</v>
      </c>
      <c r="E22" s="689">
        <f>IF(Select2=1,Nappies!$K24,"")</f>
        <v>8.8714893053640307E-3</v>
      </c>
      <c r="F22" s="699">
        <f>IF(Select2=1,Garden!$K24,"")</f>
        <v>0</v>
      </c>
      <c r="G22" s="689">
        <f>IF(Select2=1,Wood!$K24,"")</f>
        <v>0</v>
      </c>
      <c r="H22" s="699">
        <f>IF(Select2=1,Textiles!$K24,"")</f>
        <v>8.5192576106065461E-5</v>
      </c>
      <c r="I22" s="700">
        <f>Sludge!K24</f>
        <v>0</v>
      </c>
      <c r="J22" s="700" t="str">
        <f>IF(Select2=2,MSW!$K24,"")</f>
        <v/>
      </c>
      <c r="K22" s="700">
        <f>Industry!$K24</f>
        <v>0</v>
      </c>
      <c r="L22" s="701">
        <f t="shared" si="3"/>
        <v>0.42373169832007168</v>
      </c>
      <c r="M22" s="702">
        <f>Recovery_OX!C17</f>
        <v>0</v>
      </c>
      <c r="N22" s="652"/>
      <c r="O22" s="703">
        <f>(L22-M22)*(1-Recovery_OX!F17)</f>
        <v>0.42373169832007168</v>
      </c>
      <c r="P22" s="643"/>
      <c r="Q22" s="654"/>
      <c r="S22" s="697">
        <f t="shared" si="2"/>
        <v>2005</v>
      </c>
      <c r="T22" s="698">
        <f>IF(Select2=1,Food!$W24,"")</f>
        <v>0.84789830731651561</v>
      </c>
      <c r="U22" s="699">
        <f>IF(Select2=1,Paper!$W24,"")</f>
        <v>0.14811088827504701</v>
      </c>
      <c r="V22" s="689">
        <f>IF(Select2=1,Nappies!$W24,"")</f>
        <v>0</v>
      </c>
      <c r="W22" s="699">
        <f>IF(Select2=1,Garden!$W24,"")</f>
        <v>0</v>
      </c>
      <c r="X22" s="689">
        <f>IF(Select2=1,Wood!$W24,"")</f>
        <v>0</v>
      </c>
      <c r="Y22" s="699">
        <f>IF(Select2=1,Textiles!$W24,"")</f>
        <v>5.6017036343714273E-3</v>
      </c>
      <c r="Z22" s="691">
        <f>Sludge!W24</f>
        <v>0</v>
      </c>
      <c r="AA22" s="691" t="str">
        <f>IF(Select2=2,MSW!$W24,"")</f>
        <v/>
      </c>
      <c r="AB22" s="700">
        <f>Industry!$W24</f>
        <v>0</v>
      </c>
      <c r="AC22" s="701">
        <f t="shared" si="0"/>
        <v>1.001610899225934</v>
      </c>
      <c r="AD22" s="702">
        <f>Recovery_OX!R17</f>
        <v>0</v>
      </c>
      <c r="AE22" s="652"/>
      <c r="AF22" s="704">
        <f>(AC22-AD22)*(1-Recovery_OX!U17)</f>
        <v>1.001610899225934</v>
      </c>
    </row>
    <row r="23" spans="2:34">
      <c r="B23" s="697">
        <f t="shared" si="1"/>
        <v>2006</v>
      </c>
      <c r="C23" s="698">
        <f>IF(Select2=1,Food!$K25,"")</f>
        <v>0.45079843914704409</v>
      </c>
      <c r="D23" s="699">
        <f>IF(Select2=1,Paper!$K25,"")</f>
        <v>5.4381587172259768E-3</v>
      </c>
      <c r="E23" s="689">
        <f>IF(Select2=1,Nappies!$K25,"")</f>
        <v>1.022422640405256E-2</v>
      </c>
      <c r="F23" s="699">
        <f>IF(Select2=1,Garden!$K25,"")</f>
        <v>0</v>
      </c>
      <c r="G23" s="689">
        <f>IF(Select2=1,Wood!$K25,"")</f>
        <v>0</v>
      </c>
      <c r="H23" s="699">
        <f>IF(Select2=1,Textiles!$K25,"")</f>
        <v>1.015584178551127E-4</v>
      </c>
      <c r="I23" s="700">
        <f>Sludge!K25</f>
        <v>0</v>
      </c>
      <c r="J23" s="700" t="str">
        <f>IF(Select2=2,MSW!$K25,"")</f>
        <v/>
      </c>
      <c r="K23" s="700">
        <f>Industry!$K25</f>
        <v>0</v>
      </c>
      <c r="L23" s="701">
        <f t="shared" si="3"/>
        <v>0.46656238268617772</v>
      </c>
      <c r="M23" s="702">
        <f>Recovery_OX!C18</f>
        <v>0</v>
      </c>
      <c r="N23" s="652"/>
      <c r="O23" s="703">
        <f>(L23-M23)*(1-Recovery_OX!F18)</f>
        <v>0.46656238268617772</v>
      </c>
      <c r="P23" s="643"/>
      <c r="Q23" s="654"/>
      <c r="S23" s="697">
        <f t="shared" si="2"/>
        <v>2006</v>
      </c>
      <c r="T23" s="698">
        <f>IF(Select2=1,Food!$W25,"")</f>
        <v>0.93178676963010387</v>
      </c>
      <c r="U23" s="699">
        <f>IF(Select2=1,Paper!$W25,"")</f>
        <v>0.17656359471512917</v>
      </c>
      <c r="V23" s="689">
        <f>IF(Select2=1,Nappies!$W25,"")</f>
        <v>0</v>
      </c>
      <c r="W23" s="699">
        <f>IF(Select2=1,Garden!$W25,"")</f>
        <v>0</v>
      </c>
      <c r="X23" s="689">
        <f>IF(Select2=1,Wood!$W25,"")</f>
        <v>0</v>
      </c>
      <c r="Y23" s="699">
        <f>IF(Select2=1,Textiles!$W25,"")</f>
        <v>6.6778137767745348E-3</v>
      </c>
      <c r="Z23" s="691">
        <f>Sludge!W25</f>
        <v>0</v>
      </c>
      <c r="AA23" s="691" t="str">
        <f>IF(Select2=2,MSW!$W25,"")</f>
        <v/>
      </c>
      <c r="AB23" s="700">
        <f>Industry!$W25</f>
        <v>0</v>
      </c>
      <c r="AC23" s="701">
        <f t="shared" si="0"/>
        <v>1.1150281781220075</v>
      </c>
      <c r="AD23" s="702">
        <f>Recovery_OX!R18</f>
        <v>0</v>
      </c>
      <c r="AE23" s="652"/>
      <c r="AF23" s="704">
        <f>(AC23-AD23)*(1-Recovery_OX!U18)</f>
        <v>1.1150281781220075</v>
      </c>
    </row>
    <row r="24" spans="2:34">
      <c r="B24" s="697">
        <f t="shared" si="1"/>
        <v>2007</v>
      </c>
      <c r="C24" s="698">
        <f>IF(Select2=1,Food!$K26,"")</f>
        <v>0.4816203203459653</v>
      </c>
      <c r="D24" s="699">
        <f>IF(Select2=1,Paper!$K26,"")</f>
        <v>6.2796266775051509E-3</v>
      </c>
      <c r="E24" s="689">
        <f>IF(Select2=1,Nappies!$K26,"")</f>
        <v>1.1421839161114708E-2</v>
      </c>
      <c r="F24" s="699">
        <f>IF(Select2=1,Garden!$K26,"")</f>
        <v>0</v>
      </c>
      <c r="G24" s="689">
        <f>IF(Select2=1,Wood!$K26,"")</f>
        <v>0</v>
      </c>
      <c r="H24" s="699">
        <f>IF(Select2=1,Textiles!$K26,"")</f>
        <v>1.1727295639019142E-4</v>
      </c>
      <c r="I24" s="700">
        <f>Sludge!K26</f>
        <v>0</v>
      </c>
      <c r="J24" s="700" t="str">
        <f>IF(Select2=2,MSW!$K26,"")</f>
        <v/>
      </c>
      <c r="K24" s="700">
        <f>Industry!$K26</f>
        <v>0</v>
      </c>
      <c r="L24" s="701">
        <f t="shared" si="3"/>
        <v>0.49943905914097536</v>
      </c>
      <c r="M24" s="702">
        <f>Recovery_OX!C19</f>
        <v>0</v>
      </c>
      <c r="N24" s="652"/>
      <c r="O24" s="703">
        <f>(L24-M24)*(1-Recovery_OX!F19)</f>
        <v>0.49943905914097536</v>
      </c>
      <c r="P24" s="643"/>
      <c r="Q24" s="654"/>
      <c r="S24" s="697">
        <f t="shared" si="2"/>
        <v>2007</v>
      </c>
      <c r="T24" s="698">
        <f>IF(Select2=1,Food!$W26,"")</f>
        <v>0.9954946679329586</v>
      </c>
      <c r="U24" s="699">
        <f>IF(Select2=1,Paper!$W26,"")</f>
        <v>0.20388398303588157</v>
      </c>
      <c r="V24" s="689">
        <f>IF(Select2=1,Nappies!$W26,"")</f>
        <v>0</v>
      </c>
      <c r="W24" s="699">
        <f>IF(Select2=1,Garden!$W26,"")</f>
        <v>0</v>
      </c>
      <c r="X24" s="689">
        <f>IF(Select2=1,Wood!$W26,"")</f>
        <v>0</v>
      </c>
      <c r="Y24" s="699">
        <f>IF(Select2=1,Textiles!$W26,"")</f>
        <v>7.7110985023687512E-3</v>
      </c>
      <c r="Z24" s="691">
        <f>Sludge!W26</f>
        <v>0</v>
      </c>
      <c r="AA24" s="691" t="str">
        <f>IF(Select2=2,MSW!$W26,"")</f>
        <v/>
      </c>
      <c r="AB24" s="700">
        <f>Industry!$W26</f>
        <v>0</v>
      </c>
      <c r="AC24" s="701">
        <f t="shared" si="0"/>
        <v>1.207089749471209</v>
      </c>
      <c r="AD24" s="702">
        <f>Recovery_OX!R19</f>
        <v>0</v>
      </c>
      <c r="AE24" s="652"/>
      <c r="AF24" s="704">
        <f>(AC24-AD24)*(1-Recovery_OX!U19)</f>
        <v>1.207089749471209</v>
      </c>
    </row>
    <row r="25" spans="2:34">
      <c r="B25" s="697">
        <f t="shared" si="1"/>
        <v>2008</v>
      </c>
      <c r="C25" s="698">
        <f>IF(Select2=1,Food!$K27,"")</f>
        <v>0.50589468215690747</v>
      </c>
      <c r="D25" s="699">
        <f>IF(Select2=1,Paper!$K27,"")</f>
        <v>7.0885571841799305E-3</v>
      </c>
      <c r="E25" s="689">
        <f>IF(Select2=1,Nappies!$K27,"")</f>
        <v>1.2488533071719401E-2</v>
      </c>
      <c r="F25" s="699">
        <f>IF(Select2=1,Garden!$K27,"")</f>
        <v>0</v>
      </c>
      <c r="G25" s="689">
        <f>IF(Select2=1,Wood!$K27,"")</f>
        <v>0</v>
      </c>
      <c r="H25" s="699">
        <f>IF(Select2=1,Textiles!$K27,"")</f>
        <v>1.3237985316986685E-4</v>
      </c>
      <c r="I25" s="700">
        <f>Sludge!K27</f>
        <v>0</v>
      </c>
      <c r="J25" s="700" t="str">
        <f>IF(Select2=2,MSW!$K27,"")</f>
        <v/>
      </c>
      <c r="K25" s="700">
        <f>Industry!$K27</f>
        <v>0</v>
      </c>
      <c r="L25" s="701">
        <f t="shared" si="3"/>
        <v>0.52560415226597657</v>
      </c>
      <c r="M25" s="702">
        <f>Recovery_OX!C20</f>
        <v>0</v>
      </c>
      <c r="N25" s="652"/>
      <c r="O25" s="703">
        <f>(L25-M25)*(1-Recovery_OX!F20)</f>
        <v>0.52560415226597657</v>
      </c>
      <c r="P25" s="643"/>
      <c r="Q25" s="654"/>
      <c r="S25" s="697">
        <f t="shared" si="2"/>
        <v>2008</v>
      </c>
      <c r="T25" s="698">
        <f>IF(Select2=1,Food!$W27,"")</f>
        <v>1.0456690412503256</v>
      </c>
      <c r="U25" s="699">
        <f>IF(Select2=1,Paper!$W27,"")</f>
        <v>0.23014796052532244</v>
      </c>
      <c r="V25" s="689">
        <f>IF(Select2=1,Nappies!$W27,"")</f>
        <v>0</v>
      </c>
      <c r="W25" s="699">
        <f>IF(Select2=1,Garden!$W27,"")</f>
        <v>0</v>
      </c>
      <c r="X25" s="689">
        <f>IF(Select2=1,Wood!$W27,"")</f>
        <v>0</v>
      </c>
      <c r="Y25" s="699">
        <f>IF(Select2=1,Textiles!$W27,"")</f>
        <v>8.7044287015802871E-3</v>
      </c>
      <c r="Z25" s="691">
        <f>Sludge!W27</f>
        <v>0</v>
      </c>
      <c r="AA25" s="691" t="str">
        <f>IF(Select2=2,MSW!$W27,"")</f>
        <v/>
      </c>
      <c r="AB25" s="700">
        <f>Industry!$W27</f>
        <v>0</v>
      </c>
      <c r="AC25" s="701">
        <f t="shared" si="0"/>
        <v>1.2845214304772283</v>
      </c>
      <c r="AD25" s="702">
        <f>Recovery_OX!R20</f>
        <v>0</v>
      </c>
      <c r="AE25" s="652"/>
      <c r="AF25" s="704">
        <f>(AC25-AD25)*(1-Recovery_OX!U20)</f>
        <v>1.2845214304772283</v>
      </c>
    </row>
    <row r="26" spans="2:34">
      <c r="B26" s="697">
        <f t="shared" si="1"/>
        <v>2009</v>
      </c>
      <c r="C26" s="698">
        <f>IF(Select2=1,Food!$K28,"")</f>
        <v>0.52575507318906767</v>
      </c>
      <c r="D26" s="699">
        <f>IF(Select2=1,Paper!$K28,"")</f>
        <v>7.8669812624350098E-3</v>
      </c>
      <c r="E26" s="689">
        <f>IF(Select2=1,Nappies!$K28,"")</f>
        <v>1.344438523128696E-2</v>
      </c>
      <c r="F26" s="699">
        <f>IF(Select2=1,Garden!$K28,"")</f>
        <v>0</v>
      </c>
      <c r="G26" s="689">
        <f>IF(Select2=1,Wood!$K28,"")</f>
        <v>0</v>
      </c>
      <c r="H26" s="699">
        <f>IF(Select2=1,Textiles!$K28,"")</f>
        <v>1.469170378896679E-4</v>
      </c>
      <c r="I26" s="700">
        <f>Sludge!K28</f>
        <v>0</v>
      </c>
      <c r="J26" s="700" t="str">
        <f>IF(Select2=2,MSW!$K28,"")</f>
        <v/>
      </c>
      <c r="K26" s="700">
        <f>Industry!$K28</f>
        <v>0</v>
      </c>
      <c r="L26" s="701">
        <f t="shared" si="3"/>
        <v>0.54721335672067939</v>
      </c>
      <c r="M26" s="702">
        <f>Recovery_OX!C21</f>
        <v>0</v>
      </c>
      <c r="N26" s="652"/>
      <c r="O26" s="703">
        <f>(L26-M26)*(1-Recovery_OX!F21)</f>
        <v>0.54721335672067939</v>
      </c>
      <c r="P26" s="643"/>
      <c r="Q26" s="654"/>
      <c r="S26" s="697">
        <f t="shared" si="2"/>
        <v>2009</v>
      </c>
      <c r="T26" s="698">
        <f>IF(Select2=1,Food!$W28,"")</f>
        <v>1.0867198701716987</v>
      </c>
      <c r="U26" s="699">
        <f>IF(Select2=1,Paper!$W28,"")</f>
        <v>0.25542146955957823</v>
      </c>
      <c r="V26" s="689">
        <f>IF(Select2=1,Nappies!$W28,"")</f>
        <v>0</v>
      </c>
      <c r="W26" s="699">
        <f>IF(Select2=1,Garden!$W28,"")</f>
        <v>0</v>
      </c>
      <c r="X26" s="689">
        <f>IF(Select2=1,Wood!$W28,"")</f>
        <v>0</v>
      </c>
      <c r="Y26" s="699">
        <f>IF(Select2=1,Textiles!$W28,"")</f>
        <v>9.6602983817863832E-3</v>
      </c>
      <c r="Z26" s="691">
        <f>Sludge!W28</f>
        <v>0</v>
      </c>
      <c r="AA26" s="691" t="str">
        <f>IF(Select2=2,MSW!$W28,"")</f>
        <v/>
      </c>
      <c r="AB26" s="700">
        <f>Industry!$W28</f>
        <v>0</v>
      </c>
      <c r="AC26" s="701">
        <f t="shared" si="0"/>
        <v>1.3518016381130633</v>
      </c>
      <c r="AD26" s="702">
        <f>Recovery_OX!R21</f>
        <v>0</v>
      </c>
      <c r="AE26" s="652"/>
      <c r="AF26" s="704">
        <f>(AC26-AD26)*(1-Recovery_OX!U21)</f>
        <v>1.3518016381130633</v>
      </c>
    </row>
    <row r="27" spans="2:34">
      <c r="B27" s="697">
        <f t="shared" si="1"/>
        <v>2010</v>
      </c>
      <c r="C27" s="698">
        <f>IF(Select2=1,Food!$K29,"")</f>
        <v>0.54260514378192215</v>
      </c>
      <c r="D27" s="699">
        <f>IF(Select2=1,Paper!$K29,"")</f>
        <v>8.6166139958511034E-3</v>
      </c>
      <c r="E27" s="689">
        <f>IF(Select2=1,Nappies!$K29,"")</f>
        <v>1.4305920903776576E-2</v>
      </c>
      <c r="F27" s="699">
        <f>IF(Select2=1,Garden!$K29,"")</f>
        <v>0</v>
      </c>
      <c r="G27" s="689">
        <f>IF(Select2=1,Wood!$K29,"")</f>
        <v>0</v>
      </c>
      <c r="H27" s="699">
        <f>IF(Select2=1,Textiles!$K29,"")</f>
        <v>1.6091653998896981E-4</v>
      </c>
      <c r="I27" s="700">
        <f>Sludge!K29</f>
        <v>0</v>
      </c>
      <c r="J27" s="700" t="str">
        <f>IF(Select2=2,MSW!$K29,"")</f>
        <v/>
      </c>
      <c r="K27" s="700">
        <f>Industry!$K29</f>
        <v>0</v>
      </c>
      <c r="L27" s="701">
        <f t="shared" si="3"/>
        <v>0.5656885952215388</v>
      </c>
      <c r="M27" s="702">
        <f>Recovery_OX!C22</f>
        <v>0</v>
      </c>
      <c r="N27" s="652"/>
      <c r="O27" s="703">
        <f>(L27-M27)*(1-Recovery_OX!F22)</f>
        <v>0.5656885952215388</v>
      </c>
      <c r="P27" s="643"/>
      <c r="Q27" s="654"/>
      <c r="S27" s="697">
        <f t="shared" si="2"/>
        <v>2010</v>
      </c>
      <c r="T27" s="698">
        <f>IF(Select2=1,Food!$W29,"")</f>
        <v>1.1215484575897525</v>
      </c>
      <c r="U27" s="699">
        <f>IF(Select2=1,Paper!$W29,"")</f>
        <v>0.2797601946704904</v>
      </c>
      <c r="V27" s="689">
        <f>IF(Select2=1,Nappies!$W29,"")</f>
        <v>0</v>
      </c>
      <c r="W27" s="699">
        <f>IF(Select2=1,Garden!$W29,"")</f>
        <v>0</v>
      </c>
      <c r="X27" s="689">
        <f>IF(Select2=1,Wood!$W29,"")</f>
        <v>0</v>
      </c>
      <c r="Y27" s="699">
        <f>IF(Select2=1,Textiles!$W29,"")</f>
        <v>1.0580813588315823E-2</v>
      </c>
      <c r="Z27" s="691">
        <f>Sludge!W29</f>
        <v>0</v>
      </c>
      <c r="AA27" s="691" t="str">
        <f>IF(Select2=2,MSW!$W29,"")</f>
        <v/>
      </c>
      <c r="AB27" s="700">
        <f>Industry!$W29</f>
        <v>0</v>
      </c>
      <c r="AC27" s="701">
        <f t="shared" si="0"/>
        <v>1.4118894658485588</v>
      </c>
      <c r="AD27" s="702">
        <f>Recovery_OX!R22</f>
        <v>0</v>
      </c>
      <c r="AE27" s="652"/>
      <c r="AF27" s="704">
        <f>(AC27-AD27)*(1-Recovery_OX!U22)</f>
        <v>1.4118894658485588</v>
      </c>
    </row>
    <row r="28" spans="2:34">
      <c r="B28" s="697">
        <f t="shared" si="1"/>
        <v>2011</v>
      </c>
      <c r="C28" s="698">
        <f>IF(Select2=1,Food!$K30,"")</f>
        <v>0.56901707880010499</v>
      </c>
      <c r="D28" s="699">
        <f>IF(Select2=1,Paper!$K30,"")</f>
        <v>9.4174291978836224E-3</v>
      </c>
      <c r="E28" s="689">
        <f>IF(Select2=1,Nappies!$K30,"")</f>
        <v>1.5268318558354924E-2</v>
      </c>
      <c r="F28" s="699">
        <f>IF(Select2=1,Garden!$K30,"")</f>
        <v>0</v>
      </c>
      <c r="G28" s="689">
        <f>IF(Select2=1,Wood!$K30,"")</f>
        <v>0</v>
      </c>
      <c r="H28" s="699">
        <f>IF(Select2=1,Textiles!$K30,"")</f>
        <v>1.7587188225493284E-4</v>
      </c>
      <c r="I28" s="700">
        <f>Sludge!K30</f>
        <v>0</v>
      </c>
      <c r="J28" s="700" t="str">
        <f>IF(Select2=2,MSW!$K30,"")</f>
        <v/>
      </c>
      <c r="K28" s="700">
        <f>Industry!$K30</f>
        <v>0</v>
      </c>
      <c r="L28" s="701">
        <f t="shared" si="3"/>
        <v>0.59387869843859853</v>
      </c>
      <c r="M28" s="702">
        <f>Recovery_OX!C23</f>
        <v>0</v>
      </c>
      <c r="N28" s="652"/>
      <c r="O28" s="703">
        <f>(L28-M28)*(1-Recovery_OX!F23)</f>
        <v>0.59387869843859853</v>
      </c>
      <c r="P28" s="643"/>
      <c r="Q28" s="654"/>
      <c r="S28" s="697">
        <f t="shared" si="2"/>
        <v>2011</v>
      </c>
      <c r="T28" s="698">
        <f>IF(Select2=1,Food!$W30,"")</f>
        <v>1.1761411302193161</v>
      </c>
      <c r="U28" s="699">
        <f>IF(Select2=1,Paper!$W30,"")</f>
        <v>0.30576068824297475</v>
      </c>
      <c r="V28" s="689">
        <f>IF(Select2=1,Nappies!$W30,"")</f>
        <v>0</v>
      </c>
      <c r="W28" s="699">
        <f>IF(Select2=1,Garden!$W30,"")</f>
        <v>0</v>
      </c>
      <c r="X28" s="689">
        <f>IF(Select2=1,Wood!$W30,"")</f>
        <v>0</v>
      </c>
      <c r="Y28" s="699">
        <f>IF(Select2=1,Textiles!$W30,"")</f>
        <v>1.156417855922846E-2</v>
      </c>
      <c r="Z28" s="691">
        <f>Sludge!W30</f>
        <v>0</v>
      </c>
      <c r="AA28" s="691" t="str">
        <f>IF(Select2=2,MSW!$W30,"")</f>
        <v/>
      </c>
      <c r="AB28" s="700">
        <f>Industry!$W30</f>
        <v>0</v>
      </c>
      <c r="AC28" s="701">
        <f t="shared" si="0"/>
        <v>1.4934659970215194</v>
      </c>
      <c r="AD28" s="702">
        <f>Recovery_OX!R23</f>
        <v>0</v>
      </c>
      <c r="AE28" s="652"/>
      <c r="AF28" s="704">
        <f>(AC28-AD28)*(1-Recovery_OX!U23)</f>
        <v>1.4934659970215194</v>
      </c>
    </row>
    <row r="29" spans="2:34">
      <c r="B29" s="697">
        <f t="shared" si="1"/>
        <v>2012</v>
      </c>
      <c r="C29" s="698">
        <f>IF(Select2=1,Food!$K31,"")</f>
        <v>0.3814235544563514</v>
      </c>
      <c r="D29" s="699">
        <f>IF(Select2=1,Paper!$K31,"")</f>
        <v>8.7807527835085213E-3</v>
      </c>
      <c r="E29" s="689">
        <f>IF(Select2=1,Nappies!$K31,"")</f>
        <v>1.2881343176269669E-2</v>
      </c>
      <c r="F29" s="699">
        <f>IF(Select2=1,Garden!$K31,"")</f>
        <v>0</v>
      </c>
      <c r="G29" s="689">
        <f>IF(Select2=1,Wood!$K31,"")</f>
        <v>0</v>
      </c>
      <c r="H29" s="699">
        <f>IF(Select2=1,Textiles!$K31,"")</f>
        <v>1.63981856109726E-4</v>
      </c>
      <c r="I29" s="700">
        <f>Sludge!K31</f>
        <v>0</v>
      </c>
      <c r="J29" s="700" t="str">
        <f>IF(Select2=2,MSW!$K31,"")</f>
        <v/>
      </c>
      <c r="K29" s="700">
        <f>Industry!$K31</f>
        <v>0</v>
      </c>
      <c r="L29" s="701">
        <f>SUM(C29:K29)</f>
        <v>0.40324963227223931</v>
      </c>
      <c r="M29" s="702">
        <f>Recovery_OX!C24</f>
        <v>0</v>
      </c>
      <c r="N29" s="652"/>
      <c r="O29" s="703">
        <f>(L29-M29)*(1-Recovery_OX!F24)</f>
        <v>0.40324963227223931</v>
      </c>
      <c r="P29" s="643"/>
      <c r="Q29" s="654"/>
      <c r="S29" s="697">
        <f t="shared" si="2"/>
        <v>2012</v>
      </c>
      <c r="T29" s="698">
        <f>IF(Select2=1,Food!$W31,"")</f>
        <v>0.78839097655302082</v>
      </c>
      <c r="U29" s="699">
        <f>IF(Select2=1,Paper!$W31,"")</f>
        <v>0.28508937608793899</v>
      </c>
      <c r="V29" s="689">
        <f>IF(Select2=1,Nappies!$W31,"")</f>
        <v>0</v>
      </c>
      <c r="W29" s="699">
        <f>IF(Select2=1,Garden!$W31,"")</f>
        <v>0</v>
      </c>
      <c r="X29" s="689">
        <f>IF(Select2=1,Wood!$W31,"")</f>
        <v>0</v>
      </c>
      <c r="Y29" s="699">
        <f>IF(Select2=1,Textiles!$W31,"")</f>
        <v>1.078236862091349E-2</v>
      </c>
      <c r="Z29" s="691">
        <f>Sludge!W31</f>
        <v>0</v>
      </c>
      <c r="AA29" s="691" t="str">
        <f>IF(Select2=2,MSW!$W31,"")</f>
        <v/>
      </c>
      <c r="AB29" s="700">
        <f>Industry!$W31</f>
        <v>0</v>
      </c>
      <c r="AC29" s="701">
        <f t="shared" si="0"/>
        <v>1.0842627212618732</v>
      </c>
      <c r="AD29" s="702">
        <f>Recovery_OX!R24</f>
        <v>0</v>
      </c>
      <c r="AE29" s="652"/>
      <c r="AF29" s="704">
        <f>(AC29-AD29)*(1-Recovery_OX!U24)</f>
        <v>1.0842627212618732</v>
      </c>
    </row>
    <row r="30" spans="2:34">
      <c r="B30" s="697">
        <f t="shared" si="1"/>
        <v>2013</v>
      </c>
      <c r="C30" s="698">
        <f>IF(Select2=1,Food!$K32,"")</f>
        <v>0.25567585458225861</v>
      </c>
      <c r="D30" s="699">
        <f>IF(Select2=1,Paper!$K32,"")</f>
        <v>8.1871196294652972E-3</v>
      </c>
      <c r="E30" s="689">
        <f>IF(Select2=1,Nappies!$K32,"")</f>
        <v>1.0867536028322628E-2</v>
      </c>
      <c r="F30" s="699">
        <f>IF(Select2=1,Garden!$K32,"")</f>
        <v>0</v>
      </c>
      <c r="G30" s="689">
        <f>IF(Select2=1,Wood!$K32,"")</f>
        <v>0</v>
      </c>
      <c r="H30" s="699">
        <f>IF(Select2=1,Textiles!$K32,"")</f>
        <v>1.5289566921341499E-4</v>
      </c>
      <c r="I30" s="700">
        <f>Sludge!K32</f>
        <v>0</v>
      </c>
      <c r="J30" s="700" t="str">
        <f>IF(Select2=2,MSW!$K32,"")</f>
        <v/>
      </c>
      <c r="K30" s="700">
        <f>Industry!$K32</f>
        <v>0</v>
      </c>
      <c r="L30" s="701">
        <f t="shared" si="3"/>
        <v>0.27488340590925991</v>
      </c>
      <c r="M30" s="702">
        <f>Recovery_OX!C25</f>
        <v>0</v>
      </c>
      <c r="N30" s="652"/>
      <c r="O30" s="703">
        <f>(L30-M30)*(1-Recovery_OX!F25)</f>
        <v>0.27488340590925991</v>
      </c>
      <c r="P30" s="643"/>
      <c r="Q30" s="654"/>
      <c r="S30" s="697">
        <f t="shared" si="2"/>
        <v>2013</v>
      </c>
      <c r="T30" s="698">
        <f>IF(Select2=1,Food!$W32,"")</f>
        <v>0.52847427569710348</v>
      </c>
      <c r="U30" s="699">
        <f>IF(Select2=1,Paper!$W32,"")</f>
        <v>0.2658155723852369</v>
      </c>
      <c r="V30" s="689">
        <f>IF(Select2=1,Nappies!$W32,"")</f>
        <v>0</v>
      </c>
      <c r="W30" s="699">
        <f>IF(Select2=1,Garden!$W32,"")</f>
        <v>0</v>
      </c>
      <c r="X30" s="689">
        <f>IF(Select2=1,Wood!$W32,"")</f>
        <v>0</v>
      </c>
      <c r="Y30" s="699">
        <f>IF(Select2=1,Textiles!$W32,"")</f>
        <v>1.005341386608756E-2</v>
      </c>
      <c r="Z30" s="691">
        <f>Sludge!W32</f>
        <v>0</v>
      </c>
      <c r="AA30" s="691" t="str">
        <f>IF(Select2=2,MSW!$W32,"")</f>
        <v/>
      </c>
      <c r="AB30" s="700">
        <f>Industry!$W32</f>
        <v>0</v>
      </c>
      <c r="AC30" s="701">
        <f t="shared" si="0"/>
        <v>0.80434326194842798</v>
      </c>
      <c r="AD30" s="702">
        <f>Recovery_OX!R25</f>
        <v>0</v>
      </c>
      <c r="AE30" s="652"/>
      <c r="AF30" s="704">
        <f>(AC30-AD30)*(1-Recovery_OX!U25)</f>
        <v>0.80434326194842798</v>
      </c>
    </row>
    <row r="31" spans="2:34">
      <c r="B31" s="697">
        <f t="shared" si="1"/>
        <v>2014</v>
      </c>
      <c r="C31" s="698">
        <f>IF(Select2=1,Food!$K33,"")</f>
        <v>0.17138465061378105</v>
      </c>
      <c r="D31" s="699">
        <f>IF(Select2=1,Paper!$K33,"")</f>
        <v>7.633619745344121E-3</v>
      </c>
      <c r="E31" s="689">
        <f>IF(Select2=1,Nappies!$K33,"")</f>
        <v>9.1685577901894025E-3</v>
      </c>
      <c r="F31" s="699">
        <f>IF(Select2=1,Garden!$K33,"")</f>
        <v>0</v>
      </c>
      <c r="G31" s="689">
        <f>IF(Select2=1,Wood!$K33,"")</f>
        <v>0</v>
      </c>
      <c r="H31" s="699">
        <f>IF(Select2=1,Textiles!$K33,"")</f>
        <v>1.4255897706497229E-4</v>
      </c>
      <c r="I31" s="700">
        <f>Sludge!K33</f>
        <v>0</v>
      </c>
      <c r="J31" s="700" t="str">
        <f>IF(Select2=2,MSW!$K33,"")</f>
        <v/>
      </c>
      <c r="K31" s="700">
        <f>Industry!$K33</f>
        <v>0</v>
      </c>
      <c r="L31" s="701">
        <f t="shared" si="3"/>
        <v>0.18832938712637956</v>
      </c>
      <c r="M31" s="702">
        <f>Recovery_OX!C26</f>
        <v>0</v>
      </c>
      <c r="N31" s="652"/>
      <c r="O31" s="703">
        <f>(L31-M31)*(1-Recovery_OX!F26)</f>
        <v>0.18832938712637956</v>
      </c>
      <c r="P31" s="643"/>
      <c r="Q31" s="654"/>
      <c r="S31" s="697">
        <f t="shared" si="2"/>
        <v>2014</v>
      </c>
      <c r="T31" s="698">
        <f>IF(Select2=1,Food!$W33,"")</f>
        <v>0.35424690081393356</v>
      </c>
      <c r="U31" s="699">
        <f>IF(Select2=1,Paper!$W33,"")</f>
        <v>0.24784479692675715</v>
      </c>
      <c r="V31" s="689">
        <f>IF(Select2=1,Nappies!$W33,"")</f>
        <v>0</v>
      </c>
      <c r="W31" s="699">
        <f>IF(Select2=1,Garden!$W33,"")</f>
        <v>0</v>
      </c>
      <c r="X31" s="689">
        <f>IF(Select2=1,Wood!$W33,"")</f>
        <v>0</v>
      </c>
      <c r="Y31" s="699">
        <f>IF(Select2=1,Textiles!$W33,"")</f>
        <v>9.3737409576968075E-3</v>
      </c>
      <c r="Z31" s="691">
        <f>Sludge!W33</f>
        <v>0</v>
      </c>
      <c r="AA31" s="691" t="str">
        <f>IF(Select2=2,MSW!$W33,"")</f>
        <v/>
      </c>
      <c r="AB31" s="700">
        <f>Industry!$W33</f>
        <v>0</v>
      </c>
      <c r="AC31" s="701">
        <f t="shared" si="0"/>
        <v>0.61146543869838754</v>
      </c>
      <c r="AD31" s="702">
        <f>Recovery_OX!R26</f>
        <v>0</v>
      </c>
      <c r="AE31" s="652"/>
      <c r="AF31" s="704">
        <f>(AC31-AD31)*(1-Recovery_OX!U26)</f>
        <v>0.61146543869838754</v>
      </c>
    </row>
    <row r="32" spans="2:34">
      <c r="B32" s="697">
        <f t="shared" si="1"/>
        <v>2015</v>
      </c>
      <c r="C32" s="698">
        <f>IF(Select2=1,Food!$K34,"")</f>
        <v>0.11488256688923167</v>
      </c>
      <c r="D32" s="699">
        <f>IF(Select2=1,Paper!$K34,"")</f>
        <v>7.1175398740708773E-3</v>
      </c>
      <c r="E32" s="689">
        <f>IF(Select2=1,Nappies!$K34,"")</f>
        <v>7.7351896265134877E-3</v>
      </c>
      <c r="F32" s="699">
        <f>IF(Select2=1,Garden!$K34,"")</f>
        <v>0</v>
      </c>
      <c r="G32" s="689">
        <f>IF(Select2=1,Wood!$K34,"")</f>
        <v>0</v>
      </c>
      <c r="H32" s="699">
        <f>IF(Select2=1,Textiles!$K34,"")</f>
        <v>1.3292110918749399E-4</v>
      </c>
      <c r="I32" s="700">
        <f>Sludge!K34</f>
        <v>0</v>
      </c>
      <c r="J32" s="700" t="str">
        <f>IF(Select2=2,MSW!$K34,"")</f>
        <v/>
      </c>
      <c r="K32" s="700">
        <f>Industry!$K34</f>
        <v>0</v>
      </c>
      <c r="L32" s="701">
        <f t="shared" si="3"/>
        <v>0.12986821749900354</v>
      </c>
      <c r="M32" s="702">
        <f>Recovery_OX!C27</f>
        <v>0</v>
      </c>
      <c r="N32" s="652"/>
      <c r="O32" s="703">
        <f>(L32-M32)*(1-Recovery_OX!F27)</f>
        <v>0.12986821749900354</v>
      </c>
      <c r="P32" s="643"/>
      <c r="Q32" s="654"/>
      <c r="S32" s="697">
        <f t="shared" si="2"/>
        <v>2015</v>
      </c>
      <c r="T32" s="698">
        <f>IF(Select2=1,Food!$W34,"")</f>
        <v>0.2374587988615785</v>
      </c>
      <c r="U32" s="699">
        <f>IF(Select2=1,Paper!$W34,"")</f>
        <v>0.23108895695035314</v>
      </c>
      <c r="V32" s="689">
        <f>IF(Select2=1,Nappies!$W34,"")</f>
        <v>0</v>
      </c>
      <c r="W32" s="699">
        <f>IF(Select2=1,Garden!$W34,"")</f>
        <v>0</v>
      </c>
      <c r="X32" s="689">
        <f>IF(Select2=1,Wood!$W34,"")</f>
        <v>0</v>
      </c>
      <c r="Y32" s="699">
        <f>IF(Select2=1,Textiles!$W34,"")</f>
        <v>8.7400181383557683E-3</v>
      </c>
      <c r="Z32" s="691">
        <f>Sludge!W34</f>
        <v>0</v>
      </c>
      <c r="AA32" s="691" t="str">
        <f>IF(Select2=2,MSW!$W34,"")</f>
        <v/>
      </c>
      <c r="AB32" s="700">
        <f>Industry!$W34</f>
        <v>0</v>
      </c>
      <c r="AC32" s="701">
        <f t="shared" si="0"/>
        <v>0.47728777395028743</v>
      </c>
      <c r="AD32" s="702">
        <f>Recovery_OX!R27</f>
        <v>0</v>
      </c>
      <c r="AE32" s="652"/>
      <c r="AF32" s="704">
        <f>(AC32-AD32)*(1-Recovery_OX!U27)</f>
        <v>0.47728777395028743</v>
      </c>
    </row>
    <row r="33" spans="2:32">
      <c r="B33" s="697">
        <f t="shared" si="1"/>
        <v>2016</v>
      </c>
      <c r="C33" s="698">
        <f>IF(Select2=1,Food!$K35,"")</f>
        <v>7.7008087525882174E-2</v>
      </c>
      <c r="D33" s="699">
        <f>IF(Select2=1,Paper!$K35,"")</f>
        <v>6.6363501915178468E-3</v>
      </c>
      <c r="E33" s="689">
        <f>IF(Select2=1,Nappies!$K35,"")</f>
        <v>6.5259073375907514E-3</v>
      </c>
      <c r="F33" s="699">
        <f>IF(Select2=1,Garden!$K35,"")</f>
        <v>0</v>
      </c>
      <c r="G33" s="689">
        <f>IF(Select2=1,Wood!$K35,"")</f>
        <v>0</v>
      </c>
      <c r="H33" s="699">
        <f>IF(Select2=1,Textiles!$K35,"")</f>
        <v>1.2393482074146315E-4</v>
      </c>
      <c r="I33" s="700">
        <f>Sludge!K35</f>
        <v>0</v>
      </c>
      <c r="J33" s="700" t="str">
        <f>IF(Select2=2,MSW!$K35,"")</f>
        <v/>
      </c>
      <c r="K33" s="700">
        <f>Industry!$K35</f>
        <v>0</v>
      </c>
      <c r="L33" s="701">
        <f t="shared" si="3"/>
        <v>9.0294279875732242E-2</v>
      </c>
      <c r="M33" s="702">
        <f>Recovery_OX!C28</f>
        <v>0</v>
      </c>
      <c r="N33" s="652"/>
      <c r="O33" s="703">
        <f>(L33-M33)*(1-Recovery_OX!F28)</f>
        <v>9.0294279875732242E-2</v>
      </c>
      <c r="P33" s="643"/>
      <c r="Q33" s="654"/>
      <c r="S33" s="697">
        <f t="shared" si="2"/>
        <v>2016</v>
      </c>
      <c r="T33" s="698">
        <f>IF(Select2=1,Food!$W35,"")</f>
        <v>0.1591733929844609</v>
      </c>
      <c r="U33" s="699">
        <f>IF(Select2=1,Paper!$W35,"")</f>
        <v>0.21546591530902098</v>
      </c>
      <c r="V33" s="689">
        <f>IF(Select2=1,Nappies!$W35,"")</f>
        <v>0</v>
      </c>
      <c r="W33" s="699">
        <f>IF(Select2=1,Garden!$W35,"")</f>
        <v>0</v>
      </c>
      <c r="X33" s="689">
        <f>IF(Select2=1,Wood!$W35,"")</f>
        <v>0</v>
      </c>
      <c r="Y33" s="699">
        <f>IF(Select2=1,Textiles!$W35,"")</f>
        <v>8.1491388980688088E-3</v>
      </c>
      <c r="Z33" s="691">
        <f>Sludge!W35</f>
        <v>0</v>
      </c>
      <c r="AA33" s="691" t="str">
        <f>IF(Select2=2,MSW!$W35,"")</f>
        <v/>
      </c>
      <c r="AB33" s="700">
        <f>Industry!$W35</f>
        <v>0</v>
      </c>
      <c r="AC33" s="701">
        <f t="shared" si="0"/>
        <v>0.3827884471915507</v>
      </c>
      <c r="AD33" s="702">
        <f>Recovery_OX!R28</f>
        <v>0</v>
      </c>
      <c r="AE33" s="652"/>
      <c r="AF33" s="704">
        <f>(AC33-AD33)*(1-Recovery_OX!U28)</f>
        <v>0.3827884471915507</v>
      </c>
    </row>
    <row r="34" spans="2:32">
      <c r="B34" s="697">
        <f t="shared" si="1"/>
        <v>2017</v>
      </c>
      <c r="C34" s="698">
        <f>IF(Select2=1,Food!$K36,"")</f>
        <v>5.1620064775465886E-2</v>
      </c>
      <c r="D34" s="699">
        <f>IF(Select2=1,Paper!$K36,"")</f>
        <v>6.1876919053028973E-3</v>
      </c>
      <c r="E34" s="689">
        <f>IF(Select2=1,Nappies!$K36,"")</f>
        <v>5.505678417093496E-3</v>
      </c>
      <c r="F34" s="699">
        <f>IF(Select2=1,Garden!$K36,"")</f>
        <v>0</v>
      </c>
      <c r="G34" s="689">
        <f>IF(Select2=1,Wood!$K36,"")</f>
        <v>0</v>
      </c>
      <c r="H34" s="699">
        <f>IF(Select2=1,Textiles!$K36,"")</f>
        <v>1.1555606093049177E-4</v>
      </c>
      <c r="I34" s="700">
        <f>Sludge!K36</f>
        <v>0</v>
      </c>
      <c r="J34" s="700" t="str">
        <f>IF(Select2=2,MSW!$K36,"")</f>
        <v/>
      </c>
      <c r="K34" s="700">
        <f>Industry!$K36</f>
        <v>0</v>
      </c>
      <c r="L34" s="701">
        <f t="shared" si="3"/>
        <v>6.3428991158792761E-2</v>
      </c>
      <c r="M34" s="702">
        <f>Recovery_OX!C29</f>
        <v>0</v>
      </c>
      <c r="N34" s="652"/>
      <c r="O34" s="703">
        <f>(L34-M34)*(1-Recovery_OX!F29)</f>
        <v>6.3428991158792761E-2</v>
      </c>
      <c r="P34" s="643"/>
      <c r="Q34" s="654"/>
      <c r="S34" s="697">
        <f t="shared" si="2"/>
        <v>2017</v>
      </c>
      <c r="T34" s="698">
        <f>IF(Select2=1,Food!$W36,"")</f>
        <v>0.10669711611299273</v>
      </c>
      <c r="U34" s="699">
        <f>IF(Select2=1,Paper!$W36,"")</f>
        <v>0.20089908783450963</v>
      </c>
      <c r="V34" s="689">
        <f>IF(Select2=1,Nappies!$W36,"")</f>
        <v>0</v>
      </c>
      <c r="W34" s="699">
        <f>IF(Select2=1,Garden!$W36,"")</f>
        <v>0</v>
      </c>
      <c r="X34" s="689">
        <f>IF(Select2=1,Wood!$W36,"")</f>
        <v>0</v>
      </c>
      <c r="Y34" s="699">
        <f>IF(Select2=1,Textiles!$W36,"")</f>
        <v>7.5982067461145275E-3</v>
      </c>
      <c r="Z34" s="691">
        <f>Sludge!W36</f>
        <v>0</v>
      </c>
      <c r="AA34" s="691" t="str">
        <f>IF(Select2=2,MSW!$W36,"")</f>
        <v/>
      </c>
      <c r="AB34" s="700">
        <f>Industry!$W36</f>
        <v>0</v>
      </c>
      <c r="AC34" s="701">
        <f t="shared" si="0"/>
        <v>0.31519441069361687</v>
      </c>
      <c r="AD34" s="702">
        <f>Recovery_OX!R29</f>
        <v>0</v>
      </c>
      <c r="AE34" s="652"/>
      <c r="AF34" s="704">
        <f>(AC34-AD34)*(1-Recovery_OX!U29)</f>
        <v>0.31519441069361687</v>
      </c>
    </row>
    <row r="35" spans="2:32">
      <c r="B35" s="697">
        <f t="shared" si="1"/>
        <v>2018</v>
      </c>
      <c r="C35" s="698">
        <f>IF(Select2=1,Food!$K37,"")</f>
        <v>3.4601964196652978E-2</v>
      </c>
      <c r="D35" s="699">
        <f>IF(Select2=1,Paper!$K37,"")</f>
        <v>5.7693656919864823E-3</v>
      </c>
      <c r="E35" s="689">
        <f>IF(Select2=1,Nappies!$K37,"")</f>
        <v>4.6449471719958524E-3</v>
      </c>
      <c r="F35" s="699">
        <f>IF(Select2=1,Garden!$K37,"")</f>
        <v>0</v>
      </c>
      <c r="G35" s="689">
        <f>IF(Select2=1,Wood!$K37,"")</f>
        <v>0</v>
      </c>
      <c r="H35" s="699">
        <f>IF(Select2=1,Textiles!$K37,"")</f>
        <v>1.0774375706426572E-4</v>
      </c>
      <c r="I35" s="700">
        <f>Sludge!K37</f>
        <v>0</v>
      </c>
      <c r="J35" s="700" t="str">
        <f>IF(Select2=2,MSW!$K37,"")</f>
        <v/>
      </c>
      <c r="K35" s="700">
        <f>Industry!$K37</f>
        <v>0</v>
      </c>
      <c r="L35" s="701">
        <f t="shared" si="3"/>
        <v>4.5124020817699576E-2</v>
      </c>
      <c r="M35" s="702">
        <f>Recovery_OX!C30</f>
        <v>0</v>
      </c>
      <c r="N35" s="652"/>
      <c r="O35" s="703">
        <f>(L35-M35)*(1-Recovery_OX!F30)</f>
        <v>4.5124020817699576E-2</v>
      </c>
      <c r="P35" s="643"/>
      <c r="Q35" s="654"/>
      <c r="S35" s="697">
        <f t="shared" si="2"/>
        <v>2018</v>
      </c>
      <c r="T35" s="698">
        <f>IF(Select2=1,Food!$W37,"")</f>
        <v>7.1521215784731251E-2</v>
      </c>
      <c r="U35" s="699">
        <f>IF(Select2=1,Paper!$W37,"")</f>
        <v>0.18731706792163905</v>
      </c>
      <c r="V35" s="689">
        <f>IF(Select2=1,Nappies!$W37,"")</f>
        <v>0</v>
      </c>
      <c r="W35" s="699">
        <f>IF(Select2=1,Garden!$W37,"")</f>
        <v>0</v>
      </c>
      <c r="X35" s="689">
        <f>IF(Select2=1,Wood!$W37,"")</f>
        <v>0</v>
      </c>
      <c r="Y35" s="699">
        <f>IF(Select2=1,Textiles!$W37,"")</f>
        <v>7.0845210124448697E-3</v>
      </c>
      <c r="Z35" s="691">
        <f>Sludge!W37</f>
        <v>0</v>
      </c>
      <c r="AA35" s="691" t="str">
        <f>IF(Select2=2,MSW!$W37,"")</f>
        <v/>
      </c>
      <c r="AB35" s="700">
        <f>Industry!$W37</f>
        <v>0</v>
      </c>
      <c r="AC35" s="701">
        <f t="shared" si="0"/>
        <v>0.26592280471881519</v>
      </c>
      <c r="AD35" s="702">
        <f>Recovery_OX!R30</f>
        <v>0</v>
      </c>
      <c r="AE35" s="652"/>
      <c r="AF35" s="704">
        <f>(AC35-AD35)*(1-Recovery_OX!U30)</f>
        <v>0.26592280471881519</v>
      </c>
    </row>
    <row r="36" spans="2:32">
      <c r="B36" s="697">
        <f t="shared" si="1"/>
        <v>2019</v>
      </c>
      <c r="C36" s="698">
        <f>IF(Select2=1,Food!$K38,"")</f>
        <v>2.3194390233223967E-2</v>
      </c>
      <c r="D36" s="699">
        <f>IF(Select2=1,Paper!$K38,"")</f>
        <v>5.3793209159856007E-3</v>
      </c>
      <c r="E36" s="689">
        <f>IF(Select2=1,Nappies!$K38,"")</f>
        <v>3.918778503961772E-3</v>
      </c>
      <c r="F36" s="699">
        <f>IF(Select2=1,Garden!$K38,"")</f>
        <v>0</v>
      </c>
      <c r="G36" s="689">
        <f>IF(Select2=1,Wood!$K38,"")</f>
        <v>0</v>
      </c>
      <c r="H36" s="699">
        <f>IF(Select2=1,Textiles!$K38,"")</f>
        <v>1.004596132201692E-4</v>
      </c>
      <c r="I36" s="700">
        <f>Sludge!K38</f>
        <v>0</v>
      </c>
      <c r="J36" s="700" t="str">
        <f>IF(Select2=2,MSW!$K38,"")</f>
        <v/>
      </c>
      <c r="K36" s="700">
        <f>Industry!$K38</f>
        <v>0</v>
      </c>
      <c r="L36" s="701">
        <f t="shared" si="3"/>
        <v>3.2592949266391502E-2</v>
      </c>
      <c r="M36" s="702">
        <f>Recovery_OX!C31</f>
        <v>0</v>
      </c>
      <c r="N36" s="652"/>
      <c r="O36" s="703">
        <f>(L36-M36)*(1-Recovery_OX!F31)</f>
        <v>3.2592949266391502E-2</v>
      </c>
      <c r="P36" s="643"/>
      <c r="Q36" s="654"/>
      <c r="S36" s="697">
        <f t="shared" si="2"/>
        <v>2019</v>
      </c>
      <c r="T36" s="698">
        <f>IF(Select2=1,Food!$W38,"")</f>
        <v>4.7942104657345948E-2</v>
      </c>
      <c r="U36" s="699">
        <f>IF(Select2=1,Paper!$W38,"")</f>
        <v>0.17465327649303899</v>
      </c>
      <c r="V36" s="689">
        <f>IF(Select2=1,Nappies!$W38,"")</f>
        <v>0</v>
      </c>
      <c r="W36" s="699">
        <f>IF(Select2=1,Garden!$W38,"")</f>
        <v>0</v>
      </c>
      <c r="X36" s="689">
        <f>IF(Select2=1,Wood!$W38,"")</f>
        <v>0</v>
      </c>
      <c r="Y36" s="699">
        <f>IF(Select2=1,Textiles!$W38,"")</f>
        <v>6.6055636089974281E-3</v>
      </c>
      <c r="Z36" s="691">
        <f>Sludge!W38</f>
        <v>0</v>
      </c>
      <c r="AA36" s="691" t="str">
        <f>IF(Select2=2,MSW!$W38,"")</f>
        <v/>
      </c>
      <c r="AB36" s="700">
        <f>Industry!$W38</f>
        <v>0</v>
      </c>
      <c r="AC36" s="701">
        <f t="shared" si="0"/>
        <v>0.22920094475938235</v>
      </c>
      <c r="AD36" s="702">
        <f>Recovery_OX!R31</f>
        <v>0</v>
      </c>
      <c r="AE36" s="652"/>
      <c r="AF36" s="704">
        <f>(AC36-AD36)*(1-Recovery_OX!U31)</f>
        <v>0.22920094475938235</v>
      </c>
    </row>
    <row r="37" spans="2:32">
      <c r="B37" s="697">
        <f t="shared" si="1"/>
        <v>2020</v>
      </c>
      <c r="C37" s="698">
        <f>IF(Select2=1,Food!$K39,"")</f>
        <v>1.5547664728903276E-2</v>
      </c>
      <c r="D37" s="699">
        <f>IF(Select2=1,Paper!$K39,"")</f>
        <v>5.0156455773557786E-3</v>
      </c>
      <c r="E37" s="689">
        <f>IF(Select2=1,Nappies!$K39,"")</f>
        <v>3.3061355478267588E-3</v>
      </c>
      <c r="F37" s="699">
        <f>IF(Select2=1,Garden!$K39,"")</f>
        <v>0</v>
      </c>
      <c r="G37" s="689">
        <f>IF(Select2=1,Wood!$K39,"")</f>
        <v>0</v>
      </c>
      <c r="H37" s="699">
        <f>IF(Select2=1,Textiles!$K39,"")</f>
        <v>9.3667922516627673E-5</v>
      </c>
      <c r="I37" s="700">
        <f>Sludge!K39</f>
        <v>0</v>
      </c>
      <c r="J37" s="700" t="str">
        <f>IF(Select2=2,MSW!$K39,"")</f>
        <v/>
      </c>
      <c r="K37" s="700">
        <f>Industry!$K39</f>
        <v>0</v>
      </c>
      <c r="L37" s="701">
        <f t="shared" si="3"/>
        <v>2.396311377660244E-2</v>
      </c>
      <c r="M37" s="702">
        <f>Recovery_OX!C32</f>
        <v>0</v>
      </c>
      <c r="N37" s="652"/>
      <c r="O37" s="703">
        <f>(L37-M37)*(1-Recovery_OX!F32)</f>
        <v>2.396311377660244E-2</v>
      </c>
      <c r="P37" s="643"/>
      <c r="Q37" s="654"/>
      <c r="S37" s="697">
        <f t="shared" si="2"/>
        <v>2020</v>
      </c>
      <c r="T37" s="698">
        <f>IF(Select2=1,Food!$W39,"")</f>
        <v>3.2136553800957576E-2</v>
      </c>
      <c r="U37" s="699">
        <f>IF(Select2=1,Paper!$W39,"")</f>
        <v>0.16284563562843438</v>
      </c>
      <c r="V37" s="689">
        <f>IF(Select2=1,Nappies!$W39,"")</f>
        <v>0</v>
      </c>
      <c r="W37" s="699">
        <f>IF(Select2=1,Garden!$W39,"")</f>
        <v>0</v>
      </c>
      <c r="X37" s="689">
        <f>IF(Select2=1,Wood!$W39,"")</f>
        <v>0</v>
      </c>
      <c r="Y37" s="699">
        <f>IF(Select2=1,Textiles!$W39,"")</f>
        <v>6.1589866860248333E-3</v>
      </c>
      <c r="Z37" s="691">
        <f>Sludge!W39</f>
        <v>0</v>
      </c>
      <c r="AA37" s="691" t="str">
        <f>IF(Select2=2,MSW!$W39,"")</f>
        <v/>
      </c>
      <c r="AB37" s="700">
        <f>Industry!$W39</f>
        <v>0</v>
      </c>
      <c r="AC37" s="701">
        <f t="shared" si="0"/>
        <v>0.20114117611541676</v>
      </c>
      <c r="AD37" s="702">
        <f>Recovery_OX!R32</f>
        <v>0</v>
      </c>
      <c r="AE37" s="652"/>
      <c r="AF37" s="704">
        <f>(AC37-AD37)*(1-Recovery_OX!U32)</f>
        <v>0.20114117611541676</v>
      </c>
    </row>
    <row r="38" spans="2:32">
      <c r="B38" s="697">
        <f t="shared" si="1"/>
        <v>2021</v>
      </c>
      <c r="C38" s="698">
        <f>IF(Select2=1,Food!$K40,"")</f>
        <v>1.0421911336825129E-2</v>
      </c>
      <c r="D38" s="699">
        <f>IF(Select2=1,Paper!$K40,"")</f>
        <v>4.6765569391651295E-3</v>
      </c>
      <c r="E38" s="689">
        <f>IF(Select2=1,Nappies!$K40,"")</f>
        <v>2.7892702406000472E-3</v>
      </c>
      <c r="F38" s="699">
        <f>IF(Select2=1,Garden!$K40,"")</f>
        <v>0</v>
      </c>
      <c r="G38" s="689">
        <f>IF(Select2=1,Wood!$K40,"")</f>
        <v>0</v>
      </c>
      <c r="H38" s="699">
        <f>IF(Select2=1,Textiles!$K40,"")</f>
        <v>8.7335392077932854E-5</v>
      </c>
      <c r="I38" s="700">
        <f>Sludge!K40</f>
        <v>0</v>
      </c>
      <c r="J38" s="700" t="str">
        <f>IF(Select2=2,MSW!$K40,"")</f>
        <v/>
      </c>
      <c r="K38" s="700">
        <f>Industry!$K40</f>
        <v>0</v>
      </c>
      <c r="L38" s="701">
        <f t="shared" si="3"/>
        <v>1.7975073908668239E-2</v>
      </c>
      <c r="M38" s="702">
        <f>Recovery_OX!C33</f>
        <v>0</v>
      </c>
      <c r="N38" s="652"/>
      <c r="O38" s="703">
        <f>(L38-M38)*(1-Recovery_OX!F33)</f>
        <v>1.7975073908668239E-2</v>
      </c>
      <c r="P38" s="643"/>
      <c r="Q38" s="654"/>
      <c r="S38" s="697">
        <f t="shared" si="2"/>
        <v>2021</v>
      </c>
      <c r="T38" s="698">
        <f>IF(Select2=1,Food!$W40,"")</f>
        <v>2.1541776223284684E-2</v>
      </c>
      <c r="U38" s="699">
        <f>IF(Select2=1,Paper!$W40,"")</f>
        <v>0.15183626425860811</v>
      </c>
      <c r="V38" s="689">
        <f>IF(Select2=1,Nappies!$W40,"")</f>
        <v>0</v>
      </c>
      <c r="W38" s="699">
        <f>IF(Select2=1,Garden!$W40,"")</f>
        <v>0</v>
      </c>
      <c r="X38" s="689">
        <f>IF(Select2=1,Wood!$W40,"")</f>
        <v>0</v>
      </c>
      <c r="Y38" s="699">
        <f>IF(Select2=1,Textiles!$W40,"")</f>
        <v>5.7426011229325721E-3</v>
      </c>
      <c r="Z38" s="691">
        <f>Sludge!W40</f>
        <v>0</v>
      </c>
      <c r="AA38" s="691" t="str">
        <f>IF(Select2=2,MSW!$W40,"")</f>
        <v/>
      </c>
      <c r="AB38" s="700">
        <f>Industry!$W40</f>
        <v>0</v>
      </c>
      <c r="AC38" s="701">
        <f t="shared" si="0"/>
        <v>0.17912064160482535</v>
      </c>
      <c r="AD38" s="702">
        <f>Recovery_OX!R33</f>
        <v>0</v>
      </c>
      <c r="AE38" s="652"/>
      <c r="AF38" s="704">
        <f>(AC38-AD38)*(1-Recovery_OX!U33)</f>
        <v>0.17912064160482535</v>
      </c>
    </row>
    <row r="39" spans="2:32">
      <c r="B39" s="697">
        <f t="shared" si="1"/>
        <v>2022</v>
      </c>
      <c r="C39" s="698">
        <f>IF(Select2=1,Food!$K41,"")</f>
        <v>6.9860160870799728E-3</v>
      </c>
      <c r="D39" s="699">
        <f>IF(Select2=1,Paper!$K41,"")</f>
        <v>4.3603927885158449E-3</v>
      </c>
      <c r="E39" s="689">
        <f>IF(Select2=1,Nappies!$K41,"")</f>
        <v>2.3532091659735897E-3</v>
      </c>
      <c r="F39" s="699">
        <f>IF(Select2=1,Garden!$K41,"")</f>
        <v>0</v>
      </c>
      <c r="G39" s="689">
        <f>IF(Select2=1,Wood!$K41,"")</f>
        <v>0</v>
      </c>
      <c r="H39" s="699">
        <f>IF(Select2=1,Textiles!$K41,"")</f>
        <v>8.143097983252749E-5</v>
      </c>
      <c r="I39" s="700">
        <f>Sludge!K41</f>
        <v>0</v>
      </c>
      <c r="J39" s="700" t="str">
        <f>IF(Select2=2,MSW!$K41,"")</f>
        <v/>
      </c>
      <c r="K39" s="700">
        <f>Industry!$K41</f>
        <v>0</v>
      </c>
      <c r="L39" s="701">
        <f t="shared" si="3"/>
        <v>1.3781049021401934E-2</v>
      </c>
      <c r="M39" s="702">
        <f>Recovery_OX!C34</f>
        <v>0</v>
      </c>
      <c r="N39" s="652"/>
      <c r="O39" s="703">
        <f>(L39-M39)*(1-Recovery_OX!F34)</f>
        <v>1.3781049021401934E-2</v>
      </c>
      <c r="P39" s="643"/>
      <c r="Q39" s="654"/>
      <c r="S39" s="697">
        <f t="shared" si="2"/>
        <v>2022</v>
      </c>
      <c r="T39" s="698">
        <f>IF(Select2=1,Food!$W41,"")</f>
        <v>1.4439884429681631E-2</v>
      </c>
      <c r="U39" s="699">
        <f>IF(Select2=1,Paper!$W41,"")</f>
        <v>0.14157119443233263</v>
      </c>
      <c r="V39" s="689">
        <f>IF(Select2=1,Nappies!$W41,"")</f>
        <v>0</v>
      </c>
      <c r="W39" s="699">
        <f>IF(Select2=1,Garden!$W41,"")</f>
        <v>0</v>
      </c>
      <c r="X39" s="689">
        <f>IF(Select2=1,Wood!$W41,"")</f>
        <v>0</v>
      </c>
      <c r="Y39" s="699">
        <f>IF(Select2=1,Textiles!$W41,"")</f>
        <v>5.3543657972072896E-3</v>
      </c>
      <c r="Z39" s="691">
        <f>Sludge!W41</f>
        <v>0</v>
      </c>
      <c r="AA39" s="691" t="str">
        <f>IF(Select2=2,MSW!$W41,"")</f>
        <v/>
      </c>
      <c r="AB39" s="700">
        <f>Industry!$W41</f>
        <v>0</v>
      </c>
      <c r="AC39" s="701">
        <f t="shared" si="0"/>
        <v>0.16136544465922156</v>
      </c>
      <c r="AD39" s="702">
        <f>Recovery_OX!R34</f>
        <v>0</v>
      </c>
      <c r="AE39" s="652"/>
      <c r="AF39" s="704">
        <f>(AC39-AD39)*(1-Recovery_OX!U34)</f>
        <v>0.16136544465922156</v>
      </c>
    </row>
    <row r="40" spans="2:32">
      <c r="B40" s="697">
        <f t="shared" si="1"/>
        <v>2023</v>
      </c>
      <c r="C40" s="698">
        <f>IF(Select2=1,Food!$K42,"")</f>
        <v>4.6828666250971641E-3</v>
      </c>
      <c r="D40" s="699">
        <f>IF(Select2=1,Paper!$K42,"")</f>
        <v>4.0656032883746376E-3</v>
      </c>
      <c r="E40" s="689">
        <f>IF(Select2=1,Nappies!$K42,"")</f>
        <v>1.9853197794240376E-3</v>
      </c>
      <c r="F40" s="699">
        <f>IF(Select2=1,Garden!$K42,"")</f>
        <v>0</v>
      </c>
      <c r="G40" s="689">
        <f>IF(Select2=1,Wood!$K42,"")</f>
        <v>0</v>
      </c>
      <c r="H40" s="699">
        <f>IF(Select2=1,Textiles!$K42,"")</f>
        <v>7.5925742344734555E-5</v>
      </c>
      <c r="I40" s="700">
        <f>Sludge!K42</f>
        <v>0</v>
      </c>
      <c r="J40" s="700" t="str">
        <f>IF(Select2=2,MSW!$K42,"")</f>
        <v/>
      </c>
      <c r="K40" s="700">
        <f>Industry!$K42</f>
        <v>0</v>
      </c>
      <c r="L40" s="701">
        <f t="shared" si="3"/>
        <v>1.0809715435240574E-2</v>
      </c>
      <c r="M40" s="702">
        <f>Recovery_OX!C35</f>
        <v>0</v>
      </c>
      <c r="N40" s="652"/>
      <c r="O40" s="703">
        <f>(L40-M40)*(1-Recovery_OX!F35)</f>
        <v>1.0809715435240574E-2</v>
      </c>
      <c r="P40" s="643"/>
      <c r="Q40" s="654"/>
      <c r="S40" s="697">
        <f t="shared" si="2"/>
        <v>2023</v>
      </c>
      <c r="T40" s="698">
        <f>IF(Select2=1,Food!$W42,"")</f>
        <v>9.6793439956535023E-3</v>
      </c>
      <c r="U40" s="699">
        <f>IF(Select2=1,Paper!$W42,"")</f>
        <v>0.13200010676541032</v>
      </c>
      <c r="V40" s="689">
        <f>IF(Select2=1,Nappies!$W42,"")</f>
        <v>0</v>
      </c>
      <c r="W40" s="699">
        <f>IF(Select2=1,Garden!$W42,"")</f>
        <v>0</v>
      </c>
      <c r="X40" s="689">
        <f>IF(Select2=1,Wood!$W42,"")</f>
        <v>0</v>
      </c>
      <c r="Y40" s="699">
        <f>IF(Select2=1,Textiles!$W42,"")</f>
        <v>4.9923775788318619E-3</v>
      </c>
      <c r="Z40" s="691">
        <f>Sludge!W42</f>
        <v>0</v>
      </c>
      <c r="AA40" s="691" t="str">
        <f>IF(Select2=2,MSW!$W42,"")</f>
        <v/>
      </c>
      <c r="AB40" s="700">
        <f>Industry!$W42</f>
        <v>0</v>
      </c>
      <c r="AC40" s="701">
        <f t="shared" si="0"/>
        <v>0.1466718283398957</v>
      </c>
      <c r="AD40" s="702">
        <f>Recovery_OX!R35</f>
        <v>0</v>
      </c>
      <c r="AE40" s="652"/>
      <c r="AF40" s="704">
        <f>(AC40-AD40)*(1-Recovery_OX!U35)</f>
        <v>0.1466718283398957</v>
      </c>
    </row>
    <row r="41" spans="2:32">
      <c r="B41" s="697">
        <f t="shared" si="1"/>
        <v>2024</v>
      </c>
      <c r="C41" s="698">
        <f>IF(Select2=1,Food!$K43,"")</f>
        <v>3.1390193717138895E-3</v>
      </c>
      <c r="D41" s="699">
        <f>IF(Select2=1,Paper!$K43,"")</f>
        <v>3.7907433802698135E-3</v>
      </c>
      <c r="E41" s="689">
        <f>IF(Select2=1,Nappies!$K43,"")</f>
        <v>1.6749444475929534E-3</v>
      </c>
      <c r="F41" s="699">
        <f>IF(Select2=1,Garden!$K43,"")</f>
        <v>0</v>
      </c>
      <c r="G41" s="689">
        <f>IF(Select2=1,Wood!$K43,"")</f>
        <v>0</v>
      </c>
      <c r="H41" s="699">
        <f>IF(Select2=1,Textiles!$K43,"")</f>
        <v>7.0792692934001854E-5</v>
      </c>
      <c r="I41" s="700">
        <f>Sludge!K43</f>
        <v>0</v>
      </c>
      <c r="J41" s="700" t="str">
        <f>IF(Select2=2,MSW!$K43,"")</f>
        <v/>
      </c>
      <c r="K41" s="700">
        <f>Industry!$K43</f>
        <v>0</v>
      </c>
      <c r="L41" s="701">
        <f t="shared" si="3"/>
        <v>8.6754998925106588E-3</v>
      </c>
      <c r="M41" s="702">
        <f>Recovery_OX!C36</f>
        <v>0</v>
      </c>
      <c r="N41" s="652"/>
      <c r="O41" s="703">
        <f>(L41-M41)*(1-Recovery_OX!F36)</f>
        <v>8.6754998925106588E-3</v>
      </c>
      <c r="P41" s="643"/>
      <c r="Q41" s="654"/>
      <c r="S41" s="697">
        <f t="shared" si="2"/>
        <v>2024</v>
      </c>
      <c r="T41" s="698">
        <f>IF(Select2=1,Food!$W43,"")</f>
        <v>6.4882583127612451E-3</v>
      </c>
      <c r="U41" s="699">
        <f>IF(Select2=1,Paper!$W43,"")</f>
        <v>0.12307608377499393</v>
      </c>
      <c r="V41" s="689">
        <f>IF(Select2=1,Nappies!$W43,"")</f>
        <v>0</v>
      </c>
      <c r="W41" s="699">
        <f>IF(Select2=1,Garden!$W43,"")</f>
        <v>0</v>
      </c>
      <c r="X41" s="689">
        <f>IF(Select2=1,Wood!$W43,"")</f>
        <v>0</v>
      </c>
      <c r="Y41" s="699">
        <f>IF(Select2=1,Textiles!$W43,"")</f>
        <v>4.6548620011398496E-3</v>
      </c>
      <c r="Z41" s="691">
        <f>Sludge!W43</f>
        <v>0</v>
      </c>
      <c r="AA41" s="691" t="str">
        <f>IF(Select2=2,MSW!$W43,"")</f>
        <v/>
      </c>
      <c r="AB41" s="700">
        <f>Industry!$W43</f>
        <v>0</v>
      </c>
      <c r="AC41" s="701">
        <f t="shared" si="0"/>
        <v>0.13421920408889504</v>
      </c>
      <c r="AD41" s="702">
        <f>Recovery_OX!R36</f>
        <v>0</v>
      </c>
      <c r="AE41" s="652"/>
      <c r="AF41" s="704">
        <f>(AC41-AD41)*(1-Recovery_OX!U36)</f>
        <v>0.13421920408889504</v>
      </c>
    </row>
    <row r="42" spans="2:32">
      <c r="B42" s="697">
        <f t="shared" si="1"/>
        <v>2025</v>
      </c>
      <c r="C42" s="698">
        <f>IF(Select2=1,Food!$K44,"")</f>
        <v>2.1041476097540183E-3</v>
      </c>
      <c r="D42" s="699">
        <f>IF(Select2=1,Paper!$K44,"")</f>
        <v>3.5344657006129579E-3</v>
      </c>
      <c r="E42" s="689">
        <f>IF(Select2=1,Nappies!$K44,"")</f>
        <v>1.4130917001876401E-3</v>
      </c>
      <c r="F42" s="699">
        <f>IF(Select2=1,Garden!$K44,"")</f>
        <v>0</v>
      </c>
      <c r="G42" s="689">
        <f>IF(Select2=1,Wood!$K44,"")</f>
        <v>0</v>
      </c>
      <c r="H42" s="699">
        <f>IF(Select2=1,Textiles!$K44,"")</f>
        <v>6.600666938616281E-5</v>
      </c>
      <c r="I42" s="700">
        <f>Sludge!K44</f>
        <v>0</v>
      </c>
      <c r="J42" s="700" t="str">
        <f>IF(Select2=2,MSW!$K44,"")</f>
        <v/>
      </c>
      <c r="K42" s="700">
        <f>Industry!$K44</f>
        <v>0</v>
      </c>
      <c r="L42" s="701">
        <f t="shared" si="3"/>
        <v>7.1177116799407796E-3</v>
      </c>
      <c r="M42" s="702">
        <f>Recovery_OX!C37</f>
        <v>0</v>
      </c>
      <c r="N42" s="652"/>
      <c r="O42" s="703">
        <f>(L42-M42)*(1-Recovery_OX!F37)</f>
        <v>7.1177116799407796E-3</v>
      </c>
      <c r="P42" s="643"/>
      <c r="Q42" s="654"/>
      <c r="S42" s="697">
        <f t="shared" si="2"/>
        <v>2025</v>
      </c>
      <c r="T42" s="698">
        <f>IF(Select2=1,Food!$W44,"")</f>
        <v>4.3492096109012373E-3</v>
      </c>
      <c r="U42" s="699">
        <f>IF(Select2=1,Paper!$W44,"")</f>
        <v>0.11475537989003111</v>
      </c>
      <c r="V42" s="689">
        <f>IF(Select2=1,Nappies!$W44,"")</f>
        <v>0</v>
      </c>
      <c r="W42" s="699">
        <f>IF(Select2=1,Garden!$W44,"")</f>
        <v>0</v>
      </c>
      <c r="X42" s="689">
        <f>IF(Select2=1,Wood!$W44,"")</f>
        <v>0</v>
      </c>
      <c r="Y42" s="699">
        <f>IF(Select2=1,Textiles!$W44,"")</f>
        <v>4.3401645623778306E-3</v>
      </c>
      <c r="Z42" s="691">
        <f>Sludge!W44</f>
        <v>0</v>
      </c>
      <c r="AA42" s="691" t="str">
        <f>IF(Select2=2,MSW!$W44,"")</f>
        <v/>
      </c>
      <c r="AB42" s="700">
        <f>Industry!$W44</f>
        <v>0</v>
      </c>
      <c r="AC42" s="701">
        <f t="shared" si="0"/>
        <v>0.12344475406331018</v>
      </c>
      <c r="AD42" s="702">
        <f>Recovery_OX!R37</f>
        <v>0</v>
      </c>
      <c r="AE42" s="652"/>
      <c r="AF42" s="704">
        <f>(AC42-AD42)*(1-Recovery_OX!U37)</f>
        <v>0.12344475406331018</v>
      </c>
    </row>
    <row r="43" spans="2:32">
      <c r="B43" s="697">
        <f t="shared" si="1"/>
        <v>2026</v>
      </c>
      <c r="C43" s="698">
        <f>IF(Select2=1,Food!$K45,"")</f>
        <v>1.410452322636094E-3</v>
      </c>
      <c r="D43" s="699">
        <f>IF(Select2=1,Paper!$K45,"")</f>
        <v>3.2955139759210696E-3</v>
      </c>
      <c r="E43" s="689">
        <f>IF(Select2=1,Nappies!$K45,"")</f>
        <v>1.1921757500726775E-3</v>
      </c>
      <c r="F43" s="699">
        <f>IF(Select2=1,Garden!$K45,"")</f>
        <v>0</v>
      </c>
      <c r="G43" s="689">
        <f>IF(Select2=1,Wood!$K45,"")</f>
        <v>0</v>
      </c>
      <c r="H43" s="699">
        <f>IF(Select2=1,Textiles!$K45,"")</f>
        <v>6.1544210608233373E-5</v>
      </c>
      <c r="I43" s="700">
        <f>Sludge!K45</f>
        <v>0</v>
      </c>
      <c r="J43" s="700" t="str">
        <f>IF(Select2=2,MSW!$K45,"")</f>
        <v/>
      </c>
      <c r="K43" s="700">
        <f>Industry!$K45</f>
        <v>0</v>
      </c>
      <c r="L43" s="701">
        <f t="shared" si="3"/>
        <v>5.9596862592380751E-3</v>
      </c>
      <c r="M43" s="702">
        <f>Recovery_OX!C38</f>
        <v>0</v>
      </c>
      <c r="N43" s="652"/>
      <c r="O43" s="703">
        <f>(L43-M43)*(1-Recovery_OX!F38)</f>
        <v>5.9596862592380751E-3</v>
      </c>
      <c r="P43" s="643"/>
      <c r="Q43" s="654"/>
      <c r="S43" s="697">
        <f t="shared" si="2"/>
        <v>2026</v>
      </c>
      <c r="T43" s="698">
        <f>IF(Select2=1,Food!$W45,"")</f>
        <v>2.9153623865979623E-3</v>
      </c>
      <c r="U43" s="699">
        <f>IF(Select2=1,Paper!$W45,"")</f>
        <v>0.10699720701042433</v>
      </c>
      <c r="V43" s="689">
        <f>IF(Select2=1,Nappies!$W45,"")</f>
        <v>0</v>
      </c>
      <c r="W43" s="699">
        <f>IF(Select2=1,Garden!$W45,"")</f>
        <v>0</v>
      </c>
      <c r="X43" s="689">
        <f>IF(Select2=1,Wood!$W45,"")</f>
        <v>0</v>
      </c>
      <c r="Y43" s="699">
        <f>IF(Select2=1,Textiles!$W45,"")</f>
        <v>4.0467426153358941E-3</v>
      </c>
      <c r="Z43" s="691">
        <f>Sludge!W45</f>
        <v>0</v>
      </c>
      <c r="AA43" s="691" t="str">
        <f>IF(Select2=2,MSW!$W45,"")</f>
        <v/>
      </c>
      <c r="AB43" s="700">
        <f>Industry!$W45</f>
        <v>0</v>
      </c>
      <c r="AC43" s="701">
        <f t="shared" si="0"/>
        <v>0.11395931201235819</v>
      </c>
      <c r="AD43" s="702">
        <f>Recovery_OX!R38</f>
        <v>0</v>
      </c>
      <c r="AE43" s="652"/>
      <c r="AF43" s="704">
        <f>(AC43-AD43)*(1-Recovery_OX!U38)</f>
        <v>0.11395931201235819</v>
      </c>
    </row>
    <row r="44" spans="2:32">
      <c r="B44" s="697">
        <f t="shared" si="1"/>
        <v>2027</v>
      </c>
      <c r="C44" s="698">
        <f>IF(Select2=1,Food!$K46,"")</f>
        <v>9.4545446584050103E-4</v>
      </c>
      <c r="D44" s="699">
        <f>IF(Select2=1,Paper!$K46,"")</f>
        <v>3.0727168645624855E-3</v>
      </c>
      <c r="E44" s="689">
        <f>IF(Select2=1,Nappies!$K46,"")</f>
        <v>1.0057967355357217E-3</v>
      </c>
      <c r="F44" s="699">
        <f>IF(Select2=1,Garden!$K46,"")</f>
        <v>0</v>
      </c>
      <c r="G44" s="689">
        <f>IF(Select2=1,Wood!$K46,"")</f>
        <v>0</v>
      </c>
      <c r="H44" s="699">
        <f>IF(Select2=1,Textiles!$K46,"")</f>
        <v>5.7383441622106888E-5</v>
      </c>
      <c r="I44" s="700">
        <f>Sludge!K46</f>
        <v>0</v>
      </c>
      <c r="J44" s="700" t="str">
        <f>IF(Select2=2,MSW!$K46,"")</f>
        <v/>
      </c>
      <c r="K44" s="700">
        <f>Industry!$K46</f>
        <v>0</v>
      </c>
      <c r="L44" s="701">
        <f t="shared" si="3"/>
        <v>5.081351507560815E-3</v>
      </c>
      <c r="M44" s="702">
        <f>Recovery_OX!C39</f>
        <v>0</v>
      </c>
      <c r="N44" s="652"/>
      <c r="O44" s="703">
        <f>(L44-M44)*(1-Recovery_OX!F39)</f>
        <v>5.081351507560815E-3</v>
      </c>
      <c r="P44" s="643"/>
      <c r="Q44" s="654"/>
      <c r="S44" s="697">
        <f t="shared" si="2"/>
        <v>2027</v>
      </c>
      <c r="T44" s="698">
        <f>IF(Select2=1,Food!$W46,"")</f>
        <v>1.9542258491949175E-3</v>
      </c>
      <c r="U44" s="699">
        <f>IF(Select2=1,Paper!$W46,"")</f>
        <v>9.976353456371706E-2</v>
      </c>
      <c r="V44" s="689">
        <f>IF(Select2=1,Nappies!$W46,"")</f>
        <v>0</v>
      </c>
      <c r="W44" s="699">
        <f>IF(Select2=1,Garden!$W46,"")</f>
        <v>0</v>
      </c>
      <c r="X44" s="689">
        <f>IF(Select2=1,Wood!$W46,"")</f>
        <v>0</v>
      </c>
      <c r="Y44" s="699">
        <f>IF(Select2=1,Textiles!$W46,"")</f>
        <v>3.7731578052892221E-3</v>
      </c>
      <c r="Z44" s="691">
        <f>Sludge!W46</f>
        <v>0</v>
      </c>
      <c r="AA44" s="691" t="str">
        <f>IF(Select2=2,MSW!$W46,"")</f>
        <v/>
      </c>
      <c r="AB44" s="700">
        <f>Industry!$W46</f>
        <v>0</v>
      </c>
      <c r="AC44" s="701">
        <f t="shared" si="0"/>
        <v>0.1054909182182012</v>
      </c>
      <c r="AD44" s="702">
        <f>Recovery_OX!R39</f>
        <v>0</v>
      </c>
      <c r="AE44" s="652"/>
      <c r="AF44" s="704">
        <f>(AC44-AD44)*(1-Recovery_OX!U39)</f>
        <v>0.1054909182182012</v>
      </c>
    </row>
    <row r="45" spans="2:32">
      <c r="B45" s="697">
        <f t="shared" si="1"/>
        <v>2028</v>
      </c>
      <c r="C45" s="698">
        <f>IF(Select2=1,Food!$K47,"")</f>
        <v>6.3375708106680538E-4</v>
      </c>
      <c r="D45" s="699">
        <f>IF(Select2=1,Paper!$K47,"")</f>
        <v>2.8649822148388441E-3</v>
      </c>
      <c r="E45" s="689">
        <f>IF(Select2=1,Nappies!$K47,"")</f>
        <v>8.4855531841898613E-4</v>
      </c>
      <c r="F45" s="699">
        <f>IF(Select2=1,Garden!$K47,"")</f>
        <v>0</v>
      </c>
      <c r="G45" s="689">
        <f>IF(Select2=1,Wood!$K47,"")</f>
        <v>0</v>
      </c>
      <c r="H45" s="699">
        <f>IF(Select2=1,Textiles!$K47,"")</f>
        <v>5.3503966333386227E-5</v>
      </c>
      <c r="I45" s="700">
        <f>Sludge!K47</f>
        <v>0</v>
      </c>
      <c r="J45" s="700" t="str">
        <f>IF(Select2=2,MSW!$K47,"")</f>
        <v/>
      </c>
      <c r="K45" s="700">
        <f>Industry!$K47</f>
        <v>0</v>
      </c>
      <c r="L45" s="701">
        <f t="shared" si="3"/>
        <v>4.4007985806580226E-3</v>
      </c>
      <c r="M45" s="702">
        <f>Recovery_OX!C40</f>
        <v>0</v>
      </c>
      <c r="N45" s="652"/>
      <c r="O45" s="703">
        <f>(L45-M45)*(1-Recovery_OX!F40)</f>
        <v>4.4007985806580226E-3</v>
      </c>
      <c r="P45" s="643"/>
      <c r="Q45" s="654"/>
      <c r="S45" s="697">
        <f t="shared" si="2"/>
        <v>2028</v>
      </c>
      <c r="T45" s="698">
        <f>IF(Select2=1,Food!$W47,"")</f>
        <v>1.3099567611963734E-3</v>
      </c>
      <c r="U45" s="699">
        <f>IF(Select2=1,Paper!$W47,"")</f>
        <v>9.3018903079183229E-2</v>
      </c>
      <c r="V45" s="689">
        <f>IF(Select2=1,Nappies!$W47,"")</f>
        <v>0</v>
      </c>
      <c r="W45" s="699">
        <f>IF(Select2=1,Garden!$W47,"")</f>
        <v>0</v>
      </c>
      <c r="X45" s="689">
        <f>IF(Select2=1,Wood!$W47,"")</f>
        <v>0</v>
      </c>
      <c r="Y45" s="699">
        <f>IF(Select2=1,Textiles!$W47,"")</f>
        <v>3.5180690191815617E-3</v>
      </c>
      <c r="Z45" s="691">
        <f>Sludge!W47</f>
        <v>0</v>
      </c>
      <c r="AA45" s="691" t="str">
        <f>IF(Select2=2,MSW!$W47,"")</f>
        <v/>
      </c>
      <c r="AB45" s="700">
        <f>Industry!$W47</f>
        <v>0</v>
      </c>
      <c r="AC45" s="701">
        <f t="shared" si="0"/>
        <v>9.7846928859561158E-2</v>
      </c>
      <c r="AD45" s="702">
        <f>Recovery_OX!R40</f>
        <v>0</v>
      </c>
      <c r="AE45" s="652"/>
      <c r="AF45" s="704">
        <f>(AC45-AD45)*(1-Recovery_OX!U40)</f>
        <v>9.7846928859561158E-2</v>
      </c>
    </row>
    <row r="46" spans="2:32">
      <c r="B46" s="697">
        <f t="shared" si="1"/>
        <v>2029</v>
      </c>
      <c r="C46" s="698">
        <f>IF(Select2=1,Food!$K48,"")</f>
        <v>4.2482007575611342E-4</v>
      </c>
      <c r="D46" s="699">
        <f>IF(Select2=1,Paper!$K48,"")</f>
        <v>2.6712917112561938E-3</v>
      </c>
      <c r="E46" s="689">
        <f>IF(Select2=1,Nappies!$K48,"")</f>
        <v>7.1589626708583982E-4</v>
      </c>
      <c r="F46" s="699">
        <f>IF(Select2=1,Garden!$K48,"")</f>
        <v>0</v>
      </c>
      <c r="G46" s="689">
        <f>IF(Select2=1,Wood!$K48,"")</f>
        <v>0</v>
      </c>
      <c r="H46" s="699">
        <f>IF(Select2=1,Textiles!$K48,"")</f>
        <v>4.9886767549705241E-5</v>
      </c>
      <c r="I46" s="700">
        <f>Sludge!K48</f>
        <v>0</v>
      </c>
      <c r="J46" s="700" t="str">
        <f>IF(Select2=2,MSW!$K48,"")</f>
        <v/>
      </c>
      <c r="K46" s="700">
        <f>Industry!$K48</f>
        <v>0</v>
      </c>
      <c r="L46" s="701">
        <f t="shared" si="3"/>
        <v>3.861894821647852E-3</v>
      </c>
      <c r="M46" s="702">
        <f>Recovery_OX!C41</f>
        <v>0</v>
      </c>
      <c r="N46" s="652"/>
      <c r="O46" s="703">
        <f>(L46-M46)*(1-Recovery_OX!F41)</f>
        <v>3.861894821647852E-3</v>
      </c>
      <c r="P46" s="643"/>
      <c r="Q46" s="654"/>
      <c r="S46" s="697">
        <f t="shared" si="2"/>
        <v>2029</v>
      </c>
      <c r="T46" s="698">
        <f>IF(Select2=1,Food!$W48,"")</f>
        <v>8.7809027646984993E-4</v>
      </c>
      <c r="U46" s="699">
        <f>IF(Select2=1,Paper!$W48,"")</f>
        <v>8.6730250365460837E-2</v>
      </c>
      <c r="V46" s="689">
        <f>IF(Select2=1,Nappies!$W48,"")</f>
        <v>0</v>
      </c>
      <c r="W46" s="699">
        <f>IF(Select2=1,Garden!$W48,"")</f>
        <v>0</v>
      </c>
      <c r="X46" s="689">
        <f>IF(Select2=1,Wood!$W48,"")</f>
        <v>0</v>
      </c>
      <c r="Y46" s="699">
        <f>IF(Select2=1,Textiles!$W48,"")</f>
        <v>3.2802258114874691E-3</v>
      </c>
      <c r="Z46" s="691">
        <f>Sludge!W48</f>
        <v>0</v>
      </c>
      <c r="AA46" s="691" t="str">
        <f>IF(Select2=2,MSW!$W48,"")</f>
        <v/>
      </c>
      <c r="AB46" s="700">
        <f>Industry!$W48</f>
        <v>0</v>
      </c>
      <c r="AC46" s="701">
        <f t="shared" si="0"/>
        <v>9.0888566453418154E-2</v>
      </c>
      <c r="AD46" s="702">
        <f>Recovery_OX!R41</f>
        <v>0</v>
      </c>
      <c r="AE46" s="652"/>
      <c r="AF46" s="704">
        <f>(AC46-AD46)*(1-Recovery_OX!U41)</f>
        <v>9.0888566453418154E-2</v>
      </c>
    </row>
    <row r="47" spans="2:32">
      <c r="B47" s="697">
        <f t="shared" si="1"/>
        <v>2030</v>
      </c>
      <c r="C47" s="698">
        <f>IF(Select2=1,Food!$K49,"")</f>
        <v>2.8476541273770174E-4</v>
      </c>
      <c r="D47" s="699">
        <f>IF(Select2=1,Paper!$K49,"")</f>
        <v>2.4906958827412601E-3</v>
      </c>
      <c r="E47" s="689">
        <f>IF(Select2=1,Nappies!$K49,"")</f>
        <v>6.0397649287301084E-4</v>
      </c>
      <c r="F47" s="699">
        <f>IF(Select2=1,Garden!$K49,"")</f>
        <v>0</v>
      </c>
      <c r="G47" s="689">
        <f>IF(Select2=1,Wood!$K49,"")</f>
        <v>0</v>
      </c>
      <c r="H47" s="699">
        <f>IF(Select2=1,Textiles!$K49,"")</f>
        <v>4.6514113758429768E-5</v>
      </c>
      <c r="I47" s="700">
        <f>Sludge!K49</f>
        <v>0</v>
      </c>
      <c r="J47" s="700" t="str">
        <f>IF(Select2=2,MSW!$K49,"")</f>
        <v/>
      </c>
      <c r="K47" s="700">
        <f>Industry!$K49</f>
        <v>0</v>
      </c>
      <c r="L47" s="701">
        <f t="shared" si="3"/>
        <v>3.4259519021104029E-3</v>
      </c>
      <c r="M47" s="702">
        <f>Recovery_OX!C42</f>
        <v>0</v>
      </c>
      <c r="N47" s="652"/>
      <c r="O47" s="703">
        <f>(L47-M47)*(1-Recovery_OX!F42)</f>
        <v>3.4259519021104029E-3</v>
      </c>
      <c r="P47" s="643"/>
      <c r="Q47" s="654"/>
      <c r="S47" s="697">
        <f t="shared" si="2"/>
        <v>2030</v>
      </c>
      <c r="T47" s="698">
        <f>IF(Select2=1,Food!$W49,"")</f>
        <v>5.8860151454671709E-4</v>
      </c>
      <c r="U47" s="699">
        <f>IF(Select2=1,Paper!$W49,"")</f>
        <v>8.0866749439651289E-2</v>
      </c>
      <c r="V47" s="689">
        <f>IF(Select2=1,Nappies!$W49,"")</f>
        <v>0</v>
      </c>
      <c r="W47" s="699">
        <f>IF(Select2=1,Garden!$W49,"")</f>
        <v>0</v>
      </c>
      <c r="X47" s="689">
        <f>IF(Select2=1,Wood!$W49,"")</f>
        <v>0</v>
      </c>
      <c r="Y47" s="699">
        <f>IF(Select2=1,Textiles!$W49,"")</f>
        <v>3.0584622745268909E-3</v>
      </c>
      <c r="Z47" s="691">
        <f>Sludge!W49</f>
        <v>0</v>
      </c>
      <c r="AA47" s="691" t="str">
        <f>IF(Select2=2,MSW!$W49,"")</f>
        <v/>
      </c>
      <c r="AB47" s="700">
        <f>Industry!$W49</f>
        <v>0</v>
      </c>
      <c r="AC47" s="701">
        <f t="shared" si="0"/>
        <v>8.4513813228724893E-2</v>
      </c>
      <c r="AD47" s="702">
        <f>Recovery_OX!R42</f>
        <v>0</v>
      </c>
      <c r="AE47" s="652"/>
      <c r="AF47" s="704">
        <f>(AC47-AD47)*(1-Recovery_OX!U42)</f>
        <v>8.4513813228724893E-2</v>
      </c>
    </row>
    <row r="48" spans="2:32">
      <c r="B48" s="697">
        <f t="shared" si="1"/>
        <v>2031</v>
      </c>
      <c r="C48" s="698">
        <f>IF(Select2=1,Food!$K50,"")</f>
        <v>1.9088396457569407E-4</v>
      </c>
      <c r="D48" s="699">
        <f>IF(Select2=1,Paper!$K50,"")</f>
        <v>2.3223094483331413E-3</v>
      </c>
      <c r="E48" s="689">
        <f>IF(Select2=1,Nappies!$K50,"")</f>
        <v>5.0955371708823573E-4</v>
      </c>
      <c r="F48" s="699">
        <f>IF(Select2=1,Garden!$K50,"")</f>
        <v>0</v>
      </c>
      <c r="G48" s="689">
        <f>IF(Select2=1,Wood!$K50,"")</f>
        <v>0</v>
      </c>
      <c r="H48" s="699">
        <f>IF(Select2=1,Textiles!$K50,"")</f>
        <v>4.3369472206762161E-5</v>
      </c>
      <c r="I48" s="700">
        <f>Sludge!K50</f>
        <v>0</v>
      </c>
      <c r="J48" s="700" t="str">
        <f>IF(Select2=2,MSW!$K50,"")</f>
        <v/>
      </c>
      <c r="K48" s="700">
        <f>Industry!$K50</f>
        <v>0</v>
      </c>
      <c r="L48" s="701">
        <f t="shared" si="3"/>
        <v>3.0661166022038335E-3</v>
      </c>
      <c r="M48" s="702">
        <f>Recovery_OX!C43</f>
        <v>0</v>
      </c>
      <c r="N48" s="652"/>
      <c r="O48" s="703">
        <f>(L48-M48)*(1-Recovery_OX!F43)</f>
        <v>3.0661166022038335E-3</v>
      </c>
      <c r="P48" s="643"/>
      <c r="Q48" s="654"/>
      <c r="S48" s="697">
        <f t="shared" si="2"/>
        <v>2031</v>
      </c>
      <c r="T48" s="698">
        <f>IF(Select2=1,Food!$W50,"")</f>
        <v>3.9455139432760246E-4</v>
      </c>
      <c r="U48" s="699">
        <f>IF(Select2=1,Paper!$W50,"")</f>
        <v>7.5399657413413673E-2</v>
      </c>
      <c r="V48" s="689">
        <f>IF(Select2=1,Nappies!$W50,"")</f>
        <v>0</v>
      </c>
      <c r="W48" s="699">
        <f>IF(Select2=1,Garden!$W50,"")</f>
        <v>0</v>
      </c>
      <c r="X48" s="689">
        <f>IF(Select2=1,Wood!$W50,"")</f>
        <v>0</v>
      </c>
      <c r="Y48" s="699">
        <f>IF(Select2=1,Textiles!$W50,"")</f>
        <v>2.851691323184362E-3</v>
      </c>
      <c r="Z48" s="691">
        <f>Sludge!W50</f>
        <v>0</v>
      </c>
      <c r="AA48" s="691" t="str">
        <f>IF(Select2=2,MSW!$W50,"")</f>
        <v/>
      </c>
      <c r="AB48" s="700">
        <f>Industry!$W50</f>
        <v>0</v>
      </c>
      <c r="AC48" s="701">
        <f t="shared" si="0"/>
        <v>7.8645900130925636E-2</v>
      </c>
      <c r="AD48" s="702">
        <f>Recovery_OX!R43</f>
        <v>0</v>
      </c>
      <c r="AE48" s="652"/>
      <c r="AF48" s="704">
        <f>(AC48-AD48)*(1-Recovery_OX!U43)</f>
        <v>7.8645900130925636E-2</v>
      </c>
    </row>
    <row r="49" spans="2:32">
      <c r="B49" s="697">
        <f t="shared" si="1"/>
        <v>2032</v>
      </c>
      <c r="C49" s="698">
        <f>IF(Select2=1,Food!$K51,"")</f>
        <v>1.2795334792184459E-4</v>
      </c>
      <c r="D49" s="699">
        <f>IF(Select2=1,Paper!$K51,"")</f>
        <v>2.1653069775350127E-3</v>
      </c>
      <c r="E49" s="689">
        <f>IF(Select2=1,Nappies!$K51,"")</f>
        <v>4.2989254327325198E-4</v>
      </c>
      <c r="F49" s="699">
        <f>IF(Select2=1,Garden!$K51,"")</f>
        <v>0</v>
      </c>
      <c r="G49" s="689">
        <f>IF(Select2=1,Wood!$K51,"")</f>
        <v>0</v>
      </c>
      <c r="H49" s="699">
        <f>IF(Select2=1,Textiles!$K51,"")</f>
        <v>4.0437427858167826E-5</v>
      </c>
      <c r="I49" s="700">
        <f>Sludge!K51</f>
        <v>0</v>
      </c>
      <c r="J49" s="700" t="str">
        <f>IF(Select2=2,MSW!$K51,"")</f>
        <v/>
      </c>
      <c r="K49" s="700">
        <f>Industry!$K51</f>
        <v>0</v>
      </c>
      <c r="L49" s="701">
        <f t="shared" si="3"/>
        <v>2.7635902965882767E-3</v>
      </c>
      <c r="M49" s="702">
        <f>Recovery_OX!C44</f>
        <v>0</v>
      </c>
      <c r="N49" s="652"/>
      <c r="O49" s="703">
        <f>(L49-M49)*(1-Recovery_OX!F44)</f>
        <v>2.7635902965882767E-3</v>
      </c>
      <c r="P49" s="643"/>
      <c r="Q49" s="654"/>
      <c r="S49" s="697">
        <f t="shared" si="2"/>
        <v>2032</v>
      </c>
      <c r="T49" s="698">
        <f>IF(Select2=1,Food!$W51,"")</f>
        <v>2.6447570880910415E-4</v>
      </c>
      <c r="U49" s="699">
        <f>IF(Select2=1,Paper!$W51,"")</f>
        <v>7.030217459529263E-2</v>
      </c>
      <c r="V49" s="689">
        <f>IF(Select2=1,Nappies!$W51,"")</f>
        <v>0</v>
      </c>
      <c r="W49" s="699">
        <f>IF(Select2=1,Garden!$W51,"")</f>
        <v>0</v>
      </c>
      <c r="X49" s="689">
        <f>IF(Select2=1,Wood!$W51,"")</f>
        <v>0</v>
      </c>
      <c r="Y49" s="699">
        <f>IF(Select2=1,Textiles!$W51,"")</f>
        <v>2.6588993660165154E-3</v>
      </c>
      <c r="Z49" s="691">
        <f>Sludge!W51</f>
        <v>0</v>
      </c>
      <c r="AA49" s="691" t="str">
        <f>IF(Select2=2,MSW!$W51,"")</f>
        <v/>
      </c>
      <c r="AB49" s="700">
        <f>Industry!$W51</f>
        <v>0</v>
      </c>
      <c r="AC49" s="701">
        <f t="shared" ref="AC49:AC80" si="4">SUM(T49:AA49)</f>
        <v>7.3225549670118253E-2</v>
      </c>
      <c r="AD49" s="702">
        <f>Recovery_OX!R44</f>
        <v>0</v>
      </c>
      <c r="AE49" s="652"/>
      <c r="AF49" s="704">
        <f>(AC49-AD49)*(1-Recovery_OX!U44)</f>
        <v>7.3225549670118253E-2</v>
      </c>
    </row>
    <row r="50" spans="2:32">
      <c r="B50" s="697">
        <f t="shared" si="1"/>
        <v>2033</v>
      </c>
      <c r="C50" s="698">
        <f>IF(Select2=1,Food!$K52,"")</f>
        <v>8.5769694069385053E-5</v>
      </c>
      <c r="D50" s="699">
        <f>IF(Select2=1,Paper!$K52,"")</f>
        <v>2.0189188440528738E-3</v>
      </c>
      <c r="E50" s="689">
        <f>IF(Select2=1,Nappies!$K52,"")</f>
        <v>3.6268521367678109E-4</v>
      </c>
      <c r="F50" s="699">
        <f>IF(Select2=1,Garden!$K52,"")</f>
        <v>0</v>
      </c>
      <c r="G50" s="689">
        <f>IF(Select2=1,Wood!$K52,"")</f>
        <v>0</v>
      </c>
      <c r="H50" s="699">
        <f>IF(Select2=1,Textiles!$K52,"")</f>
        <v>3.770360782784831E-5</v>
      </c>
      <c r="I50" s="700">
        <f>Sludge!K52</f>
        <v>0</v>
      </c>
      <c r="J50" s="700" t="str">
        <f>IF(Select2=2,MSW!$K52,"")</f>
        <v/>
      </c>
      <c r="K50" s="700">
        <f>Industry!$K52</f>
        <v>0</v>
      </c>
      <c r="L50" s="701">
        <f t="shared" si="3"/>
        <v>2.5050773596268882E-3</v>
      </c>
      <c r="M50" s="702">
        <f>Recovery_OX!C45</f>
        <v>0</v>
      </c>
      <c r="N50" s="652"/>
      <c r="O50" s="703">
        <f>(L50-M50)*(1-Recovery_OX!F45)</f>
        <v>2.5050773596268882E-3</v>
      </c>
      <c r="P50" s="643"/>
      <c r="Q50" s="654"/>
      <c r="S50" s="697">
        <f t="shared" si="2"/>
        <v>2033</v>
      </c>
      <c r="T50" s="698">
        <f>IF(Select2=1,Food!$W52,"")</f>
        <v>1.7728336930422704E-4</v>
      </c>
      <c r="U50" s="699">
        <f>IF(Select2=1,Paper!$W52,"")</f>
        <v>6.5549313118599808E-2</v>
      </c>
      <c r="V50" s="689">
        <f>IF(Select2=1,Nappies!$W52,"")</f>
        <v>0</v>
      </c>
      <c r="W50" s="699">
        <f>IF(Select2=1,Garden!$W52,"")</f>
        <v>0</v>
      </c>
      <c r="X50" s="689">
        <f>IF(Select2=1,Wood!$W52,"")</f>
        <v>0</v>
      </c>
      <c r="Y50" s="699">
        <f>IF(Select2=1,Textiles!$W52,"")</f>
        <v>2.479141336625643E-3</v>
      </c>
      <c r="Z50" s="691">
        <f>Sludge!W52</f>
        <v>0</v>
      </c>
      <c r="AA50" s="691" t="str">
        <f>IF(Select2=2,MSW!$W52,"")</f>
        <v/>
      </c>
      <c r="AB50" s="700">
        <f>Industry!$W52</f>
        <v>0</v>
      </c>
      <c r="AC50" s="701">
        <f t="shared" si="4"/>
        <v>6.8205737824529683E-2</v>
      </c>
      <c r="AD50" s="702">
        <f>Recovery_OX!R45</f>
        <v>0</v>
      </c>
      <c r="AE50" s="652"/>
      <c r="AF50" s="704">
        <f>(AC50-AD50)*(1-Recovery_OX!U45)</f>
        <v>6.8205737824529683E-2</v>
      </c>
    </row>
    <row r="51" spans="2:32">
      <c r="B51" s="697">
        <f t="shared" si="1"/>
        <v>2034</v>
      </c>
      <c r="C51" s="698">
        <f>IF(Select2=1,Food!$K53,"")</f>
        <v>5.7493145277052886E-5</v>
      </c>
      <c r="D51" s="699">
        <f>IF(Select2=1,Paper!$K53,"")</f>
        <v>1.8824274530865608E-3</v>
      </c>
      <c r="E51" s="689">
        <f>IF(Select2=1,Nappies!$K53,"")</f>
        <v>3.0598475427884173E-4</v>
      </c>
      <c r="F51" s="699">
        <f>IF(Select2=1,Garden!$K53,"")</f>
        <v>0</v>
      </c>
      <c r="G51" s="689">
        <f>IF(Select2=1,Wood!$K53,"")</f>
        <v>0</v>
      </c>
      <c r="H51" s="699">
        <f>IF(Select2=1,Textiles!$K53,"")</f>
        <v>3.5154610926843303E-5</v>
      </c>
      <c r="I51" s="700">
        <f>Sludge!K53</f>
        <v>0</v>
      </c>
      <c r="J51" s="700" t="str">
        <f>IF(Select2=2,MSW!$K53,"")</f>
        <v/>
      </c>
      <c r="K51" s="700">
        <f>Industry!$K53</f>
        <v>0</v>
      </c>
      <c r="L51" s="701">
        <f t="shared" si="3"/>
        <v>2.2810599635692988E-3</v>
      </c>
      <c r="M51" s="702">
        <f>Recovery_OX!C46</f>
        <v>0</v>
      </c>
      <c r="N51" s="652"/>
      <c r="O51" s="703">
        <f>(L51-M51)*(1-Recovery_OX!F46)</f>
        <v>2.2810599635692988E-3</v>
      </c>
      <c r="P51" s="643"/>
      <c r="Q51" s="654"/>
      <c r="S51" s="697">
        <f t="shared" si="2"/>
        <v>2034</v>
      </c>
      <c r="T51" s="698">
        <f>IF(Select2=1,Food!$W53,"")</f>
        <v>1.1883659627336272E-4</v>
      </c>
      <c r="U51" s="699">
        <f>IF(Select2=1,Paper!$W53,"")</f>
        <v>6.1117774450862368E-2</v>
      </c>
      <c r="V51" s="689">
        <f>IF(Select2=1,Nappies!$W53,"")</f>
        <v>0</v>
      </c>
      <c r="W51" s="699">
        <f>IF(Select2=1,Garden!$W53,"")</f>
        <v>0</v>
      </c>
      <c r="X51" s="689">
        <f>IF(Select2=1,Wood!$W53,"")</f>
        <v>0</v>
      </c>
      <c r="Y51" s="699">
        <f>IF(Select2=1,Textiles!$W53,"")</f>
        <v>2.311536060943122E-3</v>
      </c>
      <c r="Z51" s="691">
        <f>Sludge!W53</f>
        <v>0</v>
      </c>
      <c r="AA51" s="691" t="str">
        <f>IF(Select2=2,MSW!$W53,"")</f>
        <v/>
      </c>
      <c r="AB51" s="700">
        <f>Industry!$W53</f>
        <v>0</v>
      </c>
      <c r="AC51" s="701">
        <f t="shared" si="4"/>
        <v>6.3548147108078851E-2</v>
      </c>
      <c r="AD51" s="702">
        <f>Recovery_OX!R46</f>
        <v>0</v>
      </c>
      <c r="AE51" s="652"/>
      <c r="AF51" s="704">
        <f>(AC51-AD51)*(1-Recovery_OX!U46)</f>
        <v>6.3548147108078851E-2</v>
      </c>
    </row>
    <row r="52" spans="2:32">
      <c r="B52" s="697">
        <f t="shared" si="1"/>
        <v>2035</v>
      </c>
      <c r="C52" s="698">
        <f>IF(Select2=1,Food!$K54,"")</f>
        <v>3.8538807788847791E-5</v>
      </c>
      <c r="D52" s="699">
        <f>IF(Select2=1,Paper!$K54,"")</f>
        <v>1.7551637236792035E-3</v>
      </c>
      <c r="E52" s="689">
        <f>IF(Select2=1,Nappies!$K54,"")</f>
        <v>2.5814857159994851E-4</v>
      </c>
      <c r="F52" s="699">
        <f>IF(Select2=1,Garden!$K54,"")</f>
        <v>0</v>
      </c>
      <c r="G52" s="689">
        <f>IF(Select2=1,Wood!$K54,"")</f>
        <v>0</v>
      </c>
      <c r="H52" s="699">
        <f>IF(Select2=1,Textiles!$K54,"")</f>
        <v>3.2777941969386811E-5</v>
      </c>
      <c r="I52" s="700">
        <f>Sludge!K54</f>
        <v>0</v>
      </c>
      <c r="J52" s="700" t="str">
        <f>IF(Select2=2,MSW!$K54,"")</f>
        <v/>
      </c>
      <c r="K52" s="700">
        <f>Industry!$K54</f>
        <v>0</v>
      </c>
      <c r="L52" s="701">
        <f t="shared" si="3"/>
        <v>2.0846290450373867E-3</v>
      </c>
      <c r="M52" s="702">
        <f>Recovery_OX!C47</f>
        <v>0</v>
      </c>
      <c r="N52" s="652"/>
      <c r="O52" s="703">
        <f>(L52-M52)*(1-Recovery_OX!F47)</f>
        <v>2.0846290450373867E-3</v>
      </c>
      <c r="P52" s="643"/>
      <c r="Q52" s="654"/>
      <c r="S52" s="697">
        <f t="shared" si="2"/>
        <v>2035</v>
      </c>
      <c r="T52" s="698">
        <f>IF(Select2=1,Food!$W54,"")</f>
        <v>7.965855268467918E-5</v>
      </c>
      <c r="U52" s="699">
        <f>IF(Select2=1,Paper!$W54,"")</f>
        <v>5.6985835184389724E-2</v>
      </c>
      <c r="V52" s="689">
        <f>IF(Select2=1,Nappies!$W54,"")</f>
        <v>0</v>
      </c>
      <c r="W52" s="699">
        <f>IF(Select2=1,Garden!$W54,"")</f>
        <v>0</v>
      </c>
      <c r="X52" s="689">
        <f>IF(Select2=1,Wood!$W54,"")</f>
        <v>0</v>
      </c>
      <c r="Y52" s="699">
        <f>IF(Select2=1,Textiles!$W54,"")</f>
        <v>2.1552619377131063E-3</v>
      </c>
      <c r="Z52" s="691">
        <f>Sludge!W54</f>
        <v>0</v>
      </c>
      <c r="AA52" s="691" t="str">
        <f>IF(Select2=2,MSW!$W54,"")</f>
        <v/>
      </c>
      <c r="AB52" s="700">
        <f>Industry!$W54</f>
        <v>0</v>
      </c>
      <c r="AC52" s="701">
        <f t="shared" si="4"/>
        <v>5.9220755674787511E-2</v>
      </c>
      <c r="AD52" s="702">
        <f>Recovery_OX!R47</f>
        <v>0</v>
      </c>
      <c r="AE52" s="652"/>
      <c r="AF52" s="704">
        <f>(AC52-AD52)*(1-Recovery_OX!U47)</f>
        <v>5.9220755674787511E-2</v>
      </c>
    </row>
    <row r="53" spans="2:32">
      <c r="B53" s="697">
        <f t="shared" si="1"/>
        <v>2036</v>
      </c>
      <c r="C53" s="698">
        <f>IF(Select2=1,Food!$K55,"")</f>
        <v>2.5833335411179108E-5</v>
      </c>
      <c r="D53" s="699">
        <f>IF(Select2=1,Paper!$K55,"")</f>
        <v>1.6365038088816009E-3</v>
      </c>
      <c r="E53" s="689">
        <f>IF(Select2=1,Nappies!$K55,"")</f>
        <v>2.17790867313489E-4</v>
      </c>
      <c r="F53" s="699">
        <f>IF(Select2=1,Garden!$K55,"")</f>
        <v>0</v>
      </c>
      <c r="G53" s="689">
        <f>IF(Select2=1,Wood!$K55,"")</f>
        <v>0</v>
      </c>
      <c r="H53" s="699">
        <f>IF(Select2=1,Textiles!$K55,"")</f>
        <v>3.056195052149207E-5</v>
      </c>
      <c r="I53" s="700">
        <f>Sludge!K55</f>
        <v>0</v>
      </c>
      <c r="J53" s="700" t="str">
        <f>IF(Select2=2,MSW!$K55,"")</f>
        <v/>
      </c>
      <c r="K53" s="700">
        <f>Industry!$K55</f>
        <v>0</v>
      </c>
      <c r="L53" s="701">
        <f t="shared" si="3"/>
        <v>1.9106899621277613E-3</v>
      </c>
      <c r="M53" s="702">
        <f>Recovery_OX!C48</f>
        <v>0</v>
      </c>
      <c r="N53" s="652"/>
      <c r="O53" s="703">
        <f>(L53-M53)*(1-Recovery_OX!F48)</f>
        <v>1.9106899621277613E-3</v>
      </c>
      <c r="P53" s="643"/>
      <c r="Q53" s="654"/>
      <c r="S53" s="697">
        <f t="shared" si="2"/>
        <v>2036</v>
      </c>
      <c r="T53" s="698">
        <f>IF(Select2=1,Food!$W55,"")</f>
        <v>5.3396724702726555E-5</v>
      </c>
      <c r="U53" s="699">
        <f>IF(Select2=1,Paper!$W55,"")</f>
        <v>5.3133240548103929E-2</v>
      </c>
      <c r="V53" s="689">
        <f>IF(Select2=1,Nappies!$W55,"")</f>
        <v>0</v>
      </c>
      <c r="W53" s="699">
        <f>IF(Select2=1,Garden!$W55,"")</f>
        <v>0</v>
      </c>
      <c r="X53" s="689">
        <f>IF(Select2=1,Wood!$W55,"")</f>
        <v>0</v>
      </c>
      <c r="Y53" s="699">
        <f>IF(Select2=1,Textiles!$W55,"")</f>
        <v>2.0095529110022189E-3</v>
      </c>
      <c r="Z53" s="691">
        <f>Sludge!W55</f>
        <v>0</v>
      </c>
      <c r="AA53" s="691" t="str">
        <f>IF(Select2=2,MSW!$W55,"")</f>
        <v/>
      </c>
      <c r="AB53" s="700">
        <f>Industry!$W55</f>
        <v>0</v>
      </c>
      <c r="AC53" s="701">
        <f t="shared" si="4"/>
        <v>5.519619018380887E-2</v>
      </c>
      <c r="AD53" s="702">
        <f>Recovery_OX!R48</f>
        <v>0</v>
      </c>
      <c r="AE53" s="652"/>
      <c r="AF53" s="704">
        <f>(AC53-AD53)*(1-Recovery_OX!U48)</f>
        <v>5.519619018380887E-2</v>
      </c>
    </row>
    <row r="54" spans="2:32">
      <c r="B54" s="697">
        <f t="shared" si="1"/>
        <v>2037</v>
      </c>
      <c r="C54" s="698">
        <f>IF(Select2=1,Food!$K56,"")</f>
        <v>1.7316602582075693E-5</v>
      </c>
      <c r="D54" s="699">
        <f>IF(Select2=1,Paper!$K56,"")</f>
        <v>1.5258660376537498E-3</v>
      </c>
      <c r="E54" s="689">
        <f>IF(Select2=1,Nappies!$K56,"")</f>
        <v>1.8374249212840203E-4</v>
      </c>
      <c r="F54" s="699">
        <f>IF(Select2=1,Garden!$K56,"")</f>
        <v>0</v>
      </c>
      <c r="G54" s="689">
        <f>IF(Select2=1,Wood!$K56,"")</f>
        <v>0</v>
      </c>
      <c r="H54" s="699">
        <f>IF(Select2=1,Textiles!$K56,"")</f>
        <v>2.849577379051058E-5</v>
      </c>
      <c r="I54" s="700">
        <f>Sludge!K56</f>
        <v>0</v>
      </c>
      <c r="J54" s="700" t="str">
        <f>IF(Select2=2,MSW!$K56,"")</f>
        <v/>
      </c>
      <c r="K54" s="700">
        <f>Industry!$K56</f>
        <v>0</v>
      </c>
      <c r="L54" s="701">
        <f t="shared" si="3"/>
        <v>1.755420906154738E-3</v>
      </c>
      <c r="M54" s="702">
        <f>Recovery_OX!C49</f>
        <v>0</v>
      </c>
      <c r="N54" s="652"/>
      <c r="O54" s="703">
        <f>(L54-M54)*(1-Recovery_OX!F49)</f>
        <v>1.755420906154738E-3</v>
      </c>
      <c r="P54" s="643"/>
      <c r="Q54" s="654"/>
      <c r="S54" s="697">
        <f t="shared" si="2"/>
        <v>2037</v>
      </c>
      <c r="T54" s="698">
        <f>IF(Select2=1,Food!$W56,"")</f>
        <v>3.5792894960884019E-5</v>
      </c>
      <c r="U54" s="699">
        <f>IF(Select2=1,Paper!$W56,"")</f>
        <v>4.9541105118628234E-2</v>
      </c>
      <c r="V54" s="689">
        <f>IF(Select2=1,Nappies!$W56,"")</f>
        <v>0</v>
      </c>
      <c r="W54" s="699">
        <f>IF(Select2=1,Garden!$W56,"")</f>
        <v>0</v>
      </c>
      <c r="X54" s="689">
        <f>IF(Select2=1,Wood!$W56,"")</f>
        <v>0</v>
      </c>
      <c r="Y54" s="699">
        <f>IF(Select2=1,Textiles!$W56,"")</f>
        <v>1.8736947149924771E-3</v>
      </c>
      <c r="Z54" s="691">
        <f>Sludge!W56</f>
        <v>0</v>
      </c>
      <c r="AA54" s="691" t="str">
        <f>IF(Select2=2,MSW!$W56,"")</f>
        <v/>
      </c>
      <c r="AB54" s="700">
        <f>Industry!$W56</f>
        <v>0</v>
      </c>
      <c r="AC54" s="701">
        <f t="shared" si="4"/>
        <v>5.1450592728581594E-2</v>
      </c>
      <c r="AD54" s="702">
        <f>Recovery_OX!R49</f>
        <v>0</v>
      </c>
      <c r="AE54" s="652"/>
      <c r="AF54" s="704">
        <f>(AC54-AD54)*(1-Recovery_OX!U49)</f>
        <v>5.1450592728581594E-2</v>
      </c>
    </row>
    <row r="55" spans="2:32">
      <c r="B55" s="697">
        <f t="shared" si="1"/>
        <v>2038</v>
      </c>
      <c r="C55" s="698">
        <f>IF(Select2=1,Food!$K57,"")</f>
        <v>1.1607665839997849E-5</v>
      </c>
      <c r="D55" s="699">
        <f>IF(Select2=1,Paper!$K57,"")</f>
        <v>1.4227080635127332E-3</v>
      </c>
      <c r="E55" s="689">
        <f>IF(Select2=1,Nappies!$K57,"")</f>
        <v>1.5501707592247078E-4</v>
      </c>
      <c r="F55" s="699">
        <f>IF(Select2=1,Garden!$K57,"")</f>
        <v>0</v>
      </c>
      <c r="G55" s="689">
        <f>IF(Select2=1,Wood!$K57,"")</f>
        <v>0</v>
      </c>
      <c r="H55" s="699">
        <f>IF(Select2=1,Textiles!$K57,"")</f>
        <v>2.6569283375709965E-5</v>
      </c>
      <c r="I55" s="700">
        <f>Sludge!K57</f>
        <v>0</v>
      </c>
      <c r="J55" s="700" t="str">
        <f>IF(Select2=2,MSW!$K57,"")</f>
        <v/>
      </c>
      <c r="K55" s="700">
        <f>Industry!$K57</f>
        <v>0</v>
      </c>
      <c r="L55" s="701">
        <f t="shared" si="3"/>
        <v>1.6159020886509117E-3</v>
      </c>
      <c r="M55" s="702">
        <f>Recovery_OX!C50</f>
        <v>0</v>
      </c>
      <c r="N55" s="652"/>
      <c r="O55" s="703">
        <f>(L55-M55)*(1-Recovery_OX!F50)</f>
        <v>1.6159020886509117E-3</v>
      </c>
      <c r="P55" s="643"/>
      <c r="Q55" s="654"/>
      <c r="S55" s="697">
        <f t="shared" si="2"/>
        <v>2038</v>
      </c>
      <c r="T55" s="698">
        <f>IF(Select2=1,Food!$W57,"")</f>
        <v>2.3992694997928582E-5</v>
      </c>
      <c r="U55" s="699">
        <f>IF(Select2=1,Paper!$W57,"")</f>
        <v>4.6191820243919914E-2</v>
      </c>
      <c r="V55" s="689">
        <f>IF(Select2=1,Nappies!$W57,"")</f>
        <v>0</v>
      </c>
      <c r="W55" s="699">
        <f>IF(Select2=1,Garden!$W57,"")</f>
        <v>0</v>
      </c>
      <c r="X55" s="689">
        <f>IF(Select2=1,Wood!$W57,"")</f>
        <v>0</v>
      </c>
      <c r="Y55" s="699">
        <f>IF(Select2=1,Textiles!$W57,"")</f>
        <v>1.7470213726494225E-3</v>
      </c>
      <c r="Z55" s="691">
        <f>Sludge!W57</f>
        <v>0</v>
      </c>
      <c r="AA55" s="691" t="str">
        <f>IF(Select2=2,MSW!$W57,"")</f>
        <v/>
      </c>
      <c r="AB55" s="700">
        <f>Industry!$W57</f>
        <v>0</v>
      </c>
      <c r="AC55" s="701">
        <f t="shared" si="4"/>
        <v>4.7962834311567261E-2</v>
      </c>
      <c r="AD55" s="702">
        <f>Recovery_OX!R50</f>
        <v>0</v>
      </c>
      <c r="AE55" s="652"/>
      <c r="AF55" s="704">
        <f>(AC55-AD55)*(1-Recovery_OX!U50)</f>
        <v>4.7962834311567261E-2</v>
      </c>
    </row>
    <row r="56" spans="2:32">
      <c r="B56" s="697">
        <f t="shared" si="1"/>
        <v>2039</v>
      </c>
      <c r="C56" s="698">
        <f>IF(Select2=1,Food!$K58,"")</f>
        <v>7.7808511002336756E-6</v>
      </c>
      <c r="D56" s="699">
        <f>IF(Select2=1,Paper!$K58,"")</f>
        <v>1.3265242059496316E-3</v>
      </c>
      <c r="E56" s="689">
        <f>IF(Select2=1,Nappies!$K58,"")</f>
        <v>1.3078245292743899E-4</v>
      </c>
      <c r="F56" s="699">
        <f>IF(Select2=1,Garden!$K58,"")</f>
        <v>0</v>
      </c>
      <c r="G56" s="689">
        <f>IF(Select2=1,Wood!$K58,"")</f>
        <v>0</v>
      </c>
      <c r="H56" s="699">
        <f>IF(Select2=1,Textiles!$K58,"")</f>
        <v>2.4773035618841814E-5</v>
      </c>
      <c r="I56" s="700">
        <f>Sludge!K58</f>
        <v>0</v>
      </c>
      <c r="J56" s="700" t="str">
        <f>IF(Select2=2,MSW!$K58,"")</f>
        <v/>
      </c>
      <c r="K56" s="700">
        <f>Industry!$K58</f>
        <v>0</v>
      </c>
      <c r="L56" s="701">
        <f t="shared" si="3"/>
        <v>1.4898605455961459E-3</v>
      </c>
      <c r="M56" s="702">
        <f>Recovery_OX!C51</f>
        <v>0</v>
      </c>
      <c r="N56" s="652"/>
      <c r="O56" s="703">
        <f>(L56-M56)*(1-Recovery_OX!F51)</f>
        <v>1.4898605455961459E-3</v>
      </c>
      <c r="P56" s="643"/>
      <c r="Q56" s="654"/>
      <c r="S56" s="697">
        <f t="shared" si="2"/>
        <v>2039</v>
      </c>
      <c r="T56" s="698">
        <f>IF(Select2=1,Food!$W58,"")</f>
        <v>1.6082784415530539E-5</v>
      </c>
      <c r="U56" s="699">
        <f>IF(Select2=1,Paper!$W58,"")</f>
        <v>4.3068967725637397E-2</v>
      </c>
      <c r="V56" s="689">
        <f>IF(Select2=1,Nappies!$W58,"")</f>
        <v>0</v>
      </c>
      <c r="W56" s="699">
        <f>IF(Select2=1,Garden!$W58,"")</f>
        <v>0</v>
      </c>
      <c r="X56" s="689">
        <f>IF(Select2=1,Wood!$W58,"")</f>
        <v>0</v>
      </c>
      <c r="Y56" s="699">
        <f>IF(Select2=1,Textiles!$W58,"")</f>
        <v>1.6289119311019284E-3</v>
      </c>
      <c r="Z56" s="691">
        <f>Sludge!W58</f>
        <v>0</v>
      </c>
      <c r="AA56" s="691" t="str">
        <f>IF(Select2=2,MSW!$W58,"")</f>
        <v/>
      </c>
      <c r="AB56" s="700">
        <f>Industry!$W58</f>
        <v>0</v>
      </c>
      <c r="AC56" s="701">
        <f t="shared" si="4"/>
        <v>4.4713962441154859E-2</v>
      </c>
      <c r="AD56" s="702">
        <f>Recovery_OX!R51</f>
        <v>0</v>
      </c>
      <c r="AE56" s="652"/>
      <c r="AF56" s="704">
        <f>(AC56-AD56)*(1-Recovery_OX!U51)</f>
        <v>4.4713962441154859E-2</v>
      </c>
    </row>
    <row r="57" spans="2:32">
      <c r="B57" s="697">
        <f t="shared" si="1"/>
        <v>2040</v>
      </c>
      <c r="C57" s="698">
        <f>IF(Select2=1,Food!$K59,"")</f>
        <v>5.215660467705092E-6</v>
      </c>
      <c r="D57" s="699">
        <f>IF(Select2=1,Paper!$K59,"")</f>
        <v>1.2368429715830817E-3</v>
      </c>
      <c r="E57" s="689">
        <f>IF(Select2=1,Nappies!$K59,"")</f>
        <v>1.1033655416305301E-4</v>
      </c>
      <c r="F57" s="699">
        <f>IF(Select2=1,Garden!$K59,"")</f>
        <v>0</v>
      </c>
      <c r="G57" s="689">
        <f>IF(Select2=1,Wood!$K59,"")</f>
        <v>0</v>
      </c>
      <c r="H57" s="699">
        <f>IF(Select2=1,Textiles!$K59,"")</f>
        <v>2.3098225311318042E-5</v>
      </c>
      <c r="I57" s="700">
        <f>Sludge!K59</f>
        <v>0</v>
      </c>
      <c r="J57" s="700" t="str">
        <f>IF(Select2=2,MSW!$K59,"")</f>
        <v/>
      </c>
      <c r="K57" s="700">
        <f>Industry!$K59</f>
        <v>0</v>
      </c>
      <c r="L57" s="701">
        <f t="shared" si="3"/>
        <v>1.3754934115251579E-3</v>
      </c>
      <c r="M57" s="702">
        <f>Recovery_OX!C52</f>
        <v>0</v>
      </c>
      <c r="N57" s="652"/>
      <c r="O57" s="703">
        <f>(L57-M57)*(1-Recovery_OX!F52)</f>
        <v>1.3754934115251579E-3</v>
      </c>
      <c r="P57" s="643"/>
      <c r="Q57" s="654"/>
      <c r="S57" s="697">
        <f t="shared" si="2"/>
        <v>2040</v>
      </c>
      <c r="T57" s="698">
        <f>IF(Select2=1,Food!$W59,"")</f>
        <v>1.0780612789799694E-5</v>
      </c>
      <c r="U57" s="699">
        <f>IF(Select2=1,Paper!$W59,"")</f>
        <v>4.015723933711305E-2</v>
      </c>
      <c r="V57" s="689">
        <f>IF(Select2=1,Nappies!$W59,"")</f>
        <v>0</v>
      </c>
      <c r="W57" s="699">
        <f>IF(Select2=1,Garden!$W59,"")</f>
        <v>0</v>
      </c>
      <c r="X57" s="689">
        <f>IF(Select2=1,Wood!$W59,"")</f>
        <v>0</v>
      </c>
      <c r="Y57" s="699">
        <f>IF(Select2=1,Textiles!$W59,"")</f>
        <v>1.5187874177305018E-3</v>
      </c>
      <c r="Z57" s="691">
        <f>Sludge!W59</f>
        <v>0</v>
      </c>
      <c r="AA57" s="691" t="str">
        <f>IF(Select2=2,MSW!$W59,"")</f>
        <v/>
      </c>
      <c r="AB57" s="700">
        <f>Industry!$W59</f>
        <v>0</v>
      </c>
      <c r="AC57" s="701">
        <f t="shared" si="4"/>
        <v>4.1686807367633354E-2</v>
      </c>
      <c r="AD57" s="702">
        <f>Recovery_OX!R52</f>
        <v>0</v>
      </c>
      <c r="AE57" s="652"/>
      <c r="AF57" s="704">
        <f>(AC57-AD57)*(1-Recovery_OX!U52)</f>
        <v>4.1686807367633354E-2</v>
      </c>
    </row>
    <row r="58" spans="2:32">
      <c r="B58" s="697">
        <f t="shared" si="1"/>
        <v>2041</v>
      </c>
      <c r="C58" s="698">
        <f>IF(Select2=1,Food!$K60,"")</f>
        <v>3.4961617648183413E-6</v>
      </c>
      <c r="D58" s="699">
        <f>IF(Select2=1,Paper!$K60,"")</f>
        <v>1.1532247428981738E-3</v>
      </c>
      <c r="E58" s="689">
        <f>IF(Select2=1,Nappies!$K60,"")</f>
        <v>9.3087068731849068E-5</v>
      </c>
      <c r="F58" s="699">
        <f>IF(Select2=1,Garden!$K60,"")</f>
        <v>0</v>
      </c>
      <c r="G58" s="689">
        <f>IF(Select2=1,Wood!$K60,"")</f>
        <v>0</v>
      </c>
      <c r="H58" s="699">
        <f>IF(Select2=1,Textiles!$K60,"")</f>
        <v>2.153664253106809E-5</v>
      </c>
      <c r="I58" s="700">
        <f>Sludge!K60</f>
        <v>0</v>
      </c>
      <c r="J58" s="700" t="str">
        <f>IF(Select2=2,MSW!$K60,"")</f>
        <v/>
      </c>
      <c r="K58" s="700">
        <f>Industry!$K60</f>
        <v>0</v>
      </c>
      <c r="L58" s="701">
        <f t="shared" si="3"/>
        <v>1.2713446159259092E-3</v>
      </c>
      <c r="M58" s="702">
        <f>Recovery_OX!C53</f>
        <v>0</v>
      </c>
      <c r="N58" s="652"/>
      <c r="O58" s="703">
        <f>(L58-M58)*(1-Recovery_OX!F53)</f>
        <v>1.2713446159259092E-3</v>
      </c>
      <c r="P58" s="643"/>
      <c r="Q58" s="654"/>
      <c r="S58" s="697">
        <f t="shared" si="2"/>
        <v>2041</v>
      </c>
      <c r="T58" s="698">
        <f>IF(Select2=1,Food!$W60,"")</f>
        <v>7.2264608615509343E-6</v>
      </c>
      <c r="U58" s="699">
        <f>IF(Select2=1,Paper!$W60,"")</f>
        <v>3.7442361782408243E-2</v>
      </c>
      <c r="V58" s="689">
        <f>IF(Select2=1,Nappies!$W60,"")</f>
        <v>0</v>
      </c>
      <c r="W58" s="699">
        <f>IF(Select2=1,Garden!$W60,"")</f>
        <v>0</v>
      </c>
      <c r="X58" s="689">
        <f>IF(Select2=1,Wood!$W60,"")</f>
        <v>0</v>
      </c>
      <c r="Y58" s="699">
        <f>IF(Select2=1,Textiles!$W60,"")</f>
        <v>1.4161080020428339E-3</v>
      </c>
      <c r="Z58" s="691">
        <f>Sludge!W60</f>
        <v>0</v>
      </c>
      <c r="AA58" s="691" t="str">
        <f>IF(Select2=2,MSW!$W60,"")</f>
        <v/>
      </c>
      <c r="AB58" s="700">
        <f>Industry!$W60</f>
        <v>0</v>
      </c>
      <c r="AC58" s="701">
        <f t="shared" si="4"/>
        <v>3.8865696245312623E-2</v>
      </c>
      <c r="AD58" s="702">
        <f>Recovery_OX!R53</f>
        <v>0</v>
      </c>
      <c r="AE58" s="652"/>
      <c r="AF58" s="704">
        <f>(AC58-AD58)*(1-Recovery_OX!U53)</f>
        <v>3.8865696245312623E-2</v>
      </c>
    </row>
    <row r="59" spans="2:32">
      <c r="B59" s="697">
        <f t="shared" si="1"/>
        <v>2042</v>
      </c>
      <c r="C59" s="698">
        <f>IF(Select2=1,Food!$K61,"")</f>
        <v>2.3435473151410728E-6</v>
      </c>
      <c r="D59" s="699">
        <f>IF(Select2=1,Paper!$K61,"")</f>
        <v>1.0752596232408832E-3</v>
      </c>
      <c r="E59" s="689">
        <f>IF(Select2=1,Nappies!$K61,"")</f>
        <v>7.8534284769150403E-5</v>
      </c>
      <c r="F59" s="699">
        <f>IF(Select2=1,Garden!$K61,"")</f>
        <v>0</v>
      </c>
      <c r="G59" s="689">
        <f>IF(Select2=1,Wood!$K61,"")</f>
        <v>0</v>
      </c>
      <c r="H59" s="699">
        <f>IF(Select2=1,Textiles!$K61,"")</f>
        <v>2.0080632397491488E-5</v>
      </c>
      <c r="I59" s="700">
        <f>Sludge!K61</f>
        <v>0</v>
      </c>
      <c r="J59" s="700" t="str">
        <f>IF(Select2=2,MSW!$K61,"")</f>
        <v/>
      </c>
      <c r="K59" s="700">
        <f>Industry!$K61</f>
        <v>0</v>
      </c>
      <c r="L59" s="701">
        <f t="shared" si="3"/>
        <v>1.1762180877226663E-3</v>
      </c>
      <c r="M59" s="702">
        <f>Recovery_OX!C54</f>
        <v>0</v>
      </c>
      <c r="N59" s="652"/>
      <c r="O59" s="703">
        <f>(L59-M59)*(1-Recovery_OX!F54)</f>
        <v>1.1762180877226663E-3</v>
      </c>
      <c r="P59" s="643"/>
      <c r="Q59" s="654"/>
      <c r="S59" s="697">
        <f t="shared" si="2"/>
        <v>2042</v>
      </c>
      <c r="T59" s="698">
        <f>IF(Select2=1,Food!$W61,"")</f>
        <v>4.8440415773895683E-6</v>
      </c>
      <c r="U59" s="699">
        <f>IF(Select2=1,Paper!$W61,"")</f>
        <v>3.4911026728600116E-2</v>
      </c>
      <c r="V59" s="689">
        <f>IF(Select2=1,Nappies!$W61,"")</f>
        <v>0</v>
      </c>
      <c r="W59" s="699">
        <f>IF(Select2=1,Garden!$W61,"")</f>
        <v>0</v>
      </c>
      <c r="X59" s="689">
        <f>IF(Select2=1,Wood!$W61,"")</f>
        <v>0</v>
      </c>
      <c r="Y59" s="699">
        <f>IF(Select2=1,Textiles!$W61,"")</f>
        <v>1.3203703494240981E-3</v>
      </c>
      <c r="Z59" s="691">
        <f>Sludge!W61</f>
        <v>0</v>
      </c>
      <c r="AA59" s="691" t="str">
        <f>IF(Select2=2,MSW!$W61,"")</f>
        <v/>
      </c>
      <c r="AB59" s="700">
        <f>Industry!$W61</f>
        <v>0</v>
      </c>
      <c r="AC59" s="701">
        <f t="shared" si="4"/>
        <v>3.6236241119601602E-2</v>
      </c>
      <c r="AD59" s="702">
        <f>Recovery_OX!R54</f>
        <v>0</v>
      </c>
      <c r="AE59" s="652"/>
      <c r="AF59" s="704">
        <f>(AC59-AD59)*(1-Recovery_OX!U54)</f>
        <v>3.6236241119601602E-2</v>
      </c>
    </row>
    <row r="60" spans="2:32">
      <c r="B60" s="697">
        <f t="shared" si="1"/>
        <v>2043</v>
      </c>
      <c r="C60" s="698">
        <f>IF(Select2=1,Food!$K62,"")</f>
        <v>1.570926744172063E-6</v>
      </c>
      <c r="D60" s="699">
        <f>IF(Select2=1,Paper!$K62,"")</f>
        <v>1.0025654275041978E-3</v>
      </c>
      <c r="E60" s="689">
        <f>IF(Select2=1,Nappies!$K62,"")</f>
        <v>6.625661295629344E-5</v>
      </c>
      <c r="F60" s="699">
        <f>IF(Select2=1,Garden!$K62,"")</f>
        <v>0</v>
      </c>
      <c r="G60" s="689">
        <f>IF(Select2=1,Wood!$K62,"")</f>
        <v>0</v>
      </c>
      <c r="H60" s="699">
        <f>IF(Select2=1,Textiles!$K62,"")</f>
        <v>1.8723057547224229E-5</v>
      </c>
      <c r="I60" s="700">
        <f>Sludge!K62</f>
        <v>0</v>
      </c>
      <c r="J60" s="700" t="str">
        <f>IF(Select2=2,MSW!$K62,"")</f>
        <v/>
      </c>
      <c r="K60" s="700">
        <f>Industry!$K62</f>
        <v>0</v>
      </c>
      <c r="L60" s="701">
        <f t="shared" si="3"/>
        <v>1.0891160247518874E-3</v>
      </c>
      <c r="M60" s="702">
        <f>Recovery_OX!C55</f>
        <v>0</v>
      </c>
      <c r="N60" s="652"/>
      <c r="O60" s="703">
        <f>(L60-M60)*(1-Recovery_OX!F55)</f>
        <v>1.0891160247518874E-3</v>
      </c>
      <c r="P60" s="643"/>
      <c r="Q60" s="654"/>
      <c r="S60" s="697">
        <f t="shared" si="2"/>
        <v>2043</v>
      </c>
      <c r="T60" s="698">
        <f>IF(Select2=1,Food!$W62,"")</f>
        <v>3.2470581731543264E-6</v>
      </c>
      <c r="U60" s="699">
        <f>IF(Select2=1,Paper!$W62,"")</f>
        <v>3.255082556831812E-2</v>
      </c>
      <c r="V60" s="689">
        <f>IF(Select2=1,Nappies!$W62,"")</f>
        <v>0</v>
      </c>
      <c r="W60" s="699">
        <f>IF(Select2=1,Garden!$W62,"")</f>
        <v>0</v>
      </c>
      <c r="X60" s="689">
        <f>IF(Select2=1,Wood!$W62,"")</f>
        <v>0</v>
      </c>
      <c r="Y60" s="699">
        <f>IF(Select2=1,Textiles!$W62,"")</f>
        <v>1.2311051537900867E-3</v>
      </c>
      <c r="Z60" s="691">
        <f>Sludge!W62</f>
        <v>0</v>
      </c>
      <c r="AA60" s="691" t="str">
        <f>IF(Select2=2,MSW!$W62,"")</f>
        <v/>
      </c>
      <c r="AB60" s="700">
        <f>Industry!$W62</f>
        <v>0</v>
      </c>
      <c r="AC60" s="701">
        <f t="shared" si="4"/>
        <v>3.378517778028136E-2</v>
      </c>
      <c r="AD60" s="702">
        <f>Recovery_OX!R55</f>
        <v>0</v>
      </c>
      <c r="AE60" s="652"/>
      <c r="AF60" s="704">
        <f>(AC60-AD60)*(1-Recovery_OX!U55)</f>
        <v>3.378517778028136E-2</v>
      </c>
    </row>
    <row r="61" spans="2:32">
      <c r="B61" s="697">
        <f t="shared" si="1"/>
        <v>2044</v>
      </c>
      <c r="C61" s="698">
        <f>IF(Select2=1,Food!$K63,"")</f>
        <v>1.0530236874720341E-6</v>
      </c>
      <c r="D61" s="699">
        <f>IF(Select2=1,Paper!$K63,"")</f>
        <v>9.3478580865627913E-4</v>
      </c>
      <c r="E61" s="689">
        <f>IF(Select2=1,Nappies!$K63,"")</f>
        <v>5.5898373218068896E-5</v>
      </c>
      <c r="F61" s="699">
        <f>IF(Select2=1,Garden!$K63,"")</f>
        <v>0</v>
      </c>
      <c r="G61" s="689">
        <f>IF(Select2=1,Wood!$K63,"")</f>
        <v>0</v>
      </c>
      <c r="H61" s="699">
        <f>IF(Select2=1,Textiles!$K63,"")</f>
        <v>1.7457263146775294E-5</v>
      </c>
      <c r="I61" s="700">
        <f>Sludge!K63</f>
        <v>0</v>
      </c>
      <c r="J61" s="700" t="str">
        <f>IF(Select2=2,MSW!$K63,"")</f>
        <v/>
      </c>
      <c r="K61" s="700">
        <f>Industry!$K63</f>
        <v>0</v>
      </c>
      <c r="L61" s="701">
        <f t="shared" si="3"/>
        <v>1.0091944687085953E-3</v>
      </c>
      <c r="M61" s="702">
        <f>Recovery_OX!C56</f>
        <v>0</v>
      </c>
      <c r="N61" s="652"/>
      <c r="O61" s="703">
        <f>(L61-M61)*(1-Recovery_OX!F56)</f>
        <v>1.0091944687085953E-3</v>
      </c>
      <c r="P61" s="643"/>
      <c r="Q61" s="654"/>
      <c r="S61" s="697">
        <f t="shared" si="2"/>
        <v>2044</v>
      </c>
      <c r="T61" s="698">
        <f>IF(Select2=1,Food!$W63,"")</f>
        <v>2.1765681841092069E-6</v>
      </c>
      <c r="U61" s="699">
        <f>IF(Select2=1,Paper!$W63,"")</f>
        <v>3.0350188592736339E-2</v>
      </c>
      <c r="V61" s="689">
        <f>IF(Select2=1,Nappies!$W63,"")</f>
        <v>0</v>
      </c>
      <c r="W61" s="699">
        <f>IF(Select2=1,Garden!$W63,"")</f>
        <v>0</v>
      </c>
      <c r="X61" s="689">
        <f>IF(Select2=1,Wood!$W63,"")</f>
        <v>0</v>
      </c>
      <c r="Y61" s="699">
        <f>IF(Select2=1,Textiles!$W63,"")</f>
        <v>1.147874837048239E-3</v>
      </c>
      <c r="Z61" s="691">
        <f>Sludge!W63</f>
        <v>0</v>
      </c>
      <c r="AA61" s="691" t="str">
        <f>IF(Select2=2,MSW!$W63,"")</f>
        <v/>
      </c>
      <c r="AB61" s="700">
        <f>Industry!$W63</f>
        <v>0</v>
      </c>
      <c r="AC61" s="701">
        <f t="shared" si="4"/>
        <v>3.1500239997968686E-2</v>
      </c>
      <c r="AD61" s="702">
        <f>Recovery_OX!R56</f>
        <v>0</v>
      </c>
      <c r="AE61" s="652"/>
      <c r="AF61" s="704">
        <f>(AC61-AD61)*(1-Recovery_OX!U56)</f>
        <v>3.1500239997968686E-2</v>
      </c>
    </row>
    <row r="62" spans="2:32">
      <c r="B62" s="697">
        <f t="shared" si="1"/>
        <v>2045</v>
      </c>
      <c r="C62" s="698">
        <f>IF(Select2=1,Food!$K64,"")</f>
        <v>7.0586288666287256E-7</v>
      </c>
      <c r="D62" s="699">
        <f>IF(Select2=1,Paper!$K64,"")</f>
        <v>8.7158851092689895E-4</v>
      </c>
      <c r="E62" s="689">
        <f>IF(Select2=1,Nappies!$K64,"")</f>
        <v>4.7159490789058293E-5</v>
      </c>
      <c r="F62" s="699">
        <f>IF(Select2=1,Garden!$K64,"")</f>
        <v>0</v>
      </c>
      <c r="G62" s="689">
        <f>IF(Select2=1,Wood!$K64,"")</f>
        <v>0</v>
      </c>
      <c r="H62" s="699">
        <f>IF(Select2=1,Textiles!$K64,"")</f>
        <v>1.6277044270525149E-5</v>
      </c>
      <c r="I62" s="700">
        <f>Sludge!K64</f>
        <v>0</v>
      </c>
      <c r="J62" s="700" t="str">
        <f>IF(Select2=2,MSW!$K64,"")</f>
        <v/>
      </c>
      <c r="K62" s="700">
        <f>Industry!$K64</f>
        <v>0</v>
      </c>
      <c r="L62" s="701">
        <f t="shared" si="3"/>
        <v>9.3573090887314532E-4</v>
      </c>
      <c r="M62" s="702">
        <f>Recovery_OX!C57</f>
        <v>0</v>
      </c>
      <c r="N62" s="652"/>
      <c r="O62" s="703">
        <f>(L62-M62)*(1-Recovery_OX!F57)</f>
        <v>9.3573090887314532E-4</v>
      </c>
      <c r="P62" s="643"/>
      <c r="Q62" s="654"/>
      <c r="S62" s="697">
        <f t="shared" si="2"/>
        <v>2045</v>
      </c>
      <c r="T62" s="698">
        <f>IF(Select2=1,Food!$W64,"")</f>
        <v>1.4589972853717917E-6</v>
      </c>
      <c r="U62" s="699">
        <f>IF(Select2=1,Paper!$W64,"")</f>
        <v>2.8298328276847376E-2</v>
      </c>
      <c r="V62" s="689">
        <f>IF(Select2=1,Nappies!$W64,"")</f>
        <v>0</v>
      </c>
      <c r="W62" s="699">
        <f>IF(Select2=1,Garden!$W64,"")</f>
        <v>0</v>
      </c>
      <c r="X62" s="689">
        <f>IF(Select2=1,Wood!$W64,"")</f>
        <v>0</v>
      </c>
      <c r="Y62" s="699">
        <f>IF(Select2=1,Textiles!$W64,"")</f>
        <v>1.0702714040893254E-3</v>
      </c>
      <c r="Z62" s="691">
        <f>Sludge!W64</f>
        <v>0</v>
      </c>
      <c r="AA62" s="691" t="str">
        <f>IF(Select2=2,MSW!$W64,"")</f>
        <v/>
      </c>
      <c r="AB62" s="700">
        <f>Industry!$W64</f>
        <v>0</v>
      </c>
      <c r="AC62" s="701">
        <f t="shared" si="4"/>
        <v>2.9370058678222073E-2</v>
      </c>
      <c r="AD62" s="702">
        <f>Recovery_OX!R57</f>
        <v>0</v>
      </c>
      <c r="AE62" s="652"/>
      <c r="AF62" s="704">
        <f>(AC62-AD62)*(1-Recovery_OX!U57)</f>
        <v>2.9370058678222073E-2</v>
      </c>
    </row>
    <row r="63" spans="2:32">
      <c r="B63" s="697">
        <f t="shared" si="1"/>
        <v>2046</v>
      </c>
      <c r="C63" s="698">
        <f>IF(Select2=1,Food!$K65,"")</f>
        <v>4.7315404268270598E-7</v>
      </c>
      <c r="D63" s="699">
        <f>IF(Select2=1,Paper!$K65,"")</f>
        <v>8.1266374108926855E-4</v>
      </c>
      <c r="E63" s="689">
        <f>IF(Select2=1,Nappies!$K65,"")</f>
        <v>3.9786803147329717E-5</v>
      </c>
      <c r="F63" s="699">
        <f>IF(Select2=1,Garden!$K65,"")</f>
        <v>0</v>
      </c>
      <c r="G63" s="689">
        <f>IF(Select2=1,Wood!$K65,"")</f>
        <v>0</v>
      </c>
      <c r="H63" s="699">
        <f>IF(Select2=1,Textiles!$K65,"")</f>
        <v>1.5176615484173175E-5</v>
      </c>
      <c r="I63" s="700">
        <f>Sludge!K65</f>
        <v>0</v>
      </c>
      <c r="J63" s="700" t="str">
        <f>IF(Select2=2,MSW!$K65,"")</f>
        <v/>
      </c>
      <c r="K63" s="700">
        <f>Industry!$K65</f>
        <v>0</v>
      </c>
      <c r="L63" s="701">
        <f t="shared" si="3"/>
        <v>8.6810031376345414E-4</v>
      </c>
      <c r="M63" s="702">
        <f>Recovery_OX!C58</f>
        <v>0</v>
      </c>
      <c r="N63" s="652"/>
      <c r="O63" s="703">
        <f>(L63-M63)*(1-Recovery_OX!F58)</f>
        <v>8.6810031376345414E-4</v>
      </c>
      <c r="P63" s="643"/>
      <c r="Q63" s="654"/>
      <c r="S63" s="697">
        <f t="shared" si="2"/>
        <v>2046</v>
      </c>
      <c r="T63" s="698">
        <f>IF(Select2=1,Food!$W65,"")</f>
        <v>9.7799512749629227E-7</v>
      </c>
      <c r="U63" s="699">
        <f>IF(Select2=1,Paper!$W65,"")</f>
        <v>2.6385186399002232E-2</v>
      </c>
      <c r="V63" s="689">
        <f>IF(Select2=1,Nappies!$W65,"")</f>
        <v>0</v>
      </c>
      <c r="W63" s="699">
        <f>IF(Select2=1,Garden!$W65,"")</f>
        <v>0</v>
      </c>
      <c r="X63" s="689">
        <f>IF(Select2=1,Wood!$W65,"")</f>
        <v>0</v>
      </c>
      <c r="Y63" s="699">
        <f>IF(Select2=1,Textiles!$W65,"")</f>
        <v>9.9791444279494885E-4</v>
      </c>
      <c r="Z63" s="691">
        <f>Sludge!W65</f>
        <v>0</v>
      </c>
      <c r="AA63" s="691" t="str">
        <f>IF(Select2=2,MSW!$W65,"")</f>
        <v/>
      </c>
      <c r="AB63" s="700">
        <f>Industry!$W65</f>
        <v>0</v>
      </c>
      <c r="AC63" s="701">
        <f t="shared" si="4"/>
        <v>2.7384078836924678E-2</v>
      </c>
      <c r="AD63" s="702">
        <f>Recovery_OX!R58</f>
        <v>0</v>
      </c>
      <c r="AE63" s="652"/>
      <c r="AF63" s="704">
        <f>(AC63-AD63)*(1-Recovery_OX!U58)</f>
        <v>2.7384078836924678E-2</v>
      </c>
    </row>
    <row r="64" spans="2:32">
      <c r="B64" s="697">
        <f t="shared" si="1"/>
        <v>2047</v>
      </c>
      <c r="C64" s="698">
        <f>IF(Select2=1,Food!$K66,"")</f>
        <v>3.1716463967302036E-7</v>
      </c>
      <c r="D64" s="699">
        <f>IF(Select2=1,Paper!$K66,"")</f>
        <v>7.5772264985328171E-4</v>
      </c>
      <c r="E64" s="689">
        <f>IF(Select2=1,Nappies!$K66,"")</f>
        <v>3.3566725980248346E-5</v>
      </c>
      <c r="F64" s="699">
        <f>IF(Select2=1,Garden!$K66,"")</f>
        <v>0</v>
      </c>
      <c r="G64" s="689">
        <f>IF(Select2=1,Wood!$K66,"")</f>
        <v>0</v>
      </c>
      <c r="H64" s="699">
        <f>IF(Select2=1,Textiles!$K66,"")</f>
        <v>1.4150582484531989E-5</v>
      </c>
      <c r="I64" s="700">
        <f>Sludge!K66</f>
        <v>0</v>
      </c>
      <c r="J64" s="700" t="str">
        <f>IF(Select2=2,MSW!$K66,"")</f>
        <v/>
      </c>
      <c r="K64" s="700">
        <f>Industry!$K66</f>
        <v>0</v>
      </c>
      <c r="L64" s="701">
        <f t="shared" si="3"/>
        <v>8.0575712295773497E-4</v>
      </c>
      <c r="M64" s="702">
        <f>Recovery_OX!C59</f>
        <v>0</v>
      </c>
      <c r="N64" s="652"/>
      <c r="O64" s="703">
        <f>(L64-M64)*(1-Recovery_OX!F59)</f>
        <v>8.0575712295773497E-4</v>
      </c>
      <c r="P64" s="643"/>
      <c r="Q64" s="654"/>
      <c r="S64" s="697">
        <f t="shared" si="2"/>
        <v>2047</v>
      </c>
      <c r="T64" s="698">
        <f>IF(Select2=1,Food!$W66,"")</f>
        <v>6.5556973888594547E-7</v>
      </c>
      <c r="U64" s="699">
        <f>IF(Select2=1,Paper!$W66,"")</f>
        <v>2.4601384735496161E-2</v>
      </c>
      <c r="V64" s="689">
        <f>IF(Select2=1,Nappies!$W66,"")</f>
        <v>0</v>
      </c>
      <c r="W64" s="699">
        <f>IF(Select2=1,Garden!$W66,"")</f>
        <v>0</v>
      </c>
      <c r="X64" s="689">
        <f>IF(Select2=1,Wood!$W66,"")</f>
        <v>0</v>
      </c>
      <c r="Y64" s="699">
        <f>IF(Select2=1,Textiles!$W66,"")</f>
        <v>9.3044925925689836E-4</v>
      </c>
      <c r="Z64" s="691">
        <f>Sludge!W66</f>
        <v>0</v>
      </c>
      <c r="AA64" s="691" t="str">
        <f>IF(Select2=2,MSW!$W66,"")</f>
        <v/>
      </c>
      <c r="AB64" s="700">
        <f>Industry!$W66</f>
        <v>0</v>
      </c>
      <c r="AC64" s="701">
        <f t="shared" si="4"/>
        <v>2.5532489564491945E-2</v>
      </c>
      <c r="AD64" s="702">
        <f>Recovery_OX!R59</f>
        <v>0</v>
      </c>
      <c r="AE64" s="652"/>
      <c r="AF64" s="704">
        <f>(AC64-AD64)*(1-Recovery_OX!U59)</f>
        <v>2.5532489564491945E-2</v>
      </c>
    </row>
    <row r="65" spans="2:32">
      <c r="B65" s="697">
        <f t="shared" si="1"/>
        <v>2048</v>
      </c>
      <c r="C65" s="698">
        <f>IF(Select2=1,Food!$K67,"")</f>
        <v>2.1260181586649597E-7</v>
      </c>
      <c r="D65" s="699">
        <f>IF(Select2=1,Paper!$K67,"")</f>
        <v>7.0649591592595858E-4</v>
      </c>
      <c r="E65" s="689">
        <f>IF(Select2=1,Nappies!$K67,"")</f>
        <v>2.8319065717867293E-5</v>
      </c>
      <c r="F65" s="699">
        <f>IF(Select2=1,Garden!$K67,"")</f>
        <v>0</v>
      </c>
      <c r="G65" s="689">
        <f>IF(Select2=1,Wood!$K67,"")</f>
        <v>0</v>
      </c>
      <c r="H65" s="699">
        <f>IF(Select2=1,Textiles!$K67,"")</f>
        <v>1.3193915656646985E-5</v>
      </c>
      <c r="I65" s="700">
        <f>Sludge!K67</f>
        <v>0</v>
      </c>
      <c r="J65" s="700" t="str">
        <f>IF(Select2=2,MSW!$K67,"")</f>
        <v/>
      </c>
      <c r="K65" s="700">
        <f>Industry!$K67</f>
        <v>0</v>
      </c>
      <c r="L65" s="701">
        <f t="shared" si="3"/>
        <v>7.4822149911633938E-4</v>
      </c>
      <c r="M65" s="702">
        <f>Recovery_OX!C60</f>
        <v>0</v>
      </c>
      <c r="N65" s="652"/>
      <c r="O65" s="703">
        <f>(L65-M65)*(1-Recovery_OX!F60)</f>
        <v>7.4822149911633938E-4</v>
      </c>
      <c r="P65" s="643"/>
      <c r="Q65" s="654"/>
      <c r="S65" s="697">
        <f t="shared" si="2"/>
        <v>2048</v>
      </c>
      <c r="T65" s="698">
        <f>IF(Select2=1,Food!$W67,"")</f>
        <v>4.3944153754959901E-7</v>
      </c>
      <c r="U65" s="699">
        <f>IF(Select2=1,Paper!$W67,"")</f>
        <v>2.2938179088505154E-2</v>
      </c>
      <c r="V65" s="689">
        <f>IF(Select2=1,Nappies!$W67,"")</f>
        <v>0</v>
      </c>
      <c r="W65" s="699">
        <f>IF(Select2=1,Garden!$W67,"")</f>
        <v>0</v>
      </c>
      <c r="X65" s="689">
        <f>IF(Select2=1,Wood!$W67,"")</f>
        <v>0</v>
      </c>
      <c r="Y65" s="699">
        <f>IF(Select2=1,Textiles!$W67,"")</f>
        <v>8.6754513906719954E-4</v>
      </c>
      <c r="Z65" s="691">
        <f>Sludge!W67</f>
        <v>0</v>
      </c>
      <c r="AA65" s="691" t="str">
        <f>IF(Select2=2,MSW!$W67,"")</f>
        <v/>
      </c>
      <c r="AB65" s="700">
        <f>Industry!$W67</f>
        <v>0</v>
      </c>
      <c r="AC65" s="701">
        <f t="shared" si="4"/>
        <v>2.3806163669109905E-2</v>
      </c>
      <c r="AD65" s="702">
        <f>Recovery_OX!R60</f>
        <v>0</v>
      </c>
      <c r="AE65" s="652"/>
      <c r="AF65" s="704">
        <f>(AC65-AD65)*(1-Recovery_OX!U60)</f>
        <v>2.3806163669109905E-2</v>
      </c>
    </row>
    <row r="66" spans="2:32">
      <c r="B66" s="697">
        <f t="shared" si="1"/>
        <v>2049</v>
      </c>
      <c r="C66" s="698">
        <f>IF(Select2=1,Food!$K68,"")</f>
        <v>1.4251125899889008E-7</v>
      </c>
      <c r="D66" s="699">
        <f>IF(Select2=1,Paper!$K68,"")</f>
        <v>6.5873242579815626E-4</v>
      </c>
      <c r="E66" s="689">
        <f>IF(Select2=1,Nappies!$K68,"")</f>
        <v>2.3891799385045448E-5</v>
      </c>
      <c r="F66" s="699">
        <f>IF(Select2=1,Garden!$K68,"")</f>
        <v>0</v>
      </c>
      <c r="G66" s="689">
        <f>IF(Select2=1,Wood!$K68,"")</f>
        <v>0</v>
      </c>
      <c r="H66" s="699">
        <f>IF(Select2=1,Textiles!$K68,"")</f>
        <v>1.230192541861798E-5</v>
      </c>
      <c r="I66" s="700">
        <f>Sludge!K68</f>
        <v>0</v>
      </c>
      <c r="J66" s="700" t="str">
        <f>IF(Select2=2,MSW!$K68,"")</f>
        <v/>
      </c>
      <c r="K66" s="700">
        <f>Industry!$K68</f>
        <v>0</v>
      </c>
      <c r="L66" s="701">
        <f t="shared" si="3"/>
        <v>6.950686618608185E-4</v>
      </c>
      <c r="M66" s="702">
        <f>Recovery_OX!C61</f>
        <v>0</v>
      </c>
      <c r="N66" s="652"/>
      <c r="O66" s="703">
        <f>(L66-M66)*(1-Recovery_OX!F61)</f>
        <v>6.950686618608185E-4</v>
      </c>
      <c r="P66" s="643"/>
      <c r="Q66" s="654"/>
      <c r="S66" s="697">
        <f t="shared" si="2"/>
        <v>2049</v>
      </c>
      <c r="T66" s="698">
        <f>IF(Select2=1,Food!$W68,"")</f>
        <v>2.9456647168021932E-7</v>
      </c>
      <c r="U66" s="699">
        <f>IF(Select2=1,Paper!$W68,"")</f>
        <v>2.1387416422018066E-2</v>
      </c>
      <c r="V66" s="689">
        <f>IF(Select2=1,Nappies!$W68,"")</f>
        <v>0</v>
      </c>
      <c r="W66" s="699">
        <f>IF(Select2=1,Garden!$W68,"")</f>
        <v>0</v>
      </c>
      <c r="X66" s="689">
        <f>IF(Select2=1,Wood!$W68,"")</f>
        <v>0</v>
      </c>
      <c r="Y66" s="699">
        <f>IF(Select2=1,Textiles!$W68,"")</f>
        <v>8.0889372615570315E-4</v>
      </c>
      <c r="Z66" s="691">
        <f>Sludge!W68</f>
        <v>0</v>
      </c>
      <c r="AA66" s="691" t="str">
        <f>IF(Select2=2,MSW!$W68,"")</f>
        <v/>
      </c>
      <c r="AB66" s="700">
        <f>Industry!$W68</f>
        <v>0</v>
      </c>
      <c r="AC66" s="701">
        <f t="shared" si="4"/>
        <v>2.2196604714645449E-2</v>
      </c>
      <c r="AD66" s="702">
        <f>Recovery_OX!R61</f>
        <v>0</v>
      </c>
      <c r="AE66" s="652"/>
      <c r="AF66" s="704">
        <f>(AC66-AD66)*(1-Recovery_OX!U61)</f>
        <v>2.2196604714645449E-2</v>
      </c>
    </row>
    <row r="67" spans="2:32">
      <c r="B67" s="697">
        <f t="shared" si="1"/>
        <v>2050</v>
      </c>
      <c r="C67" s="698">
        <f>IF(Select2=1,Food!$K69,"")</f>
        <v>9.5528153692732918E-8</v>
      </c>
      <c r="D67" s="699">
        <f>IF(Select2=1,Paper!$K69,"")</f>
        <v>6.1419804278585455E-4</v>
      </c>
      <c r="E67" s="689">
        <f>IF(Select2=1,Nappies!$K69,"")</f>
        <v>2.0156670546341961E-5</v>
      </c>
      <c r="F67" s="699">
        <f>IF(Select2=1,Garden!$K69,"")</f>
        <v>0</v>
      </c>
      <c r="G67" s="689">
        <f>IF(Select2=1,Wood!$K69,"")</f>
        <v>0</v>
      </c>
      <c r="H67" s="699">
        <f>IF(Select2=1,Textiles!$K69,"")</f>
        <v>1.14702392332633E-5</v>
      </c>
      <c r="I67" s="700">
        <f>Sludge!K69</f>
        <v>0</v>
      </c>
      <c r="J67" s="700" t="str">
        <f>IF(Select2=2,MSW!$K69,"")</f>
        <v/>
      </c>
      <c r="K67" s="700">
        <f>Industry!$K69</f>
        <v>0</v>
      </c>
      <c r="L67" s="701">
        <f t="shared" si="3"/>
        <v>6.4592048071915255E-4</v>
      </c>
      <c r="M67" s="702">
        <f>Recovery_OX!C62</f>
        <v>0</v>
      </c>
      <c r="N67" s="652"/>
      <c r="O67" s="703">
        <f>(L67-M67)*(1-Recovery_OX!F62)</f>
        <v>6.4592048071915255E-4</v>
      </c>
      <c r="P67" s="643"/>
      <c r="Q67" s="654"/>
      <c r="S67" s="697">
        <f t="shared" si="2"/>
        <v>2050</v>
      </c>
      <c r="T67" s="698">
        <f>IF(Select2=1,Food!$W69,"")</f>
        <v>1.9745381085724045E-7</v>
      </c>
      <c r="U67" s="699">
        <f>IF(Select2=1,Paper!$W69,"")</f>
        <v>1.9941494895644632E-2</v>
      </c>
      <c r="V67" s="689">
        <f>IF(Select2=1,Nappies!$W69,"")</f>
        <v>0</v>
      </c>
      <c r="W67" s="699">
        <f>IF(Select2=1,Garden!$W69,"")</f>
        <v>0</v>
      </c>
      <c r="X67" s="689">
        <f>IF(Select2=1,Wood!$W69,"")</f>
        <v>0</v>
      </c>
      <c r="Y67" s="699">
        <f>IF(Select2=1,Textiles!$W69,"")</f>
        <v>7.5420751122827218E-4</v>
      </c>
      <c r="Z67" s="691">
        <f>Sludge!W69</f>
        <v>0</v>
      </c>
      <c r="AA67" s="691" t="str">
        <f>IF(Select2=2,MSW!$W69,"")</f>
        <v/>
      </c>
      <c r="AB67" s="700">
        <f>Industry!$W69</f>
        <v>0</v>
      </c>
      <c r="AC67" s="701">
        <f t="shared" si="4"/>
        <v>2.0695899860683761E-2</v>
      </c>
      <c r="AD67" s="702">
        <f>Recovery_OX!R62</f>
        <v>0</v>
      </c>
      <c r="AE67" s="652"/>
      <c r="AF67" s="704">
        <f>(AC67-AD67)*(1-Recovery_OX!U62)</f>
        <v>2.0695899860683761E-2</v>
      </c>
    </row>
    <row r="68" spans="2:32">
      <c r="B68" s="697">
        <f t="shared" si="1"/>
        <v>2051</v>
      </c>
      <c r="C68" s="698">
        <f>IF(Select2=1,Food!$K70,"")</f>
        <v>6.4034436381012357E-8</v>
      </c>
      <c r="D68" s="699">
        <f>IF(Select2=1,Paper!$K70,"")</f>
        <v>5.7267445929185998E-4</v>
      </c>
      <c r="E68" s="689">
        <f>IF(Select2=1,Nappies!$K70,"")</f>
        <v>1.7005473759673321E-5</v>
      </c>
      <c r="F68" s="699">
        <f>IF(Select2=1,Garden!$K70,"")</f>
        <v>0</v>
      </c>
      <c r="G68" s="689">
        <f>IF(Select2=1,Wood!$K70,"")</f>
        <v>0</v>
      </c>
      <c r="H68" s="699">
        <f>IF(Select2=1,Textiles!$K70,"")</f>
        <v>1.0694780173937443E-5</v>
      </c>
      <c r="I68" s="700">
        <f>Sludge!K70</f>
        <v>0</v>
      </c>
      <c r="J68" s="700" t="str">
        <f>IF(Select2=2,MSW!$K70,"")</f>
        <v/>
      </c>
      <c r="K68" s="700">
        <f>Industry!$K70</f>
        <v>0</v>
      </c>
      <c r="L68" s="701">
        <f t="shared" si="3"/>
        <v>6.0043874766185171E-4</v>
      </c>
      <c r="M68" s="702">
        <f>Recovery_OX!C63</f>
        <v>0</v>
      </c>
      <c r="N68" s="652"/>
      <c r="O68" s="703">
        <f>(L68-M68)*(1-Recovery_OX!F63)</f>
        <v>6.0043874766185171E-4</v>
      </c>
      <c r="P68" s="643"/>
      <c r="Q68" s="654"/>
      <c r="S68" s="697">
        <f t="shared" si="2"/>
        <v>2051</v>
      </c>
      <c r="T68" s="698">
        <f>IF(Select2=1,Food!$W70,"")</f>
        <v>1.3235724758373786E-7</v>
      </c>
      <c r="U68" s="699">
        <f>IF(Select2=1,Paper!$W70,"")</f>
        <v>1.8593326600385068E-2</v>
      </c>
      <c r="V68" s="689">
        <f>IF(Select2=1,Nappies!$W70,"")</f>
        <v>0</v>
      </c>
      <c r="W68" s="699">
        <f>IF(Select2=1,Garden!$W70,"")</f>
        <v>0</v>
      </c>
      <c r="X68" s="689">
        <f>IF(Select2=1,Wood!$W70,"")</f>
        <v>0</v>
      </c>
      <c r="Y68" s="699">
        <f>IF(Select2=1,Textiles!$W70,"")</f>
        <v>7.0321842239588696E-4</v>
      </c>
      <c r="Z68" s="691">
        <f>Sludge!W70</f>
        <v>0</v>
      </c>
      <c r="AA68" s="691" t="str">
        <f>IF(Select2=2,MSW!$W70,"")</f>
        <v/>
      </c>
      <c r="AB68" s="700">
        <f>Industry!$W70</f>
        <v>0</v>
      </c>
      <c r="AC68" s="701">
        <f t="shared" si="4"/>
        <v>1.9296677380028538E-2</v>
      </c>
      <c r="AD68" s="702">
        <f>Recovery_OX!R63</f>
        <v>0</v>
      </c>
      <c r="AE68" s="652"/>
      <c r="AF68" s="704">
        <f>(AC68-AD68)*(1-Recovery_OX!U63)</f>
        <v>1.9296677380028538E-2</v>
      </c>
    </row>
    <row r="69" spans="2:32">
      <c r="B69" s="697">
        <f t="shared" si="1"/>
        <v>2052</v>
      </c>
      <c r="C69" s="698">
        <f>IF(Select2=1,Food!$K71,"")</f>
        <v>4.292356634278642E-8</v>
      </c>
      <c r="D69" s="699">
        <f>IF(Select2=1,Paper!$K71,"")</f>
        <v>5.3395812666171081E-4</v>
      </c>
      <c r="E69" s="689">
        <f>IF(Select2=1,Nappies!$K71,"")</f>
        <v>1.4346919900589407E-5</v>
      </c>
      <c r="F69" s="699">
        <f>IF(Select2=1,Garden!$K71,"")</f>
        <v>0</v>
      </c>
      <c r="G69" s="689">
        <f>IF(Select2=1,Wood!$K71,"")</f>
        <v>0</v>
      </c>
      <c r="H69" s="699">
        <f>IF(Select2=1,Textiles!$K71,"")</f>
        <v>9.9717469394319333E-6</v>
      </c>
      <c r="I69" s="700">
        <f>Sludge!K71</f>
        <v>0</v>
      </c>
      <c r="J69" s="700" t="str">
        <f>IF(Select2=2,MSW!$K71,"")</f>
        <v/>
      </c>
      <c r="K69" s="700">
        <f>Industry!$K71</f>
        <v>0</v>
      </c>
      <c r="L69" s="701">
        <f t="shared" si="3"/>
        <v>5.5831971706807499E-4</v>
      </c>
      <c r="M69" s="702">
        <f>Recovery_OX!C64</f>
        <v>0</v>
      </c>
      <c r="N69" s="652"/>
      <c r="O69" s="703">
        <f>(L69-M69)*(1-Recovery_OX!F64)</f>
        <v>5.5831971706807499E-4</v>
      </c>
      <c r="P69" s="643"/>
      <c r="Q69" s="654"/>
      <c r="S69" s="697">
        <f t="shared" si="2"/>
        <v>2052</v>
      </c>
      <c r="T69" s="698">
        <f>IF(Select2=1,Food!$W71,"")</f>
        <v>8.8721716293481664E-8</v>
      </c>
      <c r="U69" s="699">
        <f>IF(Select2=1,Paper!$W71,"")</f>
        <v>1.733630281369191E-2</v>
      </c>
      <c r="V69" s="689">
        <f>IF(Select2=1,Nappies!$W71,"")</f>
        <v>0</v>
      </c>
      <c r="W69" s="699">
        <f>IF(Select2=1,Garden!$W71,"")</f>
        <v>0</v>
      </c>
      <c r="X69" s="689">
        <f>IF(Select2=1,Wood!$W71,"")</f>
        <v>0</v>
      </c>
      <c r="Y69" s="699">
        <f>IF(Select2=1,Textiles!$W71,"")</f>
        <v>6.5567651108593573E-4</v>
      </c>
      <c r="Z69" s="691">
        <f>Sludge!W71</f>
        <v>0</v>
      </c>
      <c r="AA69" s="691" t="str">
        <f>IF(Select2=2,MSW!$W71,"")</f>
        <v/>
      </c>
      <c r="AB69" s="700">
        <f>Industry!$W71</f>
        <v>0</v>
      </c>
      <c r="AC69" s="701">
        <f t="shared" si="4"/>
        <v>1.7992068046494138E-2</v>
      </c>
      <c r="AD69" s="702">
        <f>Recovery_OX!R64</f>
        <v>0</v>
      </c>
      <c r="AE69" s="652"/>
      <c r="AF69" s="704">
        <f>(AC69-AD69)*(1-Recovery_OX!U64)</f>
        <v>1.7992068046494138E-2</v>
      </c>
    </row>
    <row r="70" spans="2:32">
      <c r="B70" s="697">
        <f t="shared" si="1"/>
        <v>2053</v>
      </c>
      <c r="C70" s="698">
        <f>IF(Select2=1,Food!$K72,"")</f>
        <v>2.8772526966910417E-8</v>
      </c>
      <c r="D70" s="699">
        <f>IF(Select2=1,Paper!$K72,"")</f>
        <v>4.9785925738793661E-4</v>
      </c>
      <c r="E70" s="689">
        <f>IF(Select2=1,Nappies!$K72,"")</f>
        <v>1.210399154665377E-5</v>
      </c>
      <c r="F70" s="699">
        <f>IF(Select2=1,Garden!$K72,"")</f>
        <v>0</v>
      </c>
      <c r="G70" s="689">
        <f>IF(Select2=1,Wood!$K72,"")</f>
        <v>0</v>
      </c>
      <c r="H70" s="699">
        <f>IF(Select2=1,Textiles!$K72,"")</f>
        <v>9.29759521999239E-6</v>
      </c>
      <c r="I70" s="700">
        <f>Sludge!K72</f>
        <v>0</v>
      </c>
      <c r="J70" s="700" t="str">
        <f>IF(Select2=2,MSW!$K72,"")</f>
        <v/>
      </c>
      <c r="K70" s="700">
        <f>Industry!$K72</f>
        <v>0</v>
      </c>
      <c r="L70" s="701">
        <f t="shared" si="3"/>
        <v>5.1928961668154961E-4</v>
      </c>
      <c r="M70" s="702">
        <f>Recovery_OX!C65</f>
        <v>0</v>
      </c>
      <c r="N70" s="652"/>
      <c r="O70" s="703">
        <f>(L70-M70)*(1-Recovery_OX!F65)</f>
        <v>5.1928961668154961E-4</v>
      </c>
      <c r="P70" s="643"/>
      <c r="Q70" s="654"/>
      <c r="S70" s="697">
        <f t="shared" si="2"/>
        <v>2053</v>
      </c>
      <c r="T70" s="698">
        <f>IF(Select2=1,Food!$W72,"")</f>
        <v>5.9471944950207556E-8</v>
      </c>
      <c r="U70" s="699">
        <f>IF(Select2=1,Paper!$W72,"")</f>
        <v>1.616426160350444E-2</v>
      </c>
      <c r="V70" s="689">
        <f>IF(Select2=1,Nappies!$W72,"")</f>
        <v>0</v>
      </c>
      <c r="W70" s="699">
        <f>IF(Select2=1,Garden!$W72,"")</f>
        <v>0</v>
      </c>
      <c r="X70" s="689">
        <f>IF(Select2=1,Wood!$W72,"")</f>
        <v>0</v>
      </c>
      <c r="Y70" s="699">
        <f>IF(Select2=1,Textiles!$W72,"")</f>
        <v>6.1134872679402042E-4</v>
      </c>
      <c r="Z70" s="691">
        <f>Sludge!W72</f>
        <v>0</v>
      </c>
      <c r="AA70" s="691" t="str">
        <f>IF(Select2=2,MSW!$W72,"")</f>
        <v/>
      </c>
      <c r="AB70" s="700">
        <f>Industry!$W72</f>
        <v>0</v>
      </c>
      <c r="AC70" s="701">
        <f t="shared" si="4"/>
        <v>1.6775669802243411E-2</v>
      </c>
      <c r="AD70" s="702">
        <f>Recovery_OX!R65</f>
        <v>0</v>
      </c>
      <c r="AE70" s="652"/>
      <c r="AF70" s="704">
        <f>(AC70-AD70)*(1-Recovery_OX!U65)</f>
        <v>1.6775669802243411E-2</v>
      </c>
    </row>
    <row r="71" spans="2:32">
      <c r="B71" s="697">
        <f t="shared" si="1"/>
        <v>2054</v>
      </c>
      <c r="C71" s="698">
        <f>IF(Select2=1,Food!$K73,"")</f>
        <v>1.9286801601021064E-8</v>
      </c>
      <c r="D71" s="699">
        <f>IF(Select2=1,Paper!$K73,"")</f>
        <v>4.6420089477147692E-4</v>
      </c>
      <c r="E71" s="689">
        <f>IF(Select2=1,Nappies!$K73,"")</f>
        <v>1.0211711808291831E-5</v>
      </c>
      <c r="F71" s="699">
        <f>IF(Select2=1,Garden!$K73,"")</f>
        <v>0</v>
      </c>
      <c r="G71" s="689">
        <f>IF(Select2=1,Wood!$K73,"")</f>
        <v>0</v>
      </c>
      <c r="H71" s="699">
        <f>IF(Select2=1,Textiles!$K73,"")</f>
        <v>8.6690203231079896E-6</v>
      </c>
      <c r="I71" s="700">
        <f>Sludge!K73</f>
        <v>0</v>
      </c>
      <c r="J71" s="700" t="str">
        <f>IF(Select2=2,MSW!$K73,"")</f>
        <v/>
      </c>
      <c r="K71" s="700">
        <f>Industry!$K73</f>
        <v>0</v>
      </c>
      <c r="L71" s="701">
        <f t="shared" si="3"/>
        <v>4.8310091370447773E-4</v>
      </c>
      <c r="M71" s="702">
        <f>Recovery_OX!C66</f>
        <v>0</v>
      </c>
      <c r="N71" s="652"/>
      <c r="O71" s="703">
        <f>(L71-M71)*(1-Recovery_OX!F66)</f>
        <v>4.8310091370447773E-4</v>
      </c>
      <c r="P71" s="643"/>
      <c r="Q71" s="654"/>
      <c r="S71" s="697">
        <f t="shared" si="2"/>
        <v>2054</v>
      </c>
      <c r="T71" s="698">
        <f>IF(Select2=1,Food!$W73,"")</f>
        <v>3.9865236876852142E-8</v>
      </c>
      <c r="U71" s="699">
        <f>IF(Select2=1,Paper!$W73,"")</f>
        <v>1.5071457622450555E-2</v>
      </c>
      <c r="V71" s="689">
        <f>IF(Select2=1,Nappies!$W73,"")</f>
        <v>0</v>
      </c>
      <c r="W71" s="699">
        <f>IF(Select2=1,Garden!$W73,"")</f>
        <v>0</v>
      </c>
      <c r="X71" s="689">
        <f>IF(Select2=1,Wood!$W73,"")</f>
        <v>0</v>
      </c>
      <c r="Y71" s="699">
        <f>IF(Select2=1,Textiles!$W73,"")</f>
        <v>5.7001777467011465E-4</v>
      </c>
      <c r="Z71" s="691">
        <f>Sludge!W73</f>
        <v>0</v>
      </c>
      <c r="AA71" s="691" t="str">
        <f>IF(Select2=2,MSW!$W73,"")</f>
        <v/>
      </c>
      <c r="AB71" s="700">
        <f>Industry!$W73</f>
        <v>0</v>
      </c>
      <c r="AC71" s="701">
        <f t="shared" si="4"/>
        <v>1.5641515262357547E-2</v>
      </c>
      <c r="AD71" s="702">
        <f>Recovery_OX!R66</f>
        <v>0</v>
      </c>
      <c r="AE71" s="652"/>
      <c r="AF71" s="704">
        <f>(AC71-AD71)*(1-Recovery_OX!U66)</f>
        <v>1.5641515262357547E-2</v>
      </c>
    </row>
    <row r="72" spans="2:32">
      <c r="B72" s="697">
        <f t="shared" si="1"/>
        <v>2055</v>
      </c>
      <c r="C72" s="698">
        <f>IF(Select2=1,Food!$K74,"")</f>
        <v>1.2928329737076681E-8</v>
      </c>
      <c r="D72" s="699">
        <f>IF(Select2=1,Paper!$K74,"")</f>
        <v>4.3281804547973647E-4</v>
      </c>
      <c r="E72" s="689">
        <f>IF(Select2=1,Nappies!$K74,"")</f>
        <v>8.6152619698776531E-6</v>
      </c>
      <c r="F72" s="699">
        <f>IF(Select2=1,Garden!$K74,"")</f>
        <v>0</v>
      </c>
      <c r="G72" s="689">
        <f>IF(Select2=1,Wood!$K74,"")</f>
        <v>0</v>
      </c>
      <c r="H72" s="699">
        <f>IF(Select2=1,Textiles!$K74,"")</f>
        <v>8.0829409739049569E-6</v>
      </c>
      <c r="I72" s="700">
        <f>Sludge!K74</f>
        <v>0</v>
      </c>
      <c r="J72" s="700" t="str">
        <f>IF(Select2=2,MSW!$K74,"")</f>
        <v/>
      </c>
      <c r="K72" s="700">
        <f>Industry!$K74</f>
        <v>0</v>
      </c>
      <c r="L72" s="701">
        <f t="shared" si="3"/>
        <v>4.4952917675325613E-4</v>
      </c>
      <c r="M72" s="702">
        <f>Recovery_OX!C67</f>
        <v>0</v>
      </c>
      <c r="N72" s="652"/>
      <c r="O72" s="703">
        <f>(L72-M72)*(1-Recovery_OX!F67)</f>
        <v>4.4952917675325613E-4</v>
      </c>
      <c r="P72" s="643"/>
      <c r="Q72" s="654"/>
      <c r="S72" s="697">
        <f t="shared" si="2"/>
        <v>2055</v>
      </c>
      <c r="T72" s="698">
        <f>IF(Select2=1,Food!$W74,"")</f>
        <v>2.6722467418513195E-8</v>
      </c>
      <c r="U72" s="699">
        <f>IF(Select2=1,Paper!$W74,"")</f>
        <v>1.4052533944147294E-2</v>
      </c>
      <c r="V72" s="689">
        <f>IF(Select2=1,Nappies!$W74,"")</f>
        <v>0</v>
      </c>
      <c r="W72" s="699">
        <f>IF(Select2=1,Garden!$W74,"")</f>
        <v>0</v>
      </c>
      <c r="X72" s="689">
        <f>IF(Select2=1,Wood!$W74,"")</f>
        <v>0</v>
      </c>
      <c r="Y72" s="699">
        <f>IF(Select2=1,Textiles!$W74,"")</f>
        <v>5.314810503389563E-4</v>
      </c>
      <c r="Z72" s="691">
        <f>Sludge!W74</f>
        <v>0</v>
      </c>
      <c r="AA72" s="691" t="str">
        <f>IF(Select2=2,MSW!$W74,"")</f>
        <v/>
      </c>
      <c r="AB72" s="700">
        <f>Industry!$W74</f>
        <v>0</v>
      </c>
      <c r="AC72" s="701">
        <f t="shared" si="4"/>
        <v>1.4584041716953667E-2</v>
      </c>
      <c r="AD72" s="702">
        <f>Recovery_OX!R67</f>
        <v>0</v>
      </c>
      <c r="AE72" s="652"/>
      <c r="AF72" s="704">
        <f>(AC72-AD72)*(1-Recovery_OX!U67)</f>
        <v>1.4584041716953667E-2</v>
      </c>
    </row>
    <row r="73" spans="2:32">
      <c r="B73" s="697">
        <f t="shared" si="1"/>
        <v>2056</v>
      </c>
      <c r="C73" s="698">
        <f>IF(Select2=1,Food!$K75,"")</f>
        <v>8.6661185845211655E-9</v>
      </c>
      <c r="D73" s="699">
        <f>IF(Select2=1,Paper!$K75,"")</f>
        <v>4.0355687074907794E-4</v>
      </c>
      <c r="E73" s="689">
        <f>IF(Select2=1,Nappies!$K75,"")</f>
        <v>7.2683934097466306E-6</v>
      </c>
      <c r="F73" s="699">
        <f>IF(Select2=1,Garden!$K75,"")</f>
        <v>0</v>
      </c>
      <c r="G73" s="689">
        <f>IF(Select2=1,Wood!$K75,"")</f>
        <v>0</v>
      </c>
      <c r="H73" s="699">
        <f>IF(Select2=1,Textiles!$K75,"")</f>
        <v>7.5364842107335482E-6</v>
      </c>
      <c r="I73" s="700">
        <f>Sludge!K75</f>
        <v>0</v>
      </c>
      <c r="J73" s="700" t="str">
        <f>IF(Select2=2,MSW!$K75,"")</f>
        <v/>
      </c>
      <c r="K73" s="700">
        <f>Industry!$K75</f>
        <v>0</v>
      </c>
      <c r="L73" s="701">
        <f t="shared" si="3"/>
        <v>4.1837041448814264E-4</v>
      </c>
      <c r="M73" s="702">
        <f>Recovery_OX!C68</f>
        <v>0</v>
      </c>
      <c r="N73" s="652"/>
      <c r="O73" s="703">
        <f>(L73-M73)*(1-Recovery_OX!F68)</f>
        <v>4.1837041448814264E-4</v>
      </c>
      <c r="P73" s="643"/>
      <c r="Q73" s="654"/>
      <c r="S73" s="697">
        <f t="shared" si="2"/>
        <v>2056</v>
      </c>
      <c r="T73" s="698">
        <f>IF(Select2=1,Food!$W75,"")</f>
        <v>1.7912605590163638E-8</v>
      </c>
      <c r="U73" s="699">
        <f>IF(Select2=1,Paper!$W75,"")</f>
        <v>1.3102495803541498E-2</v>
      </c>
      <c r="V73" s="689">
        <f>IF(Select2=1,Nappies!$W75,"")</f>
        <v>0</v>
      </c>
      <c r="W73" s="699">
        <f>IF(Select2=1,Garden!$W75,"")</f>
        <v>0</v>
      </c>
      <c r="X73" s="689">
        <f>IF(Select2=1,Wood!$W75,"")</f>
        <v>0</v>
      </c>
      <c r="Y73" s="699">
        <f>IF(Select2=1,Textiles!$W75,"")</f>
        <v>4.9554964673316504E-4</v>
      </c>
      <c r="Z73" s="691">
        <f>Sludge!W75</f>
        <v>0</v>
      </c>
      <c r="AA73" s="691" t="str">
        <f>IF(Select2=2,MSW!$W75,"")</f>
        <v/>
      </c>
      <c r="AB73" s="700">
        <f>Industry!$W75</f>
        <v>0</v>
      </c>
      <c r="AC73" s="701">
        <f t="shared" si="4"/>
        <v>1.3598063362880252E-2</v>
      </c>
      <c r="AD73" s="702">
        <f>Recovery_OX!R68</f>
        <v>0</v>
      </c>
      <c r="AE73" s="652"/>
      <c r="AF73" s="704">
        <f>(AC73-AD73)*(1-Recovery_OX!U68)</f>
        <v>1.3598063362880252E-2</v>
      </c>
    </row>
    <row r="74" spans="2:32">
      <c r="B74" s="697">
        <f t="shared" si="1"/>
        <v>2057</v>
      </c>
      <c r="C74" s="698">
        <f>IF(Select2=1,Food!$K76,"")</f>
        <v>5.8090730085265383E-9</v>
      </c>
      <c r="D74" s="699">
        <f>IF(Select2=1,Paper!$K76,"")</f>
        <v>3.7627393226702388E-4</v>
      </c>
      <c r="E74" s="689">
        <f>IF(Select2=1,Nappies!$K76,"")</f>
        <v>6.1320877929842556E-6</v>
      </c>
      <c r="F74" s="699">
        <f>IF(Select2=1,Garden!$K76,"")</f>
        <v>0</v>
      </c>
      <c r="G74" s="689">
        <f>IF(Select2=1,Wood!$K76,"")</f>
        <v>0</v>
      </c>
      <c r="H74" s="699">
        <f>IF(Select2=1,Textiles!$K76,"")</f>
        <v>7.0269713019067198E-6</v>
      </c>
      <c r="I74" s="700">
        <f>Sludge!K76</f>
        <v>0</v>
      </c>
      <c r="J74" s="700" t="str">
        <f>IF(Select2=2,MSW!$K76,"")</f>
        <v/>
      </c>
      <c r="K74" s="700">
        <f>Industry!$K76</f>
        <v>0</v>
      </c>
      <c r="L74" s="701">
        <f t="shared" si="3"/>
        <v>3.894388004349234E-4</v>
      </c>
      <c r="M74" s="702">
        <f>Recovery_OX!C69</f>
        <v>0</v>
      </c>
      <c r="N74" s="652"/>
      <c r="O74" s="703">
        <f>(L74-M74)*(1-Recovery_OX!F69)</f>
        <v>3.894388004349234E-4</v>
      </c>
      <c r="P74" s="643"/>
      <c r="Q74" s="654"/>
      <c r="S74" s="697">
        <f t="shared" si="2"/>
        <v>2057</v>
      </c>
      <c r="T74" s="698">
        <f>IF(Select2=1,Food!$W76,"")</f>
        <v>1.2007178603816741E-8</v>
      </c>
      <c r="U74" s="699">
        <f>IF(Select2=1,Paper!$W76,"")</f>
        <v>1.2216686112565713E-2</v>
      </c>
      <c r="V74" s="689">
        <f>IF(Select2=1,Nappies!$W76,"")</f>
        <v>0</v>
      </c>
      <c r="W74" s="699">
        <f>IF(Select2=1,Garden!$W76,"")</f>
        <v>0</v>
      </c>
      <c r="X74" s="689">
        <f>IF(Select2=1,Wood!$W76,"")</f>
        <v>0</v>
      </c>
      <c r="Y74" s="699">
        <f>IF(Select2=1,Textiles!$W76,"")</f>
        <v>4.6204742807057897E-4</v>
      </c>
      <c r="Z74" s="691">
        <f>Sludge!W76</f>
        <v>0</v>
      </c>
      <c r="AA74" s="691" t="str">
        <f>IF(Select2=2,MSW!$W76,"")</f>
        <v/>
      </c>
      <c r="AB74" s="700">
        <f>Industry!$W76</f>
        <v>0</v>
      </c>
      <c r="AC74" s="701">
        <f t="shared" si="4"/>
        <v>1.2678745547814896E-2</v>
      </c>
      <c r="AD74" s="702">
        <f>Recovery_OX!R69</f>
        <v>0</v>
      </c>
      <c r="AE74" s="652"/>
      <c r="AF74" s="704">
        <f>(AC74-AD74)*(1-Recovery_OX!U69)</f>
        <v>1.2678745547814896E-2</v>
      </c>
    </row>
    <row r="75" spans="2:32">
      <c r="B75" s="697">
        <f t="shared" si="1"/>
        <v>2058</v>
      </c>
      <c r="C75" s="698">
        <f>IF(Select2=1,Food!$K77,"")</f>
        <v>3.8939380864998988E-9</v>
      </c>
      <c r="D75" s="699">
        <f>IF(Select2=1,Paper!$K77,"")</f>
        <v>3.5083548903748246E-4</v>
      </c>
      <c r="E75" s="689">
        <f>IF(Select2=1,Nappies!$K77,"")</f>
        <v>5.1734267232209849E-6</v>
      </c>
      <c r="F75" s="699">
        <f>IF(Select2=1,Garden!$K77,"")</f>
        <v>0</v>
      </c>
      <c r="G75" s="689">
        <f>IF(Select2=1,Wood!$K77,"")</f>
        <v>0</v>
      </c>
      <c r="H75" s="699">
        <f>IF(Select2=1,Textiles!$K77,"")</f>
        <v>6.5519046145542788E-6</v>
      </c>
      <c r="I75" s="700">
        <f>Sludge!K77</f>
        <v>0</v>
      </c>
      <c r="J75" s="700" t="str">
        <f>IF(Select2=2,MSW!$K77,"")</f>
        <v/>
      </c>
      <c r="K75" s="700">
        <f>Industry!$K77</f>
        <v>0</v>
      </c>
      <c r="L75" s="701">
        <f t="shared" si="3"/>
        <v>3.6256471431334421E-4</v>
      </c>
      <c r="M75" s="702">
        <f>Recovery_OX!C70</f>
        <v>0</v>
      </c>
      <c r="N75" s="652"/>
      <c r="O75" s="703">
        <f>(L75-M75)*(1-Recovery_OX!F70)</f>
        <v>3.6256471431334421E-4</v>
      </c>
      <c r="P75" s="643"/>
      <c r="Q75" s="654"/>
      <c r="S75" s="697">
        <f t="shared" si="2"/>
        <v>2058</v>
      </c>
      <c r="T75" s="698">
        <f>IF(Select2=1,Food!$W77,"")</f>
        <v>8.0486525144685816E-9</v>
      </c>
      <c r="U75" s="699">
        <f>IF(Select2=1,Paper!$W77,"")</f>
        <v>1.1390762631087094E-2</v>
      </c>
      <c r="V75" s="689">
        <f>IF(Select2=1,Nappies!$W77,"")</f>
        <v>0</v>
      </c>
      <c r="W75" s="699">
        <f>IF(Select2=1,Garden!$W77,"")</f>
        <v>0</v>
      </c>
      <c r="X75" s="689">
        <f>IF(Select2=1,Wood!$W77,"")</f>
        <v>0</v>
      </c>
      <c r="Y75" s="699">
        <f>IF(Select2=1,Textiles!$W77,"")</f>
        <v>4.3081016643644601E-4</v>
      </c>
      <c r="Z75" s="691">
        <f>Sludge!W77</f>
        <v>0</v>
      </c>
      <c r="AA75" s="691" t="str">
        <f>IF(Select2=2,MSW!$W77,"")</f>
        <v/>
      </c>
      <c r="AB75" s="700">
        <f>Industry!$W77</f>
        <v>0</v>
      </c>
      <c r="AC75" s="701">
        <f t="shared" si="4"/>
        <v>1.1821580846176056E-2</v>
      </c>
      <c r="AD75" s="702">
        <f>Recovery_OX!R70</f>
        <v>0</v>
      </c>
      <c r="AE75" s="652"/>
      <c r="AF75" s="704">
        <f>(AC75-AD75)*(1-Recovery_OX!U70)</f>
        <v>1.1821580846176056E-2</v>
      </c>
    </row>
    <row r="76" spans="2:32">
      <c r="B76" s="697">
        <f t="shared" si="1"/>
        <v>2059</v>
      </c>
      <c r="C76" s="698">
        <f>IF(Select2=1,Food!$K78,"")</f>
        <v>2.6101847574025419E-9</v>
      </c>
      <c r="D76" s="699">
        <f>IF(Select2=1,Paper!$K78,"")</f>
        <v>3.2711684178222966E-4</v>
      </c>
      <c r="E76" s="689">
        <f>IF(Select2=1,Nappies!$K78,"")</f>
        <v>4.3646381076210623E-6</v>
      </c>
      <c r="F76" s="699">
        <f>IF(Select2=1,Garden!$K78,"")</f>
        <v>0</v>
      </c>
      <c r="G76" s="689">
        <f>IF(Select2=1,Wood!$K78,"")</f>
        <v>0</v>
      </c>
      <c r="H76" s="699">
        <f>IF(Select2=1,Textiles!$K78,"")</f>
        <v>6.1089553712236746E-6</v>
      </c>
      <c r="I76" s="700">
        <f>Sludge!K78</f>
        <v>0</v>
      </c>
      <c r="J76" s="700" t="str">
        <f>IF(Select2=2,MSW!$K78,"")</f>
        <v/>
      </c>
      <c r="K76" s="700">
        <f>Industry!$K78</f>
        <v>0</v>
      </c>
      <c r="L76" s="701">
        <f t="shared" si="3"/>
        <v>3.375930454458318E-4</v>
      </c>
      <c r="M76" s="702">
        <f>Recovery_OX!C71</f>
        <v>0</v>
      </c>
      <c r="N76" s="652"/>
      <c r="O76" s="703">
        <f>(L76-M76)*(1-Recovery_OX!F71)</f>
        <v>3.375930454458318E-4</v>
      </c>
      <c r="P76" s="643"/>
      <c r="Q76" s="654"/>
      <c r="S76" s="697">
        <f t="shared" si="2"/>
        <v>2059</v>
      </c>
      <c r="T76" s="698">
        <f>IF(Select2=1,Food!$W78,"")</f>
        <v>5.3951731240234437E-9</v>
      </c>
      <c r="U76" s="699">
        <f>IF(Select2=1,Paper!$W78,"")</f>
        <v>1.0620676681241226E-2</v>
      </c>
      <c r="V76" s="689">
        <f>IF(Select2=1,Nappies!$W78,"")</f>
        <v>0</v>
      </c>
      <c r="W76" s="699">
        <f>IF(Select2=1,Garden!$W78,"")</f>
        <v>0</v>
      </c>
      <c r="X76" s="689">
        <f>IF(Select2=1,Wood!$W78,"")</f>
        <v>0</v>
      </c>
      <c r="Y76" s="699">
        <f>IF(Select2=1,Textiles!$W78,"")</f>
        <v>4.0168473673799529E-4</v>
      </c>
      <c r="Z76" s="691">
        <f>Sludge!W78</f>
        <v>0</v>
      </c>
      <c r="AA76" s="691" t="str">
        <f>IF(Select2=2,MSW!$W78,"")</f>
        <v/>
      </c>
      <c r="AB76" s="700">
        <f>Industry!$W78</f>
        <v>0</v>
      </c>
      <c r="AC76" s="701">
        <f t="shared" si="4"/>
        <v>1.1022366813152345E-2</v>
      </c>
      <c r="AD76" s="702">
        <f>Recovery_OX!R71</f>
        <v>0</v>
      </c>
      <c r="AE76" s="652"/>
      <c r="AF76" s="704">
        <f>(AC76-AD76)*(1-Recovery_OX!U71)</f>
        <v>1.1022366813152345E-2</v>
      </c>
    </row>
    <row r="77" spans="2:32">
      <c r="B77" s="697">
        <f t="shared" si="1"/>
        <v>2060</v>
      </c>
      <c r="C77" s="698">
        <f>IF(Select2=1,Food!$K79,"")</f>
        <v>1.7496591667435956E-9</v>
      </c>
      <c r="D77" s="699">
        <f>IF(Select2=1,Paper!$K79,"")</f>
        <v>3.0500172166490286E-4</v>
      </c>
      <c r="E77" s="689">
        <f>IF(Select2=1,Nappies!$K79,"")</f>
        <v>3.6822916085757109E-6</v>
      </c>
      <c r="F77" s="699">
        <f>IF(Select2=1,Garden!$K79,"")</f>
        <v>0</v>
      </c>
      <c r="G77" s="689">
        <f>IF(Select2=1,Wood!$K79,"")</f>
        <v>0</v>
      </c>
      <c r="H77" s="699">
        <f>IF(Select2=1,Textiles!$K79,"")</f>
        <v>5.6959522342102034E-6</v>
      </c>
      <c r="I77" s="700">
        <f>Sludge!K79</f>
        <v>0</v>
      </c>
      <c r="J77" s="700" t="str">
        <f>IF(Select2=2,MSW!$K79,"")</f>
        <v/>
      </c>
      <c r="K77" s="700">
        <f>Industry!$K79</f>
        <v>0</v>
      </c>
      <c r="L77" s="701">
        <f t="shared" si="3"/>
        <v>3.143817151668555E-4</v>
      </c>
      <c r="M77" s="702">
        <f>Recovery_OX!C72</f>
        <v>0</v>
      </c>
      <c r="N77" s="652"/>
      <c r="O77" s="703">
        <f>(L77-M77)*(1-Recovery_OX!F72)</f>
        <v>3.143817151668555E-4</v>
      </c>
      <c r="P77" s="643"/>
      <c r="Q77" s="654"/>
      <c r="S77" s="697">
        <f t="shared" si="2"/>
        <v>2060</v>
      </c>
      <c r="T77" s="698">
        <f>IF(Select2=1,Food!$W79,"")</f>
        <v>3.6164926968656388E-9</v>
      </c>
      <c r="U77" s="699">
        <f>IF(Select2=1,Paper!$W79,"")</f>
        <v>9.9026533008085352E-3</v>
      </c>
      <c r="V77" s="689">
        <f>IF(Select2=1,Nappies!$W79,"")</f>
        <v>0</v>
      </c>
      <c r="W77" s="699">
        <f>IF(Select2=1,Garden!$W79,"")</f>
        <v>0</v>
      </c>
      <c r="X77" s="689">
        <f>IF(Select2=1,Wood!$W79,"")</f>
        <v>0</v>
      </c>
      <c r="Y77" s="699">
        <f>IF(Select2=1,Textiles!$W79,"")</f>
        <v>3.7452836608505458E-4</v>
      </c>
      <c r="Z77" s="691">
        <f>Sludge!W79</f>
        <v>0</v>
      </c>
      <c r="AA77" s="691" t="str">
        <f>IF(Select2=2,MSW!$W79,"")</f>
        <v/>
      </c>
      <c r="AB77" s="700">
        <f>Industry!$W79</f>
        <v>0</v>
      </c>
      <c r="AC77" s="701">
        <f t="shared" si="4"/>
        <v>1.0277185283386288E-2</v>
      </c>
      <c r="AD77" s="702">
        <f>Recovery_OX!R72</f>
        <v>0</v>
      </c>
      <c r="AE77" s="652"/>
      <c r="AF77" s="704">
        <f>(AC77-AD77)*(1-Recovery_OX!U72)</f>
        <v>1.0277185283386288E-2</v>
      </c>
    </row>
    <row r="78" spans="2:32">
      <c r="B78" s="697">
        <f t="shared" si="1"/>
        <v>2061</v>
      </c>
      <c r="C78" s="698">
        <f>IF(Select2=1,Food!$K80,"")</f>
        <v>1.1728316131982454E-9</v>
      </c>
      <c r="D78" s="699">
        <f>IF(Select2=1,Paper!$K80,"")</f>
        <v>2.8438172034102956E-4</v>
      </c>
      <c r="E78" s="689">
        <f>IF(Select2=1,Nappies!$K80,"")</f>
        <v>3.1066198746034296E-6</v>
      </c>
      <c r="F78" s="699">
        <f>IF(Select2=1,Garden!$K80,"")</f>
        <v>0</v>
      </c>
      <c r="G78" s="689">
        <f>IF(Select2=1,Wood!$K80,"")</f>
        <v>0</v>
      </c>
      <c r="H78" s="699">
        <f>IF(Select2=1,Textiles!$K80,"")</f>
        <v>5.3108706616570719E-6</v>
      </c>
      <c r="I78" s="700">
        <f>Sludge!K80</f>
        <v>0</v>
      </c>
      <c r="J78" s="700" t="str">
        <f>IF(Select2=2,MSW!$K80,"")</f>
        <v/>
      </c>
      <c r="K78" s="700">
        <f>Industry!$K80</f>
        <v>0</v>
      </c>
      <c r="L78" s="701">
        <f t="shared" si="3"/>
        <v>2.9280038370890326E-4</v>
      </c>
      <c r="M78" s="702">
        <f>Recovery_OX!C73</f>
        <v>0</v>
      </c>
      <c r="N78" s="652"/>
      <c r="O78" s="703">
        <f>(L78-M78)*(1-Recovery_OX!F73)</f>
        <v>2.9280038370890326E-4</v>
      </c>
      <c r="P78" s="643"/>
      <c r="Q78" s="654"/>
      <c r="S78" s="697">
        <f t="shared" si="2"/>
        <v>2061</v>
      </c>
      <c r="T78" s="698">
        <f>IF(Select2=1,Food!$W80,"")</f>
        <v>2.4242075510505284E-9</v>
      </c>
      <c r="U78" s="699">
        <f>IF(Select2=1,Paper!$W80,"")</f>
        <v>9.233172738345119E-3</v>
      </c>
      <c r="V78" s="689">
        <f>IF(Select2=1,Nappies!$W80,"")</f>
        <v>0</v>
      </c>
      <c r="W78" s="699">
        <f>IF(Select2=1,Garden!$W80,"")</f>
        <v>0</v>
      </c>
      <c r="X78" s="689">
        <f>IF(Select2=1,Wood!$W80,"")</f>
        <v>0</v>
      </c>
      <c r="Y78" s="699">
        <f>IF(Select2=1,Textiles!$W80,"")</f>
        <v>3.4920793391717746E-4</v>
      </c>
      <c r="Z78" s="691">
        <f>Sludge!W80</f>
        <v>0</v>
      </c>
      <c r="AA78" s="691" t="str">
        <f>IF(Select2=2,MSW!$W80,"")</f>
        <v/>
      </c>
      <c r="AB78" s="700">
        <f>Industry!$W80</f>
        <v>0</v>
      </c>
      <c r="AC78" s="701">
        <f t="shared" si="4"/>
        <v>9.5823830964698476E-3</v>
      </c>
      <c r="AD78" s="702">
        <f>Recovery_OX!R73</f>
        <v>0</v>
      </c>
      <c r="AE78" s="652"/>
      <c r="AF78" s="704">
        <f>(AC78-AD78)*(1-Recovery_OX!U73)</f>
        <v>9.5823830964698476E-3</v>
      </c>
    </row>
    <row r="79" spans="2:32">
      <c r="B79" s="697">
        <f t="shared" si="1"/>
        <v>2062</v>
      </c>
      <c r="C79" s="698">
        <f>IF(Select2=1,Food!$K81,"")</f>
        <v>7.8617254095110088E-10</v>
      </c>
      <c r="D79" s="699">
        <f>IF(Select2=1,Paper!$K81,"")</f>
        <v>2.6515575854019766E-4</v>
      </c>
      <c r="E79" s="689">
        <f>IF(Select2=1,Nappies!$K81,"")</f>
        <v>2.6209458867419831E-6</v>
      </c>
      <c r="F79" s="699">
        <f>IF(Select2=1,Garden!$K81,"")</f>
        <v>0</v>
      </c>
      <c r="G79" s="689">
        <f>IF(Select2=1,Wood!$K81,"")</f>
        <v>0</v>
      </c>
      <c r="H79" s="699">
        <f>IF(Select2=1,Textiles!$K81,"")</f>
        <v>4.9518229832488682E-6</v>
      </c>
      <c r="I79" s="700">
        <f>Sludge!K81</f>
        <v>0</v>
      </c>
      <c r="J79" s="700" t="str">
        <f>IF(Select2=2,MSW!$K81,"")</f>
        <v/>
      </c>
      <c r="K79" s="700">
        <f>Industry!$K81</f>
        <v>0</v>
      </c>
      <c r="L79" s="701">
        <f t="shared" si="3"/>
        <v>2.7272931358272948E-4</v>
      </c>
      <c r="M79" s="702">
        <f>Recovery_OX!C74</f>
        <v>0</v>
      </c>
      <c r="N79" s="652"/>
      <c r="O79" s="703">
        <f>(L79-M79)*(1-Recovery_OX!F74)</f>
        <v>2.7272931358272948E-4</v>
      </c>
      <c r="P79" s="643"/>
      <c r="Q79" s="654"/>
      <c r="S79" s="697">
        <f t="shared" si="2"/>
        <v>2062</v>
      </c>
      <c r="T79" s="698">
        <f>IF(Select2=1,Food!$W81,"")</f>
        <v>1.6249949172201344E-9</v>
      </c>
      <c r="U79" s="699">
        <f>IF(Select2=1,Paper!$W81,"")</f>
        <v>8.6089531993570698E-3</v>
      </c>
      <c r="V79" s="689">
        <f>IF(Select2=1,Nappies!$W81,"")</f>
        <v>0</v>
      </c>
      <c r="W79" s="699">
        <f>IF(Select2=1,Garden!$W81,"")</f>
        <v>0</v>
      </c>
      <c r="X79" s="689">
        <f>IF(Select2=1,Wood!$W81,"")</f>
        <v>0</v>
      </c>
      <c r="Y79" s="699">
        <f>IF(Select2=1,Textiles!$W81,"")</f>
        <v>3.2559931944650103E-4</v>
      </c>
      <c r="Z79" s="691">
        <f>Sludge!W81</f>
        <v>0</v>
      </c>
      <c r="AA79" s="691" t="str">
        <f>IF(Select2=2,MSW!$W81,"")</f>
        <v/>
      </c>
      <c r="AB79" s="700">
        <f>Industry!$W81</f>
        <v>0</v>
      </c>
      <c r="AC79" s="701">
        <f t="shared" si="4"/>
        <v>8.9345541437984878E-3</v>
      </c>
      <c r="AD79" s="702">
        <f>Recovery_OX!R74</f>
        <v>0</v>
      </c>
      <c r="AE79" s="652"/>
      <c r="AF79" s="704">
        <f>(AC79-AD79)*(1-Recovery_OX!U74)</f>
        <v>8.9345541437984878E-3</v>
      </c>
    </row>
    <row r="80" spans="2:32">
      <c r="B80" s="697">
        <f t="shared" si="1"/>
        <v>2063</v>
      </c>
      <c r="C80" s="698">
        <f>IF(Select2=1,Food!$K82,"")</f>
        <v>5.2698721384229762E-10</v>
      </c>
      <c r="D80" s="699">
        <f>IF(Select2=1,Paper!$K82,"")</f>
        <v>2.4722959057535421E-4</v>
      </c>
      <c r="E80" s="689">
        <f>IF(Select2=1,Nappies!$K82,"")</f>
        <v>2.2111998308472215E-6</v>
      </c>
      <c r="F80" s="699">
        <f>IF(Select2=1,Garden!$K82,"")</f>
        <v>0</v>
      </c>
      <c r="G80" s="689">
        <f>IF(Select2=1,Wood!$K82,"")</f>
        <v>0</v>
      </c>
      <c r="H80" s="699">
        <f>IF(Select2=1,Textiles!$K82,"")</f>
        <v>4.6170491468494811E-6</v>
      </c>
      <c r="I80" s="700">
        <f>Sludge!K82</f>
        <v>0</v>
      </c>
      <c r="J80" s="700" t="str">
        <f>IF(Select2=2,MSW!$K82,"")</f>
        <v/>
      </c>
      <c r="K80" s="700">
        <f>Industry!$K82</f>
        <v>0</v>
      </c>
      <c r="L80" s="701">
        <f t="shared" si="3"/>
        <v>2.5405836654026476E-4</v>
      </c>
      <c r="M80" s="702">
        <f>Recovery_OX!C75</f>
        <v>0</v>
      </c>
      <c r="N80" s="652"/>
      <c r="O80" s="703">
        <f>(L80-M80)*(1-Recovery_OX!F75)</f>
        <v>2.5405836654026476E-4</v>
      </c>
      <c r="P80" s="643"/>
      <c r="Q80" s="654"/>
      <c r="S80" s="697">
        <f t="shared" si="2"/>
        <v>2063</v>
      </c>
      <c r="T80" s="698">
        <f>IF(Select2=1,Food!$W82,"")</f>
        <v>1.0892666677186805E-9</v>
      </c>
      <c r="U80" s="699">
        <f>IF(Select2=1,Paper!$W82,"")</f>
        <v>8.0269347589400734E-3</v>
      </c>
      <c r="V80" s="689">
        <f>IF(Select2=1,Nappies!$W82,"")</f>
        <v>0</v>
      </c>
      <c r="W80" s="699">
        <f>IF(Select2=1,Garden!$W82,"")</f>
        <v>0</v>
      </c>
      <c r="X80" s="689">
        <f>IF(Select2=1,Wood!$W82,"")</f>
        <v>0</v>
      </c>
      <c r="Y80" s="699">
        <f>IF(Select2=1,Textiles!$W82,"")</f>
        <v>3.035867932175002E-4</v>
      </c>
      <c r="Z80" s="691">
        <f>Sludge!W82</f>
        <v>0</v>
      </c>
      <c r="AA80" s="691" t="str">
        <f>IF(Select2=2,MSW!$W82,"")</f>
        <v/>
      </c>
      <c r="AB80" s="700">
        <f>Industry!$W82</f>
        <v>0</v>
      </c>
      <c r="AC80" s="701">
        <f t="shared" si="4"/>
        <v>8.3305226414242418E-3</v>
      </c>
      <c r="AD80" s="702">
        <f>Recovery_OX!R75</f>
        <v>0</v>
      </c>
      <c r="AE80" s="652"/>
      <c r="AF80" s="704">
        <f>(AC80-AD80)*(1-Recovery_OX!U75)</f>
        <v>8.3305226414242418E-3</v>
      </c>
    </row>
    <row r="81" spans="2:32">
      <c r="B81" s="697">
        <f t="shared" si="1"/>
        <v>2064</v>
      </c>
      <c r="C81" s="698">
        <f>IF(Select2=1,Food!$K83,"")</f>
        <v>3.5325009344296216E-10</v>
      </c>
      <c r="D81" s="699">
        <f>IF(Select2=1,Paper!$K83,"")</f>
        <v>2.3051534235033814E-4</v>
      </c>
      <c r="E81" s="689">
        <f>IF(Select2=1,Nappies!$K83,"")</f>
        <v>1.8655114997496759E-6</v>
      </c>
      <c r="F81" s="699">
        <f>IF(Select2=1,Garden!$K83,"")</f>
        <v>0</v>
      </c>
      <c r="G81" s="689">
        <f>IF(Select2=1,Wood!$K83,"")</f>
        <v>0</v>
      </c>
      <c r="H81" s="699">
        <f>IF(Select2=1,Textiles!$K83,"")</f>
        <v>4.3049080907244872E-6</v>
      </c>
      <c r="I81" s="700">
        <f>Sludge!K83</f>
        <v>0</v>
      </c>
      <c r="J81" s="700" t="str">
        <f>IF(Select2=2,MSW!$K83,"")</f>
        <v/>
      </c>
      <c r="K81" s="700">
        <f>Industry!$K83</f>
        <v>0</v>
      </c>
      <c r="L81" s="701">
        <f t="shared" si="3"/>
        <v>2.3668611519090575E-4</v>
      </c>
      <c r="M81" s="702">
        <f>Recovery_OX!C76</f>
        <v>0</v>
      </c>
      <c r="N81" s="652"/>
      <c r="O81" s="703">
        <f>(L81-M81)*(1-Recovery_OX!F76)</f>
        <v>2.3668611519090575E-4</v>
      </c>
      <c r="P81" s="643"/>
      <c r="Q81" s="654"/>
      <c r="S81" s="697">
        <f t="shared" si="2"/>
        <v>2064</v>
      </c>
      <c r="T81" s="698">
        <f>IF(Select2=1,Food!$W83,"")</f>
        <v>7.3015728285027349E-10</v>
      </c>
      <c r="U81" s="699">
        <f>IF(Select2=1,Paper!$W83,"")</f>
        <v>7.4842643620239655E-3</v>
      </c>
      <c r="V81" s="689">
        <f>IF(Select2=1,Nappies!$W83,"")</f>
        <v>0</v>
      </c>
      <c r="W81" s="699">
        <f>IF(Select2=1,Garden!$W83,"")</f>
        <v>0</v>
      </c>
      <c r="X81" s="689">
        <f>IF(Select2=1,Wood!$W83,"")</f>
        <v>0</v>
      </c>
      <c r="Y81" s="699">
        <f>IF(Select2=1,Textiles!$W83,"")</f>
        <v>2.8306244980106222E-4</v>
      </c>
      <c r="Z81" s="691">
        <f>Sludge!W83</f>
        <v>0</v>
      </c>
      <c r="AA81" s="691" t="str">
        <f>IF(Select2=2,MSW!$W83,"")</f>
        <v/>
      </c>
      <c r="AB81" s="700">
        <f>Industry!$W83</f>
        <v>0</v>
      </c>
      <c r="AC81" s="701">
        <f t="shared" ref="AC81:AC97" si="5">SUM(T81:AA81)</f>
        <v>7.7673275419823107E-3</v>
      </c>
      <c r="AD81" s="702">
        <f>Recovery_OX!R76</f>
        <v>0</v>
      </c>
      <c r="AE81" s="652"/>
      <c r="AF81" s="704">
        <f>(AC81-AD81)*(1-Recovery_OX!U76)</f>
        <v>7.7673275419823107E-3</v>
      </c>
    </row>
    <row r="82" spans="2:32">
      <c r="B82" s="697">
        <f t="shared" ref="B82:B97" si="6">B81+1</f>
        <v>2065</v>
      </c>
      <c r="C82" s="698">
        <f>IF(Select2=1,Food!$K84,"")</f>
        <v>2.3679061889878028E-10</v>
      </c>
      <c r="D82" s="699">
        <f>IF(Select2=1,Paper!$K84,"")</f>
        <v>2.1493108060095919E-4</v>
      </c>
      <c r="E82" s="689">
        <f>IF(Select2=1,Nappies!$K84,"")</f>
        <v>1.5738664172947549E-6</v>
      </c>
      <c r="F82" s="699">
        <f>IF(Select2=1,Garden!$K84,"")</f>
        <v>0</v>
      </c>
      <c r="G82" s="689">
        <f>IF(Select2=1,Wood!$K84,"")</f>
        <v>0</v>
      </c>
      <c r="H82" s="699">
        <f>IF(Select2=1,Textiles!$K84,"")</f>
        <v>4.013869699054627E-6</v>
      </c>
      <c r="I82" s="700">
        <f>Sludge!K84</f>
        <v>0</v>
      </c>
      <c r="J82" s="700" t="str">
        <f>IF(Select2=2,MSW!$K84,"")</f>
        <v/>
      </c>
      <c r="K82" s="700">
        <f>Industry!$K84</f>
        <v>0</v>
      </c>
      <c r="L82" s="701">
        <f t="shared" si="3"/>
        <v>2.2051905350792749E-4</v>
      </c>
      <c r="M82" s="702">
        <f>Recovery_OX!C77</f>
        <v>0</v>
      </c>
      <c r="N82" s="652"/>
      <c r="O82" s="703">
        <f>(L82-M82)*(1-Recovery_OX!F77)</f>
        <v>2.2051905350792749E-4</v>
      </c>
      <c r="P82" s="643"/>
      <c r="Q82" s="654"/>
      <c r="S82" s="697">
        <f t="shared" ref="S82:S97" si="7">S81+1</f>
        <v>2065</v>
      </c>
      <c r="T82" s="698">
        <f>IF(Select2=1,Food!$W84,"")</f>
        <v>4.8943906345345266E-10</v>
      </c>
      <c r="U82" s="699">
        <f>IF(Select2=1,Paper!$W84,"")</f>
        <v>6.9782818376934808E-3</v>
      </c>
      <c r="V82" s="689">
        <f>IF(Select2=1,Nappies!$W84,"")</f>
        <v>0</v>
      </c>
      <c r="W82" s="699">
        <f>IF(Select2=1,Garden!$W84,"")</f>
        <v>0</v>
      </c>
      <c r="X82" s="689">
        <f>IF(Select2=1,Wood!$W84,"")</f>
        <v>0</v>
      </c>
      <c r="Y82" s="699">
        <f>IF(Select2=1,Textiles!$W84,"")</f>
        <v>2.6392567884194818E-4</v>
      </c>
      <c r="Z82" s="691">
        <f>Sludge!W84</f>
        <v>0</v>
      </c>
      <c r="AA82" s="691" t="str">
        <f>IF(Select2=2,MSW!$W84,"")</f>
        <v/>
      </c>
      <c r="AB82" s="700">
        <f>Industry!$W84</f>
        <v>0</v>
      </c>
      <c r="AC82" s="701">
        <f t="shared" si="5"/>
        <v>7.2422080059744917E-3</v>
      </c>
      <c r="AD82" s="702">
        <f>Recovery_OX!R77</f>
        <v>0</v>
      </c>
      <c r="AE82" s="652"/>
      <c r="AF82" s="704">
        <f>(AC82-AD82)*(1-Recovery_OX!U77)</f>
        <v>7.2422080059744917E-3</v>
      </c>
    </row>
    <row r="83" spans="2:32">
      <c r="B83" s="697">
        <f t="shared" si="6"/>
        <v>2066</v>
      </c>
      <c r="C83" s="698">
        <f>IF(Select2=1,Food!$K85,"")</f>
        <v>1.5872549856103794E-10</v>
      </c>
      <c r="D83" s="699">
        <f>IF(Select2=1,Paper!$K85,"")</f>
        <v>2.0040041125804161E-4</v>
      </c>
      <c r="E83" s="689">
        <f>IF(Select2=1,Nappies!$K85,"")</f>
        <v>1.3278157222941869E-6</v>
      </c>
      <c r="F83" s="699">
        <f>IF(Select2=1,Garden!$K85,"")</f>
        <v>0</v>
      </c>
      <c r="G83" s="689">
        <f>IF(Select2=1,Wood!$K85,"")</f>
        <v>0</v>
      </c>
      <c r="H83" s="699">
        <f>IF(Select2=1,Textiles!$K85,"")</f>
        <v>3.7425073013062832E-6</v>
      </c>
      <c r="I83" s="700">
        <f>Sludge!K85</f>
        <v>0</v>
      </c>
      <c r="J83" s="700" t="str">
        <f>IF(Select2=2,MSW!$K85,"")</f>
        <v/>
      </c>
      <c r="K83" s="700">
        <f>Industry!$K85</f>
        <v>0</v>
      </c>
      <c r="L83" s="701">
        <f t="shared" ref="L83:L97" si="8">SUM(C83:K83)</f>
        <v>2.0547089300714064E-4</v>
      </c>
      <c r="M83" s="702">
        <f>Recovery_OX!C78</f>
        <v>0</v>
      </c>
      <c r="N83" s="652"/>
      <c r="O83" s="703">
        <f>(L83-M83)*(1-Recovery_OX!F78)</f>
        <v>2.0547089300714064E-4</v>
      </c>
      <c r="P83" s="643"/>
      <c r="Q83" s="654"/>
      <c r="S83" s="697">
        <f t="shared" si="7"/>
        <v>2066</v>
      </c>
      <c r="T83" s="698">
        <f>IF(Select2=1,Food!$W85,"")</f>
        <v>3.2808081554575855E-10</v>
      </c>
      <c r="U83" s="699">
        <f>IF(Select2=1,Paper!$W85,"")</f>
        <v>6.5065068590273245E-3</v>
      </c>
      <c r="V83" s="689">
        <f>IF(Select2=1,Nappies!$W85,"")</f>
        <v>0</v>
      </c>
      <c r="W83" s="699">
        <f>IF(Select2=1,Garden!$W85,"")</f>
        <v>0</v>
      </c>
      <c r="X83" s="689">
        <f>IF(Select2=1,Wood!$W85,"")</f>
        <v>0</v>
      </c>
      <c r="Y83" s="699">
        <f>IF(Select2=1,Textiles!$W85,"")</f>
        <v>2.4608267186671456E-4</v>
      </c>
      <c r="Z83" s="691">
        <f>Sludge!W85</f>
        <v>0</v>
      </c>
      <c r="AA83" s="691" t="str">
        <f>IF(Select2=2,MSW!$W85,"")</f>
        <v/>
      </c>
      <c r="AB83" s="700">
        <f>Industry!$W85</f>
        <v>0</v>
      </c>
      <c r="AC83" s="701">
        <f t="shared" si="5"/>
        <v>6.7525898589748546E-3</v>
      </c>
      <c r="AD83" s="702">
        <f>Recovery_OX!R78</f>
        <v>0</v>
      </c>
      <c r="AE83" s="652"/>
      <c r="AF83" s="704">
        <f>(AC83-AD83)*(1-Recovery_OX!U78)</f>
        <v>6.7525898589748546E-3</v>
      </c>
    </row>
    <row r="84" spans="2:32">
      <c r="B84" s="697">
        <f t="shared" si="6"/>
        <v>2067</v>
      </c>
      <c r="C84" s="698">
        <f>IF(Select2=1,Food!$K86,"")</f>
        <v>1.0639688350246478E-10</v>
      </c>
      <c r="D84" s="699">
        <f>IF(Select2=1,Paper!$K86,"")</f>
        <v>1.8685210496360841E-4</v>
      </c>
      <c r="E84" s="689">
        <f>IF(Select2=1,Nappies!$K86,"")</f>
        <v>1.1202314078231199E-6</v>
      </c>
      <c r="F84" s="699">
        <f>IF(Select2=1,Garden!$K86,"")</f>
        <v>0</v>
      </c>
      <c r="G84" s="689">
        <f>IF(Select2=1,Wood!$K86,"")</f>
        <v>0</v>
      </c>
      <c r="H84" s="699">
        <f>IF(Select2=1,Textiles!$K86,"")</f>
        <v>3.4894906786908672E-6</v>
      </c>
      <c r="I84" s="700">
        <f>Sludge!K86</f>
        <v>0</v>
      </c>
      <c r="J84" s="700" t="str">
        <f>IF(Select2=2,MSW!$K86,"")</f>
        <v/>
      </c>
      <c r="K84" s="700">
        <f>Industry!$K86</f>
        <v>0</v>
      </c>
      <c r="L84" s="701">
        <f t="shared" si="8"/>
        <v>1.9146193344700589E-4</v>
      </c>
      <c r="M84" s="702">
        <f>Recovery_OX!C79</f>
        <v>0</v>
      </c>
      <c r="N84" s="652"/>
      <c r="O84" s="703">
        <f>(L84-M84)*(1-Recovery_OX!F79)</f>
        <v>1.9146193344700589E-4</v>
      </c>
      <c r="P84" s="643"/>
      <c r="Q84" s="654"/>
      <c r="S84" s="697">
        <f t="shared" si="7"/>
        <v>2067</v>
      </c>
      <c r="T84" s="698">
        <f>IF(Select2=1,Food!$W86,"")</f>
        <v>2.19919147380043E-10</v>
      </c>
      <c r="U84" s="699">
        <f>IF(Select2=1,Paper!$W86,"")</f>
        <v>6.0666267845327412E-3</v>
      </c>
      <c r="V84" s="689">
        <f>IF(Select2=1,Nappies!$W86,"")</f>
        <v>0</v>
      </c>
      <c r="W84" s="699">
        <f>IF(Select2=1,Garden!$W86,"")</f>
        <v>0</v>
      </c>
      <c r="X84" s="689">
        <f>IF(Select2=1,Wood!$W86,"")</f>
        <v>0</v>
      </c>
      <c r="Y84" s="699">
        <f>IF(Select2=1,Textiles!$W86,"")</f>
        <v>2.2944596243446806E-4</v>
      </c>
      <c r="Z84" s="691">
        <f>Sludge!W86</f>
        <v>0</v>
      </c>
      <c r="AA84" s="691" t="str">
        <f>IF(Select2=2,MSW!$W86,"")</f>
        <v/>
      </c>
      <c r="AB84" s="700">
        <f>Industry!$W86</f>
        <v>0</v>
      </c>
      <c r="AC84" s="701">
        <f t="shared" si="5"/>
        <v>6.2960729668863563E-3</v>
      </c>
      <c r="AD84" s="702">
        <f>Recovery_OX!R79</f>
        <v>0</v>
      </c>
      <c r="AE84" s="652"/>
      <c r="AF84" s="704">
        <f>(AC84-AD84)*(1-Recovery_OX!U79)</f>
        <v>6.2960729668863563E-3</v>
      </c>
    </row>
    <row r="85" spans="2:32">
      <c r="B85" s="697">
        <f t="shared" si="6"/>
        <v>2068</v>
      </c>
      <c r="C85" s="698">
        <f>IF(Select2=1,Food!$K87,"")</f>
        <v>7.1319963847420743E-11</v>
      </c>
      <c r="D85" s="699">
        <f>IF(Select2=1,Paper!$K87,"")</f>
        <v>1.7421974790448604E-4</v>
      </c>
      <c r="E85" s="689">
        <f>IF(Select2=1,Nappies!$K87,"")</f>
        <v>9.4509982522660118E-7</v>
      </c>
      <c r="F85" s="699">
        <f>IF(Select2=1,Garden!$K87,"")</f>
        <v>0</v>
      </c>
      <c r="G85" s="689">
        <f>IF(Select2=1,Wood!$K87,"")</f>
        <v>0</v>
      </c>
      <c r="H85" s="699">
        <f>IF(Select2=1,Textiles!$K87,"")</f>
        <v>3.2535795434307773E-6</v>
      </c>
      <c r="I85" s="700">
        <f>Sludge!K87</f>
        <v>0</v>
      </c>
      <c r="J85" s="700" t="str">
        <f>IF(Select2=2,MSW!$K87,"")</f>
        <v/>
      </c>
      <c r="K85" s="700">
        <f>Industry!$K87</f>
        <v>0</v>
      </c>
      <c r="L85" s="701">
        <f t="shared" si="8"/>
        <v>1.7841849859310727E-4</v>
      </c>
      <c r="M85" s="702">
        <f>Recovery_OX!C80</f>
        <v>0</v>
      </c>
      <c r="N85" s="652"/>
      <c r="O85" s="703">
        <f>(L85-M85)*(1-Recovery_OX!F80)</f>
        <v>1.7841849859310727E-4</v>
      </c>
      <c r="P85" s="643"/>
      <c r="Q85" s="654"/>
      <c r="S85" s="697">
        <f t="shared" si="7"/>
        <v>2068</v>
      </c>
      <c r="T85" s="698">
        <f>IF(Select2=1,Food!$W87,"")</f>
        <v>1.4741621299590897E-10</v>
      </c>
      <c r="U85" s="699">
        <f>IF(Select2=1,Paper!$W87,"")</f>
        <v>5.6564853215742231E-3</v>
      </c>
      <c r="V85" s="689">
        <f>IF(Select2=1,Nappies!$W87,"")</f>
        <v>0</v>
      </c>
      <c r="W85" s="699">
        <f>IF(Select2=1,Garden!$W87,"")</f>
        <v>0</v>
      </c>
      <c r="X85" s="689">
        <f>IF(Select2=1,Wood!$W87,"")</f>
        <v>0</v>
      </c>
      <c r="Y85" s="699">
        <f>IF(Select2=1,Textiles!$W87,"")</f>
        <v>2.1393399737627039E-4</v>
      </c>
      <c r="Z85" s="691">
        <f>Sludge!W87</f>
        <v>0</v>
      </c>
      <c r="AA85" s="691" t="str">
        <f>IF(Select2=2,MSW!$W87,"")</f>
        <v/>
      </c>
      <c r="AB85" s="700">
        <f>Industry!$W87</f>
        <v>0</v>
      </c>
      <c r="AC85" s="701">
        <f t="shared" si="5"/>
        <v>5.8704194663667065E-3</v>
      </c>
      <c r="AD85" s="702">
        <f>Recovery_OX!R80</f>
        <v>0</v>
      </c>
      <c r="AE85" s="652"/>
      <c r="AF85" s="704">
        <f>(AC85-AD85)*(1-Recovery_OX!U80)</f>
        <v>5.8704194663667065E-3</v>
      </c>
    </row>
    <row r="86" spans="2:32">
      <c r="B86" s="697">
        <f t="shared" si="6"/>
        <v>2069</v>
      </c>
      <c r="C86" s="698">
        <f>IF(Select2=1,Food!$K88,"")</f>
        <v>4.7807201449463198E-11</v>
      </c>
      <c r="D86" s="699">
        <f>IF(Select2=1,Paper!$K88,"")</f>
        <v>1.6244141625171507E-4</v>
      </c>
      <c r="E86" s="689">
        <f>IF(Select2=1,Nappies!$K88,"")</f>
        <v>7.9734747071507497E-7</v>
      </c>
      <c r="F86" s="699">
        <f>IF(Select2=1,Garden!$K88,"")</f>
        <v>0</v>
      </c>
      <c r="G86" s="689">
        <f>IF(Select2=1,Wood!$K88,"")</f>
        <v>0</v>
      </c>
      <c r="H86" s="699">
        <f>IF(Select2=1,Textiles!$K88,"")</f>
        <v>3.0336174588672733E-6</v>
      </c>
      <c r="I86" s="700">
        <f>Sludge!K88</f>
        <v>0</v>
      </c>
      <c r="J86" s="700" t="str">
        <f>IF(Select2=2,MSW!$K88,"")</f>
        <v/>
      </c>
      <c r="K86" s="700">
        <f>Industry!$K88</f>
        <v>0</v>
      </c>
      <c r="L86" s="701">
        <f t="shared" si="8"/>
        <v>1.6627242898849885E-4</v>
      </c>
      <c r="M86" s="702">
        <f>Recovery_OX!C81</f>
        <v>0</v>
      </c>
      <c r="N86" s="652"/>
      <c r="O86" s="703">
        <f>(L86-M86)*(1-Recovery_OX!F81)</f>
        <v>1.6627242898849885E-4</v>
      </c>
      <c r="P86" s="643"/>
      <c r="Q86" s="654"/>
      <c r="S86" s="697">
        <f t="shared" si="7"/>
        <v>2069</v>
      </c>
      <c r="T86" s="698">
        <f>IF(Select2=1,Food!$W88,"")</f>
        <v>9.8816042681817298E-11</v>
      </c>
      <c r="U86" s="699">
        <f>IF(Select2=1,Paper!$W88,"")</f>
        <v>5.2740719562245162E-3</v>
      </c>
      <c r="V86" s="689">
        <f>IF(Select2=1,Nappies!$W88,"")</f>
        <v>0</v>
      </c>
      <c r="W86" s="699">
        <f>IF(Select2=1,Garden!$W88,"")</f>
        <v>0</v>
      </c>
      <c r="X86" s="689">
        <f>IF(Select2=1,Wood!$W88,"")</f>
        <v>0</v>
      </c>
      <c r="Y86" s="699">
        <f>IF(Select2=1,Textiles!$W88,"")</f>
        <v>1.9947073702140987E-4</v>
      </c>
      <c r="Z86" s="691">
        <f>Sludge!W88</f>
        <v>0</v>
      </c>
      <c r="AA86" s="691" t="str">
        <f>IF(Select2=2,MSW!$W88,"")</f>
        <v/>
      </c>
      <c r="AB86" s="700">
        <f>Industry!$W88</f>
        <v>0</v>
      </c>
      <c r="AC86" s="701">
        <f t="shared" si="5"/>
        <v>5.4735427920619695E-3</v>
      </c>
      <c r="AD86" s="702">
        <f>Recovery_OX!R81</f>
        <v>0</v>
      </c>
      <c r="AE86" s="652"/>
      <c r="AF86" s="704">
        <f>(AC86-AD86)*(1-Recovery_OX!U81)</f>
        <v>5.4735427920619695E-3</v>
      </c>
    </row>
    <row r="87" spans="2:32">
      <c r="B87" s="697">
        <f t="shared" si="6"/>
        <v>2070</v>
      </c>
      <c r="C87" s="698">
        <f>IF(Select2=1,Food!$K89,"")</f>
        <v>3.2046125476439257E-11</v>
      </c>
      <c r="D87" s="699">
        <f>IF(Select2=1,Paper!$K89,"")</f>
        <v>1.514593726098688E-4</v>
      </c>
      <c r="E87" s="689">
        <f>IF(Select2=1,Nappies!$K89,"")</f>
        <v>6.7269400764442404E-7</v>
      </c>
      <c r="F87" s="699">
        <f>IF(Select2=1,Garden!$K89,"")</f>
        <v>0</v>
      </c>
      <c r="G87" s="689">
        <f>IF(Select2=1,Wood!$K89,"")</f>
        <v>0</v>
      </c>
      <c r="H87" s="699">
        <f>IF(Select2=1,Textiles!$K89,"")</f>
        <v>2.8285261706066335E-6</v>
      </c>
      <c r="I87" s="700">
        <f>Sludge!K89</f>
        <v>0</v>
      </c>
      <c r="J87" s="700" t="str">
        <f>IF(Select2=2,MSW!$K89,"")</f>
        <v/>
      </c>
      <c r="K87" s="700">
        <f>Industry!$K89</f>
        <v>0</v>
      </c>
      <c r="L87" s="701">
        <f t="shared" si="8"/>
        <v>1.5496062483424532E-4</v>
      </c>
      <c r="M87" s="702">
        <f>Recovery_OX!C82</f>
        <v>0</v>
      </c>
      <c r="N87" s="652"/>
      <c r="O87" s="703">
        <f>(L87-M87)*(1-Recovery_OX!F82)</f>
        <v>1.5496062483424532E-4</v>
      </c>
      <c r="P87" s="643"/>
      <c r="Q87" s="654"/>
      <c r="S87" s="697">
        <f t="shared" si="7"/>
        <v>2070</v>
      </c>
      <c r="T87" s="698">
        <f>IF(Select2=1,Food!$W89,"")</f>
        <v>6.6238374279535478E-11</v>
      </c>
      <c r="U87" s="699">
        <f>IF(Select2=1,Paper!$W89,"")</f>
        <v>4.9175120977230143E-3</v>
      </c>
      <c r="V87" s="689">
        <f>IF(Select2=1,Nappies!$W89,"")</f>
        <v>0</v>
      </c>
      <c r="W87" s="699">
        <f>IF(Select2=1,Garden!$W89,"")</f>
        <v>0</v>
      </c>
      <c r="X87" s="689">
        <f>IF(Select2=1,Wood!$W89,"")</f>
        <v>0</v>
      </c>
      <c r="Y87" s="699">
        <f>IF(Select2=1,Textiles!$W89,"")</f>
        <v>1.8598528245084719E-4</v>
      </c>
      <c r="Z87" s="691">
        <f>Sludge!W89</f>
        <v>0</v>
      </c>
      <c r="AA87" s="691" t="str">
        <f>IF(Select2=2,MSW!$W89,"")</f>
        <v/>
      </c>
      <c r="AB87" s="700">
        <f>Industry!$W89</f>
        <v>0</v>
      </c>
      <c r="AC87" s="701">
        <f t="shared" si="5"/>
        <v>5.1034974464122355E-3</v>
      </c>
      <c r="AD87" s="702">
        <f>Recovery_OX!R82</f>
        <v>0</v>
      </c>
      <c r="AE87" s="652"/>
      <c r="AF87" s="704">
        <f>(AC87-AD87)*(1-Recovery_OX!U82)</f>
        <v>5.1034974464122355E-3</v>
      </c>
    </row>
    <row r="88" spans="2:32">
      <c r="B88" s="697">
        <f t="shared" si="6"/>
        <v>2071</v>
      </c>
      <c r="C88" s="698">
        <f>IF(Select2=1,Food!$K90,"")</f>
        <v>2.1481160304630635E-11</v>
      </c>
      <c r="D88" s="699">
        <f>IF(Select2=1,Paper!$K90,"")</f>
        <v>1.4121978298827393E-4</v>
      </c>
      <c r="E88" s="689">
        <f>IF(Select2=1,Nappies!$K90,"")</f>
        <v>5.675282665848194E-7</v>
      </c>
      <c r="F88" s="699">
        <f>IF(Select2=1,Garden!$K90,"")</f>
        <v>0</v>
      </c>
      <c r="G88" s="689">
        <f>IF(Select2=1,Wood!$K90,"")</f>
        <v>0</v>
      </c>
      <c r="H88" s="699">
        <f>IF(Select2=1,Textiles!$K90,"")</f>
        <v>2.6373003209158633E-6</v>
      </c>
      <c r="I88" s="700">
        <f>Sludge!K90</f>
        <v>0</v>
      </c>
      <c r="J88" s="700" t="str">
        <f>IF(Select2=2,MSW!$K90,"")</f>
        <v/>
      </c>
      <c r="K88" s="700">
        <f>Industry!$K90</f>
        <v>0</v>
      </c>
      <c r="L88" s="701">
        <f t="shared" si="8"/>
        <v>1.444246330569349E-4</v>
      </c>
      <c r="M88" s="702">
        <f>Recovery_OX!C83</f>
        <v>0</v>
      </c>
      <c r="N88" s="652"/>
      <c r="O88" s="703">
        <f>(L88-M88)*(1-Recovery_OX!F83)</f>
        <v>1.444246330569349E-4</v>
      </c>
      <c r="P88" s="643"/>
      <c r="Q88" s="654"/>
      <c r="S88" s="697">
        <f t="shared" si="7"/>
        <v>2071</v>
      </c>
      <c r="T88" s="698">
        <f>IF(Select2=1,Food!$W90,"")</f>
        <v>4.4400910096384137E-11</v>
      </c>
      <c r="U88" s="699">
        <f>IF(Select2=1,Paper!$W90,"")</f>
        <v>4.5850578892296734E-3</v>
      </c>
      <c r="V88" s="689">
        <f>IF(Select2=1,Nappies!$W90,"")</f>
        <v>0</v>
      </c>
      <c r="W88" s="699">
        <f>IF(Select2=1,Garden!$W90,"")</f>
        <v>0</v>
      </c>
      <c r="X88" s="689">
        <f>IF(Select2=1,Wood!$W90,"")</f>
        <v>0</v>
      </c>
      <c r="Y88" s="699">
        <f>IF(Select2=1,Textiles!$W90,"")</f>
        <v>1.7341152795063216E-4</v>
      </c>
      <c r="Z88" s="691">
        <f>Sludge!W90</f>
        <v>0</v>
      </c>
      <c r="AA88" s="691" t="str">
        <f>IF(Select2=2,MSW!$W90,"")</f>
        <v/>
      </c>
      <c r="AB88" s="700">
        <f>Industry!$W90</f>
        <v>0</v>
      </c>
      <c r="AC88" s="701">
        <f t="shared" si="5"/>
        <v>4.7584694615812155E-3</v>
      </c>
      <c r="AD88" s="702">
        <f>Recovery_OX!R83</f>
        <v>0</v>
      </c>
      <c r="AE88" s="652"/>
      <c r="AF88" s="704">
        <f>(AC88-AD88)*(1-Recovery_OX!U83)</f>
        <v>4.7584694615812155E-3</v>
      </c>
    </row>
    <row r="89" spans="2:32">
      <c r="B89" s="697">
        <f t="shared" si="6"/>
        <v>2072</v>
      </c>
      <c r="C89" s="698">
        <f>IF(Select2=1,Food!$K91,"")</f>
        <v>1.4399252364298954E-11</v>
      </c>
      <c r="D89" s="699">
        <f>IF(Select2=1,Paper!$K91,"")</f>
        <v>1.3167245290672579E-4</v>
      </c>
      <c r="E89" s="689">
        <f>IF(Select2=1,Nappies!$K91,"")</f>
        <v>4.7880363094154521E-7</v>
      </c>
      <c r="F89" s="699">
        <f>IF(Select2=1,Garden!$K91,"")</f>
        <v>0</v>
      </c>
      <c r="G89" s="689">
        <f>IF(Select2=1,Wood!$K91,"")</f>
        <v>0</v>
      </c>
      <c r="H89" s="699">
        <f>IF(Select2=1,Textiles!$K91,"")</f>
        <v>2.4590025204579246E-6</v>
      </c>
      <c r="I89" s="700">
        <f>Sludge!K91</f>
        <v>0</v>
      </c>
      <c r="J89" s="700" t="str">
        <f>IF(Select2=2,MSW!$K91,"")</f>
        <v/>
      </c>
      <c r="K89" s="700">
        <f>Industry!$K91</f>
        <v>0</v>
      </c>
      <c r="L89" s="701">
        <f t="shared" si="8"/>
        <v>1.3461027345737761E-4</v>
      </c>
      <c r="M89" s="702">
        <f>Recovery_OX!C84</f>
        <v>0</v>
      </c>
      <c r="N89" s="652"/>
      <c r="O89" s="703">
        <f>(L89-M89)*(1-Recovery_OX!F84)</f>
        <v>1.3461027345737761E-4</v>
      </c>
      <c r="P89" s="643"/>
      <c r="Q89" s="654"/>
      <c r="S89" s="697">
        <f t="shared" si="7"/>
        <v>2072</v>
      </c>
      <c r="T89" s="698">
        <f>IF(Select2=1,Food!$W91,"")</f>
        <v>2.9762820099832495E-11</v>
      </c>
      <c r="U89" s="699">
        <f>IF(Select2=1,Paper!$W91,"")</f>
        <v>4.2750796398287596E-3</v>
      </c>
      <c r="V89" s="689">
        <f>IF(Select2=1,Nappies!$W91,"")</f>
        <v>0</v>
      </c>
      <c r="W89" s="699">
        <f>IF(Select2=1,Garden!$W91,"")</f>
        <v>0</v>
      </c>
      <c r="X89" s="689">
        <f>IF(Select2=1,Wood!$W91,"")</f>
        <v>0</v>
      </c>
      <c r="Y89" s="699">
        <f>IF(Select2=1,Textiles!$W91,"")</f>
        <v>1.6168783696161702E-4</v>
      </c>
      <c r="Z89" s="691">
        <f>Sludge!W91</f>
        <v>0</v>
      </c>
      <c r="AA89" s="691" t="str">
        <f>IF(Select2=2,MSW!$W91,"")</f>
        <v/>
      </c>
      <c r="AB89" s="700">
        <f>Industry!$W91</f>
        <v>0</v>
      </c>
      <c r="AC89" s="701">
        <f t="shared" si="5"/>
        <v>4.4367675065531964E-3</v>
      </c>
      <c r="AD89" s="702">
        <f>Recovery_OX!R84</f>
        <v>0</v>
      </c>
      <c r="AE89" s="652"/>
      <c r="AF89" s="704">
        <f>(AC89-AD89)*(1-Recovery_OX!U84)</f>
        <v>4.4367675065531964E-3</v>
      </c>
    </row>
    <row r="90" spans="2:32">
      <c r="B90" s="697">
        <f t="shared" si="6"/>
        <v>2073</v>
      </c>
      <c r="C90" s="698">
        <f>IF(Select2=1,Food!$K92,"")</f>
        <v>9.6521075077156632E-12</v>
      </c>
      <c r="D90" s="699">
        <f>IF(Select2=1,Paper!$K92,"")</f>
        <v>1.2277058134208815E-4</v>
      </c>
      <c r="E90" s="689">
        <f>IF(Select2=1,Nappies!$K92,"")</f>
        <v>4.0394977748398128E-7</v>
      </c>
      <c r="F90" s="699">
        <f>IF(Select2=1,Garden!$K92,"")</f>
        <v>0</v>
      </c>
      <c r="G90" s="689">
        <f>IF(Select2=1,Wood!$K92,"")</f>
        <v>0</v>
      </c>
      <c r="H90" s="699">
        <f>IF(Select2=1,Textiles!$K92,"")</f>
        <v>2.292758753208119E-6</v>
      </c>
      <c r="I90" s="700">
        <f>Sludge!K92</f>
        <v>0</v>
      </c>
      <c r="J90" s="700" t="str">
        <f>IF(Select2=2,MSW!$K92,"")</f>
        <v/>
      </c>
      <c r="K90" s="700">
        <f>Industry!$K92</f>
        <v>0</v>
      </c>
      <c r="L90" s="701">
        <f t="shared" si="8"/>
        <v>1.2546729952488776E-4</v>
      </c>
      <c r="M90" s="702">
        <f>Recovery_OX!C85</f>
        <v>0</v>
      </c>
      <c r="N90" s="652"/>
      <c r="O90" s="703">
        <f>(L90-M90)*(1-Recovery_OX!F85)</f>
        <v>1.2546729952488776E-4</v>
      </c>
      <c r="P90" s="643"/>
      <c r="Q90" s="654"/>
      <c r="S90" s="697">
        <f t="shared" si="7"/>
        <v>2073</v>
      </c>
      <c r="T90" s="698">
        <f>IF(Select2=1,Food!$W92,"")</f>
        <v>1.9950614939470173E-11</v>
      </c>
      <c r="U90" s="699">
        <f>IF(Select2=1,Paper!$W92,"")</f>
        <v>3.9860578357820819E-3</v>
      </c>
      <c r="V90" s="689">
        <f>IF(Select2=1,Nappies!$W92,"")</f>
        <v>0</v>
      </c>
      <c r="W90" s="699">
        <f>IF(Select2=1,Garden!$W92,"")</f>
        <v>0</v>
      </c>
      <c r="X90" s="689">
        <f>IF(Select2=1,Wood!$W92,"")</f>
        <v>0</v>
      </c>
      <c r="Y90" s="699">
        <f>IF(Select2=1,Textiles!$W92,"")</f>
        <v>1.5075673993697225E-4</v>
      </c>
      <c r="Z90" s="691">
        <f>Sludge!W92</f>
        <v>0</v>
      </c>
      <c r="AA90" s="691" t="str">
        <f>IF(Select2=2,MSW!$W92,"")</f>
        <v/>
      </c>
      <c r="AB90" s="700">
        <f>Industry!$W92</f>
        <v>0</v>
      </c>
      <c r="AC90" s="701">
        <f t="shared" si="5"/>
        <v>4.1368145956696689E-3</v>
      </c>
      <c r="AD90" s="702">
        <f>Recovery_OX!R85</f>
        <v>0</v>
      </c>
      <c r="AE90" s="652"/>
      <c r="AF90" s="704">
        <f>(AC90-AD90)*(1-Recovery_OX!U85)</f>
        <v>4.1368145956696689E-3</v>
      </c>
    </row>
    <row r="91" spans="2:32">
      <c r="B91" s="697">
        <f t="shared" si="6"/>
        <v>2074</v>
      </c>
      <c r="C91" s="698">
        <f>IF(Select2=1,Food!$K93,"")</f>
        <v>6.4700011489129025E-12</v>
      </c>
      <c r="D91" s="699">
        <f>IF(Select2=1,Paper!$K93,"")</f>
        <v>1.144705313096235E-4</v>
      </c>
      <c r="E91" s="689">
        <f>IF(Select2=1,Nappies!$K93,"")</f>
        <v>3.4079821493517315E-7</v>
      </c>
      <c r="F91" s="699">
        <f>IF(Select2=1,Garden!$K93,"")</f>
        <v>0</v>
      </c>
      <c r="G91" s="689">
        <f>IF(Select2=1,Wood!$K93,"")</f>
        <v>0</v>
      </c>
      <c r="H91" s="699">
        <f>IF(Select2=1,Textiles!$K93,"")</f>
        <v>2.1377540920265172E-6</v>
      </c>
      <c r="I91" s="700">
        <f>Sludge!K93</f>
        <v>0</v>
      </c>
      <c r="J91" s="700" t="str">
        <f>IF(Select2=2,MSW!$K93,"")</f>
        <v/>
      </c>
      <c r="K91" s="700">
        <f>Industry!$K93</f>
        <v>0</v>
      </c>
      <c r="L91" s="701">
        <f t="shared" si="8"/>
        <v>1.1694909008658634E-4</v>
      </c>
      <c r="M91" s="702">
        <f>Recovery_OX!C86</f>
        <v>0</v>
      </c>
      <c r="N91" s="652"/>
      <c r="O91" s="703">
        <f>(L91-M91)*(1-Recovery_OX!F86)</f>
        <v>1.1694909008658634E-4</v>
      </c>
      <c r="P91" s="643"/>
      <c r="Q91" s="654"/>
      <c r="S91" s="697">
        <f t="shared" si="7"/>
        <v>2074</v>
      </c>
      <c r="T91" s="698">
        <f>IF(Select2=1,Food!$W93,"")</f>
        <v>1.3373297124664959E-11</v>
      </c>
      <c r="U91" s="699">
        <f>IF(Select2=1,Paper!$W93,"")</f>
        <v>3.7165756918708936E-3</v>
      </c>
      <c r="V91" s="689">
        <f>IF(Select2=1,Nappies!$W93,"")</f>
        <v>0</v>
      </c>
      <c r="W91" s="699">
        <f>IF(Select2=1,Garden!$W93,"")</f>
        <v>0</v>
      </c>
      <c r="X91" s="689">
        <f>IF(Select2=1,Wood!$W93,"")</f>
        <v>0</v>
      </c>
      <c r="Y91" s="699">
        <f>IF(Select2=1,Textiles!$W93,"")</f>
        <v>1.4056465262640119E-4</v>
      </c>
      <c r="Z91" s="691">
        <f>Sludge!W93</f>
        <v>0</v>
      </c>
      <c r="AA91" s="691" t="str">
        <f>IF(Select2=2,MSW!$W93,"")</f>
        <v/>
      </c>
      <c r="AB91" s="700">
        <f>Industry!$W93</f>
        <v>0</v>
      </c>
      <c r="AC91" s="701">
        <f t="shared" si="5"/>
        <v>3.8571403578705919E-3</v>
      </c>
      <c r="AD91" s="702">
        <f>Recovery_OX!R86</f>
        <v>0</v>
      </c>
      <c r="AE91" s="652"/>
      <c r="AF91" s="704">
        <f>(AC91-AD91)*(1-Recovery_OX!U86)</f>
        <v>3.8571403578705919E-3</v>
      </c>
    </row>
    <row r="92" spans="2:32">
      <c r="B92" s="697">
        <f t="shared" si="6"/>
        <v>2075</v>
      </c>
      <c r="C92" s="698">
        <f>IF(Select2=1,Food!$K94,"")</f>
        <v>4.3369714679899362E-12</v>
      </c>
      <c r="D92" s="699">
        <f>IF(Select2=1,Paper!$K94,"")</f>
        <v>1.0673161595444331E-4</v>
      </c>
      <c r="E92" s="689">
        <f>IF(Select2=1,Nappies!$K94,"")</f>
        <v>2.8751946349965778E-7</v>
      </c>
      <c r="F92" s="699">
        <f>IF(Select2=1,Garden!$K94,"")</f>
        <v>0</v>
      </c>
      <c r="G92" s="689">
        <f>IF(Select2=1,Wood!$K94,"")</f>
        <v>0</v>
      </c>
      <c r="H92" s="699">
        <f>IF(Select2=1,Textiles!$K94,"")</f>
        <v>1.9932287038841765E-6</v>
      </c>
      <c r="I92" s="700">
        <f>Sludge!K94</f>
        <v>0</v>
      </c>
      <c r="J92" s="700" t="str">
        <f>IF(Select2=2,MSW!$K94,"")</f>
        <v/>
      </c>
      <c r="K92" s="700">
        <f>Industry!$K94</f>
        <v>0</v>
      </c>
      <c r="L92" s="701">
        <f t="shared" si="8"/>
        <v>1.0901236845879862E-4</v>
      </c>
      <c r="M92" s="702">
        <f>Recovery_OX!C87</f>
        <v>0</v>
      </c>
      <c r="N92" s="652"/>
      <c r="O92" s="703">
        <f>(L92-M92)*(1-Recovery_OX!F87)</f>
        <v>1.0901236845879862E-4</v>
      </c>
      <c r="P92" s="643"/>
      <c r="Q92" s="654"/>
      <c r="S92" s="697">
        <f t="shared" si="7"/>
        <v>2075</v>
      </c>
      <c r="T92" s="698">
        <f>IF(Select2=1,Food!$W94,"")</f>
        <v>8.9643891442536985E-12</v>
      </c>
      <c r="U92" s="699">
        <f>IF(Select2=1,Paper!$W94,"")</f>
        <v>3.465312206313095E-3</v>
      </c>
      <c r="V92" s="689">
        <f>IF(Select2=1,Nappies!$W94,"")</f>
        <v>0</v>
      </c>
      <c r="W92" s="699">
        <f>IF(Select2=1,Garden!$W94,"")</f>
        <v>0</v>
      </c>
      <c r="X92" s="689">
        <f>IF(Select2=1,Wood!$W94,"")</f>
        <v>0</v>
      </c>
      <c r="Y92" s="699">
        <f>IF(Select2=1,Textiles!$W94,"")</f>
        <v>1.310616134060829E-4</v>
      </c>
      <c r="Z92" s="691">
        <f>Sludge!W94</f>
        <v>0</v>
      </c>
      <c r="AA92" s="691" t="str">
        <f>IF(Select2=2,MSW!$W94,"")</f>
        <v/>
      </c>
      <c r="AB92" s="700">
        <f>Industry!$W94</f>
        <v>0</v>
      </c>
      <c r="AC92" s="701">
        <f t="shared" si="5"/>
        <v>3.596373828683567E-3</v>
      </c>
      <c r="AD92" s="702">
        <f>Recovery_OX!R87</f>
        <v>0</v>
      </c>
      <c r="AE92" s="652"/>
      <c r="AF92" s="704">
        <f>(AC92-AD92)*(1-Recovery_OX!U87)</f>
        <v>3.596373828683567E-3</v>
      </c>
    </row>
    <row r="93" spans="2:32">
      <c r="B93" s="697">
        <f t="shared" si="6"/>
        <v>2076</v>
      </c>
      <c r="C93" s="698">
        <f>IF(Select2=1,Food!$K95,"")</f>
        <v>2.9071589140782684E-12</v>
      </c>
      <c r="D93" s="699">
        <f>IF(Select2=1,Paper!$K95,"")</f>
        <v>9.9515899104498046E-5</v>
      </c>
      <c r="E93" s="689">
        <f>IF(Select2=1,Nappies!$K95,"")</f>
        <v>2.4257005544132939E-7</v>
      </c>
      <c r="F93" s="699">
        <f>IF(Select2=1,Garden!$K95,"")</f>
        <v>0</v>
      </c>
      <c r="G93" s="689">
        <f>IF(Select2=1,Wood!$K95,"")</f>
        <v>0</v>
      </c>
      <c r="H93" s="699">
        <f>IF(Select2=1,Textiles!$K95,"")</f>
        <v>1.8584741251607496E-6</v>
      </c>
      <c r="I93" s="700">
        <f>Sludge!K95</f>
        <v>0</v>
      </c>
      <c r="J93" s="700" t="str">
        <f>IF(Select2=2,MSW!$K95,"")</f>
        <v/>
      </c>
      <c r="K93" s="700">
        <f>Industry!$K95</f>
        <v>0</v>
      </c>
      <c r="L93" s="701">
        <f t="shared" si="8"/>
        <v>1.0161694619225904E-4</v>
      </c>
      <c r="M93" s="702">
        <f>Recovery_OX!C88</f>
        <v>0</v>
      </c>
      <c r="N93" s="652"/>
      <c r="O93" s="703">
        <f>(L93-M93)*(1-Recovery_OX!F88)</f>
        <v>1.0161694619225904E-4</v>
      </c>
      <c r="P93" s="643"/>
      <c r="Q93" s="654"/>
      <c r="S93" s="697">
        <f t="shared" si="7"/>
        <v>2076</v>
      </c>
      <c r="T93" s="698">
        <f>IF(Select2=1,Food!$W95,"")</f>
        <v>6.0090097438575247E-12</v>
      </c>
      <c r="U93" s="699">
        <f>IF(Select2=1,Paper!$W95,"")</f>
        <v>3.2310356852109758E-3</v>
      </c>
      <c r="V93" s="689">
        <f>IF(Select2=1,Nappies!$W95,"")</f>
        <v>0</v>
      </c>
      <c r="W93" s="699">
        <f>IF(Select2=1,Garden!$W95,"")</f>
        <v>0</v>
      </c>
      <c r="X93" s="689">
        <f>IF(Select2=1,Wood!$W95,"")</f>
        <v>0</v>
      </c>
      <c r="Y93" s="699">
        <f>IF(Select2=1,Textiles!$W95,"")</f>
        <v>1.2220103836673427E-4</v>
      </c>
      <c r="Z93" s="691">
        <f>Sludge!W95</f>
        <v>0</v>
      </c>
      <c r="AA93" s="691" t="str">
        <f>IF(Select2=2,MSW!$W95,"")</f>
        <v/>
      </c>
      <c r="AB93" s="700">
        <f>Industry!$W95</f>
        <v>0</v>
      </c>
      <c r="AC93" s="701">
        <f t="shared" si="5"/>
        <v>3.3532367295867199E-3</v>
      </c>
      <c r="AD93" s="702">
        <f>Recovery_OX!R88</f>
        <v>0</v>
      </c>
      <c r="AE93" s="652"/>
      <c r="AF93" s="704">
        <f>(AC93-AD93)*(1-Recovery_OX!U88)</f>
        <v>3.3532367295867199E-3</v>
      </c>
    </row>
    <row r="94" spans="2:32">
      <c r="B94" s="697">
        <f t="shared" si="6"/>
        <v>2077</v>
      </c>
      <c r="C94" s="698">
        <f>IF(Select2=1,Food!$K96,"")</f>
        <v>1.9487268971178642E-12</v>
      </c>
      <c r="D94" s="699">
        <f>IF(Select2=1,Paper!$K96,"")</f>
        <v>9.2788009307417867E-5</v>
      </c>
      <c r="E94" s="689">
        <f>IF(Select2=1,Nappies!$K96,"")</f>
        <v>2.046478213356838E-7</v>
      </c>
      <c r="F94" s="699">
        <f>IF(Select2=1,Garden!$K96,"")</f>
        <v>0</v>
      </c>
      <c r="G94" s="689">
        <f>IF(Select2=1,Wood!$K96,"")</f>
        <v>0</v>
      </c>
      <c r="H94" s="699">
        <f>IF(Select2=1,Textiles!$K96,"")</f>
        <v>1.7328297887549969E-6</v>
      </c>
      <c r="I94" s="700">
        <f>Sludge!K96</f>
        <v>0</v>
      </c>
      <c r="J94" s="700" t="str">
        <f>IF(Select2=2,MSW!$K96,"")</f>
        <v/>
      </c>
      <c r="K94" s="700">
        <f>Industry!$K96</f>
        <v>0</v>
      </c>
      <c r="L94" s="701">
        <f t="shared" si="8"/>
        <v>9.4725488866235428E-5</v>
      </c>
      <c r="M94" s="702">
        <f>Recovery_OX!C89</f>
        <v>0</v>
      </c>
      <c r="N94" s="652"/>
      <c r="O94" s="703">
        <f>(L94-M94)*(1-Recovery_OX!F89)</f>
        <v>9.4725488866235428E-5</v>
      </c>
      <c r="P94" s="643"/>
      <c r="Q94" s="654"/>
      <c r="S94" s="697">
        <f t="shared" si="7"/>
        <v>2077</v>
      </c>
      <c r="T94" s="698">
        <f>IF(Select2=1,Food!$W96,"")</f>
        <v>4.0279596881311808E-12</v>
      </c>
      <c r="U94" s="699">
        <f>IF(Select2=1,Paper!$W96,"")</f>
        <v>3.012597704786295E-3</v>
      </c>
      <c r="V94" s="689">
        <f>IF(Select2=1,Nappies!$W96,"")</f>
        <v>0</v>
      </c>
      <c r="W94" s="699">
        <f>IF(Select2=1,Garden!$W96,"")</f>
        <v>0</v>
      </c>
      <c r="X94" s="689">
        <f>IF(Select2=1,Wood!$W96,"")</f>
        <v>0</v>
      </c>
      <c r="Y94" s="699">
        <f>IF(Select2=1,Textiles!$W96,"")</f>
        <v>1.139394929592327E-4</v>
      </c>
      <c r="Z94" s="691">
        <f>Sludge!W96</f>
        <v>0</v>
      </c>
      <c r="AA94" s="691" t="str">
        <f>IF(Select2=2,MSW!$W96,"")</f>
        <v/>
      </c>
      <c r="AB94" s="700">
        <f>Industry!$W96</f>
        <v>0</v>
      </c>
      <c r="AC94" s="701">
        <f t="shared" si="5"/>
        <v>3.1265372017734877E-3</v>
      </c>
      <c r="AD94" s="702">
        <f>Recovery_OX!R89</f>
        <v>0</v>
      </c>
      <c r="AE94" s="652"/>
      <c r="AF94" s="704">
        <f>(AC94-AD94)*(1-Recovery_OX!U89)</f>
        <v>3.1265372017734877E-3</v>
      </c>
    </row>
    <row r="95" spans="2:32">
      <c r="B95" s="697">
        <f t="shared" si="6"/>
        <v>2078</v>
      </c>
      <c r="C95" s="698">
        <f>IF(Select2=1,Food!$K97,"")</f>
        <v>1.3062707033869353E-12</v>
      </c>
      <c r="D95" s="699">
        <f>IF(Select2=1,Paper!$K97,"")</f>
        <v>8.6514966439612032E-5</v>
      </c>
      <c r="E95" s="689">
        <f>IF(Select2=1,Nappies!$K97,"")</f>
        <v>1.7265416665401918E-7</v>
      </c>
      <c r="F95" s="699">
        <f>IF(Select2=1,Garden!$K97,"")</f>
        <v>0</v>
      </c>
      <c r="G95" s="689">
        <f>IF(Select2=1,Wood!$K97,"")</f>
        <v>0</v>
      </c>
      <c r="H95" s="699">
        <f>IF(Select2=1,Textiles!$K97,"")</f>
        <v>1.6156797859840891E-6</v>
      </c>
      <c r="I95" s="700">
        <f>Sludge!K97</f>
        <v>0</v>
      </c>
      <c r="J95" s="700" t="str">
        <f>IF(Select2=2,MSW!$K97,"")</f>
        <v/>
      </c>
      <c r="K95" s="700">
        <f>Industry!$K97</f>
        <v>0</v>
      </c>
      <c r="L95" s="701">
        <f t="shared" si="8"/>
        <v>8.8303301698520832E-5</v>
      </c>
      <c r="M95" s="702">
        <f>Recovery_OX!C90</f>
        <v>0</v>
      </c>
      <c r="N95" s="652"/>
      <c r="O95" s="703">
        <f>(L95-M95)*(1-Recovery_OX!F90)</f>
        <v>8.8303301698520832E-5</v>
      </c>
      <c r="P95" s="643"/>
      <c r="Q95" s="654"/>
      <c r="S95" s="697">
        <f t="shared" si="7"/>
        <v>2078</v>
      </c>
      <c r="T95" s="698">
        <f>IF(Select2=1,Food!$W97,"")</f>
        <v>2.7000221235777926E-12</v>
      </c>
      <c r="U95" s="699">
        <f>IF(Select2=1,Paper!$W97,"")</f>
        <v>2.808927481805586E-3</v>
      </c>
      <c r="V95" s="689">
        <f>IF(Select2=1,Nappies!$W97,"")</f>
        <v>0</v>
      </c>
      <c r="W95" s="699">
        <f>IF(Select2=1,Garden!$W97,"")</f>
        <v>0</v>
      </c>
      <c r="X95" s="689">
        <f>IF(Select2=1,Wood!$W97,"")</f>
        <v>0</v>
      </c>
      <c r="Y95" s="699">
        <f>IF(Select2=1,Textiles!$W97,"")</f>
        <v>1.0623647907840588E-4</v>
      </c>
      <c r="Z95" s="691">
        <f>Sludge!W97</f>
        <v>0</v>
      </c>
      <c r="AA95" s="691" t="str">
        <f>IF(Select2=2,MSW!$W97,"")</f>
        <v/>
      </c>
      <c r="AB95" s="700">
        <f>Industry!$W97</f>
        <v>0</v>
      </c>
      <c r="AC95" s="701">
        <f t="shared" si="5"/>
        <v>2.9151639635840139E-3</v>
      </c>
      <c r="AD95" s="702">
        <f>Recovery_OX!R90</f>
        <v>0</v>
      </c>
      <c r="AE95" s="652"/>
      <c r="AF95" s="704">
        <f>(AC95-AD95)*(1-Recovery_OX!U90)</f>
        <v>2.9151639635840139E-3</v>
      </c>
    </row>
    <row r="96" spans="2:32">
      <c r="B96" s="697">
        <f t="shared" si="6"/>
        <v>2079</v>
      </c>
      <c r="C96" s="698">
        <f>IF(Select2=1,Food!$K98,"")</f>
        <v>8.7561943802933747E-13</v>
      </c>
      <c r="D96" s="699">
        <f>IF(Select2=1,Paper!$K98,"")</f>
        <v>8.0666020037664782E-5</v>
      </c>
      <c r="E96" s="689">
        <f>IF(Select2=1,Nappies!$K98,"")</f>
        <v>1.4566224584476458E-7</v>
      </c>
      <c r="F96" s="699">
        <f>IF(Select2=1,Garden!$K98,"")</f>
        <v>0</v>
      </c>
      <c r="G96" s="689">
        <f>IF(Select2=1,Wood!$K98,"")</f>
        <v>0</v>
      </c>
      <c r="H96" s="699">
        <f>IF(Select2=1,Textiles!$K98,"")</f>
        <v>1.5064498473985296E-6</v>
      </c>
      <c r="I96" s="700">
        <f>Sludge!K98</f>
        <v>0</v>
      </c>
      <c r="J96" s="700" t="str">
        <f>IF(Select2=2,MSW!$K98,"")</f>
        <v/>
      </c>
      <c r="K96" s="700">
        <f>Industry!$K98</f>
        <v>0</v>
      </c>
      <c r="L96" s="701">
        <f t="shared" si="8"/>
        <v>8.2318133006527525E-5</v>
      </c>
      <c r="M96" s="702">
        <f>Recovery_OX!C91</f>
        <v>0</v>
      </c>
      <c r="N96" s="652"/>
      <c r="O96" s="703">
        <f>(L96-M96)*(1-Recovery_OX!F91)</f>
        <v>8.2318133006527525E-5</v>
      </c>
      <c r="P96" s="641"/>
      <c r="S96" s="697">
        <f t="shared" si="7"/>
        <v>2079</v>
      </c>
      <c r="T96" s="698">
        <f>IF(Select2=1,Food!$W98,"")</f>
        <v>1.8098789541739107E-12</v>
      </c>
      <c r="U96" s="699">
        <f>IF(Select2=1,Paper!$W98,"")</f>
        <v>2.6190266245995062E-3</v>
      </c>
      <c r="V96" s="689">
        <f>IF(Select2=1,Nappies!$W98,"")</f>
        <v>0</v>
      </c>
      <c r="W96" s="699">
        <f>IF(Select2=1,Garden!$W98,"")</f>
        <v>0</v>
      </c>
      <c r="X96" s="689">
        <f>IF(Select2=1,Wood!$W98,"")</f>
        <v>0</v>
      </c>
      <c r="Y96" s="699">
        <f>IF(Select2=1,Textiles!$W98,"")</f>
        <v>9.9054236541273199E-5</v>
      </c>
      <c r="Z96" s="691">
        <f>Sludge!W98</f>
        <v>0</v>
      </c>
      <c r="AA96" s="691" t="str">
        <f>IF(Select2=2,MSW!$W98,"")</f>
        <v/>
      </c>
      <c r="AB96" s="700">
        <f>Industry!$W98</f>
        <v>0</v>
      </c>
      <c r="AC96" s="701">
        <f t="shared" si="5"/>
        <v>2.7180808629506583E-3</v>
      </c>
      <c r="AD96" s="702">
        <f>Recovery_OX!R91</f>
        <v>0</v>
      </c>
      <c r="AE96" s="652"/>
      <c r="AF96" s="704">
        <f>(AC96-AD96)*(1-Recovery_OX!U91)</f>
        <v>2.7180808629506583E-3</v>
      </c>
    </row>
    <row r="97" spans="2:32" ht="13.5" thickBot="1">
      <c r="B97" s="705">
        <f t="shared" si="6"/>
        <v>2080</v>
      </c>
      <c r="C97" s="706">
        <f>IF(Select2=1,Food!$K99,"")</f>
        <v>5.8694526200952605E-13</v>
      </c>
      <c r="D97" s="707">
        <f>IF(Select2=1,Paper!$K99,"")</f>
        <v>7.5212498559528037E-5</v>
      </c>
      <c r="E97" s="707">
        <f>IF(Select2=1,Nappies!$K99,"")</f>
        <v>1.2289011192564064E-7</v>
      </c>
      <c r="F97" s="707">
        <f>IF(Select2=1,Garden!$K99,"")</f>
        <v>0</v>
      </c>
      <c r="G97" s="707">
        <f>IF(Select2=1,Wood!$K99,"")</f>
        <v>0</v>
      </c>
      <c r="H97" s="707">
        <f>IF(Select2=1,Textiles!$K99,"")</f>
        <v>1.4046045277126479E-6</v>
      </c>
      <c r="I97" s="708">
        <f>Sludge!K99</f>
        <v>0</v>
      </c>
      <c r="J97" s="708" t="str">
        <f>IF(Select2=2,MSW!$K99,"")</f>
        <v/>
      </c>
      <c r="K97" s="700">
        <f>Industry!$K99</f>
        <v>0</v>
      </c>
      <c r="L97" s="701">
        <f t="shared" si="8"/>
        <v>7.6739993786111588E-5</v>
      </c>
      <c r="M97" s="709">
        <f>Recovery_OX!C92</f>
        <v>0</v>
      </c>
      <c r="N97" s="652"/>
      <c r="O97" s="710">
        <f>(L97-M97)*(1-Recovery_OX!F92)</f>
        <v>7.6739993786111588E-5</v>
      </c>
      <c r="S97" s="705">
        <f t="shared" si="7"/>
        <v>2080</v>
      </c>
      <c r="T97" s="706">
        <f>IF(Select2=1,Food!$W99,"")</f>
        <v>1.2131981438807905E-12</v>
      </c>
      <c r="U97" s="707">
        <f>IF(Select2=1,Paper!$W99,"")</f>
        <v>2.4419642389457157E-3</v>
      </c>
      <c r="V97" s="707">
        <f>IF(Select2=1,Nappies!$W99,"")</f>
        <v>0</v>
      </c>
      <c r="W97" s="707">
        <f>IF(Select2=1,Garden!$W99,"")</f>
        <v>0</v>
      </c>
      <c r="X97" s="707">
        <f>IF(Select2=1,Wood!$W99,"")</f>
        <v>0</v>
      </c>
      <c r="Y97" s="707">
        <f>IF(Select2=1,Textiles!$W99,"")</f>
        <v>9.2357557986585102E-5</v>
      </c>
      <c r="Z97" s="708">
        <f>Sludge!W99</f>
        <v>0</v>
      </c>
      <c r="AA97" s="708" t="str">
        <f>IF(Select2=2,MSW!$W99,"")</f>
        <v/>
      </c>
      <c r="AB97" s="700">
        <f>Industry!$W99</f>
        <v>0</v>
      </c>
      <c r="AC97" s="711">
        <f t="shared" si="5"/>
        <v>2.5343217981454989E-3</v>
      </c>
      <c r="AD97" s="709">
        <f>Recovery_OX!R92</f>
        <v>0</v>
      </c>
      <c r="AE97" s="652"/>
      <c r="AF97" s="712">
        <f>(AC97-AD97)*(1-Recovery_OX!U92)</f>
        <v>2.5343217981454989E-3</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0.72710389849020007</v>
      </c>
      <c r="E12" s="464">
        <f>Stored_C!G18+Stored_C!M18</f>
        <v>0</v>
      </c>
      <c r="F12" s="465">
        <f>F11+HWP!C12</f>
        <v>0</v>
      </c>
      <c r="G12" s="463">
        <f>G11+HWP!D12</f>
        <v>0.72710389849020007</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0.73641893812299986</v>
      </c>
      <c r="E13" s="473">
        <f>Stored_C!G19+Stored_C!M19</f>
        <v>0</v>
      </c>
      <c r="F13" s="474">
        <f>F12+HWP!C13</f>
        <v>0</v>
      </c>
      <c r="G13" s="472">
        <f>G12+HWP!D13</f>
        <v>1.4635228366131998</v>
      </c>
      <c r="H13" s="473">
        <f>H12+HWP!E13</f>
        <v>0</v>
      </c>
      <c r="I13" s="456"/>
      <c r="J13" s="475">
        <f>Garden!J20</f>
        <v>0</v>
      </c>
      <c r="K13" s="476">
        <f>Paper!J20</f>
        <v>1.5140268869391993E-3</v>
      </c>
      <c r="L13" s="477">
        <f>Wood!J20</f>
        <v>0</v>
      </c>
      <c r="M13" s="478">
        <f>J13*(1-Recovery_OX!E13)*(1-Recovery_OX!F13)</f>
        <v>0</v>
      </c>
      <c r="N13" s="476">
        <f>K13*(1-Recovery_OX!E13)*(1-Recovery_OX!F13)</f>
        <v>1.5140268869391993E-3</v>
      </c>
      <c r="O13" s="477">
        <f>L13*(1-Recovery_OX!E13)*(1-Recovery_OX!F13)</f>
        <v>0</v>
      </c>
    </row>
    <row r="14" spans="2:15">
      <c r="B14" s="470">
        <f t="shared" ref="B14:B77" si="0">B13+1</f>
        <v>1952</v>
      </c>
      <c r="C14" s="471">
        <f>Stored_C!E20</f>
        <v>0</v>
      </c>
      <c r="D14" s="472">
        <f>Stored_C!F20+Stored_C!L20</f>
        <v>0.75301336310200007</v>
      </c>
      <c r="E14" s="473">
        <f>Stored_C!G20+Stored_C!M20</f>
        <v>0</v>
      </c>
      <c r="F14" s="474">
        <f>F13+HWP!C14</f>
        <v>0</v>
      </c>
      <c r="G14" s="472">
        <f>G13+HWP!D14</f>
        <v>2.2165361997152</v>
      </c>
      <c r="H14" s="473">
        <f>H13+HWP!E14</f>
        <v>0</v>
      </c>
      <c r="I14" s="456"/>
      <c r="J14" s="475">
        <f>Garden!J21</f>
        <v>0</v>
      </c>
      <c r="K14" s="476">
        <f>Paper!J21</f>
        <v>2.9450926303002983E-3</v>
      </c>
      <c r="L14" s="477">
        <f>Wood!J21</f>
        <v>0</v>
      </c>
      <c r="M14" s="478">
        <f>J14*(1-Recovery_OX!E14)*(1-Recovery_OX!F14)</f>
        <v>0</v>
      </c>
      <c r="N14" s="476">
        <f>K14*(1-Recovery_OX!E14)*(1-Recovery_OX!F14)</f>
        <v>2.9450926303002983E-3</v>
      </c>
      <c r="O14" s="477">
        <f>L14*(1-Recovery_OX!E14)*(1-Recovery_OX!F14)</f>
        <v>0</v>
      </c>
    </row>
    <row r="15" spans="2:15">
      <c r="B15" s="470">
        <f t="shared" si="0"/>
        <v>1953</v>
      </c>
      <c r="C15" s="471">
        <f>Stored_C!E21</f>
        <v>0</v>
      </c>
      <c r="D15" s="472">
        <f>Stored_C!F21+Stored_C!L21</f>
        <v>0.76639792407860008</v>
      </c>
      <c r="E15" s="473">
        <f>Stored_C!G21+Stored_C!M21</f>
        <v>0</v>
      </c>
      <c r="F15" s="474">
        <f>F14+HWP!C15</f>
        <v>0</v>
      </c>
      <c r="G15" s="472">
        <f>G14+HWP!D15</f>
        <v>2.9829341237938003</v>
      </c>
      <c r="H15" s="473">
        <f>H14+HWP!E15</f>
        <v>0</v>
      </c>
      <c r="I15" s="456"/>
      <c r="J15" s="475">
        <f>Garden!J22</f>
        <v>0</v>
      </c>
      <c r="K15" s="476">
        <f>Paper!J22</f>
        <v>4.3139635643468736E-3</v>
      </c>
      <c r="L15" s="477">
        <f>Wood!J22</f>
        <v>0</v>
      </c>
      <c r="M15" s="478">
        <f>J15*(1-Recovery_OX!E15)*(1-Recovery_OX!F15)</f>
        <v>0</v>
      </c>
      <c r="N15" s="476">
        <f>K15*(1-Recovery_OX!E15)*(1-Recovery_OX!F15)</f>
        <v>4.3139635643468736E-3</v>
      </c>
      <c r="O15" s="477">
        <f>L15*(1-Recovery_OX!E15)*(1-Recovery_OX!F15)</f>
        <v>0</v>
      </c>
    </row>
    <row r="16" spans="2:15">
      <c r="B16" s="470">
        <f t="shared" si="0"/>
        <v>1954</v>
      </c>
      <c r="C16" s="471">
        <f>Stored_C!E22</f>
        <v>0</v>
      </c>
      <c r="D16" s="472">
        <f>Stored_C!F22+Stored_C!L22</f>
        <v>0.77049782832220004</v>
      </c>
      <c r="E16" s="473">
        <f>Stored_C!G22+Stored_C!M22</f>
        <v>0</v>
      </c>
      <c r="F16" s="474">
        <f>F15+HWP!C16</f>
        <v>0</v>
      </c>
      <c r="G16" s="472">
        <f>G15+HWP!D16</f>
        <v>3.7534319521160002</v>
      </c>
      <c r="H16" s="473">
        <f>H15+HWP!E16</f>
        <v>0</v>
      </c>
      <c r="I16" s="456"/>
      <c r="J16" s="475">
        <f>Garden!J23</f>
        <v>0</v>
      </c>
      <c r="K16" s="476">
        <f>Paper!J23</f>
        <v>5.6181606379285907E-3</v>
      </c>
      <c r="L16" s="477">
        <f>Wood!J23</f>
        <v>0</v>
      </c>
      <c r="M16" s="478">
        <f>J16*(1-Recovery_OX!E16)*(1-Recovery_OX!F16)</f>
        <v>0</v>
      </c>
      <c r="N16" s="476">
        <f>K16*(1-Recovery_OX!E16)*(1-Recovery_OX!F16)</f>
        <v>5.6181606379285907E-3</v>
      </c>
      <c r="O16" s="477">
        <f>L16*(1-Recovery_OX!E16)*(1-Recovery_OX!F16)</f>
        <v>0</v>
      </c>
    </row>
    <row r="17" spans="2:15">
      <c r="B17" s="470">
        <f t="shared" si="0"/>
        <v>1955</v>
      </c>
      <c r="C17" s="471">
        <f>Stored_C!E23</f>
        <v>0</v>
      </c>
      <c r="D17" s="472">
        <f>Stored_C!F23+Stored_C!L23</f>
        <v>0.85345565538200008</v>
      </c>
      <c r="E17" s="473">
        <f>Stored_C!G23+Stored_C!M23</f>
        <v>0</v>
      </c>
      <c r="F17" s="474">
        <f>F16+HWP!C17</f>
        <v>0</v>
      </c>
      <c r="G17" s="472">
        <f>G16+HWP!D17</f>
        <v>4.6068876074980007</v>
      </c>
      <c r="H17" s="473">
        <f>H16+HWP!E17</f>
        <v>0</v>
      </c>
      <c r="I17" s="456"/>
      <c r="J17" s="475">
        <f>Garden!J24</f>
        <v>0</v>
      </c>
      <c r="K17" s="476">
        <f>Paper!J24</f>
        <v>6.8427230383071701E-3</v>
      </c>
      <c r="L17" s="477">
        <f>Wood!J24</f>
        <v>0</v>
      </c>
      <c r="M17" s="478">
        <f>J17*(1-Recovery_OX!E17)*(1-Recovery_OX!F17)</f>
        <v>0</v>
      </c>
      <c r="N17" s="476">
        <f>K17*(1-Recovery_OX!E17)*(1-Recovery_OX!F17)</f>
        <v>6.8427230383071701E-3</v>
      </c>
      <c r="O17" s="477">
        <f>L17*(1-Recovery_OX!E17)*(1-Recovery_OX!F17)</f>
        <v>0</v>
      </c>
    </row>
    <row r="18" spans="2:15">
      <c r="B18" s="470">
        <f t="shared" si="0"/>
        <v>1956</v>
      </c>
      <c r="C18" s="471">
        <f>Stored_C!E24</f>
        <v>0</v>
      </c>
      <c r="D18" s="472">
        <f>Stored_C!F24+Stored_C!L24</f>
        <v>0.87101160977820014</v>
      </c>
      <c r="E18" s="473">
        <f>Stored_C!G24+Stored_C!M24</f>
        <v>0</v>
      </c>
      <c r="F18" s="474">
        <f>F17+HWP!C18</f>
        <v>0</v>
      </c>
      <c r="G18" s="472">
        <f>G17+HWP!D18</f>
        <v>5.4778992172762013</v>
      </c>
      <c r="H18" s="473">
        <f>H17+HWP!E18</f>
        <v>0</v>
      </c>
      <c r="I18" s="456"/>
      <c r="J18" s="475">
        <f>Garden!J25</f>
        <v>0</v>
      </c>
      <c r="K18" s="476">
        <f>Paper!J25</f>
        <v>8.157238075838966E-3</v>
      </c>
      <c r="L18" s="477">
        <f>Wood!J25</f>
        <v>0</v>
      </c>
      <c r="M18" s="478">
        <f>J18*(1-Recovery_OX!E18)*(1-Recovery_OX!F18)</f>
        <v>0</v>
      </c>
      <c r="N18" s="476">
        <f>K18*(1-Recovery_OX!E18)*(1-Recovery_OX!F18)</f>
        <v>8.157238075838966E-3</v>
      </c>
      <c r="O18" s="477">
        <f>L18*(1-Recovery_OX!E18)*(1-Recovery_OX!F18)</f>
        <v>0</v>
      </c>
    </row>
    <row r="19" spans="2:15">
      <c r="B19" s="470">
        <f t="shared" si="0"/>
        <v>1957</v>
      </c>
      <c r="C19" s="471">
        <f>Stored_C!E25</f>
        <v>0</v>
      </c>
      <c r="D19" s="472">
        <f>Stored_C!F25+Stored_C!L25</f>
        <v>0.88855326633920007</v>
      </c>
      <c r="E19" s="473">
        <f>Stored_C!G25+Stored_C!M25</f>
        <v>0</v>
      </c>
      <c r="F19" s="474">
        <f>F18+HWP!C19</f>
        <v>0</v>
      </c>
      <c r="G19" s="472">
        <f>G18+HWP!D19</f>
        <v>6.3664524836154017</v>
      </c>
      <c r="H19" s="473">
        <f>H18+HWP!E19</f>
        <v>0</v>
      </c>
      <c r="I19" s="456"/>
      <c r="J19" s="475">
        <f>Garden!J26</f>
        <v>0</v>
      </c>
      <c r="K19" s="476">
        <f>Paper!J26</f>
        <v>9.4194400162577272E-3</v>
      </c>
      <c r="L19" s="477">
        <f>Wood!J26</f>
        <v>0</v>
      </c>
      <c r="M19" s="478">
        <f>J19*(1-Recovery_OX!E19)*(1-Recovery_OX!F19)</f>
        <v>0</v>
      </c>
      <c r="N19" s="476">
        <f>K19*(1-Recovery_OX!E19)*(1-Recovery_OX!F19)</f>
        <v>9.4194400162577272E-3</v>
      </c>
      <c r="O19" s="477">
        <f>L19*(1-Recovery_OX!E19)*(1-Recovery_OX!F19)</f>
        <v>0</v>
      </c>
    </row>
    <row r="20" spans="2:15">
      <c r="B20" s="470">
        <f t="shared" si="0"/>
        <v>1958</v>
      </c>
      <c r="C20" s="471">
        <f>Stored_C!E26</f>
        <v>0</v>
      </c>
      <c r="D20" s="472">
        <f>Stored_C!F26+Stored_C!L26</f>
        <v>0.90597339130099996</v>
      </c>
      <c r="E20" s="473">
        <f>Stored_C!G26+Stored_C!M26</f>
        <v>0</v>
      </c>
      <c r="F20" s="474">
        <f>F19+HWP!C20</f>
        <v>0</v>
      </c>
      <c r="G20" s="472">
        <f>G19+HWP!D20</f>
        <v>7.2724258749164017</v>
      </c>
      <c r="H20" s="473">
        <f>H19+HWP!E20</f>
        <v>0</v>
      </c>
      <c r="I20" s="456"/>
      <c r="J20" s="475">
        <f>Garden!J27</f>
        <v>0</v>
      </c>
      <c r="K20" s="476">
        <f>Paper!J27</f>
        <v>1.0632835776269896E-2</v>
      </c>
      <c r="L20" s="477">
        <f>Wood!J27</f>
        <v>0</v>
      </c>
      <c r="M20" s="478">
        <f>J20*(1-Recovery_OX!E20)*(1-Recovery_OX!F20)</f>
        <v>0</v>
      </c>
      <c r="N20" s="476">
        <f>K20*(1-Recovery_OX!E20)*(1-Recovery_OX!F20)</f>
        <v>1.0632835776269896E-2</v>
      </c>
      <c r="O20" s="477">
        <f>L20*(1-Recovery_OX!E20)*(1-Recovery_OX!F20)</f>
        <v>0</v>
      </c>
    </row>
    <row r="21" spans="2:15">
      <c r="B21" s="470">
        <f t="shared" si="0"/>
        <v>1959</v>
      </c>
      <c r="C21" s="471">
        <f>Stored_C!E27</f>
        <v>0</v>
      </c>
      <c r="D21" s="472">
        <f>Stored_C!F27+Stored_C!L27</f>
        <v>0.92314330414680001</v>
      </c>
      <c r="E21" s="473">
        <f>Stored_C!G27+Stored_C!M27</f>
        <v>0</v>
      </c>
      <c r="F21" s="474">
        <f>F20+HWP!C21</f>
        <v>0</v>
      </c>
      <c r="G21" s="472">
        <f>G20+HWP!D21</f>
        <v>8.1955691790632024</v>
      </c>
      <c r="H21" s="473">
        <f>H20+HWP!E21</f>
        <v>0</v>
      </c>
      <c r="I21" s="456"/>
      <c r="J21" s="475">
        <f>Garden!J28</f>
        <v>0</v>
      </c>
      <c r="K21" s="476">
        <f>Paper!J28</f>
        <v>1.1800471893652515E-2</v>
      </c>
      <c r="L21" s="477">
        <f>Wood!J28</f>
        <v>0</v>
      </c>
      <c r="M21" s="478">
        <f>J21*(1-Recovery_OX!E21)*(1-Recovery_OX!F21)</f>
        <v>0</v>
      </c>
      <c r="N21" s="476">
        <f>K21*(1-Recovery_OX!E21)*(1-Recovery_OX!F21)</f>
        <v>1.1800471893652515E-2</v>
      </c>
      <c r="O21" s="477">
        <f>L21*(1-Recovery_OX!E21)*(1-Recovery_OX!F21)</f>
        <v>0</v>
      </c>
    </row>
    <row r="22" spans="2:15">
      <c r="B22" s="470">
        <f t="shared" si="0"/>
        <v>1960</v>
      </c>
      <c r="C22" s="471">
        <f>Stored_C!E28</f>
        <v>0</v>
      </c>
      <c r="D22" s="472">
        <f>Stored_C!F28+Stored_C!L28</f>
        <v>0.99652158162260018</v>
      </c>
      <c r="E22" s="473">
        <f>Stored_C!G28+Stored_C!M28</f>
        <v>0</v>
      </c>
      <c r="F22" s="474">
        <f>F21+HWP!C22</f>
        <v>0</v>
      </c>
      <c r="G22" s="472">
        <f>G21+HWP!D22</f>
        <v>9.1920907606858027</v>
      </c>
      <c r="H22" s="473">
        <f>H21+HWP!E22</f>
        <v>0</v>
      </c>
      <c r="I22" s="456"/>
      <c r="J22" s="475">
        <f>Garden!J29</f>
        <v>0</v>
      </c>
      <c r="K22" s="476">
        <f>Paper!J29</f>
        <v>1.2924920993776656E-2</v>
      </c>
      <c r="L22" s="477">
        <f>Wood!J29</f>
        <v>0</v>
      </c>
      <c r="M22" s="478">
        <f>J22*(1-Recovery_OX!E22)*(1-Recovery_OX!F22)</f>
        <v>0</v>
      </c>
      <c r="N22" s="476">
        <f>K22*(1-Recovery_OX!E22)*(1-Recovery_OX!F22)</f>
        <v>1.2924920993776656E-2</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9.1920907606858027</v>
      </c>
      <c r="H23" s="473">
        <f>H22+HWP!E23</f>
        <v>0</v>
      </c>
      <c r="I23" s="456"/>
      <c r="J23" s="475">
        <f>Garden!J30</f>
        <v>0</v>
      </c>
      <c r="K23" s="476">
        <f>Paper!J30</f>
        <v>1.4126143796825434E-2</v>
      </c>
      <c r="L23" s="477">
        <f>Wood!J30</f>
        <v>0</v>
      </c>
      <c r="M23" s="478">
        <f>J23*(1-Recovery_OX!E23)*(1-Recovery_OX!F23)</f>
        <v>0</v>
      </c>
      <c r="N23" s="476">
        <f>K23*(1-Recovery_OX!E23)*(1-Recovery_OX!F23)</f>
        <v>1.4126143796825434E-2</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9.1920907606858027</v>
      </c>
      <c r="H24" s="473">
        <f>H23+HWP!E24</f>
        <v>0</v>
      </c>
      <c r="I24" s="456"/>
      <c r="J24" s="475">
        <f>Garden!J31</f>
        <v>0</v>
      </c>
      <c r="K24" s="476">
        <f>Paper!J31</f>
        <v>1.3171129175262782E-2</v>
      </c>
      <c r="L24" s="477">
        <f>Wood!J31</f>
        <v>0</v>
      </c>
      <c r="M24" s="478">
        <f>J24*(1-Recovery_OX!E24)*(1-Recovery_OX!F24)</f>
        <v>0</v>
      </c>
      <c r="N24" s="476">
        <f>K24*(1-Recovery_OX!E24)*(1-Recovery_OX!F24)</f>
        <v>1.3171129175262782E-2</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9.1920907606858027</v>
      </c>
      <c r="H25" s="473">
        <f>H24+HWP!E25</f>
        <v>0</v>
      </c>
      <c r="I25" s="456"/>
      <c r="J25" s="475">
        <f>Garden!J32</f>
        <v>0</v>
      </c>
      <c r="K25" s="476">
        <f>Paper!J32</f>
        <v>1.2280679444197947E-2</v>
      </c>
      <c r="L25" s="477">
        <f>Wood!J32</f>
        <v>0</v>
      </c>
      <c r="M25" s="478">
        <f>J25*(1-Recovery_OX!E25)*(1-Recovery_OX!F25)</f>
        <v>0</v>
      </c>
      <c r="N25" s="476">
        <f>K25*(1-Recovery_OX!E25)*(1-Recovery_OX!F25)</f>
        <v>1.2280679444197947E-2</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9.1920907606858027</v>
      </c>
      <c r="H26" s="473">
        <f>H25+HWP!E26</f>
        <v>0</v>
      </c>
      <c r="I26" s="456"/>
      <c r="J26" s="475">
        <f>Garden!J33</f>
        <v>0</v>
      </c>
      <c r="K26" s="476">
        <f>Paper!J33</f>
        <v>1.1450429618016181E-2</v>
      </c>
      <c r="L26" s="477">
        <f>Wood!J33</f>
        <v>0</v>
      </c>
      <c r="M26" s="478">
        <f>J26*(1-Recovery_OX!E26)*(1-Recovery_OX!F26)</f>
        <v>0</v>
      </c>
      <c r="N26" s="476">
        <f>K26*(1-Recovery_OX!E26)*(1-Recovery_OX!F26)</f>
        <v>1.1450429618016181E-2</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9.1920907606858027</v>
      </c>
      <c r="H27" s="473">
        <f>H26+HWP!E27</f>
        <v>0</v>
      </c>
      <c r="I27" s="456"/>
      <c r="J27" s="475">
        <f>Garden!J34</f>
        <v>0</v>
      </c>
      <c r="K27" s="476">
        <f>Paper!J34</f>
        <v>1.0676309811106316E-2</v>
      </c>
      <c r="L27" s="477">
        <f>Wood!J34</f>
        <v>0</v>
      </c>
      <c r="M27" s="478">
        <f>J27*(1-Recovery_OX!E27)*(1-Recovery_OX!F27)</f>
        <v>0</v>
      </c>
      <c r="N27" s="476">
        <f>K27*(1-Recovery_OX!E27)*(1-Recovery_OX!F27)</f>
        <v>1.0676309811106316E-2</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9.1920907606858027</v>
      </c>
      <c r="H28" s="473">
        <f>H27+HWP!E28</f>
        <v>0</v>
      </c>
      <c r="I28" s="456"/>
      <c r="J28" s="475">
        <f>Garden!J35</f>
        <v>0</v>
      </c>
      <c r="K28" s="476">
        <f>Paper!J35</f>
        <v>9.9545252872767706E-3</v>
      </c>
      <c r="L28" s="477">
        <f>Wood!J35</f>
        <v>0</v>
      </c>
      <c r="M28" s="478">
        <f>J28*(1-Recovery_OX!E28)*(1-Recovery_OX!F28)</f>
        <v>0</v>
      </c>
      <c r="N28" s="476">
        <f>K28*(1-Recovery_OX!E28)*(1-Recovery_OX!F28)</f>
        <v>9.9545252872767706E-3</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9.1920907606858027</v>
      </c>
      <c r="H29" s="473">
        <f>H28+HWP!E29</f>
        <v>0</v>
      </c>
      <c r="I29" s="456"/>
      <c r="J29" s="475">
        <f>Garden!J36</f>
        <v>0</v>
      </c>
      <c r="K29" s="476">
        <f>Paper!J36</f>
        <v>9.2815378579543459E-3</v>
      </c>
      <c r="L29" s="477">
        <f>Wood!J36</f>
        <v>0</v>
      </c>
      <c r="M29" s="478">
        <f>J29*(1-Recovery_OX!E29)*(1-Recovery_OX!F29)</f>
        <v>0</v>
      </c>
      <c r="N29" s="476">
        <f>K29*(1-Recovery_OX!E29)*(1-Recovery_OX!F29)</f>
        <v>9.2815378579543459E-3</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9.1920907606858027</v>
      </c>
      <c r="H30" s="473">
        <f>H29+HWP!E30</f>
        <v>0</v>
      </c>
      <c r="I30" s="456"/>
      <c r="J30" s="475">
        <f>Garden!J37</f>
        <v>0</v>
      </c>
      <c r="K30" s="476">
        <f>Paper!J37</f>
        <v>8.6540485379797243E-3</v>
      </c>
      <c r="L30" s="477">
        <f>Wood!J37</f>
        <v>0</v>
      </c>
      <c r="M30" s="478">
        <f>J30*(1-Recovery_OX!E30)*(1-Recovery_OX!F30)</f>
        <v>0</v>
      </c>
      <c r="N30" s="476">
        <f>K30*(1-Recovery_OX!E30)*(1-Recovery_OX!F30)</f>
        <v>8.6540485379797243E-3</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9.1920907606858027</v>
      </c>
      <c r="H31" s="473">
        <f>H30+HWP!E31</f>
        <v>0</v>
      </c>
      <c r="I31" s="456"/>
      <c r="J31" s="475">
        <f>Garden!J38</f>
        <v>0</v>
      </c>
      <c r="K31" s="476">
        <f>Paper!J38</f>
        <v>8.0689813739784014E-3</v>
      </c>
      <c r="L31" s="477">
        <f>Wood!J38</f>
        <v>0</v>
      </c>
      <c r="M31" s="478">
        <f>J31*(1-Recovery_OX!E31)*(1-Recovery_OX!F31)</f>
        <v>0</v>
      </c>
      <c r="N31" s="476">
        <f>K31*(1-Recovery_OX!E31)*(1-Recovery_OX!F31)</f>
        <v>8.0689813739784014E-3</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9.1920907606858027</v>
      </c>
      <c r="H32" s="473">
        <f>H31+HWP!E32</f>
        <v>0</v>
      </c>
      <c r="I32" s="456"/>
      <c r="J32" s="475">
        <f>Garden!J39</f>
        <v>0</v>
      </c>
      <c r="K32" s="476">
        <f>Paper!J39</f>
        <v>7.5234683660336688E-3</v>
      </c>
      <c r="L32" s="477">
        <f>Wood!J39</f>
        <v>0</v>
      </c>
      <c r="M32" s="478">
        <f>J32*(1-Recovery_OX!E32)*(1-Recovery_OX!F32)</f>
        <v>0</v>
      </c>
      <c r="N32" s="476">
        <f>K32*(1-Recovery_OX!E32)*(1-Recovery_OX!F32)</f>
        <v>7.5234683660336688E-3</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9.1920907606858027</v>
      </c>
      <c r="H33" s="473">
        <f>H32+HWP!E33</f>
        <v>0</v>
      </c>
      <c r="I33" s="456"/>
      <c r="J33" s="475">
        <f>Garden!J40</f>
        <v>0</v>
      </c>
      <c r="K33" s="476">
        <f>Paper!J40</f>
        <v>7.0148354087476951E-3</v>
      </c>
      <c r="L33" s="477">
        <f>Wood!J40</f>
        <v>0</v>
      </c>
      <c r="M33" s="478">
        <f>J33*(1-Recovery_OX!E33)*(1-Recovery_OX!F33)</f>
        <v>0</v>
      </c>
      <c r="N33" s="476">
        <f>K33*(1-Recovery_OX!E33)*(1-Recovery_OX!F33)</f>
        <v>7.0148354087476951E-3</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9.1920907606858027</v>
      </c>
      <c r="H34" s="473">
        <f>H33+HWP!E34</f>
        <v>0</v>
      </c>
      <c r="I34" s="456"/>
      <c r="J34" s="475">
        <f>Garden!J41</f>
        <v>0</v>
      </c>
      <c r="K34" s="476">
        <f>Paper!J41</f>
        <v>6.5405891827737678E-3</v>
      </c>
      <c r="L34" s="477">
        <f>Wood!J41</f>
        <v>0</v>
      </c>
      <c r="M34" s="478">
        <f>J34*(1-Recovery_OX!E34)*(1-Recovery_OX!F34)</f>
        <v>0</v>
      </c>
      <c r="N34" s="476">
        <f>K34*(1-Recovery_OX!E34)*(1-Recovery_OX!F34)</f>
        <v>6.5405891827737678E-3</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9.1920907606858027</v>
      </c>
      <c r="H35" s="473">
        <f>H34+HWP!E35</f>
        <v>0</v>
      </c>
      <c r="I35" s="456"/>
      <c r="J35" s="475">
        <f>Garden!J42</f>
        <v>0</v>
      </c>
      <c r="K35" s="476">
        <f>Paper!J42</f>
        <v>6.0984049325619573E-3</v>
      </c>
      <c r="L35" s="477">
        <f>Wood!J42</f>
        <v>0</v>
      </c>
      <c r="M35" s="478">
        <f>J35*(1-Recovery_OX!E35)*(1-Recovery_OX!F35)</f>
        <v>0</v>
      </c>
      <c r="N35" s="476">
        <f>K35*(1-Recovery_OX!E35)*(1-Recovery_OX!F35)</f>
        <v>6.0984049325619573E-3</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9.1920907606858027</v>
      </c>
      <c r="H36" s="473">
        <f>H35+HWP!E36</f>
        <v>0</v>
      </c>
      <c r="I36" s="456"/>
      <c r="J36" s="475">
        <f>Garden!J43</f>
        <v>0</v>
      </c>
      <c r="K36" s="476">
        <f>Paper!J43</f>
        <v>5.6861150704047205E-3</v>
      </c>
      <c r="L36" s="477">
        <f>Wood!J43</f>
        <v>0</v>
      </c>
      <c r="M36" s="478">
        <f>J36*(1-Recovery_OX!E36)*(1-Recovery_OX!F36)</f>
        <v>0</v>
      </c>
      <c r="N36" s="476">
        <f>K36*(1-Recovery_OX!E36)*(1-Recovery_OX!F36)</f>
        <v>5.6861150704047205E-3</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9.1920907606858027</v>
      </c>
      <c r="H37" s="473">
        <f>H36+HWP!E37</f>
        <v>0</v>
      </c>
      <c r="I37" s="456"/>
      <c r="J37" s="475">
        <f>Garden!J44</f>
        <v>0</v>
      </c>
      <c r="K37" s="476">
        <f>Paper!J44</f>
        <v>5.3016985509194373E-3</v>
      </c>
      <c r="L37" s="477">
        <f>Wood!J44</f>
        <v>0</v>
      </c>
      <c r="M37" s="478">
        <f>J37*(1-Recovery_OX!E37)*(1-Recovery_OX!F37)</f>
        <v>0</v>
      </c>
      <c r="N37" s="476">
        <f>K37*(1-Recovery_OX!E37)*(1-Recovery_OX!F37)</f>
        <v>5.3016985509194373E-3</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9.1920907606858027</v>
      </c>
      <c r="H38" s="473">
        <f>H37+HWP!E38</f>
        <v>0</v>
      </c>
      <c r="I38" s="456"/>
      <c r="J38" s="475">
        <f>Garden!J45</f>
        <v>0</v>
      </c>
      <c r="K38" s="476">
        <f>Paper!J45</f>
        <v>4.9432709638816043E-3</v>
      </c>
      <c r="L38" s="477">
        <f>Wood!J45</f>
        <v>0</v>
      </c>
      <c r="M38" s="478">
        <f>J38*(1-Recovery_OX!E38)*(1-Recovery_OX!F38)</f>
        <v>0</v>
      </c>
      <c r="N38" s="476">
        <f>K38*(1-Recovery_OX!E38)*(1-Recovery_OX!F38)</f>
        <v>4.9432709638816043E-3</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9.1920907606858027</v>
      </c>
      <c r="H39" s="473">
        <f>H38+HWP!E39</f>
        <v>0</v>
      </c>
      <c r="I39" s="456"/>
      <c r="J39" s="475">
        <f>Garden!J46</f>
        <v>0</v>
      </c>
      <c r="K39" s="476">
        <f>Paper!J46</f>
        <v>4.6090752968437282E-3</v>
      </c>
      <c r="L39" s="477">
        <f>Wood!J46</f>
        <v>0</v>
      </c>
      <c r="M39" s="478">
        <f>J39*(1-Recovery_OX!E39)*(1-Recovery_OX!F39)</f>
        <v>0</v>
      </c>
      <c r="N39" s="476">
        <f>K39*(1-Recovery_OX!E39)*(1-Recovery_OX!F39)</f>
        <v>4.6090752968437282E-3</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9.1920907606858027</v>
      </c>
      <c r="H40" s="473">
        <f>H39+HWP!E40</f>
        <v>0</v>
      </c>
      <c r="I40" s="456"/>
      <c r="J40" s="475">
        <f>Garden!J47</f>
        <v>0</v>
      </c>
      <c r="K40" s="476">
        <f>Paper!J47</f>
        <v>4.2974733222582665E-3</v>
      </c>
      <c r="L40" s="477">
        <f>Wood!J47</f>
        <v>0</v>
      </c>
      <c r="M40" s="478">
        <f>J40*(1-Recovery_OX!E40)*(1-Recovery_OX!F40)</f>
        <v>0</v>
      </c>
      <c r="N40" s="476">
        <f>K40*(1-Recovery_OX!E40)*(1-Recovery_OX!F40)</f>
        <v>4.2974733222582665E-3</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9.1920907606858027</v>
      </c>
      <c r="H41" s="473">
        <f>H40+HWP!E41</f>
        <v>0</v>
      </c>
      <c r="I41" s="456"/>
      <c r="J41" s="475">
        <f>Garden!J48</f>
        <v>0</v>
      </c>
      <c r="K41" s="476">
        <f>Paper!J48</f>
        <v>4.0069375668842907E-3</v>
      </c>
      <c r="L41" s="477">
        <f>Wood!J48</f>
        <v>0</v>
      </c>
      <c r="M41" s="478">
        <f>J41*(1-Recovery_OX!E41)*(1-Recovery_OX!F41)</f>
        <v>0</v>
      </c>
      <c r="N41" s="476">
        <f>K41*(1-Recovery_OX!E41)*(1-Recovery_OX!F41)</f>
        <v>4.0069375668842907E-3</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9.1920907606858027</v>
      </c>
      <c r="H42" s="473">
        <f>H41+HWP!E42</f>
        <v>0</v>
      </c>
      <c r="I42" s="456"/>
      <c r="J42" s="475">
        <f>Garden!J49</f>
        <v>0</v>
      </c>
      <c r="K42" s="476">
        <f>Paper!J49</f>
        <v>3.7360438241118904E-3</v>
      </c>
      <c r="L42" s="477">
        <f>Wood!J49</f>
        <v>0</v>
      </c>
      <c r="M42" s="478">
        <f>J42*(1-Recovery_OX!E42)*(1-Recovery_OX!F42)</f>
        <v>0</v>
      </c>
      <c r="N42" s="476">
        <f>K42*(1-Recovery_OX!E42)*(1-Recovery_OX!F42)</f>
        <v>3.7360438241118904E-3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9.1920907606858027</v>
      </c>
      <c r="H43" s="473">
        <f>H42+HWP!E43</f>
        <v>0</v>
      </c>
      <c r="I43" s="456"/>
      <c r="J43" s="475">
        <f>Garden!J50</f>
        <v>0</v>
      </c>
      <c r="K43" s="476">
        <f>Paper!J50</f>
        <v>3.4834641724997119E-3</v>
      </c>
      <c r="L43" s="477">
        <f>Wood!J50</f>
        <v>0</v>
      </c>
      <c r="M43" s="478">
        <f>J43*(1-Recovery_OX!E43)*(1-Recovery_OX!F43)</f>
        <v>0</v>
      </c>
      <c r="N43" s="476">
        <f>K43*(1-Recovery_OX!E43)*(1-Recovery_OX!F43)</f>
        <v>3.4834641724997119E-3</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9.1920907606858027</v>
      </c>
      <c r="H44" s="473">
        <f>H43+HWP!E44</f>
        <v>0</v>
      </c>
      <c r="I44" s="456"/>
      <c r="J44" s="475">
        <f>Garden!J51</f>
        <v>0</v>
      </c>
      <c r="K44" s="476">
        <f>Paper!J51</f>
        <v>3.2479604663025194E-3</v>
      </c>
      <c r="L44" s="477">
        <f>Wood!J51</f>
        <v>0</v>
      </c>
      <c r="M44" s="478">
        <f>J44*(1-Recovery_OX!E44)*(1-Recovery_OX!F44)</f>
        <v>0</v>
      </c>
      <c r="N44" s="476">
        <f>K44*(1-Recovery_OX!E44)*(1-Recovery_OX!F44)</f>
        <v>3.2479604663025194E-3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9.1920907606858027</v>
      </c>
      <c r="H45" s="473">
        <f>H44+HWP!E45</f>
        <v>0</v>
      </c>
      <c r="I45" s="456"/>
      <c r="J45" s="475">
        <f>Garden!J52</f>
        <v>0</v>
      </c>
      <c r="K45" s="476">
        <f>Paper!J52</f>
        <v>3.0283782660793109E-3</v>
      </c>
      <c r="L45" s="477">
        <f>Wood!J52</f>
        <v>0</v>
      </c>
      <c r="M45" s="478">
        <f>J45*(1-Recovery_OX!E45)*(1-Recovery_OX!F45)</f>
        <v>0</v>
      </c>
      <c r="N45" s="476">
        <f>K45*(1-Recovery_OX!E45)*(1-Recovery_OX!F45)</f>
        <v>3.0283782660793109E-3</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9.1920907606858027</v>
      </c>
      <c r="H46" s="473">
        <f>H45+HWP!E46</f>
        <v>0</v>
      </c>
      <c r="I46" s="456"/>
      <c r="J46" s="475">
        <f>Garden!J53</f>
        <v>0</v>
      </c>
      <c r="K46" s="476">
        <f>Paper!J53</f>
        <v>2.8236411796298414E-3</v>
      </c>
      <c r="L46" s="477">
        <f>Wood!J53</f>
        <v>0</v>
      </c>
      <c r="M46" s="478">
        <f>J46*(1-Recovery_OX!E46)*(1-Recovery_OX!F46)</f>
        <v>0</v>
      </c>
      <c r="N46" s="476">
        <f>K46*(1-Recovery_OX!E46)*(1-Recovery_OX!F46)</f>
        <v>2.8236411796298414E-3</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9.1920907606858027</v>
      </c>
      <c r="H47" s="473">
        <f>H46+HWP!E47</f>
        <v>0</v>
      </c>
      <c r="I47" s="456"/>
      <c r="J47" s="475">
        <f>Garden!J54</f>
        <v>0</v>
      </c>
      <c r="K47" s="476">
        <f>Paper!J54</f>
        <v>2.6327455855188055E-3</v>
      </c>
      <c r="L47" s="477">
        <f>Wood!J54</f>
        <v>0</v>
      </c>
      <c r="M47" s="478">
        <f>J47*(1-Recovery_OX!E47)*(1-Recovery_OX!F47)</f>
        <v>0</v>
      </c>
      <c r="N47" s="476">
        <f>K47*(1-Recovery_OX!E47)*(1-Recovery_OX!F47)</f>
        <v>2.6327455855188055E-3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9.1920907606858027</v>
      </c>
      <c r="H48" s="473">
        <f>H47+HWP!E48</f>
        <v>0</v>
      </c>
      <c r="I48" s="456"/>
      <c r="J48" s="475">
        <f>Garden!J55</f>
        <v>0</v>
      </c>
      <c r="K48" s="476">
        <f>Paper!J55</f>
        <v>2.4547557133224015E-3</v>
      </c>
      <c r="L48" s="477">
        <f>Wood!J55</f>
        <v>0</v>
      </c>
      <c r="M48" s="478">
        <f>J48*(1-Recovery_OX!E48)*(1-Recovery_OX!F48)</f>
        <v>0</v>
      </c>
      <c r="N48" s="476">
        <f>K48*(1-Recovery_OX!E48)*(1-Recovery_OX!F48)</f>
        <v>2.4547557133224015E-3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9.1920907606858027</v>
      </c>
      <c r="H49" s="473">
        <f>H48+HWP!E49</f>
        <v>0</v>
      </c>
      <c r="I49" s="456"/>
      <c r="J49" s="475">
        <f>Garden!J56</f>
        <v>0</v>
      </c>
      <c r="K49" s="476">
        <f>Paper!J56</f>
        <v>2.2887990564806246E-3</v>
      </c>
      <c r="L49" s="477">
        <f>Wood!J56</f>
        <v>0</v>
      </c>
      <c r="M49" s="478">
        <f>J49*(1-Recovery_OX!E49)*(1-Recovery_OX!F49)</f>
        <v>0</v>
      </c>
      <c r="N49" s="476">
        <f>K49*(1-Recovery_OX!E49)*(1-Recovery_OX!F49)</f>
        <v>2.2887990564806246E-3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9.1920907606858027</v>
      </c>
      <c r="H50" s="473">
        <f>H49+HWP!E50</f>
        <v>0</v>
      </c>
      <c r="I50" s="456"/>
      <c r="J50" s="475">
        <f>Garden!J57</f>
        <v>0</v>
      </c>
      <c r="K50" s="476">
        <f>Paper!J57</f>
        <v>2.1340620952690998E-3</v>
      </c>
      <c r="L50" s="477">
        <f>Wood!J57</f>
        <v>0</v>
      </c>
      <c r="M50" s="478">
        <f>J50*(1-Recovery_OX!E50)*(1-Recovery_OX!F50)</f>
        <v>0</v>
      </c>
      <c r="N50" s="476">
        <f>K50*(1-Recovery_OX!E50)*(1-Recovery_OX!F50)</f>
        <v>2.1340620952690998E-3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9.1920907606858027</v>
      </c>
      <c r="H51" s="473">
        <f>H50+HWP!E51</f>
        <v>0</v>
      </c>
      <c r="I51" s="456"/>
      <c r="J51" s="475">
        <f>Garden!J58</f>
        <v>0</v>
      </c>
      <c r="K51" s="476">
        <f>Paper!J58</f>
        <v>1.9897863089244476E-3</v>
      </c>
      <c r="L51" s="477">
        <f>Wood!J58</f>
        <v>0</v>
      </c>
      <c r="M51" s="478">
        <f>J51*(1-Recovery_OX!E51)*(1-Recovery_OX!F51)</f>
        <v>0</v>
      </c>
      <c r="N51" s="476">
        <f>K51*(1-Recovery_OX!E51)*(1-Recovery_OX!F51)</f>
        <v>1.9897863089244476E-3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9.1920907606858027</v>
      </c>
      <c r="H52" s="473">
        <f>H51+HWP!E52</f>
        <v>0</v>
      </c>
      <c r="I52" s="456"/>
      <c r="J52" s="475">
        <f>Garden!J59</f>
        <v>0</v>
      </c>
      <c r="K52" s="476">
        <f>Paper!J59</f>
        <v>1.8552644573746227E-3</v>
      </c>
      <c r="L52" s="477">
        <f>Wood!J59</f>
        <v>0</v>
      </c>
      <c r="M52" s="478">
        <f>J52*(1-Recovery_OX!E52)*(1-Recovery_OX!F52)</f>
        <v>0</v>
      </c>
      <c r="N52" s="476">
        <f>K52*(1-Recovery_OX!E52)*(1-Recovery_OX!F52)</f>
        <v>1.8552644573746227E-3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9.1920907606858027</v>
      </c>
      <c r="H53" s="473">
        <f>H52+HWP!E53</f>
        <v>0</v>
      </c>
      <c r="I53" s="456"/>
      <c r="J53" s="475">
        <f>Garden!J60</f>
        <v>0</v>
      </c>
      <c r="K53" s="476">
        <f>Paper!J60</f>
        <v>1.7298371143472607E-3</v>
      </c>
      <c r="L53" s="477">
        <f>Wood!J60</f>
        <v>0</v>
      </c>
      <c r="M53" s="478">
        <f>J53*(1-Recovery_OX!E53)*(1-Recovery_OX!F53)</f>
        <v>0</v>
      </c>
      <c r="N53" s="476">
        <f>K53*(1-Recovery_OX!E53)*(1-Recovery_OX!F53)</f>
        <v>1.7298371143472607E-3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9.1920907606858027</v>
      </c>
      <c r="H54" s="473">
        <f>H53+HWP!E54</f>
        <v>0</v>
      </c>
      <c r="I54" s="456"/>
      <c r="J54" s="475">
        <f>Garden!J61</f>
        <v>0</v>
      </c>
      <c r="K54" s="476">
        <f>Paper!J61</f>
        <v>1.6128894348613251E-3</v>
      </c>
      <c r="L54" s="477">
        <f>Wood!J61</f>
        <v>0</v>
      </c>
      <c r="M54" s="478">
        <f>J54*(1-Recovery_OX!E54)*(1-Recovery_OX!F54)</f>
        <v>0</v>
      </c>
      <c r="N54" s="476">
        <f>K54*(1-Recovery_OX!E54)*(1-Recovery_OX!F54)</f>
        <v>1.6128894348613251E-3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9.1920907606858027</v>
      </c>
      <c r="H55" s="473">
        <f>H54+HWP!E55</f>
        <v>0</v>
      </c>
      <c r="I55" s="456"/>
      <c r="J55" s="475">
        <f>Garden!J62</f>
        <v>0</v>
      </c>
      <c r="K55" s="476">
        <f>Paper!J62</f>
        <v>1.5038481412562969E-3</v>
      </c>
      <c r="L55" s="477">
        <f>Wood!J62</f>
        <v>0</v>
      </c>
      <c r="M55" s="478">
        <f>J55*(1-Recovery_OX!E55)*(1-Recovery_OX!F55)</f>
        <v>0</v>
      </c>
      <c r="N55" s="476">
        <f>K55*(1-Recovery_OX!E55)*(1-Recovery_OX!F55)</f>
        <v>1.5038481412562969E-3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9.1920907606858027</v>
      </c>
      <c r="H56" s="473">
        <f>H55+HWP!E56</f>
        <v>0</v>
      </c>
      <c r="I56" s="456"/>
      <c r="J56" s="475">
        <f>Garden!J63</f>
        <v>0</v>
      </c>
      <c r="K56" s="476">
        <f>Paper!J63</f>
        <v>1.4021787129844187E-3</v>
      </c>
      <c r="L56" s="477">
        <f>Wood!J63</f>
        <v>0</v>
      </c>
      <c r="M56" s="478">
        <f>J56*(1-Recovery_OX!E56)*(1-Recovery_OX!F56)</f>
        <v>0</v>
      </c>
      <c r="N56" s="476">
        <f>K56*(1-Recovery_OX!E56)*(1-Recovery_OX!F56)</f>
        <v>1.4021787129844187E-3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9.1920907606858027</v>
      </c>
      <c r="H57" s="473">
        <f>H56+HWP!E57</f>
        <v>0</v>
      </c>
      <c r="I57" s="456"/>
      <c r="J57" s="475">
        <f>Garden!J64</f>
        <v>0</v>
      </c>
      <c r="K57" s="476">
        <f>Paper!J64</f>
        <v>1.3073827663903485E-3</v>
      </c>
      <c r="L57" s="477">
        <f>Wood!J64</f>
        <v>0</v>
      </c>
      <c r="M57" s="478">
        <f>J57*(1-Recovery_OX!E57)*(1-Recovery_OX!F57)</f>
        <v>0</v>
      </c>
      <c r="N57" s="476">
        <f>K57*(1-Recovery_OX!E57)*(1-Recovery_OX!F57)</f>
        <v>1.3073827663903485E-3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9.1920907606858027</v>
      </c>
      <c r="H58" s="473">
        <f>H57+HWP!E58</f>
        <v>0</v>
      </c>
      <c r="I58" s="456"/>
      <c r="J58" s="475">
        <f>Garden!J65</f>
        <v>0</v>
      </c>
      <c r="K58" s="476">
        <f>Paper!J65</f>
        <v>1.2189956116339029E-3</v>
      </c>
      <c r="L58" s="477">
        <f>Wood!J65</f>
        <v>0</v>
      </c>
      <c r="M58" s="478">
        <f>J58*(1-Recovery_OX!E58)*(1-Recovery_OX!F58)</f>
        <v>0</v>
      </c>
      <c r="N58" s="476">
        <f>K58*(1-Recovery_OX!E58)*(1-Recovery_OX!F58)</f>
        <v>1.2189956116339029E-3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9.1920907606858027</v>
      </c>
      <c r="H59" s="473">
        <f>H58+HWP!E59</f>
        <v>0</v>
      </c>
      <c r="I59" s="456"/>
      <c r="J59" s="475">
        <f>Garden!J66</f>
        <v>0</v>
      </c>
      <c r="K59" s="476">
        <f>Paper!J66</f>
        <v>1.1365839747799226E-3</v>
      </c>
      <c r="L59" s="477">
        <f>Wood!J66</f>
        <v>0</v>
      </c>
      <c r="M59" s="478">
        <f>J59*(1-Recovery_OX!E59)*(1-Recovery_OX!F59)</f>
        <v>0</v>
      </c>
      <c r="N59" s="476">
        <f>K59*(1-Recovery_OX!E59)*(1-Recovery_OX!F59)</f>
        <v>1.1365839747799226E-3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9.1920907606858027</v>
      </c>
      <c r="H60" s="473">
        <f>H59+HWP!E60</f>
        <v>0</v>
      </c>
      <c r="I60" s="456"/>
      <c r="J60" s="475">
        <f>Garden!J67</f>
        <v>0</v>
      </c>
      <c r="K60" s="476">
        <f>Paper!J67</f>
        <v>1.0597438738889379E-3</v>
      </c>
      <c r="L60" s="477">
        <f>Wood!J67</f>
        <v>0</v>
      </c>
      <c r="M60" s="478">
        <f>J60*(1-Recovery_OX!E60)*(1-Recovery_OX!F60)</f>
        <v>0</v>
      </c>
      <c r="N60" s="476">
        <f>K60*(1-Recovery_OX!E60)*(1-Recovery_OX!F60)</f>
        <v>1.0597438738889379E-3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9.1920907606858027</v>
      </c>
      <c r="H61" s="473">
        <f>H60+HWP!E61</f>
        <v>0</v>
      </c>
      <c r="I61" s="456"/>
      <c r="J61" s="475">
        <f>Garden!J68</f>
        <v>0</v>
      </c>
      <c r="K61" s="476">
        <f>Paper!J68</f>
        <v>9.8809863869723439E-4</v>
      </c>
      <c r="L61" s="477">
        <f>Wood!J68</f>
        <v>0</v>
      </c>
      <c r="M61" s="478">
        <f>J61*(1-Recovery_OX!E61)*(1-Recovery_OX!F61)</f>
        <v>0</v>
      </c>
      <c r="N61" s="476">
        <f>K61*(1-Recovery_OX!E61)*(1-Recovery_OX!F61)</f>
        <v>9.8809863869723439E-4</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9.1920907606858027</v>
      </c>
      <c r="H62" s="473">
        <f>H61+HWP!E62</f>
        <v>0</v>
      </c>
      <c r="I62" s="456"/>
      <c r="J62" s="475">
        <f>Garden!J69</f>
        <v>0</v>
      </c>
      <c r="K62" s="476">
        <f>Paper!J69</f>
        <v>9.2129706417878182E-4</v>
      </c>
      <c r="L62" s="477">
        <f>Wood!J69</f>
        <v>0</v>
      </c>
      <c r="M62" s="478">
        <f>J62*(1-Recovery_OX!E62)*(1-Recovery_OX!F62)</f>
        <v>0</v>
      </c>
      <c r="N62" s="476">
        <f>K62*(1-Recovery_OX!E62)*(1-Recovery_OX!F62)</f>
        <v>9.2129706417878182E-4</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9.1920907606858027</v>
      </c>
      <c r="H63" s="473">
        <f>H62+HWP!E63</f>
        <v>0</v>
      </c>
      <c r="I63" s="456"/>
      <c r="J63" s="475">
        <f>Garden!J70</f>
        <v>0</v>
      </c>
      <c r="K63" s="476">
        <f>Paper!J70</f>
        <v>8.5901168893778997E-4</v>
      </c>
      <c r="L63" s="477">
        <f>Wood!J70</f>
        <v>0</v>
      </c>
      <c r="M63" s="478">
        <f>J63*(1-Recovery_OX!E63)*(1-Recovery_OX!F63)</f>
        <v>0</v>
      </c>
      <c r="N63" s="476">
        <f>K63*(1-Recovery_OX!E63)*(1-Recovery_OX!F63)</f>
        <v>8.5901168893778997E-4</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9.1920907606858027</v>
      </c>
      <c r="H64" s="473">
        <f>H63+HWP!E64</f>
        <v>0</v>
      </c>
      <c r="I64" s="456"/>
      <c r="J64" s="475">
        <f>Garden!J71</f>
        <v>0</v>
      </c>
      <c r="K64" s="476">
        <f>Paper!J71</f>
        <v>8.0093718999256621E-4</v>
      </c>
      <c r="L64" s="477">
        <f>Wood!J71</f>
        <v>0</v>
      </c>
      <c r="M64" s="478">
        <f>J64*(1-Recovery_OX!E64)*(1-Recovery_OX!F64)</f>
        <v>0</v>
      </c>
      <c r="N64" s="476">
        <f>K64*(1-Recovery_OX!E64)*(1-Recovery_OX!F64)</f>
        <v>8.0093718999256621E-4</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9.1920907606858027</v>
      </c>
      <c r="H65" s="473">
        <f>H64+HWP!E65</f>
        <v>0</v>
      </c>
      <c r="I65" s="456"/>
      <c r="J65" s="475">
        <f>Garden!J72</f>
        <v>0</v>
      </c>
      <c r="K65" s="476">
        <f>Paper!J72</f>
        <v>7.4678888608190497E-4</v>
      </c>
      <c r="L65" s="477">
        <f>Wood!J72</f>
        <v>0</v>
      </c>
      <c r="M65" s="478">
        <f>J65*(1-Recovery_OX!E65)*(1-Recovery_OX!F65)</f>
        <v>0</v>
      </c>
      <c r="N65" s="476">
        <f>K65*(1-Recovery_OX!E65)*(1-Recovery_OX!F65)</f>
        <v>7.4678888608190497E-4</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9.1920907606858027</v>
      </c>
      <c r="H66" s="473">
        <f>H65+HWP!E66</f>
        <v>0</v>
      </c>
      <c r="I66" s="456"/>
      <c r="J66" s="475">
        <f>Garden!J73</f>
        <v>0</v>
      </c>
      <c r="K66" s="476">
        <f>Paper!J73</f>
        <v>6.963013421572154E-4</v>
      </c>
      <c r="L66" s="477">
        <f>Wood!J73</f>
        <v>0</v>
      </c>
      <c r="M66" s="478">
        <f>J66*(1-Recovery_OX!E66)*(1-Recovery_OX!F66)</f>
        <v>0</v>
      </c>
      <c r="N66" s="476">
        <f>K66*(1-Recovery_OX!E66)*(1-Recovery_OX!F66)</f>
        <v>6.963013421572154E-4</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9.1920907606858027</v>
      </c>
      <c r="H67" s="473">
        <f>H66+HWP!E67</f>
        <v>0</v>
      </c>
      <c r="I67" s="456"/>
      <c r="J67" s="475">
        <f>Garden!J74</f>
        <v>0</v>
      </c>
      <c r="K67" s="476">
        <f>Paper!J74</f>
        <v>6.4922706821960471E-4</v>
      </c>
      <c r="L67" s="477">
        <f>Wood!J74</f>
        <v>0</v>
      </c>
      <c r="M67" s="478">
        <f>J67*(1-Recovery_OX!E67)*(1-Recovery_OX!F67)</f>
        <v>0</v>
      </c>
      <c r="N67" s="476">
        <f>K67*(1-Recovery_OX!E67)*(1-Recovery_OX!F67)</f>
        <v>6.4922706821960471E-4</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9.1920907606858027</v>
      </c>
      <c r="H68" s="473">
        <f>H67+HWP!E68</f>
        <v>0</v>
      </c>
      <c r="I68" s="456"/>
      <c r="J68" s="475">
        <f>Garden!J75</f>
        <v>0</v>
      </c>
      <c r="K68" s="476">
        <f>Paper!J75</f>
        <v>6.0533530612361694E-4</v>
      </c>
      <c r="L68" s="477">
        <f>Wood!J75</f>
        <v>0</v>
      </c>
      <c r="M68" s="478">
        <f>J68*(1-Recovery_OX!E68)*(1-Recovery_OX!F68)</f>
        <v>0</v>
      </c>
      <c r="N68" s="476">
        <f>K68*(1-Recovery_OX!E68)*(1-Recovery_OX!F68)</f>
        <v>6.0533530612361694E-4</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9.1920907606858027</v>
      </c>
      <c r="H69" s="473">
        <f>H68+HWP!E69</f>
        <v>0</v>
      </c>
      <c r="I69" s="456"/>
      <c r="J69" s="475">
        <f>Garden!J76</f>
        <v>0</v>
      </c>
      <c r="K69" s="476">
        <f>Paper!J76</f>
        <v>5.6441089840053582E-4</v>
      </c>
      <c r="L69" s="477">
        <f>Wood!J76</f>
        <v>0</v>
      </c>
      <c r="M69" s="478">
        <f>J69*(1-Recovery_OX!E69)*(1-Recovery_OX!F69)</f>
        <v>0</v>
      </c>
      <c r="N69" s="476">
        <f>K69*(1-Recovery_OX!E69)*(1-Recovery_OX!F69)</f>
        <v>5.6441089840053582E-4</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9.1920907606858027</v>
      </c>
      <c r="H70" s="473">
        <f>H69+HWP!E70</f>
        <v>0</v>
      </c>
      <c r="I70" s="456"/>
      <c r="J70" s="475">
        <f>Garden!J77</f>
        <v>0</v>
      </c>
      <c r="K70" s="476">
        <f>Paper!J77</f>
        <v>5.262532335562237E-4</v>
      </c>
      <c r="L70" s="477">
        <f>Wood!J77</f>
        <v>0</v>
      </c>
      <c r="M70" s="478">
        <f>J70*(1-Recovery_OX!E70)*(1-Recovery_OX!F70)</f>
        <v>0</v>
      </c>
      <c r="N70" s="476">
        <f>K70*(1-Recovery_OX!E70)*(1-Recovery_OX!F70)</f>
        <v>5.262532335562237E-4</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9.1920907606858027</v>
      </c>
      <c r="H71" s="473">
        <f>H70+HWP!E71</f>
        <v>0</v>
      </c>
      <c r="I71" s="456"/>
      <c r="J71" s="475">
        <f>Garden!J78</f>
        <v>0</v>
      </c>
      <c r="K71" s="476">
        <f>Paper!J78</f>
        <v>4.9067526267334454E-4</v>
      </c>
      <c r="L71" s="477">
        <f>Wood!J78</f>
        <v>0</v>
      </c>
      <c r="M71" s="478">
        <f>J71*(1-Recovery_OX!E71)*(1-Recovery_OX!F71)</f>
        <v>0</v>
      </c>
      <c r="N71" s="476">
        <f>K71*(1-Recovery_OX!E71)*(1-Recovery_OX!F71)</f>
        <v>4.9067526267334454E-4</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9.1920907606858027</v>
      </c>
      <c r="H72" s="473">
        <f>H71+HWP!E72</f>
        <v>0</v>
      </c>
      <c r="I72" s="456"/>
      <c r="J72" s="475">
        <f>Garden!J79</f>
        <v>0</v>
      </c>
      <c r="K72" s="476">
        <f>Paper!J79</f>
        <v>4.5750258249735432E-4</v>
      </c>
      <c r="L72" s="477">
        <f>Wood!J79</f>
        <v>0</v>
      </c>
      <c r="M72" s="478">
        <f>J72*(1-Recovery_OX!E72)*(1-Recovery_OX!F72)</f>
        <v>0</v>
      </c>
      <c r="N72" s="476">
        <f>K72*(1-Recovery_OX!E72)*(1-Recovery_OX!F72)</f>
        <v>4.5750258249735432E-4</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9.1920907606858027</v>
      </c>
      <c r="H73" s="473">
        <f>H72+HWP!E73</f>
        <v>0</v>
      </c>
      <c r="I73" s="456"/>
      <c r="J73" s="475">
        <f>Garden!J80</f>
        <v>0</v>
      </c>
      <c r="K73" s="476">
        <f>Paper!J80</f>
        <v>4.2657258051154439E-4</v>
      </c>
      <c r="L73" s="477">
        <f>Wood!J80</f>
        <v>0</v>
      </c>
      <c r="M73" s="478">
        <f>J73*(1-Recovery_OX!E73)*(1-Recovery_OX!F73)</f>
        <v>0</v>
      </c>
      <c r="N73" s="476">
        <f>K73*(1-Recovery_OX!E73)*(1-Recovery_OX!F73)</f>
        <v>4.2657258051154439E-4</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9.1920907606858027</v>
      </c>
      <c r="H74" s="473">
        <f>H73+HWP!E74</f>
        <v>0</v>
      </c>
      <c r="I74" s="456"/>
      <c r="J74" s="475">
        <f>Garden!J81</f>
        <v>0</v>
      </c>
      <c r="K74" s="476">
        <f>Paper!J81</f>
        <v>3.9773363781029654E-4</v>
      </c>
      <c r="L74" s="477">
        <f>Wood!J81</f>
        <v>0</v>
      </c>
      <c r="M74" s="478">
        <f>J74*(1-Recovery_OX!E74)*(1-Recovery_OX!F74)</f>
        <v>0</v>
      </c>
      <c r="N74" s="476">
        <f>K74*(1-Recovery_OX!E74)*(1-Recovery_OX!F74)</f>
        <v>3.9773363781029654E-4</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9.1920907606858027</v>
      </c>
      <c r="H75" s="473">
        <f>H74+HWP!E75</f>
        <v>0</v>
      </c>
      <c r="I75" s="456"/>
      <c r="J75" s="475">
        <f>Garden!J82</f>
        <v>0</v>
      </c>
      <c r="K75" s="476">
        <f>Paper!J82</f>
        <v>3.7084438586303131E-4</v>
      </c>
      <c r="L75" s="477">
        <f>Wood!J82</f>
        <v>0</v>
      </c>
      <c r="M75" s="478">
        <f>J75*(1-Recovery_OX!E75)*(1-Recovery_OX!F75)</f>
        <v>0</v>
      </c>
      <c r="N75" s="476">
        <f>K75*(1-Recovery_OX!E75)*(1-Recovery_OX!F75)</f>
        <v>3.7084438586303131E-4</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9.1920907606858027</v>
      </c>
      <c r="H76" s="473">
        <f>H75+HWP!E76</f>
        <v>0</v>
      </c>
      <c r="I76" s="456"/>
      <c r="J76" s="475">
        <f>Garden!J83</f>
        <v>0</v>
      </c>
      <c r="K76" s="476">
        <f>Paper!J83</f>
        <v>3.4577301352550722E-4</v>
      </c>
      <c r="L76" s="477">
        <f>Wood!J83</f>
        <v>0</v>
      </c>
      <c r="M76" s="478">
        <f>J76*(1-Recovery_OX!E76)*(1-Recovery_OX!F76)</f>
        <v>0</v>
      </c>
      <c r="N76" s="476">
        <f>K76*(1-Recovery_OX!E76)*(1-Recovery_OX!F76)</f>
        <v>3.4577301352550722E-4</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9.1920907606858027</v>
      </c>
      <c r="H77" s="473">
        <f>H76+HWP!E77</f>
        <v>0</v>
      </c>
      <c r="I77" s="456"/>
      <c r="J77" s="475">
        <f>Garden!J84</f>
        <v>0</v>
      </c>
      <c r="K77" s="476">
        <f>Paper!J84</f>
        <v>3.2239662090143879E-4</v>
      </c>
      <c r="L77" s="477">
        <f>Wood!J84</f>
        <v>0</v>
      </c>
      <c r="M77" s="478">
        <f>J77*(1-Recovery_OX!E77)*(1-Recovery_OX!F77)</f>
        <v>0</v>
      </c>
      <c r="N77" s="476">
        <f>K77*(1-Recovery_OX!E77)*(1-Recovery_OX!F77)</f>
        <v>3.2239662090143879E-4</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9.1920907606858027</v>
      </c>
      <c r="H78" s="473">
        <f>H77+HWP!E78</f>
        <v>0</v>
      </c>
      <c r="I78" s="456"/>
      <c r="J78" s="475">
        <f>Garden!J85</f>
        <v>0</v>
      </c>
      <c r="K78" s="476">
        <f>Paper!J85</f>
        <v>3.0060061688706242E-4</v>
      </c>
      <c r="L78" s="477">
        <f>Wood!J85</f>
        <v>0</v>
      </c>
      <c r="M78" s="478">
        <f>J78*(1-Recovery_OX!E78)*(1-Recovery_OX!F78)</f>
        <v>0</v>
      </c>
      <c r="N78" s="476">
        <f>K78*(1-Recovery_OX!E78)*(1-Recovery_OX!F78)</f>
        <v>3.0060061688706242E-4</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9.1920907606858027</v>
      </c>
      <c r="H79" s="473">
        <f>H78+HWP!E79</f>
        <v>0</v>
      </c>
      <c r="I79" s="456"/>
      <c r="J79" s="475">
        <f>Garden!J86</f>
        <v>0</v>
      </c>
      <c r="K79" s="476">
        <f>Paper!J86</f>
        <v>2.8027815744541263E-4</v>
      </c>
      <c r="L79" s="477">
        <f>Wood!J86</f>
        <v>0</v>
      </c>
      <c r="M79" s="478">
        <f>J79*(1-Recovery_OX!E79)*(1-Recovery_OX!F79)</f>
        <v>0</v>
      </c>
      <c r="N79" s="476">
        <f>K79*(1-Recovery_OX!E79)*(1-Recovery_OX!F79)</f>
        <v>2.8027815744541263E-4</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9.1920907606858027</v>
      </c>
      <c r="H80" s="473">
        <f>H79+HWP!E80</f>
        <v>0</v>
      </c>
      <c r="I80" s="456"/>
      <c r="J80" s="475">
        <f>Garden!J87</f>
        <v>0</v>
      </c>
      <c r="K80" s="476">
        <f>Paper!J87</f>
        <v>2.6132962185672907E-4</v>
      </c>
      <c r="L80" s="477">
        <f>Wood!J87</f>
        <v>0</v>
      </c>
      <c r="M80" s="478">
        <f>J80*(1-Recovery_OX!E80)*(1-Recovery_OX!F80)</f>
        <v>0</v>
      </c>
      <c r="N80" s="476">
        <f>K80*(1-Recovery_OX!E80)*(1-Recovery_OX!F80)</f>
        <v>2.6132962185672907E-4</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9.1920907606858027</v>
      </c>
      <c r="H81" s="473">
        <f>H80+HWP!E81</f>
        <v>0</v>
      </c>
      <c r="I81" s="456"/>
      <c r="J81" s="475">
        <f>Garden!J88</f>
        <v>0</v>
      </c>
      <c r="K81" s="476">
        <f>Paper!J88</f>
        <v>2.4366212437757263E-4</v>
      </c>
      <c r="L81" s="477">
        <f>Wood!J88</f>
        <v>0</v>
      </c>
      <c r="M81" s="478">
        <f>J81*(1-Recovery_OX!E81)*(1-Recovery_OX!F81)</f>
        <v>0</v>
      </c>
      <c r="N81" s="476">
        <f>K81*(1-Recovery_OX!E81)*(1-Recovery_OX!F81)</f>
        <v>2.4366212437757263E-4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9.1920907606858027</v>
      </c>
      <c r="H82" s="473">
        <f>H81+HWP!E82</f>
        <v>0</v>
      </c>
      <c r="I82" s="456"/>
      <c r="J82" s="475">
        <f>Garden!J89</f>
        <v>0</v>
      </c>
      <c r="K82" s="476">
        <f>Paper!J89</f>
        <v>2.2718905891480322E-4</v>
      </c>
      <c r="L82" s="477">
        <f>Wood!J89</f>
        <v>0</v>
      </c>
      <c r="M82" s="478">
        <f>J82*(1-Recovery_OX!E82)*(1-Recovery_OX!F82)</f>
        <v>0</v>
      </c>
      <c r="N82" s="476">
        <f>K82*(1-Recovery_OX!E82)*(1-Recovery_OX!F82)</f>
        <v>2.2718905891480322E-4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9.1920907606858027</v>
      </c>
      <c r="H83" s="473">
        <f>H82+HWP!E83</f>
        <v>0</v>
      </c>
      <c r="I83" s="456"/>
      <c r="J83" s="475">
        <f>Garden!J90</f>
        <v>0</v>
      </c>
      <c r="K83" s="476">
        <f>Paper!J90</f>
        <v>2.1182967448241092E-4</v>
      </c>
      <c r="L83" s="477">
        <f>Wood!J90</f>
        <v>0</v>
      </c>
      <c r="M83" s="478">
        <f>J83*(1-Recovery_OX!E83)*(1-Recovery_OX!F83)</f>
        <v>0</v>
      </c>
      <c r="N83" s="476">
        <f>K83*(1-Recovery_OX!E83)*(1-Recovery_OX!F83)</f>
        <v>2.1182967448241092E-4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9.1920907606858027</v>
      </c>
      <c r="H84" s="473">
        <f>H83+HWP!E84</f>
        <v>0</v>
      </c>
      <c r="I84" s="456"/>
      <c r="J84" s="475">
        <f>Garden!J91</f>
        <v>0</v>
      </c>
      <c r="K84" s="476">
        <f>Paper!J91</f>
        <v>1.9750867936008869E-4</v>
      </c>
      <c r="L84" s="477">
        <f>Wood!J91</f>
        <v>0</v>
      </c>
      <c r="M84" s="478">
        <f>J84*(1-Recovery_OX!E84)*(1-Recovery_OX!F84)</f>
        <v>0</v>
      </c>
      <c r="N84" s="476">
        <f>K84*(1-Recovery_OX!E84)*(1-Recovery_OX!F84)</f>
        <v>1.9750867936008869E-4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9.1920907606858027</v>
      </c>
      <c r="H85" s="473">
        <f>H84+HWP!E85</f>
        <v>0</v>
      </c>
      <c r="I85" s="456"/>
      <c r="J85" s="475">
        <f>Garden!J92</f>
        <v>0</v>
      </c>
      <c r="K85" s="476">
        <f>Paper!J92</f>
        <v>1.8415587201313222E-4</v>
      </c>
      <c r="L85" s="477">
        <f>Wood!J92</f>
        <v>0</v>
      </c>
      <c r="M85" s="478">
        <f>J85*(1-Recovery_OX!E85)*(1-Recovery_OX!F85)</f>
        <v>0</v>
      </c>
      <c r="N85" s="476">
        <f>K85*(1-Recovery_OX!E85)*(1-Recovery_OX!F85)</f>
        <v>1.8415587201313222E-4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9.1920907606858027</v>
      </c>
      <c r="H86" s="473">
        <f>H85+HWP!E86</f>
        <v>0</v>
      </c>
      <c r="I86" s="456"/>
      <c r="J86" s="475">
        <f>Garden!J93</f>
        <v>0</v>
      </c>
      <c r="K86" s="476">
        <f>Paper!J93</f>
        <v>1.7170579696443525E-4</v>
      </c>
      <c r="L86" s="477">
        <f>Wood!J93</f>
        <v>0</v>
      </c>
      <c r="M86" s="478">
        <f>J86*(1-Recovery_OX!E86)*(1-Recovery_OX!F86)</f>
        <v>0</v>
      </c>
      <c r="N86" s="476">
        <f>K86*(1-Recovery_OX!E86)*(1-Recovery_OX!F86)</f>
        <v>1.7170579696443525E-4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9.1920907606858027</v>
      </c>
      <c r="H87" s="473">
        <f>H86+HWP!E87</f>
        <v>0</v>
      </c>
      <c r="I87" s="456"/>
      <c r="J87" s="475">
        <f>Garden!J94</f>
        <v>0</v>
      </c>
      <c r="K87" s="476">
        <f>Paper!J94</f>
        <v>1.6009742393166497E-4</v>
      </c>
      <c r="L87" s="477">
        <f>Wood!J94</f>
        <v>0</v>
      </c>
      <c r="M87" s="478">
        <f>J87*(1-Recovery_OX!E87)*(1-Recovery_OX!F87)</f>
        <v>0</v>
      </c>
      <c r="N87" s="476">
        <f>K87*(1-Recovery_OX!E87)*(1-Recovery_OX!F87)</f>
        <v>1.6009742393166497E-4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9.1920907606858027</v>
      </c>
      <c r="H88" s="473">
        <f>H87+HWP!E88</f>
        <v>0</v>
      </c>
      <c r="I88" s="456"/>
      <c r="J88" s="475">
        <f>Garden!J95</f>
        <v>0</v>
      </c>
      <c r="K88" s="476">
        <f>Paper!J95</f>
        <v>1.4927384865674707E-4</v>
      </c>
      <c r="L88" s="477">
        <f>Wood!J95</f>
        <v>0</v>
      </c>
      <c r="M88" s="478">
        <f>J88*(1-Recovery_OX!E88)*(1-Recovery_OX!F88)</f>
        <v>0</v>
      </c>
      <c r="N88" s="476">
        <f>K88*(1-Recovery_OX!E88)*(1-Recovery_OX!F88)</f>
        <v>1.4927384865674707E-4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9.1920907606858027</v>
      </c>
      <c r="H89" s="473">
        <f>H88+HWP!E89</f>
        <v>0</v>
      </c>
      <c r="I89" s="456"/>
      <c r="J89" s="475">
        <f>Garden!J96</f>
        <v>0</v>
      </c>
      <c r="K89" s="476">
        <f>Paper!J96</f>
        <v>1.3918201396112681E-4</v>
      </c>
      <c r="L89" s="477">
        <f>Wood!J96</f>
        <v>0</v>
      </c>
      <c r="M89" s="478">
        <f>J89*(1-Recovery_OX!E89)*(1-Recovery_OX!F89)</f>
        <v>0</v>
      </c>
      <c r="N89" s="476">
        <f>K89*(1-Recovery_OX!E89)*(1-Recovery_OX!F89)</f>
        <v>1.3918201396112681E-4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9.1920907606858027</v>
      </c>
      <c r="H90" s="473">
        <f>H89+HWP!E90</f>
        <v>0</v>
      </c>
      <c r="I90" s="456"/>
      <c r="J90" s="475">
        <f>Garden!J97</f>
        <v>0</v>
      </c>
      <c r="K90" s="476">
        <f>Paper!J97</f>
        <v>1.2977244965941805E-4</v>
      </c>
      <c r="L90" s="477">
        <f>Wood!J97</f>
        <v>0</v>
      </c>
      <c r="M90" s="478">
        <f>J90*(1-Recovery_OX!E90)*(1-Recovery_OX!F90)</f>
        <v>0</v>
      </c>
      <c r="N90" s="476">
        <f>K90*(1-Recovery_OX!E90)*(1-Recovery_OX!F90)</f>
        <v>1.2977244965941805E-4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9.1920907606858027</v>
      </c>
      <c r="H91" s="473">
        <f>H90+HWP!E91</f>
        <v>0</v>
      </c>
      <c r="I91" s="456"/>
      <c r="J91" s="475">
        <f>Garden!J98</f>
        <v>0</v>
      </c>
      <c r="K91" s="476">
        <f>Paper!J98</f>
        <v>1.2099903005649718E-4</v>
      </c>
      <c r="L91" s="477">
        <f>Wood!J98</f>
        <v>0</v>
      </c>
      <c r="M91" s="478">
        <f>J91*(1-Recovery_OX!E91)*(1-Recovery_OX!F91)</f>
        <v>0</v>
      </c>
      <c r="N91" s="476">
        <f>K91*(1-Recovery_OX!E91)*(1-Recovery_OX!F91)</f>
        <v>1.2099903005649718E-4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9.1920907606858027</v>
      </c>
      <c r="H92" s="482">
        <f>H91+HWP!E92</f>
        <v>0</v>
      </c>
      <c r="I92" s="456"/>
      <c r="J92" s="484">
        <f>Garden!J99</f>
        <v>0</v>
      </c>
      <c r="K92" s="485">
        <f>Paper!J99</f>
        <v>1.1281874783929206E-4</v>
      </c>
      <c r="L92" s="486">
        <f>Wood!J99</f>
        <v>0</v>
      </c>
      <c r="M92" s="487">
        <f>J92*(1-Recovery_OX!E92)*(1-Recovery_OX!F92)</f>
        <v>0</v>
      </c>
      <c r="N92" s="485">
        <f>K92*(1-Recovery_OX!E92)*(1-Recovery_OX!F92)</f>
        <v>1.1281874783929206E-4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2017-09-14T05:06:10Z</dcterms:modified>
</cp:coreProperties>
</file>