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alikpapan\"/>
    </mc:Choice>
  </mc:AlternateContent>
  <bookViews>
    <workbookView xWindow="0" yWindow="0" windowWidth="20490" windowHeight="7755" tabRatio="820" firstSheet="5" activeTab="8"/>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E25" i="4" s="1"/>
  <c r="O25" i="4" s="1"/>
  <c r="D24" i="4"/>
  <c r="E24" i="4" s="1"/>
  <c r="O24" i="4" s="1"/>
  <c r="D23" i="4"/>
  <c r="E23" i="4" s="1"/>
  <c r="O23" i="4" s="1"/>
  <c r="D22" i="4"/>
  <c r="E22" i="4"/>
  <c r="O22" i="4" s="1"/>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L18" i="7" s="1"/>
  <c r="M18" i="6"/>
  <c r="N18" i="6"/>
  <c r="M19" i="6"/>
  <c r="N19" i="6"/>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K17" i="6"/>
  <c r="F91" i="6"/>
  <c r="D92" i="7" s="1"/>
  <c r="K42" i="6"/>
  <c r="L93" i="6"/>
  <c r="L54" i="6"/>
  <c r="K23" i="6"/>
  <c r="K88" i="6"/>
  <c r="I89" i="7" s="1"/>
  <c r="L40" i="6"/>
  <c r="L24" i="6"/>
  <c r="L42" i="6"/>
  <c r="K65" i="6"/>
  <c r="F18" i="6"/>
  <c r="K26" i="6"/>
  <c r="K44" i="7"/>
  <c r="L34" i="6"/>
  <c r="F41" i="6"/>
  <c r="F93" i="6"/>
  <c r="O23" i="7"/>
  <c r="G43" i="7"/>
  <c r="P48" i="34" s="1"/>
  <c r="H21" i="7"/>
  <c r="F20" i="6"/>
  <c r="L71" i="6"/>
  <c r="L55" i="6"/>
  <c r="L25" i="6"/>
  <c r="K22" i="6"/>
  <c r="E22" i="6"/>
  <c r="F22" i="6"/>
  <c r="H22" i="6"/>
  <c r="L22" i="6"/>
  <c r="F92" i="6"/>
  <c r="K47" i="6"/>
  <c r="F26" i="6"/>
  <c r="L17" i="6"/>
  <c r="L75" i="6"/>
  <c r="G85" i="7"/>
  <c r="P90" i="34" s="1"/>
  <c r="E26" i="7"/>
  <c r="P31" i="35" s="1"/>
  <c r="J55" i="7"/>
  <c r="G45" i="7"/>
  <c r="P50" i="34" s="1"/>
  <c r="F77" i="6"/>
  <c r="L52" i="6"/>
  <c r="L57" i="6"/>
  <c r="L70" i="6"/>
  <c r="L72" i="6"/>
  <c r="K25" i="6"/>
  <c r="K72" i="6"/>
  <c r="E72" i="6"/>
  <c r="F72" i="6"/>
  <c r="H72" i="6"/>
  <c r="J72" i="6"/>
  <c r="K46" i="6"/>
  <c r="F53" i="6"/>
  <c r="L86" i="6"/>
  <c r="K92" i="6"/>
  <c r="F59" i="6"/>
  <c r="H39" i="7"/>
  <c r="C44" i="33" s="1"/>
  <c r="K48" i="6"/>
  <c r="I49" i="7" s="1"/>
  <c r="L46" i="6"/>
  <c r="O68" i="7"/>
  <c r="K63" i="7"/>
  <c r="F19" i="6"/>
  <c r="L68" i="6"/>
  <c r="L39" i="6"/>
  <c r="L29" i="6"/>
  <c r="J30" i="7" s="1"/>
  <c r="K77" i="6"/>
  <c r="K55" i="6"/>
  <c r="K81" i="6"/>
  <c r="K59" i="6"/>
  <c r="K74" i="6"/>
  <c r="L64" i="7"/>
  <c r="E71" i="7"/>
  <c r="P76" i="35" s="1"/>
  <c r="F86" i="6"/>
  <c r="H14" i="6"/>
  <c r="K68" i="6"/>
  <c r="L31" i="6"/>
  <c r="L59" i="6"/>
  <c r="L83" i="6"/>
  <c r="H86" i="6"/>
  <c r="H26" i="6"/>
  <c r="L18" i="6"/>
  <c r="L80" i="6"/>
  <c r="L81" i="6"/>
  <c r="L44" i="6"/>
  <c r="L82" i="6"/>
  <c r="L45" i="6"/>
  <c r="L78" i="6"/>
  <c r="K53" i="6"/>
  <c r="I54" i="7" s="1"/>
  <c r="K87" i="6"/>
  <c r="K33" i="6"/>
  <c r="K78" i="6"/>
  <c r="K19" i="6"/>
  <c r="K75" i="6"/>
  <c r="K52" i="6"/>
  <c r="K18" i="6"/>
  <c r="I19" i="7" s="1"/>
  <c r="L23" i="6"/>
  <c r="H67" i="6"/>
  <c r="H80" i="6"/>
  <c r="H71" i="6"/>
  <c r="H53" i="6"/>
  <c r="K36" i="6"/>
  <c r="K70" i="6"/>
  <c r="L87" i="6"/>
  <c r="H36" i="6"/>
  <c r="F37" i="7" s="1"/>
  <c r="P42" i="32" s="1"/>
  <c r="H48" i="6"/>
  <c r="L26" i="6"/>
  <c r="L27" i="6"/>
  <c r="L20" i="6"/>
  <c r="L49" i="6"/>
  <c r="L16" i="6"/>
  <c r="L50" i="6"/>
  <c r="L90" i="6"/>
  <c r="K34" i="6"/>
  <c r="K45" i="6"/>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F36" i="6"/>
  <c r="F40" i="6"/>
  <c r="F25" i="6"/>
  <c r="F76" i="6"/>
  <c r="E19" i="6"/>
  <c r="E56" i="6"/>
  <c r="C57" i="7" s="1"/>
  <c r="E24" i="6"/>
  <c r="E40" i="6"/>
  <c r="E49" i="6"/>
  <c r="E32" i="6"/>
  <c r="C33" i="7" s="1"/>
  <c r="E31" i="6"/>
  <c r="E71" i="6"/>
  <c r="E92" i="6"/>
  <c r="H69" i="6"/>
  <c r="J89" i="6"/>
  <c r="J48" i="6"/>
  <c r="J23" i="6"/>
  <c r="J81" i="6"/>
  <c r="J69" i="6"/>
  <c r="J36" i="6"/>
  <c r="O81" i="7"/>
  <c r="C86" i="37" s="1"/>
  <c r="O56" i="7"/>
  <c r="C61" i="37" s="1"/>
  <c r="I33" i="7"/>
  <c r="L89" i="7"/>
  <c r="L45" i="7"/>
  <c r="I83"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81" i="7"/>
  <c r="P86" i="35" s="1"/>
  <c r="E74" i="7"/>
  <c r="P79" i="35" s="1"/>
  <c r="E46" i="7"/>
  <c r="P51" i="35" s="1"/>
  <c r="E35" i="7"/>
  <c r="P40" i="35" s="1"/>
  <c r="E28" i="7"/>
  <c r="P33" i="35" s="1"/>
  <c r="O46" i="4"/>
  <c r="K7" i="34"/>
  <c r="W7" i="34"/>
  <c r="K13" i="34"/>
  <c r="W13" i="34"/>
  <c r="K7" i="35"/>
  <c r="K13" i="35"/>
  <c r="H73" i="7"/>
  <c r="C78" i="33" s="1"/>
  <c r="D73" i="7"/>
  <c r="C78" i="35" s="1"/>
  <c r="L16" i="7"/>
  <c r="L17" i="7"/>
  <c r="K48" i="7"/>
  <c r="J48" i="7"/>
  <c r="O24" i="7"/>
  <c r="P29" i="37" s="1"/>
  <c r="D24" i="7"/>
  <c r="O52" i="7"/>
  <c r="C57" i="37" s="1"/>
  <c r="G22" i="7"/>
  <c r="P27" i="34" s="1"/>
  <c r="G26" i="7"/>
  <c r="P31" i="34" s="1"/>
  <c r="O26" i="7"/>
  <c r="C31" i="37" s="1"/>
  <c r="D26" i="7"/>
  <c r="C31" i="31" s="1"/>
  <c r="L93" i="7"/>
  <c r="L77" i="7"/>
  <c r="H50" i="7"/>
  <c r="L43" i="7"/>
  <c r="L30" i="7"/>
  <c r="K89" i="7"/>
  <c r="O89" i="7"/>
  <c r="P94" i="37" s="1"/>
  <c r="D79" i="7"/>
  <c r="C84" i="31" s="1"/>
  <c r="O79" i="7"/>
  <c r="C84" i="37" s="1"/>
  <c r="L37" i="7"/>
  <c r="G16" i="7"/>
  <c r="P21" i="34" s="1"/>
  <c r="J16" i="7"/>
  <c r="D16" i="7"/>
  <c r="C21" i="35" s="1"/>
  <c r="J17" i="7"/>
  <c r="I46" i="7"/>
  <c r="O46" i="7"/>
  <c r="C51" i="37" s="1"/>
  <c r="G88" i="7"/>
  <c r="P93" i="34" s="1"/>
  <c r="O21" i="7"/>
  <c r="C26" i="37" s="1"/>
  <c r="F57" i="7"/>
  <c r="C62" i="32" s="1"/>
  <c r="G30" i="7"/>
  <c r="P35" i="34" s="1"/>
  <c r="F35" i="7"/>
  <c r="C40" i="32" s="1"/>
  <c r="H35" i="7"/>
  <c r="P40" i="33" s="1"/>
  <c r="K56" i="7"/>
  <c r="G28" i="7"/>
  <c r="P33" i="34" s="1"/>
  <c r="O28" i="7"/>
  <c r="P33" i="37" s="1"/>
  <c r="F28" i="7"/>
  <c r="F65" i="7"/>
  <c r="P70" i="32" s="1"/>
  <c r="K75" i="7"/>
  <c r="G33" i="7"/>
  <c r="P38" i="34" s="1"/>
  <c r="O74" i="7"/>
  <c r="O45" i="7"/>
  <c r="G92" i="7"/>
  <c r="P97" i="34" s="1"/>
  <c r="J92" i="7"/>
  <c r="K92" i="7"/>
  <c r="C92" i="7"/>
  <c r="P97" i="18" s="1"/>
  <c r="O92" i="7"/>
  <c r="P97" i="37" s="1"/>
  <c r="L49" i="7"/>
  <c r="J81" i="7"/>
  <c r="F81" i="7"/>
  <c r="D81" i="7"/>
  <c r="C86" i="31" s="1"/>
  <c r="H81" i="7"/>
  <c r="G54" i="7"/>
  <c r="P59" i="34" s="1"/>
  <c r="C54" i="7"/>
  <c r="W13" i="35"/>
  <c r="W7" i="36"/>
  <c r="W13" i="36"/>
  <c r="W7" i="37"/>
  <c r="W13" i="37"/>
  <c r="K7" i="36"/>
  <c r="K13" i="36"/>
  <c r="C42" i="32"/>
  <c r="B19" i="37"/>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B19" i="31"/>
  <c r="O19" i="40"/>
  <c r="W6" i="36"/>
  <c r="W8" i="35"/>
  <c r="R15" i="4"/>
  <c r="F10" i="39" s="1"/>
  <c r="K8" i="33"/>
  <c r="K8" i="37"/>
  <c r="K12" i="37" s="1"/>
  <c r="W8" i="37"/>
  <c r="W10" i="35"/>
  <c r="K12" i="34"/>
  <c r="K9" i="34"/>
  <c r="K12" i="35"/>
  <c r="K9" i="37"/>
  <c r="K10" i="37"/>
  <c r="W10" i="37"/>
  <c r="W12" i="37"/>
  <c r="W9" i="37"/>
  <c r="P51" i="37" l="1"/>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C83" i="34"/>
  <c r="P83" i="32"/>
  <c r="C67" i="32"/>
  <c r="P67" i="32"/>
  <c r="C67" i="34"/>
  <c r="C62" i="34"/>
  <c r="P62" i="32"/>
  <c r="C42" i="34"/>
  <c r="P31" i="32"/>
  <c r="F46" i="7"/>
  <c r="E16" i="7"/>
  <c r="P21" i="35" s="1"/>
  <c r="E56" i="7"/>
  <c r="P61" i="35" s="1"/>
  <c r="O62" i="6"/>
  <c r="M63" i="7" s="1"/>
  <c r="O74" i="6"/>
  <c r="M75" i="7" s="1"/>
  <c r="O23" i="6"/>
  <c r="M24" i="7" s="1"/>
  <c r="J26" i="7"/>
  <c r="P82" i="33"/>
  <c r="C82" i="33"/>
  <c r="F82" i="33" s="1"/>
  <c r="P88" i="33"/>
  <c r="P51" i="33"/>
  <c r="O89" i="6"/>
  <c r="M90" i="7" s="1"/>
  <c r="O76" i="6"/>
  <c r="M77" i="7" s="1"/>
  <c r="P78" i="33"/>
  <c r="O82" i="6"/>
  <c r="M83" i="7" s="1"/>
  <c r="O30" i="6"/>
  <c r="M31" i="7" s="1"/>
  <c r="O24" i="6"/>
  <c r="M25" i="7" s="1"/>
  <c r="H15" i="7"/>
  <c r="C20" i="33" s="1"/>
  <c r="C79" i="33"/>
  <c r="O83" i="6"/>
  <c r="P83" i="6" s="1"/>
  <c r="O42" i="6"/>
  <c r="M43" i="7" s="1"/>
  <c r="O72" i="6"/>
  <c r="M73" i="7" s="1"/>
  <c r="D49" i="7"/>
  <c r="P54" i="31" s="1"/>
  <c r="P21" i="6"/>
  <c r="D81" i="39"/>
  <c r="C44" i="18"/>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P38" i="18"/>
  <c r="C62" i="18"/>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C73" i="18"/>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M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C77" i="33"/>
  <c r="P77" i="33"/>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59" i="33"/>
  <c r="C26" i="33"/>
  <c r="P26" i="33"/>
  <c r="P50" i="33"/>
  <c r="C50" i="33"/>
  <c r="C80" i="34"/>
  <c r="C78" i="31"/>
  <c r="C86" i="34"/>
  <c r="P86" i="32"/>
  <c r="C86" i="32"/>
  <c r="C62" i="35"/>
  <c r="C62" i="31"/>
  <c r="P42" i="18"/>
  <c r="P26"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3"/>
  <c r="C31" i="34"/>
  <c r="P29" i="31"/>
  <c r="C34" i="31"/>
  <c r="C33" i="37"/>
  <c r="C39" i="32"/>
  <c r="C29" i="37"/>
  <c r="C33" i="32"/>
  <c r="C29" i="34"/>
  <c r="B20" i="32"/>
  <c r="O20" i="35"/>
  <c r="B20" i="40"/>
  <c r="O20" i="37"/>
  <c r="B20" i="36"/>
  <c r="O20" i="18"/>
  <c r="B20" i="37"/>
  <c r="B20" i="34"/>
  <c r="B20" i="31"/>
  <c r="O20" i="40"/>
  <c r="O20" i="32"/>
  <c r="O20" i="36"/>
  <c r="B20" i="35"/>
  <c r="O20" i="34"/>
  <c r="B20" i="18"/>
  <c r="P80" i="32"/>
  <c r="P84" i="31"/>
  <c r="C84" i="35"/>
  <c r="C21" i="31"/>
  <c r="P21" i="31"/>
  <c r="C55" i="33"/>
  <c r="P55" i="33"/>
  <c r="C80" i="33"/>
  <c r="P80" i="33"/>
  <c r="C41" i="34"/>
  <c r="C41" i="32"/>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C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P88" i="18"/>
  <c r="C86" i="35"/>
  <c r="C97" i="18"/>
  <c r="C64" i="33"/>
  <c r="C38" i="18"/>
  <c r="C33" i="31"/>
  <c r="C93" i="34"/>
  <c r="C68" i="18"/>
  <c r="P82" i="18"/>
  <c r="P31" i="31"/>
  <c r="P90" i="32"/>
  <c r="C94" i="31"/>
  <c r="P78" i="31"/>
  <c r="C82" i="35"/>
  <c r="P94" i="31"/>
  <c r="C90" i="34"/>
  <c r="P41" i="31"/>
  <c r="C41" i="35"/>
  <c r="C63" i="32"/>
  <c r="P22" i="37" l="1"/>
  <c r="P28" i="18"/>
  <c r="P21" i="37"/>
  <c r="H34" i="39"/>
  <c r="C45" i="34"/>
  <c r="P63" i="32"/>
  <c r="P54" i="18"/>
  <c r="C52" i="18"/>
  <c r="P54" i="37"/>
  <c r="C61" i="33"/>
  <c r="F61" i="33" s="1"/>
  <c r="H61" i="33" s="1"/>
  <c r="P41" i="33"/>
  <c r="P34" i="18"/>
  <c r="C68" i="37"/>
  <c r="P48" i="18"/>
  <c r="P53" i="37"/>
  <c r="C35" i="33"/>
  <c r="F35" i="33" s="1"/>
  <c r="H35" i="33" s="1"/>
  <c r="C50" i="32"/>
  <c r="C50" i="34"/>
  <c r="C89" i="33"/>
  <c r="C39" i="35"/>
  <c r="P47" i="33"/>
  <c r="C45" i="33"/>
  <c r="P52" i="32"/>
  <c r="F88" i="3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C52" i="37"/>
  <c r="P52" i="37"/>
  <c r="R52" i="37" s="1"/>
  <c r="C69" i="18"/>
  <c r="C68" i="31"/>
  <c r="P44" i="31"/>
  <c r="P96" i="32"/>
  <c r="P34" i="31"/>
  <c r="C61" i="34"/>
  <c r="C43" i="32"/>
  <c r="C61" i="31"/>
  <c r="C92" i="33"/>
  <c r="C56" i="34"/>
  <c r="C90" i="37"/>
  <c r="C56" i="32"/>
  <c r="P52" i="33"/>
  <c r="P42" i="33"/>
  <c r="C68" i="34"/>
  <c r="F68" i="34" s="1"/>
  <c r="F52" i="34"/>
  <c r="H52"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R22" i="37" s="1"/>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96" i="34"/>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R28" i="18" s="1"/>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F43" i="32" s="1"/>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R21" i="37" s="1"/>
  <c r="S21" i="37" s="1"/>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R44" i="37" s="1"/>
  <c r="E44" i="18"/>
  <c r="E44" i="37"/>
  <c r="C43" i="39" s="1"/>
  <c r="Q44" i="36"/>
  <c r="R44" i="36" s="1"/>
  <c r="Q44" i="35"/>
  <c r="R44" i="35" s="1"/>
  <c r="T44" i="35" s="1"/>
  <c r="Q44" i="34"/>
  <c r="R44" i="34" s="1"/>
  <c r="Q44" i="33"/>
  <c r="R44" i="33" s="1"/>
  <c r="Q44" i="32"/>
  <c r="Q44" i="31"/>
  <c r="R44" i="31" s="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F57" i="35" s="1"/>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35" i="18"/>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F68" i="31"/>
  <c r="G68" i="31" s="1"/>
  <c r="R61" i="35"/>
  <c r="T61" i="35" s="1"/>
  <c r="F36" i="36"/>
  <c r="H36" i="36" s="1"/>
  <c r="F52" i="18"/>
  <c r="R96" i="35"/>
  <c r="R94" i="35"/>
  <c r="R82" i="35"/>
  <c r="F61" i="36"/>
  <c r="F58" i="36"/>
  <c r="F69" i="36"/>
  <c r="F90" i="36"/>
  <c r="F35" i="36"/>
  <c r="F99" i="36"/>
  <c r="F64" i="36"/>
  <c r="F86" i="36"/>
  <c r="F96" i="36"/>
  <c r="F30" i="36"/>
  <c r="F32" i="36"/>
  <c r="F82" i="36"/>
  <c r="W10" i="18"/>
  <c r="W9" i="18"/>
  <c r="W12" i="18"/>
  <c r="F83" i="31"/>
  <c r="G8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T62" i="18"/>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H88" i="31"/>
  <c r="G88" i="31"/>
  <c r="T99" i="35"/>
  <c r="R76" i="34"/>
  <c r="R58" i="34"/>
  <c r="R98" i="34"/>
  <c r="R32" i="34"/>
  <c r="R52" i="34"/>
  <c r="R38" i="34"/>
  <c r="R36" i="34"/>
  <c r="R26" i="34"/>
  <c r="R96" i="34"/>
  <c r="R82" i="34"/>
  <c r="R35" i="34"/>
  <c r="R34" i="34"/>
  <c r="R61" i="34"/>
  <c r="R83" i="34"/>
  <c r="R92" i="34"/>
  <c r="T52" i="31"/>
  <c r="S96" i="18"/>
  <c r="S41" i="36"/>
  <c r="F21" i="34" l="1"/>
  <c r="G21" i="34" s="1"/>
  <c r="R22" i="31"/>
  <c r="T22" i="31" s="1"/>
  <c r="F25" i="34"/>
  <c r="H25" i="34" s="1"/>
  <c r="R21" i="18"/>
  <c r="T21" i="18" s="1"/>
  <c r="F19" i="32"/>
  <c r="S68" i="37"/>
  <c r="F73" i="34"/>
  <c r="G73" i="34" s="1"/>
  <c r="S35" i="33"/>
  <c r="R33" i="33"/>
  <c r="R45" i="18"/>
  <c r="T61" i="37"/>
  <c r="R57" i="33"/>
  <c r="T57" i="33" s="1"/>
  <c r="R49" i="33"/>
  <c r="S49" i="33" s="1"/>
  <c r="F50" i="32"/>
  <c r="S64" i="33"/>
  <c r="F48" i="32"/>
  <c r="R51" i="18"/>
  <c r="R41" i="33"/>
  <c r="S41" i="33" s="1"/>
  <c r="R47" i="37"/>
  <c r="S47" i="37" s="1"/>
  <c r="G52" i="34"/>
  <c r="F50" i="34"/>
  <c r="H50" i="34" s="1"/>
  <c r="R55" i="18"/>
  <c r="R54" i="18"/>
  <c r="R32" i="37"/>
  <c r="T32" i="37" s="1"/>
  <c r="R63" i="31"/>
  <c r="R62" i="33"/>
  <c r="T62" i="33" s="1"/>
  <c r="R85" i="37"/>
  <c r="S85" i="37" s="1"/>
  <c r="F28" i="32"/>
  <c r="F48" i="34"/>
  <c r="G48" i="34" s="1"/>
  <c r="F44" i="35"/>
  <c r="R42" i="33"/>
  <c r="T42" i="33" s="1"/>
  <c r="R45" i="31"/>
  <c r="T45" i="31" s="1"/>
  <c r="F38" i="32"/>
  <c r="F38" i="35"/>
  <c r="G38" i="35" s="1"/>
  <c r="F32" i="35"/>
  <c r="F44" i="32"/>
  <c r="R34" i="31"/>
  <c r="S34" i="31" s="1"/>
  <c r="F30" i="32"/>
  <c r="R34" i="33"/>
  <c r="S34" i="33" s="1"/>
  <c r="S36" i="35"/>
  <c r="R40" i="37"/>
  <c r="T40" i="37" s="1"/>
  <c r="S82" i="37"/>
  <c r="H51" i="39"/>
  <c r="F96" i="33"/>
  <c r="H96" i="33" s="1"/>
  <c r="F53" i="31"/>
  <c r="H53" i="31" s="1"/>
  <c r="F87" i="36"/>
  <c r="F80" i="31"/>
  <c r="H80" i="31" s="1"/>
  <c r="R69" i="31"/>
  <c r="S69" i="31" s="1"/>
  <c r="H35" i="34"/>
  <c r="G35" i="34"/>
  <c r="G68" i="34"/>
  <c r="H68" i="34"/>
  <c r="T45" i="18"/>
  <c r="T77" i="18"/>
  <c r="H76" i="18"/>
  <c r="S28" i="18"/>
  <c r="T86" i="31"/>
  <c r="R90" i="31"/>
  <c r="T94" i="36"/>
  <c r="S88" i="18"/>
  <c r="T38" i="18"/>
  <c r="S69" i="18"/>
  <c r="T26" i="18"/>
  <c r="T40" i="18"/>
  <c r="S83" i="18"/>
  <c r="S44" i="18"/>
  <c r="T97" i="36"/>
  <c r="T29" i="18"/>
  <c r="S31" i="18"/>
  <c r="G76" i="36"/>
  <c r="T54" i="31"/>
  <c r="T74" i="31"/>
  <c r="S78" i="31"/>
  <c r="S88" i="31"/>
  <c r="S62" i="18"/>
  <c r="T96" i="31"/>
  <c r="T34"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S68" i="31"/>
  <c r="F26" i="36"/>
  <c r="G26" i="36" s="1"/>
  <c r="H36" i="34"/>
  <c r="T62" i="31"/>
  <c r="S62" i="31"/>
  <c r="S22" i="37"/>
  <c r="T22" i="37"/>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22" i="34"/>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G22" i="36"/>
  <c r="H26" i="33"/>
  <c r="H38"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G66" i="35"/>
  <c r="H67" i="31"/>
  <c r="H84" i="31"/>
  <c r="F49" i="31"/>
  <c r="F89" i="31"/>
  <c r="F23" i="35"/>
  <c r="H23" i="35" s="1"/>
  <c r="F95" i="35"/>
  <c r="G95" i="35" s="1"/>
  <c r="G76" i="18"/>
  <c r="R25" i="18"/>
  <c r="S25" i="18" s="1"/>
  <c r="T28" i="35"/>
  <c r="T24" i="35"/>
  <c r="H21" i="35"/>
  <c r="T33" i="33"/>
  <c r="S33" i="33"/>
  <c r="T48" i="33"/>
  <c r="S48" i="33"/>
  <c r="S29" i="33"/>
  <c r="T29" i="33"/>
  <c r="T45" i="33"/>
  <c r="T73"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G64" i="35"/>
  <c r="S32" i="33"/>
  <c r="S33" i="37"/>
  <c r="S29" i="37"/>
  <c r="H35" i="31"/>
  <c r="G36" i="35"/>
  <c r="H19" i="35"/>
  <c r="J19" i="35" s="1"/>
  <c r="K19" i="35" s="1"/>
  <c r="E17" i="17" s="1"/>
  <c r="H20" i="31"/>
  <c r="J20" i="31" s="1"/>
  <c r="G58" i="31"/>
  <c r="G36" i="36"/>
  <c r="G19" i="37"/>
  <c r="I19" i="37" s="1"/>
  <c r="G96" i="37"/>
  <c r="H36" i="37"/>
  <c r="G35" i="37"/>
  <c r="T57" i="31"/>
  <c r="S57" i="31"/>
  <c r="T48" i="18"/>
  <c r="S48" i="18"/>
  <c r="S33" i="31"/>
  <c r="T33" i="31"/>
  <c r="S31" i="31"/>
  <c r="T31" i="31"/>
  <c r="G93" i="34"/>
  <c r="H93" i="34"/>
  <c r="T59" i="31"/>
  <c r="S59" i="31"/>
  <c r="H81" i="34"/>
  <c r="S81" i="31"/>
  <c r="T81" i="31"/>
  <c r="H57" i="35"/>
  <c r="G57" i="35"/>
  <c r="H48" i="31"/>
  <c r="G48" i="31"/>
  <c r="H48" i="35"/>
  <c r="G48" i="35"/>
  <c r="H44" i="35"/>
  <c r="G44" i="35"/>
  <c r="T44" i="31"/>
  <c r="S44" i="31"/>
  <c r="T44" i="33"/>
  <c r="S44" i="33"/>
  <c r="S44" i="37"/>
  <c r="T44" i="37"/>
  <c r="H85" i="34"/>
  <c r="G85" i="34"/>
  <c r="T49" i="33"/>
  <c r="S41" i="31"/>
  <c r="T41" i="31"/>
  <c r="T41" i="33"/>
  <c r="S86" i="31"/>
  <c r="T78" i="31"/>
  <c r="R63" i="32"/>
  <c r="R93" i="32"/>
  <c r="R74" i="32"/>
  <c r="T56" i="36"/>
  <c r="S78" i="36"/>
  <c r="S64" i="36"/>
  <c r="S34" i="36"/>
  <c r="T46" i="36"/>
  <c r="R96" i="32"/>
  <c r="R90" i="32"/>
  <c r="R68" i="32"/>
  <c r="R85" i="32"/>
  <c r="R49" i="32"/>
  <c r="D41" i="38"/>
  <c r="T32" i="36"/>
  <c r="T50" i="36"/>
  <c r="S89" i="36"/>
  <c r="G43" i="34"/>
  <c r="H84" i="34"/>
  <c r="G84" i="34"/>
  <c r="F25" i="33"/>
  <c r="H24" i="39"/>
  <c r="L58" i="39"/>
  <c r="F59" i="40"/>
  <c r="D58" i="39"/>
  <c r="F59" i="18"/>
  <c r="F81" i="33"/>
  <c r="H80" i="39"/>
  <c r="H67" i="34"/>
  <c r="G67" i="34"/>
  <c r="G20" i="34"/>
  <c r="F79" i="33"/>
  <c r="H78" i="39"/>
  <c r="D74" i="39"/>
  <c r="F75" i="18"/>
  <c r="S48" i="37"/>
  <c r="T48" i="37"/>
  <c r="H42" i="34"/>
  <c r="G42" i="34"/>
  <c r="F42" i="37"/>
  <c r="C41" i="39"/>
  <c r="F42" i="33"/>
  <c r="H41" i="39"/>
  <c r="R46" i="33"/>
  <c r="H21" i="34"/>
  <c r="H28" i="39"/>
  <c r="F29" i="33"/>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83" i="18"/>
  <c r="G61" i="18"/>
  <c r="H61"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60"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T69" i="31"/>
  <c r="G96" i="36"/>
  <c r="H96" i="36"/>
  <c r="H94" i="36"/>
  <c r="G99" i="36"/>
  <c r="H99" i="36"/>
  <c r="T82" i="35"/>
  <c r="S82" i="35"/>
  <c r="S65" i="35"/>
  <c r="T65" i="35"/>
  <c r="S38" i="35"/>
  <c r="T38" i="35"/>
  <c r="T39" i="35"/>
  <c r="S39" i="35"/>
  <c r="G84" i="37"/>
  <c r="W10" i="40"/>
  <c r="W12" i="40"/>
  <c r="T24" i="40" s="1"/>
  <c r="W9" i="40"/>
  <c r="S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G60" i="37"/>
  <c r="S98" i="40"/>
  <c r="S93" i="40"/>
  <c r="T95" i="40"/>
  <c r="T99" i="40"/>
  <c r="G58" i="18"/>
  <c r="G70" i="18"/>
  <c r="H65"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G55" i="18"/>
  <c r="S82" i="40"/>
  <c r="S76" i="40"/>
  <c r="S37" i="40"/>
  <c r="T51" i="40"/>
  <c r="T38" i="40"/>
  <c r="S60" i="40"/>
  <c r="T42" i="40"/>
  <c r="T66" i="40"/>
  <c r="W12" i="32"/>
  <c r="W9" i="32"/>
  <c r="W10" i="32"/>
  <c r="H96" i="18"/>
  <c r="G96" i="18"/>
  <c r="H24" i="18"/>
  <c r="G24" i="18"/>
  <c r="H98" i="18"/>
  <c r="G98" i="18"/>
  <c r="G86" i="18"/>
  <c r="G34" i="18"/>
  <c r="H99" i="18"/>
  <c r="G99" i="18"/>
  <c r="K9" i="40"/>
  <c r="K12" i="40"/>
  <c r="K10" i="40"/>
  <c r="G72" i="31"/>
  <c r="D87" i="38"/>
  <c r="S89" i="18"/>
  <c r="T79" i="18"/>
  <c r="S67" i="18"/>
  <c r="S73" i="18"/>
  <c r="S87" i="18"/>
  <c r="T76" i="18"/>
  <c r="S53" i="18"/>
  <c r="S26" i="18"/>
  <c r="T54" i="18"/>
  <c r="S52" i="18"/>
  <c r="T35" i="18"/>
  <c r="S77" i="18"/>
  <c r="S80" i="18"/>
  <c r="T28" i="18"/>
  <c r="T42" i="18"/>
  <c r="T31" i="18"/>
  <c r="S32"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I20" i="31"/>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25" i="34" l="1"/>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I20" i="34" s="1"/>
  <c r="I21"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0" i="18"/>
  <c r="J21" i="18" s="1"/>
  <c r="K21" i="18" s="1"/>
  <c r="C19" i="17" s="1"/>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0" i="34" l="1"/>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I22" i="34"/>
  <c r="J23" i="34" s="1"/>
  <c r="K23" i="34" s="1"/>
  <c r="G21" i="17" s="1"/>
  <c r="J22" i="34"/>
  <c r="L15" i="38" s="1"/>
  <c r="J21" i="34"/>
  <c r="L14"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K22" i="34"/>
  <c r="G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L17" i="17" l="1"/>
  <c r="K22" i="31"/>
  <c r="D20" i="17" s="1"/>
  <c r="K20" i="34"/>
  <c r="G18" i="17" s="1"/>
  <c r="L16" i="38"/>
  <c r="I23" i="34"/>
  <c r="J24" i="34" s="1"/>
  <c r="K24" i="34" s="1"/>
  <c r="G22" i="17" s="1"/>
  <c r="K21" i="34"/>
  <c r="G19"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E12" i="28"/>
  <c r="M12" i="38" s="1"/>
  <c r="O17" i="17"/>
  <c r="J13" i="38"/>
  <c r="K20" i="32"/>
  <c r="F18" i="17" s="1"/>
  <c r="L18" i="17" s="1"/>
  <c r="L17" i="38"/>
  <c r="V22" i="36"/>
  <c r="W22" i="36" s="1"/>
  <c r="Z20" i="17" s="1"/>
  <c r="U22" i="36"/>
  <c r="J23" i="35"/>
  <c r="K23" i="35" s="1"/>
  <c r="E21" i="17" s="1"/>
  <c r="I23" i="35"/>
  <c r="I22" i="40"/>
  <c r="I21" i="32"/>
  <c r="J23" i="37"/>
  <c r="K23" i="37" s="1"/>
  <c r="J21" i="17" s="1"/>
  <c r="I23" i="37"/>
  <c r="I24" i="34" l="1"/>
  <c r="J25" i="34" s="1"/>
  <c r="K25" i="34" s="1"/>
  <c r="G23" i="17" s="1"/>
  <c r="L19" i="17"/>
  <c r="O19"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L18" i="38" l="1"/>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N14" i="38"/>
  <c r="I25" i="35"/>
  <c r="J25" i="35"/>
  <c r="K25" i="35" s="1"/>
  <c r="E23" i="17" s="1"/>
  <c r="V24" i="36"/>
  <c r="W24" i="36" s="1"/>
  <c r="Z22" i="17" s="1"/>
  <c r="U24" i="36"/>
  <c r="U26" i="35"/>
  <c r="V26" i="35"/>
  <c r="W26" i="35" s="1"/>
  <c r="V24" i="17" s="1"/>
  <c r="J25" i="37"/>
  <c r="K25" i="37" s="1"/>
  <c r="J23" i="17" s="1"/>
  <c r="I25" i="37"/>
  <c r="J26" i="34" l="1"/>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I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J29" i="34"/>
  <c r="M15" i="38"/>
  <c r="V28" i="35"/>
  <c r="W28" i="35" s="1"/>
  <c r="V26" i="17" s="1"/>
  <c r="U28" i="35"/>
  <c r="J27" i="37"/>
  <c r="K27" i="37" s="1"/>
  <c r="J25" i="17" s="1"/>
  <c r="I27" i="37"/>
  <c r="J29" i="36"/>
  <c r="K29" i="36" s="1"/>
  <c r="I27" i="17" s="1"/>
  <c r="O29" i="40" l="1"/>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AC28" i="17" s="1"/>
  <c r="AF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O34" i="32" l="1"/>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O81" i="17"/>
  <c r="U86" i="40"/>
  <c r="V86" i="40"/>
  <c r="W86" i="40" s="1"/>
  <c r="AB84" i="17" s="1"/>
  <c r="J77" i="38"/>
  <c r="K84" i="32"/>
  <c r="F82" i="17" s="1"/>
  <c r="L82" i="17" s="1"/>
  <c r="N75" i="38"/>
  <c r="O75" i="38"/>
  <c r="M76"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V99" i="37" l="1"/>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<sst xmlns="http://schemas.openxmlformats.org/spreadsheetml/2006/main" count="1446" uniqueCount="343">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</sst>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7">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6"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10" fontId="0" fillId="0" borderId="0" xfId="2" applyNumberFormat="1" applyFont="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5" fillId="14" borderId="30" xfId="0" applyNumberFormat="1" applyFont="1" applyFill="1" applyBorder="1" applyAlignment="1">
      <alignment horizontal="center" vertical="center" wrapText="1"/>
    </xf>
    <xf numFmtId="10" fontId="23" fillId="14" borderId="27" xfId="2" applyNumberFormat="1" applyFont="1" applyFill="1" applyBorder="1" applyAlignment="1">
      <alignment vertical="center"/>
    </xf>
    <xf numFmtId="10" fontId="23" fillId="14" borderId="28" xfId="2" applyNumberFormat="1" applyFont="1" applyFill="1" applyBorder="1" applyAlignment="1">
      <alignment vertical="center"/>
    </xf>
    <xf numFmtId="10" fontId="8" fillId="14" borderId="28" xfId="2" applyNumberFormat="1" applyFont="1" applyFill="1" applyBorder="1" applyAlignment="1">
      <alignment vertical="center"/>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8"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PP_Hitungan%20BaU-skenario-Rekap%20Emisi_2000-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C30">
            <v>25.078813451999999</v>
          </cell>
        </row>
        <row r="31">
          <cell r="C31">
            <v>25.400101979999999</v>
          </cell>
        </row>
        <row r="32">
          <cell r="C32">
            <v>25.972466520000001</v>
          </cell>
        </row>
        <row r="33">
          <cell r="C33">
            <v>26.434118436000002</v>
          </cell>
        </row>
        <row r="34">
          <cell r="C34">
            <v>26.575529771999999</v>
          </cell>
        </row>
        <row r="35">
          <cell r="C35">
            <v>29.43685932</v>
          </cell>
        </row>
        <row r="36">
          <cell r="C36">
            <v>30.042388332000002</v>
          </cell>
        </row>
        <row r="37">
          <cell r="C37">
            <v>30.647424192000003</v>
          </cell>
        </row>
        <row r="38">
          <cell r="C38">
            <v>31.24826826</v>
          </cell>
        </row>
        <row r="39">
          <cell r="C39">
            <v>31.840482168000001</v>
          </cell>
        </row>
        <row r="40">
          <cell r="C40">
            <v>34.371399876000005</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9" t="s">
        <v>212</v>
      </c>
      <c r="C7" s="759"/>
      <c r="D7" s="759"/>
      <c r="E7" s="759"/>
      <c r="F7" s="759"/>
      <c r="G7" s="759"/>
      <c r="H7" s="759"/>
      <c r="I7" s="759"/>
      <c r="J7" s="395"/>
      <c r="K7" s="395"/>
    </row>
    <row r="8" spans="2:11" s="9" customFormat="1">
      <c r="B8" s="10"/>
      <c r="C8" s="10"/>
      <c r="D8" s="10"/>
      <c r="E8" s="10"/>
      <c r="F8" s="10"/>
      <c r="G8" s="10"/>
      <c r="H8" s="10"/>
      <c r="I8" s="10"/>
      <c r="J8" s="10"/>
      <c r="K8" s="10"/>
    </row>
    <row r="9" spans="2:11" ht="44.1" customHeight="1">
      <c r="B9" s="760" t="s">
        <v>227</v>
      </c>
      <c r="C9" s="760"/>
      <c r="D9" s="760"/>
      <c r="E9" s="760"/>
      <c r="F9" s="760"/>
      <c r="G9" s="760"/>
      <c r="H9" s="760"/>
      <c r="I9" s="760"/>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3" t="str">
        <f>city</f>
        <v>Balikpapan</v>
      </c>
      <c r="E2" s="824"/>
      <c r="F2" s="825"/>
    </row>
    <row r="3" spans="2:15" ht="13.5" thickBot="1">
      <c r="C3" s="527" t="s">
        <v>276</v>
      </c>
      <c r="D3" s="823" t="str">
        <f>province</f>
        <v>Kalimantan Timur</v>
      </c>
      <c r="E3" s="824"/>
      <c r="F3" s="825"/>
    </row>
    <row r="4" spans="2:15" ht="13.5" thickBot="1">
      <c r="B4" s="526"/>
      <c r="C4" s="527" t="s">
        <v>30</v>
      </c>
      <c r="D4" s="823">
        <f>country</f>
        <v>0</v>
      </c>
      <c r="E4" s="824"/>
      <c r="F4" s="825"/>
      <c r="H4" s="826"/>
      <c r="I4" s="826"/>
      <c r="J4" s="826"/>
      <c r="K4" s="826"/>
    </row>
    <row r="5" spans="2:15">
      <c r="B5" s="526"/>
      <c r="H5" s="827"/>
      <c r="I5" s="827"/>
      <c r="J5" s="827"/>
      <c r="K5" s="827"/>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0.99898945504696801</v>
      </c>
      <c r="E18" s="572">
        <f>Amnt_Deposited!F14*$F$11*(1-DOCF)*Garden!E19</f>
        <v>0</v>
      </c>
      <c r="F18" s="572">
        <f>Amnt_Deposited!D14*$D$11*(1-DOCF)*Paper!E19</f>
        <v>0.51562040457312008</v>
      </c>
      <c r="G18" s="572">
        <f>Amnt_Deposited!G14*$D$12*(1-DOCF)*Wood!E19</f>
        <v>0</v>
      </c>
      <c r="H18" s="572">
        <f>Amnt_Deposited!H14*$F$12*(1-DOCF)*Textiles!E19</f>
        <v>1.9501285340275201E-2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1.5341111449603633</v>
      </c>
      <c r="O18" s="510">
        <f t="shared" ref="O18:O81" si="1">O17+N18</f>
        <v>1.5341111449603633</v>
      </c>
    </row>
    <row r="19" spans="2:15">
      <c r="B19" s="507">
        <f>B18+1</f>
        <v>1951</v>
      </c>
      <c r="C19" s="570">
        <f>Amnt_Deposited!O15*$D$10*(1-DOCF)*MSW!E20</f>
        <v>0</v>
      </c>
      <c r="D19" s="571">
        <f>Amnt_Deposited!C15*$F$10*(1-DOCF)*Food!E20</f>
        <v>1.01178766227132</v>
      </c>
      <c r="E19" s="572">
        <f>Amnt_Deposited!F15*$F$11*(1-DOCF)*Garden!E20</f>
        <v>0</v>
      </c>
      <c r="F19" s="572">
        <f>Amnt_Deposited!D15*$D$11*(1-DOCF)*Paper!E20</f>
        <v>0.52222609670880005</v>
      </c>
      <c r="G19" s="572">
        <f>Amnt_Deposited!G15*$D$12*(1-DOCF)*Wood!E20</f>
        <v>0</v>
      </c>
      <c r="H19" s="572">
        <f>Amnt_Deposited!H15*$F$12*(1-DOCF)*Textiles!E20</f>
        <v>1.9751119299647998E-2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1.5537648782797679</v>
      </c>
      <c r="O19" s="510">
        <f t="shared" si="1"/>
        <v>3.0878760232401312</v>
      </c>
    </row>
    <row r="20" spans="2:15">
      <c r="B20" s="507">
        <f t="shared" ref="B20:B83" si="2">B19+1</f>
        <v>1952</v>
      </c>
      <c r="C20" s="570">
        <f>Amnt_Deposited!O16*$D$10*(1-DOCF)*MSW!E21</f>
        <v>0</v>
      </c>
      <c r="D20" s="571">
        <f>Amnt_Deposited!C16*$F$10*(1-DOCF)*Food!E21</f>
        <v>1.03458723135768</v>
      </c>
      <c r="E20" s="572">
        <f>Amnt_Deposited!F16*$F$11*(1-DOCF)*Garden!E21</f>
        <v>0</v>
      </c>
      <c r="F20" s="572">
        <f>Amnt_Deposited!D16*$D$11*(1-DOCF)*Paper!E21</f>
        <v>0.53399391165120003</v>
      </c>
      <c r="G20" s="572">
        <f>Amnt_Deposited!G16*$D$12*(1-DOCF)*Wood!E21</f>
        <v>0</v>
      </c>
      <c r="H20" s="572">
        <f>Amnt_Deposited!H16*$F$12*(1-DOCF)*Textiles!E21</f>
        <v>2.0196189965951999E-2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1.588777332974832</v>
      </c>
      <c r="O20" s="510">
        <f t="shared" si="1"/>
        <v>4.6766533562149633</v>
      </c>
    </row>
    <row r="21" spans="2:15">
      <c r="B21" s="507">
        <f t="shared" si="2"/>
        <v>1953</v>
      </c>
      <c r="C21" s="570">
        <f>Amnt_Deposited!O17*$D$10*(1-DOCF)*MSW!E22</f>
        <v>0</v>
      </c>
      <c r="D21" s="571">
        <f>Amnt_Deposited!C17*$F$10*(1-DOCF)*Food!E22</f>
        <v>1.0529766737796242</v>
      </c>
      <c r="E21" s="572">
        <f>Amnt_Deposited!F17*$F$11*(1-DOCF)*Garden!E22</f>
        <v>0</v>
      </c>
      <c r="F21" s="572">
        <f>Amnt_Deposited!D17*$D$11*(1-DOCF)*Paper!E22</f>
        <v>0.54348547504416012</v>
      </c>
      <c r="G21" s="572">
        <f>Amnt_Deposited!G17*$D$12*(1-DOCF)*Wood!E22</f>
        <v>0</v>
      </c>
      <c r="H21" s="572">
        <f>Amnt_Deposited!H17*$F$12*(1-DOCF)*Textiles!E22</f>
        <v>2.0555170495833601E-2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1.6170173193196178</v>
      </c>
      <c r="O21" s="510">
        <f t="shared" si="1"/>
        <v>6.2936706755345808</v>
      </c>
    </row>
    <row r="22" spans="2:15">
      <c r="B22" s="507">
        <f t="shared" si="2"/>
        <v>1954</v>
      </c>
      <c r="C22" s="570">
        <f>Amnt_Deposited!O18*$D$10*(1-DOCF)*MSW!E23</f>
        <v>0</v>
      </c>
      <c r="D22" s="571">
        <f>Amnt_Deposited!C18*$F$10*(1-DOCF)*Food!E23</f>
        <v>1.0586096529378481</v>
      </c>
      <c r="E22" s="572">
        <f>Amnt_Deposited!F18*$F$11*(1-DOCF)*Garden!E23</f>
        <v>0</v>
      </c>
      <c r="F22" s="572">
        <f>Amnt_Deposited!D18*$D$11*(1-DOCF)*Paper!E23</f>
        <v>0.54639289211232001</v>
      </c>
      <c r="G22" s="572">
        <f>Amnt_Deposited!G18*$D$12*(1-DOCF)*Wood!E23</f>
        <v>0</v>
      </c>
      <c r="H22" s="572">
        <f>Amnt_Deposited!H18*$F$12*(1-DOCF)*Textiles!E23</f>
        <v>2.0665131950707197E-2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1.6256676770008753</v>
      </c>
      <c r="O22" s="510">
        <f t="shared" si="1"/>
        <v>7.9193383525354566</v>
      </c>
    </row>
    <row r="23" spans="2:15">
      <c r="B23" s="507">
        <f t="shared" si="2"/>
        <v>1955</v>
      </c>
      <c r="C23" s="570">
        <f>Amnt_Deposited!O19*$D$10*(1-DOCF)*MSW!E24</f>
        <v>0</v>
      </c>
      <c r="D23" s="571">
        <f>Amnt_Deposited!C19*$F$10*(1-DOCF)*Food!E24</f>
        <v>1.17258785415288</v>
      </c>
      <c r="E23" s="572">
        <f>Amnt_Deposited!F19*$F$11*(1-DOCF)*Garden!E24</f>
        <v>0</v>
      </c>
      <c r="F23" s="572">
        <f>Amnt_Deposited!D19*$D$11*(1-DOCF)*Paper!E24</f>
        <v>0.60522182761920007</v>
      </c>
      <c r="G23" s="572">
        <f>Amnt_Deposited!G19*$D$12*(1-DOCF)*Wood!E24</f>
        <v>0</v>
      </c>
      <c r="H23" s="572">
        <f>Amnt_Deposited!H19*$F$12*(1-DOCF)*Textiles!E24</f>
        <v>2.2890101807231999E-2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1.8006997835793122</v>
      </c>
      <c r="O23" s="510">
        <f t="shared" si="1"/>
        <v>9.7200381361147681</v>
      </c>
    </row>
    <row r="24" spans="2:15">
      <c r="B24" s="507">
        <f t="shared" si="2"/>
        <v>1956</v>
      </c>
      <c r="C24" s="570">
        <f>Amnt_Deposited!O20*$D$10*(1-DOCF)*MSW!E25</f>
        <v>0</v>
      </c>
      <c r="D24" s="571">
        <f>Amnt_Deposited!C20*$F$10*(1-DOCF)*Food!E25</f>
        <v>1.196708496816888</v>
      </c>
      <c r="E24" s="572">
        <f>Amnt_Deposited!F20*$F$11*(1-DOCF)*Garden!E25</f>
        <v>0</v>
      </c>
      <c r="F24" s="572">
        <f>Amnt_Deposited!D20*$D$11*(1-DOCF)*Paper!E25</f>
        <v>0.61767150410592009</v>
      </c>
      <c r="G24" s="572">
        <f>Amnt_Deposited!G20*$D$12*(1-DOCF)*Wood!E25</f>
        <v>0</v>
      </c>
      <c r="H24" s="572">
        <f>Amnt_Deposited!H20*$F$12*(1-DOCF)*Textiles!E25</f>
        <v>2.33609611669632E-2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1.8377409620897711</v>
      </c>
      <c r="O24" s="510">
        <f t="shared" si="1"/>
        <v>11.55777909820454</v>
      </c>
    </row>
    <row r="25" spans="2:15">
      <c r="B25" s="507">
        <f t="shared" si="2"/>
        <v>1957</v>
      </c>
      <c r="C25" s="570">
        <f>Amnt_Deposited!O21*$D$10*(1-DOCF)*MSW!E26</f>
        <v>0</v>
      </c>
      <c r="D25" s="571">
        <f>Amnt_Deposited!C21*$F$10*(1-DOCF)*Food!E26</f>
        <v>1.2208094952641282</v>
      </c>
      <c r="E25" s="572">
        <f>Amnt_Deposited!F21*$F$11*(1-DOCF)*Garden!E26</f>
        <v>0</v>
      </c>
      <c r="F25" s="572">
        <f>Amnt_Deposited!D21*$D$11*(1-DOCF)*Paper!E26</f>
        <v>0.63011104138752017</v>
      </c>
      <c r="G25" s="572">
        <f>Amnt_Deposited!G21*$D$12*(1-DOCF)*Wood!E26</f>
        <v>0</v>
      </c>
      <c r="H25" s="572">
        <f>Amnt_Deposited!H21*$F$12*(1-DOCF)*Textiles!E26</f>
        <v>2.3831437051699201E-2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1.8747519737033476</v>
      </c>
      <c r="O25" s="510">
        <f t="shared" si="1"/>
        <v>13.432531071907887</v>
      </c>
    </row>
    <row r="26" spans="2:15">
      <c r="B26" s="507">
        <f t="shared" si="2"/>
        <v>1958</v>
      </c>
      <c r="C26" s="570">
        <f>Amnt_Deposited!O22*$D$10*(1-DOCF)*MSW!E27</f>
        <v>0</v>
      </c>
      <c r="D26" s="571">
        <f>Amnt_Deposited!C22*$F$10*(1-DOCF)*Food!E27</f>
        <v>1.24474351786884</v>
      </c>
      <c r="E26" s="572">
        <f>Amnt_Deposited!F22*$F$11*(1-DOCF)*Garden!E27</f>
        <v>0</v>
      </c>
      <c r="F26" s="572">
        <f>Amnt_Deposited!D22*$D$11*(1-DOCF)*Paper!E27</f>
        <v>0.64246439542560008</v>
      </c>
      <c r="G26" s="572">
        <f>Amnt_Deposited!G22*$D$12*(1-DOCF)*Wood!E27</f>
        <v>0</v>
      </c>
      <c r="H26" s="572">
        <f>Amnt_Deposited!H22*$F$12*(1-DOCF)*Textiles!E27</f>
        <v>2.4298653398975998E-2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1.9115065666934161</v>
      </c>
      <c r="O26" s="510">
        <f t="shared" si="1"/>
        <v>15.344037638601304</v>
      </c>
    </row>
    <row r="27" spans="2:15">
      <c r="B27" s="507">
        <f t="shared" si="2"/>
        <v>1959</v>
      </c>
      <c r="C27" s="570">
        <f>Amnt_Deposited!O23*$D$10*(1-DOCF)*MSW!E28</f>
        <v>0</v>
      </c>
      <c r="D27" s="571">
        <f>Amnt_Deposited!C23*$F$10*(1-DOCF)*Food!E28</f>
        <v>1.2683337666801122</v>
      </c>
      <c r="E27" s="572">
        <f>Amnt_Deposited!F23*$F$11*(1-DOCF)*Garden!E28</f>
        <v>0</v>
      </c>
      <c r="F27" s="572">
        <f>Amnt_Deposited!D23*$D$11*(1-DOCF)*Paper!E28</f>
        <v>0.65464031337408013</v>
      </c>
      <c r="G27" s="572">
        <f>Amnt_Deposited!G23*$D$12*(1-DOCF)*Wood!E28</f>
        <v>0</v>
      </c>
      <c r="H27" s="572">
        <f>Amnt_Deposited!H23*$F$12*(1-DOCF)*Textiles!E28</f>
        <v>2.4759158933836803E-2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1.9477332389880291</v>
      </c>
      <c r="O27" s="510">
        <f t="shared" si="1"/>
        <v>17.291770877589332</v>
      </c>
    </row>
    <row r="28" spans="2:15">
      <c r="B28" s="507">
        <f t="shared" si="2"/>
        <v>1960</v>
      </c>
      <c r="C28" s="570">
        <f>Amnt_Deposited!O24*$D$10*(1-DOCF)*MSW!E29</f>
        <v>0</v>
      </c>
      <c r="D28" s="571">
        <f>Amnt_Deposited!C24*$F$10*(1-DOCF)*Food!E29</f>
        <v>1.3691503426605844</v>
      </c>
      <c r="E28" s="572">
        <f>Amnt_Deposited!F24*$F$11*(1-DOCF)*Garden!E29</f>
        <v>0</v>
      </c>
      <c r="F28" s="572">
        <f>Amnt_Deposited!D24*$D$11*(1-DOCF)*Paper!E29</f>
        <v>0.70667598145056021</v>
      </c>
      <c r="G28" s="572">
        <f>Amnt_Deposited!G24*$D$12*(1-DOCF)*Wood!E29</f>
        <v>0</v>
      </c>
      <c r="H28" s="572">
        <f>Amnt_Deposited!H24*$F$12*(1-DOCF)*Textiles!E29</f>
        <v>2.6727200543577603E-2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2.1025535246547222</v>
      </c>
      <c r="O28" s="510">
        <f t="shared" si="1"/>
        <v>19.394324402244056</v>
      </c>
    </row>
    <row r="29" spans="2:15">
      <c r="B29" s="507">
        <f t="shared" si="2"/>
        <v>1961</v>
      </c>
      <c r="C29" s="570">
        <f>Amnt_Deposited!O25*$D$10*(1-DOCF)*MSW!E30</f>
        <v>0</v>
      </c>
      <c r="D29" s="571">
        <f>Amnt_Deposited!C25*$F$10*(1-DOCF)*Food!E30</f>
        <v>0</v>
      </c>
      <c r="E29" s="572">
        <f>Amnt_Deposited!F25*$F$11*(1-DOCF)*Garden!E30</f>
        <v>0</v>
      </c>
      <c r="F29" s="572">
        <f>Amnt_Deposited!D25*$D$11*(1-DOCF)*Paper!E30</f>
        <v>0</v>
      </c>
      <c r="G29" s="572">
        <f>Amnt_Deposited!G25*$D$12*(1-DOCF)*Wood!E30</f>
        <v>0</v>
      </c>
      <c r="H29" s="572">
        <f>Amnt_Deposited!H25*$F$12*(1-DOCF)*Textiles!E30</f>
        <v>0</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v>
      </c>
      <c r="O29" s="510">
        <f t="shared" si="1"/>
        <v>19.394324402244056</v>
      </c>
    </row>
    <row r="30" spans="2:15">
      <c r="B30" s="507">
        <f t="shared" si="2"/>
        <v>1962</v>
      </c>
      <c r="C30" s="570">
        <f>Amnt_Deposited!O26*$D$10*(1-DOCF)*MSW!E31</f>
        <v>0</v>
      </c>
      <c r="D30" s="571">
        <f>Amnt_Deposited!C26*$F$10*(1-DOCF)*Food!E31</f>
        <v>0</v>
      </c>
      <c r="E30" s="572">
        <f>Amnt_Deposited!F26*$F$11*(1-DOCF)*Garden!E31</f>
        <v>0</v>
      </c>
      <c r="F30" s="572">
        <f>Amnt_Deposited!D26*$D$11*(1-DOCF)*Paper!E31</f>
        <v>0</v>
      </c>
      <c r="G30" s="572">
        <f>Amnt_Deposited!G26*$D$12*(1-DOCF)*Wood!E31</f>
        <v>0</v>
      </c>
      <c r="H30" s="572">
        <f>Amnt_Deposited!H26*$F$12*(1-DOCF)*Textiles!E31</f>
        <v>0</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v>
      </c>
      <c r="O30" s="510">
        <f t="shared" si="1"/>
        <v>19.394324402244056</v>
      </c>
    </row>
    <row r="31" spans="2:15">
      <c r="B31" s="507">
        <f t="shared" si="2"/>
        <v>1963</v>
      </c>
      <c r="C31" s="570">
        <f>Amnt_Deposited!O27*$D$10*(1-DOCF)*MSW!E32</f>
        <v>0</v>
      </c>
      <c r="D31" s="571">
        <f>Amnt_Deposited!C27*$F$10*(1-DOCF)*Food!E32</f>
        <v>0</v>
      </c>
      <c r="E31" s="572">
        <f>Amnt_Deposited!F27*$F$11*(1-DOCF)*Garden!E32</f>
        <v>0</v>
      </c>
      <c r="F31" s="572">
        <f>Amnt_Deposited!D27*$D$11*(1-DOCF)*Paper!E32</f>
        <v>0</v>
      </c>
      <c r="G31" s="572">
        <f>Amnt_Deposited!G27*$D$12*(1-DOCF)*Wood!E32</f>
        <v>0</v>
      </c>
      <c r="H31" s="572">
        <f>Amnt_Deposited!H27*$F$12*(1-DOCF)*Textiles!E32</f>
        <v>0</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v>
      </c>
      <c r="O31" s="510">
        <f t="shared" si="1"/>
        <v>19.394324402244056</v>
      </c>
    </row>
    <row r="32" spans="2:15">
      <c r="B32" s="507">
        <f t="shared" si="2"/>
        <v>1964</v>
      </c>
      <c r="C32" s="570">
        <f>Amnt_Deposited!O28*$D$10*(1-DOCF)*MSW!E33</f>
        <v>0</v>
      </c>
      <c r="D32" s="571">
        <f>Amnt_Deposited!C28*$F$10*(1-DOCF)*Food!E33</f>
        <v>0</v>
      </c>
      <c r="E32" s="572">
        <f>Amnt_Deposited!F28*$F$11*(1-DOCF)*Garden!E33</f>
        <v>0</v>
      </c>
      <c r="F32" s="572">
        <f>Amnt_Deposited!D28*$D$11*(1-DOCF)*Paper!E33</f>
        <v>0</v>
      </c>
      <c r="G32" s="572">
        <f>Amnt_Deposited!G28*$D$12*(1-DOCF)*Wood!E33</f>
        <v>0</v>
      </c>
      <c r="H32" s="572">
        <f>Amnt_Deposited!H28*$F$12*(1-DOCF)*Textiles!E33</f>
        <v>0</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v>
      </c>
      <c r="O32" s="510">
        <f t="shared" si="1"/>
        <v>19.394324402244056</v>
      </c>
    </row>
    <row r="33" spans="2:15">
      <c r="B33" s="507">
        <f t="shared" si="2"/>
        <v>1965</v>
      </c>
      <c r="C33" s="570">
        <f>Amnt_Deposited!O29*$D$10*(1-DOCF)*MSW!E34</f>
        <v>0</v>
      </c>
      <c r="D33" s="571">
        <f>Amnt_Deposited!C29*$F$10*(1-DOCF)*Food!E34</f>
        <v>0</v>
      </c>
      <c r="E33" s="572">
        <f>Amnt_Deposited!F29*$F$11*(1-DOCF)*Garden!E34</f>
        <v>0</v>
      </c>
      <c r="F33" s="572">
        <f>Amnt_Deposited!D29*$D$11*(1-DOCF)*Paper!E34</f>
        <v>0</v>
      </c>
      <c r="G33" s="572">
        <f>Amnt_Deposited!G29*$D$12*(1-DOCF)*Wood!E34</f>
        <v>0</v>
      </c>
      <c r="H33" s="572">
        <f>Amnt_Deposited!H29*$F$12*(1-DOCF)*Textiles!E34</f>
        <v>0</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v>
      </c>
      <c r="O33" s="510">
        <f t="shared" si="1"/>
        <v>19.394324402244056</v>
      </c>
    </row>
    <row r="34" spans="2:15">
      <c r="B34" s="507">
        <f t="shared" si="2"/>
        <v>1966</v>
      </c>
      <c r="C34" s="570">
        <f>Amnt_Deposited!O30*$D$10*(1-DOCF)*MSW!E35</f>
        <v>0</v>
      </c>
      <c r="D34" s="571">
        <f>Amnt_Deposited!C30*$F$10*(1-DOCF)*Food!E35</f>
        <v>0</v>
      </c>
      <c r="E34" s="572">
        <f>Amnt_Deposited!F30*$F$11*(1-DOCF)*Garden!E35</f>
        <v>0</v>
      </c>
      <c r="F34" s="572">
        <f>Amnt_Deposited!D30*$D$11*(1-DOCF)*Paper!E35</f>
        <v>0</v>
      </c>
      <c r="G34" s="572">
        <f>Amnt_Deposited!G30*$D$12*(1-DOCF)*Wood!E35</f>
        <v>0</v>
      </c>
      <c r="H34" s="572">
        <f>Amnt_Deposited!H30*$F$12*(1-DOCF)*Textiles!E35</f>
        <v>0</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v>
      </c>
      <c r="O34" s="510">
        <f t="shared" si="1"/>
        <v>19.394324402244056</v>
      </c>
    </row>
    <row r="35" spans="2:15">
      <c r="B35" s="507">
        <f t="shared" si="2"/>
        <v>1967</v>
      </c>
      <c r="C35" s="570">
        <f>Amnt_Deposited!O31*$D$10*(1-DOCF)*MSW!E36</f>
        <v>0</v>
      </c>
      <c r="D35" s="571">
        <f>Amnt_Deposited!C31*$F$10*(1-DOCF)*Food!E36</f>
        <v>0</v>
      </c>
      <c r="E35" s="572">
        <f>Amnt_Deposited!F31*$F$11*(1-DOCF)*Garden!E36</f>
        <v>0</v>
      </c>
      <c r="F35" s="572">
        <f>Amnt_Deposited!D31*$D$11*(1-DOCF)*Paper!E36</f>
        <v>0</v>
      </c>
      <c r="G35" s="572">
        <f>Amnt_Deposited!G31*$D$12*(1-DOCF)*Wood!E36</f>
        <v>0</v>
      </c>
      <c r="H35" s="572">
        <f>Amnt_Deposited!H31*$F$12*(1-DOCF)*Textiles!E36</f>
        <v>0</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v>
      </c>
      <c r="O35" s="510">
        <f t="shared" si="1"/>
        <v>19.394324402244056</v>
      </c>
    </row>
    <row r="36" spans="2:15">
      <c r="B36" s="507">
        <f t="shared" si="2"/>
        <v>1968</v>
      </c>
      <c r="C36" s="570">
        <f>Amnt_Deposited!O32*$D$10*(1-DOCF)*MSW!E37</f>
        <v>0</v>
      </c>
      <c r="D36" s="571">
        <f>Amnt_Deposited!C32*$F$10*(1-DOCF)*Food!E37</f>
        <v>0</v>
      </c>
      <c r="E36" s="572">
        <f>Amnt_Deposited!F32*$F$11*(1-DOCF)*Garden!E37</f>
        <v>0</v>
      </c>
      <c r="F36" s="572">
        <f>Amnt_Deposited!D32*$D$11*(1-DOCF)*Paper!E37</f>
        <v>0</v>
      </c>
      <c r="G36" s="572">
        <f>Amnt_Deposited!G32*$D$12*(1-DOCF)*Wood!E37</f>
        <v>0</v>
      </c>
      <c r="H36" s="572">
        <f>Amnt_Deposited!H32*$F$12*(1-DOCF)*Textiles!E37</f>
        <v>0</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v>
      </c>
      <c r="O36" s="510">
        <f t="shared" si="1"/>
        <v>19.394324402244056</v>
      </c>
    </row>
    <row r="37" spans="2:15">
      <c r="B37" s="507">
        <f t="shared" si="2"/>
        <v>1969</v>
      </c>
      <c r="C37" s="570">
        <f>Amnt_Deposited!O33*$D$10*(1-DOCF)*MSW!E38</f>
        <v>0</v>
      </c>
      <c r="D37" s="571">
        <f>Amnt_Deposited!C33*$F$10*(1-DOCF)*Food!E38</f>
        <v>0</v>
      </c>
      <c r="E37" s="572">
        <f>Amnt_Deposited!F33*$F$11*(1-DOCF)*Garden!E38</f>
        <v>0</v>
      </c>
      <c r="F37" s="572">
        <f>Amnt_Deposited!D33*$D$11*(1-DOCF)*Paper!E38</f>
        <v>0</v>
      </c>
      <c r="G37" s="572">
        <f>Amnt_Deposited!G33*$D$12*(1-DOCF)*Wood!E38</f>
        <v>0</v>
      </c>
      <c r="H37" s="572">
        <f>Amnt_Deposited!H33*$F$12*(1-DOCF)*Textiles!E38</f>
        <v>0</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v>
      </c>
      <c r="O37" s="510">
        <f t="shared" si="1"/>
        <v>19.394324402244056</v>
      </c>
    </row>
    <row r="38" spans="2:15">
      <c r="B38" s="507">
        <f t="shared" si="2"/>
        <v>1970</v>
      </c>
      <c r="C38" s="570">
        <f>Amnt_Deposited!O34*$D$10*(1-DOCF)*MSW!E39</f>
        <v>0</v>
      </c>
      <c r="D38" s="571">
        <f>Amnt_Deposited!C34*$F$10*(1-DOCF)*Food!E39</f>
        <v>0</v>
      </c>
      <c r="E38" s="572">
        <f>Amnt_Deposited!F34*$F$11*(1-DOCF)*Garden!E39</f>
        <v>0</v>
      </c>
      <c r="F38" s="572">
        <f>Amnt_Deposited!D34*$D$11*(1-DOCF)*Paper!E39</f>
        <v>0</v>
      </c>
      <c r="G38" s="572">
        <f>Amnt_Deposited!G34*$D$12*(1-DOCF)*Wood!E39</f>
        <v>0</v>
      </c>
      <c r="H38" s="572">
        <f>Amnt_Deposited!H34*$F$12*(1-DOCF)*Textiles!E39</f>
        <v>0</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v>
      </c>
      <c r="O38" s="510">
        <f t="shared" si="1"/>
        <v>19.394324402244056</v>
      </c>
    </row>
    <row r="39" spans="2:15">
      <c r="B39" s="507">
        <f t="shared" si="2"/>
        <v>1971</v>
      </c>
      <c r="C39" s="570">
        <f>Amnt_Deposited!O35*$D$10*(1-DOCF)*MSW!E40</f>
        <v>0</v>
      </c>
      <c r="D39" s="571">
        <f>Amnt_Deposited!C35*$F$10*(1-DOCF)*Food!E40</f>
        <v>0</v>
      </c>
      <c r="E39" s="572">
        <f>Amnt_Deposited!F35*$F$11*(1-DOCF)*Garden!E40</f>
        <v>0</v>
      </c>
      <c r="F39" s="572">
        <f>Amnt_Deposited!D35*$D$11*(1-DOCF)*Paper!E40</f>
        <v>0</v>
      </c>
      <c r="G39" s="572">
        <f>Amnt_Deposited!G35*$D$12*(1-DOCF)*Wood!E40</f>
        <v>0</v>
      </c>
      <c r="H39" s="572">
        <f>Amnt_Deposited!H35*$F$12*(1-DOCF)*Textiles!E40</f>
        <v>0</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v>
      </c>
      <c r="O39" s="510">
        <f t="shared" si="1"/>
        <v>19.394324402244056</v>
      </c>
    </row>
    <row r="40" spans="2:15">
      <c r="B40" s="507">
        <f t="shared" si="2"/>
        <v>1972</v>
      </c>
      <c r="C40" s="570">
        <f>Amnt_Deposited!O36*$D$10*(1-DOCF)*MSW!E41</f>
        <v>0</v>
      </c>
      <c r="D40" s="571">
        <f>Amnt_Deposited!C36*$F$10*(1-DOCF)*Food!E41</f>
        <v>0</v>
      </c>
      <c r="E40" s="572">
        <f>Amnt_Deposited!F36*$F$11*(1-DOCF)*Garden!E41</f>
        <v>0</v>
      </c>
      <c r="F40" s="572">
        <f>Amnt_Deposited!D36*$D$11*(1-DOCF)*Paper!E41</f>
        <v>0</v>
      </c>
      <c r="G40" s="572">
        <f>Amnt_Deposited!G36*$D$12*(1-DOCF)*Wood!E41</f>
        <v>0</v>
      </c>
      <c r="H40" s="572">
        <f>Amnt_Deposited!H36*$F$12*(1-DOCF)*Textiles!E41</f>
        <v>0</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v>
      </c>
      <c r="O40" s="510">
        <f t="shared" si="1"/>
        <v>19.394324402244056</v>
      </c>
    </row>
    <row r="41" spans="2:15">
      <c r="B41" s="507">
        <f t="shared" si="2"/>
        <v>1973</v>
      </c>
      <c r="C41" s="570">
        <f>Amnt_Deposited!O37*$D$10*(1-DOCF)*MSW!E42</f>
        <v>0</v>
      </c>
      <c r="D41" s="571">
        <f>Amnt_Deposited!C37*$F$10*(1-DOCF)*Food!E42</f>
        <v>0</v>
      </c>
      <c r="E41" s="572">
        <f>Amnt_Deposited!F37*$F$11*(1-DOCF)*Garden!E42</f>
        <v>0</v>
      </c>
      <c r="F41" s="572">
        <f>Amnt_Deposited!D37*$D$11*(1-DOCF)*Paper!E42</f>
        <v>0</v>
      </c>
      <c r="G41" s="572">
        <f>Amnt_Deposited!G37*$D$12*(1-DOCF)*Wood!E42</f>
        <v>0</v>
      </c>
      <c r="H41" s="572">
        <f>Amnt_Deposited!H37*$F$12*(1-DOCF)*Textiles!E42</f>
        <v>0</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v>
      </c>
      <c r="O41" s="510">
        <f t="shared" si="1"/>
        <v>19.394324402244056</v>
      </c>
    </row>
    <row r="42" spans="2:15">
      <c r="B42" s="507">
        <f t="shared" si="2"/>
        <v>1974</v>
      </c>
      <c r="C42" s="570">
        <f>Amnt_Deposited!O38*$D$10*(1-DOCF)*MSW!E43</f>
        <v>0</v>
      </c>
      <c r="D42" s="571">
        <f>Amnt_Deposited!C38*$F$10*(1-DOCF)*Food!E43</f>
        <v>0</v>
      </c>
      <c r="E42" s="572">
        <f>Amnt_Deposited!F38*$F$11*(1-DOCF)*Garden!E43</f>
        <v>0</v>
      </c>
      <c r="F42" s="572">
        <f>Amnt_Deposited!D38*$D$11*(1-DOCF)*Paper!E43</f>
        <v>0</v>
      </c>
      <c r="G42" s="572">
        <f>Amnt_Deposited!G38*$D$12*(1-DOCF)*Wood!E43</f>
        <v>0</v>
      </c>
      <c r="H42" s="572">
        <f>Amnt_Deposited!H38*$F$12*(1-DOCF)*Textiles!E43</f>
        <v>0</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v>
      </c>
      <c r="O42" s="510">
        <f t="shared" si="1"/>
        <v>19.394324402244056</v>
      </c>
    </row>
    <row r="43" spans="2:15">
      <c r="B43" s="507">
        <f t="shared" si="2"/>
        <v>1975</v>
      </c>
      <c r="C43" s="570">
        <f>Amnt_Deposited!O39*$D$10*(1-DOCF)*MSW!E44</f>
        <v>0</v>
      </c>
      <c r="D43" s="571">
        <f>Amnt_Deposited!C39*$F$10*(1-DOCF)*Food!E44</f>
        <v>0</v>
      </c>
      <c r="E43" s="572">
        <f>Amnt_Deposited!F39*$F$11*(1-DOCF)*Garden!E44</f>
        <v>0</v>
      </c>
      <c r="F43" s="572">
        <f>Amnt_Deposited!D39*$D$11*(1-DOCF)*Paper!E44</f>
        <v>0</v>
      </c>
      <c r="G43" s="572">
        <f>Amnt_Deposited!G39*$D$12*(1-DOCF)*Wood!E44</f>
        <v>0</v>
      </c>
      <c r="H43" s="572">
        <f>Amnt_Deposited!H39*$F$12*(1-DOCF)*Textiles!E44</f>
        <v>0</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v>
      </c>
      <c r="O43" s="510">
        <f t="shared" si="1"/>
        <v>19.394324402244056</v>
      </c>
    </row>
    <row r="44" spans="2:15">
      <c r="B44" s="507">
        <f t="shared" si="2"/>
        <v>1976</v>
      </c>
      <c r="C44" s="570">
        <f>Amnt_Deposited!O40*$D$10*(1-DOCF)*MSW!E45</f>
        <v>0</v>
      </c>
      <c r="D44" s="571">
        <f>Amnt_Deposited!C40*$F$10*(1-DOCF)*Food!E45</f>
        <v>0</v>
      </c>
      <c r="E44" s="572">
        <f>Amnt_Deposited!F40*$F$11*(1-DOCF)*Garden!E45</f>
        <v>0</v>
      </c>
      <c r="F44" s="572">
        <f>Amnt_Deposited!D40*$D$11*(1-DOCF)*Paper!E45</f>
        <v>0</v>
      </c>
      <c r="G44" s="572">
        <f>Amnt_Deposited!G40*$D$12*(1-DOCF)*Wood!E45</f>
        <v>0</v>
      </c>
      <c r="H44" s="572">
        <f>Amnt_Deposited!H40*$F$12*(1-DOCF)*Textiles!E45</f>
        <v>0</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v>
      </c>
      <c r="O44" s="510">
        <f t="shared" si="1"/>
        <v>19.394324402244056</v>
      </c>
    </row>
    <row r="45" spans="2:15">
      <c r="B45" s="507">
        <f t="shared" si="2"/>
        <v>1977</v>
      </c>
      <c r="C45" s="570">
        <f>Amnt_Deposited!O41*$D$10*(1-DOCF)*MSW!E46</f>
        <v>0</v>
      </c>
      <c r="D45" s="571">
        <f>Amnt_Deposited!C41*$F$10*(1-DOCF)*Food!E46</f>
        <v>0</v>
      </c>
      <c r="E45" s="572">
        <f>Amnt_Deposited!F41*$F$11*(1-DOCF)*Garden!E46</f>
        <v>0</v>
      </c>
      <c r="F45" s="572">
        <f>Amnt_Deposited!D41*$D$11*(1-DOCF)*Paper!E46</f>
        <v>0</v>
      </c>
      <c r="G45" s="572">
        <f>Amnt_Deposited!G41*$D$12*(1-DOCF)*Wood!E46</f>
        <v>0</v>
      </c>
      <c r="H45" s="572">
        <f>Amnt_Deposited!H41*$F$12*(1-DOCF)*Textiles!E46</f>
        <v>0</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v>
      </c>
      <c r="O45" s="510">
        <f t="shared" si="1"/>
        <v>19.394324402244056</v>
      </c>
    </row>
    <row r="46" spans="2:15">
      <c r="B46" s="507">
        <f t="shared" si="2"/>
        <v>1978</v>
      </c>
      <c r="C46" s="570">
        <f>Amnt_Deposited!O42*$D$10*(1-DOCF)*MSW!E47</f>
        <v>0</v>
      </c>
      <c r="D46" s="571">
        <f>Amnt_Deposited!C42*$F$10*(1-DOCF)*Food!E47</f>
        <v>0</v>
      </c>
      <c r="E46" s="572">
        <f>Amnt_Deposited!F42*$F$11*(1-DOCF)*Garden!E47</f>
        <v>0</v>
      </c>
      <c r="F46" s="572">
        <f>Amnt_Deposited!D42*$D$11*(1-DOCF)*Paper!E47</f>
        <v>0</v>
      </c>
      <c r="G46" s="572">
        <f>Amnt_Deposited!G42*$D$12*(1-DOCF)*Wood!E47</f>
        <v>0</v>
      </c>
      <c r="H46" s="572">
        <f>Amnt_Deposited!H42*$F$12*(1-DOCF)*Textiles!E47</f>
        <v>0</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v>
      </c>
      <c r="O46" s="510">
        <f t="shared" si="1"/>
        <v>19.394324402244056</v>
      </c>
    </row>
    <row r="47" spans="2:15">
      <c r="B47" s="507">
        <f t="shared" si="2"/>
        <v>1979</v>
      </c>
      <c r="C47" s="570">
        <f>Amnt_Deposited!O43*$D$10*(1-DOCF)*MSW!E48</f>
        <v>0</v>
      </c>
      <c r="D47" s="571">
        <f>Amnt_Deposited!C43*$F$10*(1-DOCF)*Food!E48</f>
        <v>0</v>
      </c>
      <c r="E47" s="572">
        <f>Amnt_Deposited!F43*$F$11*(1-DOCF)*Garden!E48</f>
        <v>0</v>
      </c>
      <c r="F47" s="572">
        <f>Amnt_Deposited!D43*$D$11*(1-DOCF)*Paper!E48</f>
        <v>0</v>
      </c>
      <c r="G47" s="572">
        <f>Amnt_Deposited!G43*$D$12*(1-DOCF)*Wood!E48</f>
        <v>0</v>
      </c>
      <c r="H47" s="572">
        <f>Amnt_Deposited!H43*$F$12*(1-DOCF)*Textiles!E48</f>
        <v>0</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v>
      </c>
      <c r="O47" s="510">
        <f t="shared" si="1"/>
        <v>19.394324402244056</v>
      </c>
    </row>
    <row r="48" spans="2:15">
      <c r="B48" s="507">
        <f t="shared" si="2"/>
        <v>1980</v>
      </c>
      <c r="C48" s="570">
        <f>Amnt_Deposited!O44*$D$10*(1-DOCF)*MSW!E49</f>
        <v>0</v>
      </c>
      <c r="D48" s="571">
        <f>Amnt_Deposited!C44*$F$10*(1-DOCF)*Food!E49</f>
        <v>0</v>
      </c>
      <c r="E48" s="572">
        <f>Amnt_Deposited!F44*$F$11*(1-DOCF)*Garden!E49</f>
        <v>0</v>
      </c>
      <c r="F48" s="572">
        <f>Amnt_Deposited!D44*$D$11*(1-DOCF)*Paper!E49</f>
        <v>0</v>
      </c>
      <c r="G48" s="572">
        <f>Amnt_Deposited!G44*$D$12*(1-DOCF)*Wood!E49</f>
        <v>0</v>
      </c>
      <c r="H48" s="572">
        <f>Amnt_Deposited!H44*$F$12*(1-DOCF)*Textiles!E49</f>
        <v>0</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v>
      </c>
      <c r="O48" s="510">
        <f t="shared" si="1"/>
        <v>19.394324402244056</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19.394324402244056</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19.394324402244056</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19.394324402244056</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19.394324402244056</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19.394324402244056</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19.394324402244056</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19.394324402244056</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19.394324402244056</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19.394324402244056</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19.394324402244056</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19.394324402244056</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19.394324402244056</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19.394324402244056</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19.394324402244056</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19.394324402244056</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19.394324402244056</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19.394324402244056</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19.394324402244056</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19.394324402244056</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19.394324402244056</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19.394324402244056</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19.394324402244056</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19.394324402244056</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19.394324402244056</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19.394324402244056</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19.394324402244056</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19.394324402244056</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19.394324402244056</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19.394324402244056</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19.394324402244056</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19.394324402244056</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19.394324402244056</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19.394324402244056</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19.394324402244056</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19.394324402244056</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19.394324402244056</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19.394324402244056</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19.394324402244056</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19.394324402244056</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19.394324402244056</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19.394324402244056</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19.394324402244056</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19.394324402244056</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19.394324402244056</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19.394324402244056</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19.394324402244056</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19.394324402244056</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19.394324402244056</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19.394324402244056</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19.394324402244056</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5" t="s">
        <v>52</v>
      </c>
      <c r="C2" s="845"/>
      <c r="D2" s="845"/>
      <c r="E2" s="845"/>
      <c r="F2" s="845"/>
      <c r="G2" s="845"/>
      <c r="H2" s="845"/>
    </row>
    <row r="3" spans="1:35" ht="13.5" thickBot="1">
      <c r="B3" s="845"/>
      <c r="C3" s="845"/>
      <c r="D3" s="845"/>
      <c r="E3" s="845"/>
      <c r="F3" s="845"/>
      <c r="G3" s="845"/>
      <c r="H3" s="845"/>
    </row>
    <row r="4" spans="1:35" ht="13.5" thickBot="1">
      <c r="P4" s="828" t="s">
        <v>242</v>
      </c>
      <c r="Q4" s="829"/>
      <c r="R4" s="830" t="s">
        <v>243</v>
      </c>
      <c r="S4" s="831"/>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7" t="s">
        <v>47</v>
      </c>
      <c r="E5" s="848"/>
      <c r="F5" s="848"/>
      <c r="G5" s="837"/>
      <c r="H5" s="848" t="s">
        <v>57</v>
      </c>
      <c r="I5" s="848"/>
      <c r="J5" s="848"/>
      <c r="K5" s="837"/>
      <c r="L5" s="155"/>
      <c r="M5" s="155"/>
      <c r="N5" s="155"/>
      <c r="O5" s="190"/>
      <c r="P5" s="234" t="s">
        <v>116</v>
      </c>
      <c r="Q5" s="235" t="s">
        <v>113</v>
      </c>
      <c r="R5" s="234" t="s">
        <v>116</v>
      </c>
      <c r="S5" s="235" t="s">
        <v>113</v>
      </c>
      <c r="V5" s="340" t="s">
        <v>118</v>
      </c>
      <c r="W5" s="341">
        <v>3</v>
      </c>
      <c r="AF5" s="849" t="s">
        <v>126</v>
      </c>
      <c r="AG5" s="849" t="s">
        <v>129</v>
      </c>
      <c r="AH5" s="849" t="s">
        <v>154</v>
      </c>
      <c r="AI5"/>
    </row>
    <row r="6" spans="1:35" ht="13.5" thickBot="1">
      <c r="B6" s="193"/>
      <c r="C6" s="179"/>
      <c r="D6" s="846" t="s">
        <v>45</v>
      </c>
      <c r="E6" s="846"/>
      <c r="F6" s="846" t="s">
        <v>46</v>
      </c>
      <c r="G6" s="846"/>
      <c r="H6" s="846" t="s">
        <v>45</v>
      </c>
      <c r="I6" s="846"/>
      <c r="J6" s="846" t="s">
        <v>99</v>
      </c>
      <c r="K6" s="846"/>
      <c r="L6" s="155"/>
      <c r="M6" s="155"/>
      <c r="N6" s="155"/>
      <c r="O6" s="230" t="s">
        <v>6</v>
      </c>
      <c r="P6" s="189">
        <v>0.38</v>
      </c>
      <c r="Q6" s="191" t="s">
        <v>234</v>
      </c>
      <c r="R6" s="189">
        <v>0.15</v>
      </c>
      <c r="S6" s="191" t="s">
        <v>244</v>
      </c>
      <c r="W6" s="854" t="s">
        <v>125</v>
      </c>
      <c r="X6" s="856"/>
      <c r="Y6" s="856"/>
      <c r="Z6" s="856"/>
      <c r="AA6" s="856"/>
      <c r="AB6" s="856"/>
      <c r="AC6" s="856"/>
      <c r="AD6" s="856"/>
      <c r="AE6" s="856"/>
      <c r="AF6" s="850"/>
      <c r="AG6" s="850"/>
      <c r="AH6" s="850"/>
      <c r="AI6"/>
    </row>
    <row r="7" spans="1:35" ht="26.25" thickBot="1">
      <c r="B7" s="854" t="s">
        <v>133</v>
      </c>
      <c r="C7" s="855"/>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1"/>
      <c r="AG7" s="851"/>
      <c r="AH7" s="851"/>
      <c r="AI7"/>
    </row>
    <row r="8" spans="1:35" ht="25.5" customHeight="1">
      <c r="B8" s="852"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3"/>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2" t="s">
        <v>264</v>
      </c>
      <c r="P13" s="843"/>
      <c r="Q13" s="843"/>
      <c r="R13" s="843"/>
      <c r="S13" s="844"/>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4" t="s">
        <v>70</v>
      </c>
      <c r="C26" s="834"/>
      <c r="D26" s="834"/>
      <c r="E26" s="834"/>
      <c r="F26" s="834"/>
      <c r="G26" s="834"/>
      <c r="H26" s="834"/>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5"/>
      <c r="C27" s="835"/>
      <c r="D27" s="835"/>
      <c r="E27" s="835"/>
      <c r="F27" s="835"/>
      <c r="G27" s="835"/>
      <c r="H27" s="835"/>
      <c r="O27" s="104"/>
      <c r="P27" s="437"/>
      <c r="Q27" s="104"/>
      <c r="R27" s="104"/>
      <c r="S27" s="104"/>
      <c r="U27" s="198"/>
      <c r="V27" s="200"/>
    </row>
    <row r="28" spans="1:35">
      <c r="B28" s="835"/>
      <c r="C28" s="835"/>
      <c r="D28" s="835"/>
      <c r="E28" s="835"/>
      <c r="F28" s="835"/>
      <c r="G28" s="835"/>
      <c r="H28" s="835"/>
      <c r="O28" s="104"/>
      <c r="P28" s="437"/>
      <c r="Q28" s="104"/>
      <c r="R28" s="104"/>
      <c r="S28" s="104"/>
      <c r="V28" s="200"/>
    </row>
    <row r="29" spans="1:35">
      <c r="B29" s="835"/>
      <c r="C29" s="835"/>
      <c r="D29" s="835"/>
      <c r="E29" s="835"/>
      <c r="F29" s="835"/>
      <c r="G29" s="835"/>
      <c r="H29" s="835"/>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5"/>
      <c r="C30" s="835"/>
      <c r="D30" s="835"/>
      <c r="E30" s="835"/>
      <c r="F30" s="835"/>
      <c r="G30" s="835"/>
      <c r="H30" s="835"/>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6" t="s">
        <v>75</v>
      </c>
      <c r="D38" s="837"/>
      <c r="O38" s="429"/>
      <c r="P38" s="430"/>
      <c r="Q38" s="431"/>
      <c r="R38" s="104"/>
    </row>
    <row r="39" spans="2:18">
      <c r="B39" s="162">
        <v>35</v>
      </c>
      <c r="C39" s="840">
        <f>LN(2)/B39</f>
        <v>1.980420515885558E-2</v>
      </c>
      <c r="D39" s="841"/>
    </row>
    <row r="40" spans="2:18" ht="27">
      <c r="B40" s="399" t="s">
        <v>76</v>
      </c>
      <c r="C40" s="838" t="s">
        <v>77</v>
      </c>
      <c r="D40" s="839"/>
    </row>
    <row r="41" spans="2:18" ht="13.5" thickBot="1">
      <c r="B41" s="163">
        <v>0.05</v>
      </c>
      <c r="C41" s="832">
        <f>LN(2)/B41</f>
        <v>13.862943611198904</v>
      </c>
      <c r="D41" s="83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0.123</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16.6498242507828</v>
      </c>
      <c r="D19" s="451">
        <f>Dry_Matter_Content!C6</f>
        <v>0.59</v>
      </c>
      <c r="E19" s="318">
        <f>MCF!R18</f>
        <v>0.8</v>
      </c>
      <c r="F19" s="150">
        <f>C19*D19*$K$6*DOCF*E19</f>
        <v>0.48331109835172309</v>
      </c>
      <c r="G19" s="85">
        <f t="shared" ref="G19:G50" si="0">F19*$K$12</f>
        <v>0.48331109835172309</v>
      </c>
      <c r="H19" s="85">
        <f t="shared" ref="H19:H50" si="1">F19*(1-$K$12)</f>
        <v>0</v>
      </c>
      <c r="I19" s="85">
        <f t="shared" ref="I19:I50" si="2">G19+I18*$K$10</f>
        <v>0.48331109835172309</v>
      </c>
      <c r="J19" s="85">
        <f t="shared" ref="J19:J50" si="3">I18*(1-$K$10)+H19</f>
        <v>0</v>
      </c>
      <c r="K19" s="86">
        <f>J19*CH4_fraction*conv</f>
        <v>0</v>
      </c>
      <c r="O19" s="115">
        <f>Amnt_Deposited!B14</f>
        <v>2000</v>
      </c>
      <c r="P19" s="118">
        <f>Amnt_Deposited!C14</f>
        <v>16.6498242507828</v>
      </c>
      <c r="Q19" s="318">
        <f>MCF!R18</f>
        <v>0.8</v>
      </c>
      <c r="R19" s="150">
        <f t="shared" ref="R19:R50" si="4">P19*$W$6*DOCF*Q19</f>
        <v>0.99898945504696801</v>
      </c>
      <c r="S19" s="85">
        <f>R19*$W$12</f>
        <v>0.99898945504696801</v>
      </c>
      <c r="T19" s="85">
        <f>R19*(1-$W$12)</f>
        <v>0</v>
      </c>
      <c r="U19" s="85">
        <f>S19+U18*$W$10</f>
        <v>0.99898945504696801</v>
      </c>
      <c r="V19" s="85">
        <f>U18*(1-$W$10)+T19</f>
        <v>0</v>
      </c>
      <c r="W19" s="86">
        <f>V19*CH4_fraction*conv</f>
        <v>0</v>
      </c>
    </row>
    <row r="20" spans="2:23">
      <c r="B20" s="116">
        <f>Amnt_Deposited!B15</f>
        <v>2001</v>
      </c>
      <c r="C20" s="119">
        <f>Amnt_Deposited!C15</f>
        <v>16.863127704522</v>
      </c>
      <c r="D20" s="453">
        <f>Dry_Matter_Content!C7</f>
        <v>0.59</v>
      </c>
      <c r="E20" s="319">
        <f>MCF!R19</f>
        <v>0.8</v>
      </c>
      <c r="F20" s="87">
        <f t="shared" ref="F20:F50" si="5">C20*D20*$K$6*DOCF*E20</f>
        <v>0.48950287100686457</v>
      </c>
      <c r="G20" s="87">
        <f t="shared" si="0"/>
        <v>0.48950287100686457</v>
      </c>
      <c r="H20" s="87">
        <f t="shared" si="1"/>
        <v>0</v>
      </c>
      <c r="I20" s="87">
        <f t="shared" si="2"/>
        <v>0.813475988703527</v>
      </c>
      <c r="J20" s="87">
        <f t="shared" si="3"/>
        <v>0.15933798065506066</v>
      </c>
      <c r="K20" s="120">
        <f>J20*CH4_fraction*conv</f>
        <v>0.1062253204367071</v>
      </c>
      <c r="M20" s="428"/>
      <c r="O20" s="116">
        <f>Amnt_Deposited!B15</f>
        <v>2001</v>
      </c>
      <c r="P20" s="119">
        <f>Amnt_Deposited!C15</f>
        <v>16.863127704522</v>
      </c>
      <c r="Q20" s="319">
        <f>MCF!R19</f>
        <v>0.8</v>
      </c>
      <c r="R20" s="87">
        <f t="shared" si="4"/>
        <v>1.01178766227132</v>
      </c>
      <c r="S20" s="87">
        <f>R20*$W$12</f>
        <v>1.01178766227132</v>
      </c>
      <c r="T20" s="87">
        <f>R20*(1-$W$12)</f>
        <v>0</v>
      </c>
      <c r="U20" s="87">
        <f>S20+U19*$W$10</f>
        <v>1.681430319767522</v>
      </c>
      <c r="V20" s="87">
        <f>U19*(1-$W$10)+T20</f>
        <v>0.32934679755076618</v>
      </c>
      <c r="W20" s="120">
        <f>V20*CH4_fraction*conv</f>
        <v>0.21956453170051077</v>
      </c>
    </row>
    <row r="21" spans="2:23">
      <c r="B21" s="116">
        <f>Amnt_Deposited!B16</f>
        <v>2002</v>
      </c>
      <c r="C21" s="119">
        <f>Amnt_Deposited!C16</f>
        <v>17.243120522628001</v>
      </c>
      <c r="D21" s="453">
        <f>Dry_Matter_Content!C8</f>
        <v>0.59</v>
      </c>
      <c r="E21" s="319">
        <f>MCF!R20</f>
        <v>0.8</v>
      </c>
      <c r="F21" s="87">
        <f t="shared" si="5"/>
        <v>0.5005333025308456</v>
      </c>
      <c r="G21" s="87">
        <f t="shared" si="0"/>
        <v>0.5005333025308456</v>
      </c>
      <c r="H21" s="87">
        <f t="shared" si="1"/>
        <v>0</v>
      </c>
      <c r="I21" s="87">
        <f t="shared" si="2"/>
        <v>1.045822564727481</v>
      </c>
      <c r="J21" s="87">
        <f t="shared" si="3"/>
        <v>0.26818672650689157</v>
      </c>
      <c r="K21" s="120">
        <f t="shared" ref="K21:K84" si="6">J21*CH4_fraction*conv</f>
        <v>0.17879115100459436</v>
      </c>
      <c r="O21" s="116">
        <f>Amnt_Deposited!B16</f>
        <v>2002</v>
      </c>
      <c r="P21" s="119">
        <f>Amnt_Deposited!C16</f>
        <v>17.243120522628001</v>
      </c>
      <c r="Q21" s="319">
        <f>MCF!R20</f>
        <v>0.8</v>
      </c>
      <c r="R21" s="87">
        <f t="shared" si="4"/>
        <v>1.03458723135768</v>
      </c>
      <c r="S21" s="87">
        <f t="shared" ref="S21:S84" si="7">R21*$W$12</f>
        <v>1.03458723135768</v>
      </c>
      <c r="T21" s="87">
        <f t="shared" ref="T21:T84" si="8">R21*(1-$W$12)</f>
        <v>0</v>
      </c>
      <c r="U21" s="87">
        <f t="shared" ref="U21:U84" si="9">S21+U20*$W$10</f>
        <v>2.1616836807099649</v>
      </c>
      <c r="V21" s="87">
        <f t="shared" ref="V21:V84" si="10">U20*(1-$W$10)+T21</f>
        <v>0.55433387041523685</v>
      </c>
      <c r="W21" s="120">
        <f t="shared" ref="W21:W84" si="11">V21*CH4_fraction*conv</f>
        <v>0.36955591361015788</v>
      </c>
    </row>
    <row r="22" spans="2:23">
      <c r="B22" s="116">
        <f>Amnt_Deposited!B17</f>
        <v>2003</v>
      </c>
      <c r="C22" s="119">
        <f>Amnt_Deposited!C17</f>
        <v>17.549611229660403</v>
      </c>
      <c r="D22" s="453">
        <f>Dry_Matter_Content!C9</f>
        <v>0.59</v>
      </c>
      <c r="E22" s="319">
        <f>MCF!R21</f>
        <v>0.8</v>
      </c>
      <c r="F22" s="87">
        <f t="shared" si="5"/>
        <v>0.50943011477458222</v>
      </c>
      <c r="G22" s="87">
        <f t="shared" si="0"/>
        <v>0.50943011477458222</v>
      </c>
      <c r="H22" s="87">
        <f t="shared" si="1"/>
        <v>0</v>
      </c>
      <c r="I22" s="87">
        <f t="shared" si="2"/>
        <v>1.2104659445078179</v>
      </c>
      <c r="J22" s="87">
        <f t="shared" si="3"/>
        <v>0.34478673499424556</v>
      </c>
      <c r="K22" s="120">
        <f t="shared" si="6"/>
        <v>0.22985782332949703</v>
      </c>
      <c r="N22" s="290"/>
      <c r="O22" s="116">
        <f>Amnt_Deposited!B17</f>
        <v>2003</v>
      </c>
      <c r="P22" s="119">
        <f>Amnt_Deposited!C17</f>
        <v>17.549611229660403</v>
      </c>
      <c r="Q22" s="319">
        <f>MCF!R21</f>
        <v>0.8</v>
      </c>
      <c r="R22" s="87">
        <f t="shared" si="4"/>
        <v>1.0529766737796242</v>
      </c>
      <c r="S22" s="87">
        <f t="shared" si="7"/>
        <v>1.0529766737796242</v>
      </c>
      <c r="T22" s="87">
        <f t="shared" si="8"/>
        <v>0</v>
      </c>
      <c r="U22" s="87">
        <f t="shared" si="9"/>
        <v>2.5019965781476179</v>
      </c>
      <c r="V22" s="87">
        <f t="shared" si="10"/>
        <v>0.71266377634197098</v>
      </c>
      <c r="W22" s="120">
        <f t="shared" si="11"/>
        <v>0.47510918422798065</v>
      </c>
    </row>
    <row r="23" spans="2:23">
      <c r="B23" s="116">
        <f>Amnt_Deposited!B18</f>
        <v>2004</v>
      </c>
      <c r="C23" s="119">
        <f>Amnt_Deposited!C18</f>
        <v>17.643494215630803</v>
      </c>
      <c r="D23" s="453">
        <f>Dry_Matter_Content!C10</f>
        <v>0.59</v>
      </c>
      <c r="E23" s="319">
        <f>MCF!R22</f>
        <v>0.8</v>
      </c>
      <c r="F23" s="87">
        <f t="shared" si="5"/>
        <v>0.51215535009133084</v>
      </c>
      <c r="G23" s="87">
        <f t="shared" si="0"/>
        <v>0.51215535009133084</v>
      </c>
      <c r="H23" s="87">
        <f t="shared" si="1"/>
        <v>0</v>
      </c>
      <c r="I23" s="87">
        <f t="shared" si="2"/>
        <v>1.3235549377383848</v>
      </c>
      <c r="J23" s="87">
        <f t="shared" si="3"/>
        <v>0.39906635686076375</v>
      </c>
      <c r="K23" s="120">
        <f t="shared" si="6"/>
        <v>0.2660442379071758</v>
      </c>
      <c r="N23" s="290"/>
      <c r="O23" s="116">
        <f>Amnt_Deposited!B18</f>
        <v>2004</v>
      </c>
      <c r="P23" s="119">
        <f>Amnt_Deposited!C18</f>
        <v>17.643494215630803</v>
      </c>
      <c r="Q23" s="319">
        <f>MCF!R22</f>
        <v>0.8</v>
      </c>
      <c r="R23" s="87">
        <f t="shared" si="4"/>
        <v>1.0586096529378481</v>
      </c>
      <c r="S23" s="87">
        <f t="shared" si="7"/>
        <v>1.0586096529378481</v>
      </c>
      <c r="T23" s="87">
        <f t="shared" si="8"/>
        <v>0</v>
      </c>
      <c r="U23" s="87">
        <f t="shared" si="9"/>
        <v>2.7357481143827718</v>
      </c>
      <c r="V23" s="87">
        <f t="shared" si="10"/>
        <v>0.8248581167026946</v>
      </c>
      <c r="W23" s="120">
        <f t="shared" si="11"/>
        <v>0.5499054111351297</v>
      </c>
    </row>
    <row r="24" spans="2:23">
      <c r="B24" s="116">
        <f>Amnt_Deposited!B19</f>
        <v>2005</v>
      </c>
      <c r="C24" s="119">
        <f>Amnt_Deposited!C19</f>
        <v>19.543130902548</v>
      </c>
      <c r="D24" s="453">
        <f>Dry_Matter_Content!C11</f>
        <v>0.59</v>
      </c>
      <c r="E24" s="319">
        <f>MCF!R23</f>
        <v>0.8</v>
      </c>
      <c r="F24" s="87">
        <f t="shared" si="5"/>
        <v>0.5672980038391634</v>
      </c>
      <c r="G24" s="87">
        <f t="shared" si="0"/>
        <v>0.5672980038391634</v>
      </c>
      <c r="H24" s="87">
        <f t="shared" si="1"/>
        <v>0</v>
      </c>
      <c r="I24" s="87">
        <f t="shared" si="2"/>
        <v>1.4545034106346553</v>
      </c>
      <c r="J24" s="87">
        <f t="shared" si="3"/>
        <v>0.43634953094289297</v>
      </c>
      <c r="K24" s="120">
        <f t="shared" si="6"/>
        <v>0.29089968729526194</v>
      </c>
      <c r="N24" s="290"/>
      <c r="O24" s="116">
        <f>Amnt_Deposited!B19</f>
        <v>2005</v>
      </c>
      <c r="P24" s="119">
        <f>Amnt_Deposited!C19</f>
        <v>19.543130902548</v>
      </c>
      <c r="Q24" s="319">
        <f>MCF!R23</f>
        <v>0.8</v>
      </c>
      <c r="R24" s="87">
        <f t="shared" si="4"/>
        <v>1.17258785415288</v>
      </c>
      <c r="S24" s="87">
        <f t="shared" si="7"/>
        <v>1.17258785415288</v>
      </c>
      <c r="T24" s="87">
        <f t="shared" si="8"/>
        <v>0</v>
      </c>
      <c r="U24" s="87">
        <f t="shared" si="9"/>
        <v>3.0064146561278529</v>
      </c>
      <c r="V24" s="87">
        <f t="shared" si="10"/>
        <v>0.90192131240779871</v>
      </c>
      <c r="W24" s="120">
        <f t="shared" si="11"/>
        <v>0.60128087493853244</v>
      </c>
    </row>
    <row r="25" spans="2:23">
      <c r="B25" s="116">
        <f>Amnt_Deposited!B20</f>
        <v>2006</v>
      </c>
      <c r="C25" s="119">
        <f>Amnt_Deposited!C20</f>
        <v>19.945141613614801</v>
      </c>
      <c r="D25" s="453">
        <f>Dry_Matter_Content!C12</f>
        <v>0.59</v>
      </c>
      <c r="E25" s="319">
        <f>MCF!R24</f>
        <v>0.8</v>
      </c>
      <c r="F25" s="87">
        <f t="shared" si="5"/>
        <v>0.57896757076001049</v>
      </c>
      <c r="G25" s="87">
        <f t="shared" si="0"/>
        <v>0.57896757076001049</v>
      </c>
      <c r="H25" s="87">
        <f t="shared" si="1"/>
        <v>0</v>
      </c>
      <c r="I25" s="87">
        <f t="shared" si="2"/>
        <v>1.5539503639356269</v>
      </c>
      <c r="J25" s="87">
        <f t="shared" si="3"/>
        <v>0.47952061745903873</v>
      </c>
      <c r="K25" s="120">
        <f t="shared" si="6"/>
        <v>0.31968041163935912</v>
      </c>
      <c r="N25" s="290"/>
      <c r="O25" s="116">
        <f>Amnt_Deposited!B20</f>
        <v>2006</v>
      </c>
      <c r="P25" s="119">
        <f>Amnt_Deposited!C20</f>
        <v>19.945141613614801</v>
      </c>
      <c r="Q25" s="319">
        <f>MCF!R24</f>
        <v>0.8</v>
      </c>
      <c r="R25" s="87">
        <f t="shared" si="4"/>
        <v>1.196708496816888</v>
      </c>
      <c r="S25" s="87">
        <f t="shared" si="7"/>
        <v>1.196708496816888</v>
      </c>
      <c r="T25" s="87">
        <f t="shared" si="8"/>
        <v>0</v>
      </c>
      <c r="U25" s="87">
        <f t="shared" si="9"/>
        <v>3.2119685075147313</v>
      </c>
      <c r="V25" s="87">
        <f t="shared" si="10"/>
        <v>0.99115464543000975</v>
      </c>
      <c r="W25" s="120">
        <f t="shared" si="11"/>
        <v>0.6607697636200065</v>
      </c>
    </row>
    <row r="26" spans="2:23">
      <c r="B26" s="116">
        <f>Amnt_Deposited!B21</f>
        <v>2007</v>
      </c>
      <c r="C26" s="119">
        <f>Amnt_Deposited!C21</f>
        <v>20.346824921068801</v>
      </c>
      <c r="D26" s="453">
        <f>Dry_Matter_Content!C13</f>
        <v>0.59</v>
      </c>
      <c r="E26" s="319">
        <f>MCF!R25</f>
        <v>0.8</v>
      </c>
      <c r="F26" s="87">
        <f t="shared" si="5"/>
        <v>0.59062763380878514</v>
      </c>
      <c r="G26" s="87">
        <f t="shared" si="0"/>
        <v>0.59062763380878514</v>
      </c>
      <c r="H26" s="87">
        <f t="shared" si="1"/>
        <v>0</v>
      </c>
      <c r="I26" s="87">
        <f t="shared" si="2"/>
        <v>1.6322717132992128</v>
      </c>
      <c r="J26" s="87">
        <f t="shared" si="3"/>
        <v>0.51230628444519899</v>
      </c>
      <c r="K26" s="120">
        <f t="shared" si="6"/>
        <v>0.34153752296346596</v>
      </c>
      <c r="N26" s="290"/>
      <c r="O26" s="116">
        <f>Amnt_Deposited!B21</f>
        <v>2007</v>
      </c>
      <c r="P26" s="119">
        <f>Amnt_Deposited!C21</f>
        <v>20.346824921068801</v>
      </c>
      <c r="Q26" s="319">
        <f>MCF!R25</f>
        <v>0.8</v>
      </c>
      <c r="R26" s="87">
        <f t="shared" si="4"/>
        <v>1.2208094952641282</v>
      </c>
      <c r="S26" s="87">
        <f t="shared" si="7"/>
        <v>1.2208094952641282</v>
      </c>
      <c r="T26" s="87">
        <f t="shared" si="8"/>
        <v>0</v>
      </c>
      <c r="U26" s="87">
        <f t="shared" si="9"/>
        <v>3.3738563730864266</v>
      </c>
      <c r="V26" s="87">
        <f t="shared" si="10"/>
        <v>1.0589216296924329</v>
      </c>
      <c r="W26" s="120">
        <f t="shared" si="11"/>
        <v>0.7059477531282885</v>
      </c>
    </row>
    <row r="27" spans="2:23">
      <c r="B27" s="116">
        <f>Amnt_Deposited!B22</f>
        <v>2008</v>
      </c>
      <c r="C27" s="119">
        <f>Amnt_Deposited!C22</f>
        <v>20.745725297814001</v>
      </c>
      <c r="D27" s="453">
        <f>Dry_Matter_Content!C14</f>
        <v>0.59</v>
      </c>
      <c r="E27" s="319">
        <f>MCF!R26</f>
        <v>0.8</v>
      </c>
      <c r="F27" s="87">
        <f t="shared" si="5"/>
        <v>0.60220691394494485</v>
      </c>
      <c r="G27" s="87">
        <f t="shared" si="0"/>
        <v>0.60220691394494485</v>
      </c>
      <c r="H27" s="87">
        <f t="shared" si="1"/>
        <v>0</v>
      </c>
      <c r="I27" s="87">
        <f t="shared" si="2"/>
        <v>1.696351363946345</v>
      </c>
      <c r="J27" s="87">
        <f t="shared" si="3"/>
        <v>0.53812726329781257</v>
      </c>
      <c r="K27" s="120">
        <f t="shared" si="6"/>
        <v>0.35875150886520835</v>
      </c>
      <c r="N27" s="290"/>
      <c r="O27" s="116">
        <f>Amnt_Deposited!B22</f>
        <v>2008</v>
      </c>
      <c r="P27" s="119">
        <f>Amnt_Deposited!C22</f>
        <v>20.745725297814001</v>
      </c>
      <c r="Q27" s="319">
        <f>MCF!R26</f>
        <v>0.8</v>
      </c>
      <c r="R27" s="87">
        <f t="shared" si="4"/>
        <v>1.24474351786884</v>
      </c>
      <c r="S27" s="87">
        <f t="shared" si="7"/>
        <v>1.24474351786884</v>
      </c>
      <c r="T27" s="87">
        <f t="shared" si="8"/>
        <v>0</v>
      </c>
      <c r="U27" s="87">
        <f t="shared" si="9"/>
        <v>3.5063070771937688</v>
      </c>
      <c r="V27" s="87">
        <f t="shared" si="10"/>
        <v>1.112292813761498</v>
      </c>
      <c r="W27" s="120">
        <f t="shared" si="11"/>
        <v>0.74152854250766531</v>
      </c>
    </row>
    <row r="28" spans="2:23">
      <c r="B28" s="116">
        <f>Amnt_Deposited!B23</f>
        <v>2009</v>
      </c>
      <c r="C28" s="119">
        <f>Amnt_Deposited!C23</f>
        <v>21.138896111335203</v>
      </c>
      <c r="D28" s="453">
        <f>Dry_Matter_Content!C15</f>
        <v>0.59</v>
      </c>
      <c r="E28" s="319">
        <f>MCF!R27</f>
        <v>0.8</v>
      </c>
      <c r="F28" s="87">
        <f t="shared" si="5"/>
        <v>0.61361987631983828</v>
      </c>
      <c r="G28" s="87">
        <f t="shared" si="0"/>
        <v>0.61361987631983828</v>
      </c>
      <c r="H28" s="87">
        <f t="shared" si="1"/>
        <v>0</v>
      </c>
      <c r="I28" s="87">
        <f t="shared" si="2"/>
        <v>1.750718200692972</v>
      </c>
      <c r="J28" s="87">
        <f t="shared" si="3"/>
        <v>0.55925303957321149</v>
      </c>
      <c r="K28" s="120">
        <f t="shared" si="6"/>
        <v>0.37283535971547432</v>
      </c>
      <c r="N28" s="290"/>
      <c r="O28" s="116">
        <f>Amnt_Deposited!B23</f>
        <v>2009</v>
      </c>
      <c r="P28" s="119">
        <f>Amnt_Deposited!C23</f>
        <v>21.138896111335203</v>
      </c>
      <c r="Q28" s="319">
        <f>MCF!R27</f>
        <v>0.8</v>
      </c>
      <c r="R28" s="87">
        <f t="shared" si="4"/>
        <v>1.2683337666801122</v>
      </c>
      <c r="S28" s="87">
        <f t="shared" si="7"/>
        <v>1.2683337666801122</v>
      </c>
      <c r="T28" s="87">
        <f t="shared" si="8"/>
        <v>0</v>
      </c>
      <c r="U28" s="87">
        <f t="shared" si="9"/>
        <v>3.618681688079727</v>
      </c>
      <c r="V28" s="87">
        <f t="shared" si="10"/>
        <v>1.1559591557941538</v>
      </c>
      <c r="W28" s="120">
        <f t="shared" si="11"/>
        <v>0.77063943719610251</v>
      </c>
    </row>
    <row r="29" spans="2:23">
      <c r="B29" s="116">
        <f>Amnt_Deposited!B24</f>
        <v>2010</v>
      </c>
      <c r="C29" s="119">
        <f>Amnt_Deposited!C24</f>
        <v>22.819172377676406</v>
      </c>
      <c r="D29" s="453">
        <f>Dry_Matter_Content!C16</f>
        <v>0.59</v>
      </c>
      <c r="E29" s="319">
        <f>MCF!R28</f>
        <v>0.8</v>
      </c>
      <c r="F29" s="87">
        <f t="shared" si="5"/>
        <v>0.66239493577919073</v>
      </c>
      <c r="G29" s="87">
        <f t="shared" si="0"/>
        <v>0.66239493577919073</v>
      </c>
      <c r="H29" s="87">
        <f t="shared" si="1"/>
        <v>0</v>
      </c>
      <c r="I29" s="87">
        <f t="shared" si="2"/>
        <v>1.8359364406631353</v>
      </c>
      <c r="J29" s="87">
        <f t="shared" si="3"/>
        <v>0.57717669580902742</v>
      </c>
      <c r="K29" s="120">
        <f t="shared" si="6"/>
        <v>0.38478446387268495</v>
      </c>
      <c r="O29" s="116">
        <f>Amnt_Deposited!B24</f>
        <v>2010</v>
      </c>
      <c r="P29" s="119">
        <f>Amnt_Deposited!C24</f>
        <v>22.819172377676406</v>
      </c>
      <c r="Q29" s="319">
        <f>MCF!R28</f>
        <v>0.8</v>
      </c>
      <c r="R29" s="87">
        <f t="shared" si="4"/>
        <v>1.3691503426605844</v>
      </c>
      <c r="S29" s="87">
        <f t="shared" si="7"/>
        <v>1.3691503426605844</v>
      </c>
      <c r="T29" s="87">
        <f t="shared" si="8"/>
        <v>0</v>
      </c>
      <c r="U29" s="87">
        <f t="shared" si="9"/>
        <v>3.7948252184025124</v>
      </c>
      <c r="V29" s="87">
        <f t="shared" si="10"/>
        <v>1.1930068123377993</v>
      </c>
      <c r="W29" s="120">
        <f t="shared" si="11"/>
        <v>0.79533787489186614</v>
      </c>
    </row>
    <row r="30" spans="2:23">
      <c r="B30" s="116">
        <f>Amnt_Deposited!B25</f>
        <v>2011</v>
      </c>
      <c r="C30" s="119">
        <f>Amnt_Deposited!C25</f>
        <v>0</v>
      </c>
      <c r="D30" s="453">
        <f>Dry_Matter_Content!C17</f>
        <v>0.59</v>
      </c>
      <c r="E30" s="319">
        <f>MCF!R29</f>
        <v>0.8</v>
      </c>
      <c r="F30" s="87">
        <f t="shared" si="5"/>
        <v>0</v>
      </c>
      <c r="G30" s="87">
        <f t="shared" si="0"/>
        <v>0</v>
      </c>
      <c r="H30" s="87">
        <f t="shared" si="1"/>
        <v>0</v>
      </c>
      <c r="I30" s="87">
        <f t="shared" si="2"/>
        <v>1.2306649994238208</v>
      </c>
      <c r="J30" s="87">
        <f t="shared" si="3"/>
        <v>0.60527144123931464</v>
      </c>
      <c r="K30" s="120">
        <f t="shared" si="6"/>
        <v>0.4035142941595431</v>
      </c>
      <c r="O30" s="116">
        <f>Amnt_Deposited!B25</f>
        <v>2011</v>
      </c>
      <c r="P30" s="119">
        <f>Amnt_Deposited!C25</f>
        <v>0</v>
      </c>
      <c r="Q30" s="319">
        <f>MCF!R29</f>
        <v>0.8</v>
      </c>
      <c r="R30" s="87">
        <f t="shared" si="4"/>
        <v>0</v>
      </c>
      <c r="S30" s="87">
        <f t="shared" si="7"/>
        <v>0</v>
      </c>
      <c r="T30" s="87">
        <f t="shared" si="8"/>
        <v>0</v>
      </c>
      <c r="U30" s="87">
        <f t="shared" si="9"/>
        <v>2.5437474150967772</v>
      </c>
      <c r="V30" s="87">
        <f t="shared" si="10"/>
        <v>1.2510778033057353</v>
      </c>
      <c r="W30" s="120">
        <f t="shared" si="11"/>
        <v>0.8340518688704901</v>
      </c>
    </row>
    <row r="31" spans="2:23">
      <c r="B31" s="116">
        <f>Amnt_Deposited!B26</f>
        <v>2012</v>
      </c>
      <c r="C31" s="119">
        <f>Amnt_Deposited!C26</f>
        <v>0</v>
      </c>
      <c r="D31" s="453">
        <f>Dry_Matter_Content!C18</f>
        <v>0.59</v>
      </c>
      <c r="E31" s="319">
        <f>MCF!R30</f>
        <v>0.8</v>
      </c>
      <c r="F31" s="87">
        <f t="shared" si="5"/>
        <v>0</v>
      </c>
      <c r="G31" s="87">
        <f t="shared" si="0"/>
        <v>0</v>
      </c>
      <c r="H31" s="87">
        <f t="shared" si="1"/>
        <v>0</v>
      </c>
      <c r="I31" s="87">
        <f t="shared" si="2"/>
        <v>0.82493941906822565</v>
      </c>
      <c r="J31" s="87">
        <f t="shared" si="3"/>
        <v>0.40572558035559519</v>
      </c>
      <c r="K31" s="120">
        <f t="shared" si="6"/>
        <v>0.27048372023706346</v>
      </c>
      <c r="O31" s="116">
        <f>Amnt_Deposited!B26</f>
        <v>2012</v>
      </c>
      <c r="P31" s="119">
        <f>Amnt_Deposited!C26</f>
        <v>0</v>
      </c>
      <c r="Q31" s="319">
        <f>MCF!R30</f>
        <v>0.8</v>
      </c>
      <c r="R31" s="87">
        <f t="shared" si="4"/>
        <v>0</v>
      </c>
      <c r="S31" s="87">
        <f t="shared" si="7"/>
        <v>0</v>
      </c>
      <c r="T31" s="87">
        <f t="shared" si="8"/>
        <v>0</v>
      </c>
      <c r="U31" s="87">
        <f t="shared" si="9"/>
        <v>1.7051248843907103</v>
      </c>
      <c r="V31" s="87">
        <f t="shared" si="10"/>
        <v>0.83862253070606696</v>
      </c>
      <c r="W31" s="120">
        <f t="shared" si="11"/>
        <v>0.55908168713737794</v>
      </c>
    </row>
    <row r="32" spans="2:23">
      <c r="B32" s="116">
        <f>Amnt_Deposited!B27</f>
        <v>2013</v>
      </c>
      <c r="C32" s="119">
        <f>Amnt_Deposited!C27</f>
        <v>0</v>
      </c>
      <c r="D32" s="453">
        <f>Dry_Matter_Content!C19</f>
        <v>0.59</v>
      </c>
      <c r="E32" s="319">
        <f>MCF!R31</f>
        <v>0.8</v>
      </c>
      <c r="F32" s="87">
        <f t="shared" si="5"/>
        <v>0</v>
      </c>
      <c r="G32" s="87">
        <f t="shared" si="0"/>
        <v>0</v>
      </c>
      <c r="H32" s="87">
        <f t="shared" si="1"/>
        <v>0</v>
      </c>
      <c r="I32" s="87">
        <f t="shared" si="2"/>
        <v>0.55297342936642657</v>
      </c>
      <c r="J32" s="87">
        <f t="shared" si="3"/>
        <v>0.27196598970179908</v>
      </c>
      <c r="K32" s="120">
        <f t="shared" si="6"/>
        <v>0.18131065980119937</v>
      </c>
      <c r="O32" s="116">
        <f>Amnt_Deposited!B27</f>
        <v>2013</v>
      </c>
      <c r="P32" s="119">
        <f>Amnt_Deposited!C27</f>
        <v>0</v>
      </c>
      <c r="Q32" s="319">
        <f>MCF!R31</f>
        <v>0.8</v>
      </c>
      <c r="R32" s="87">
        <f t="shared" si="4"/>
        <v>0</v>
      </c>
      <c r="S32" s="87">
        <f t="shared" si="7"/>
        <v>0</v>
      </c>
      <c r="T32" s="87">
        <f t="shared" si="8"/>
        <v>0</v>
      </c>
      <c r="U32" s="87">
        <f t="shared" si="9"/>
        <v>1.1429793910012951</v>
      </c>
      <c r="V32" s="87">
        <f t="shared" si="10"/>
        <v>0.56214549338941522</v>
      </c>
      <c r="W32" s="120">
        <f t="shared" si="11"/>
        <v>0.37476366225961011</v>
      </c>
    </row>
    <row r="33" spans="2:23">
      <c r="B33" s="116">
        <f>Amnt_Deposited!B28</f>
        <v>2014</v>
      </c>
      <c r="C33" s="119">
        <f>Amnt_Deposited!C28</f>
        <v>0</v>
      </c>
      <c r="D33" s="453">
        <f>Dry_Matter_Content!C20</f>
        <v>0.59</v>
      </c>
      <c r="E33" s="319">
        <f>MCF!R32</f>
        <v>0.8</v>
      </c>
      <c r="F33" s="87">
        <f t="shared" si="5"/>
        <v>0</v>
      </c>
      <c r="G33" s="87">
        <f t="shared" si="0"/>
        <v>0</v>
      </c>
      <c r="H33" s="87">
        <f t="shared" si="1"/>
        <v>0</v>
      </c>
      <c r="I33" s="87">
        <f t="shared" si="2"/>
        <v>0.37066917462938842</v>
      </c>
      <c r="J33" s="87">
        <f t="shared" si="3"/>
        <v>0.18230425473703815</v>
      </c>
      <c r="K33" s="120">
        <f t="shared" si="6"/>
        <v>0.12153616982469209</v>
      </c>
      <c r="O33" s="116">
        <f>Amnt_Deposited!B28</f>
        <v>2014</v>
      </c>
      <c r="P33" s="119">
        <f>Amnt_Deposited!C28</f>
        <v>0</v>
      </c>
      <c r="Q33" s="319">
        <f>MCF!R32</f>
        <v>0.8</v>
      </c>
      <c r="R33" s="87">
        <f t="shared" si="4"/>
        <v>0</v>
      </c>
      <c r="S33" s="87">
        <f t="shared" si="7"/>
        <v>0</v>
      </c>
      <c r="T33" s="87">
        <f t="shared" si="8"/>
        <v>0</v>
      </c>
      <c r="U33" s="87">
        <f t="shared" si="9"/>
        <v>0.76616199799377516</v>
      </c>
      <c r="V33" s="87">
        <f t="shared" si="10"/>
        <v>0.37681739300751999</v>
      </c>
      <c r="W33" s="120">
        <f t="shared" si="11"/>
        <v>0.25121159533834664</v>
      </c>
    </row>
    <row r="34" spans="2:23">
      <c r="B34" s="116">
        <f>Amnt_Deposited!B29</f>
        <v>2015</v>
      </c>
      <c r="C34" s="119">
        <f>Amnt_Deposited!C29</f>
        <v>0</v>
      </c>
      <c r="D34" s="453">
        <f>Dry_Matter_Content!C21</f>
        <v>0.59</v>
      </c>
      <c r="E34" s="319">
        <f>MCF!R33</f>
        <v>0.8</v>
      </c>
      <c r="F34" s="87">
        <f t="shared" si="5"/>
        <v>0</v>
      </c>
      <c r="G34" s="87">
        <f t="shared" si="0"/>
        <v>0</v>
      </c>
      <c r="H34" s="87">
        <f t="shared" si="1"/>
        <v>0</v>
      </c>
      <c r="I34" s="87">
        <f t="shared" si="2"/>
        <v>0.24846697820156408</v>
      </c>
      <c r="J34" s="87">
        <f t="shared" si="3"/>
        <v>0.12220219642782434</v>
      </c>
      <c r="K34" s="120">
        <f t="shared" si="6"/>
        <v>8.1468130951882892E-2</v>
      </c>
      <c r="O34" s="116">
        <f>Amnt_Deposited!B29</f>
        <v>2015</v>
      </c>
      <c r="P34" s="119">
        <f>Amnt_Deposited!C29</f>
        <v>0</v>
      </c>
      <c r="Q34" s="319">
        <f>MCF!R33</f>
        <v>0.8</v>
      </c>
      <c r="R34" s="87">
        <f t="shared" si="4"/>
        <v>0</v>
      </c>
      <c r="S34" s="87">
        <f t="shared" si="7"/>
        <v>0</v>
      </c>
      <c r="T34" s="87">
        <f t="shared" si="8"/>
        <v>0</v>
      </c>
      <c r="U34" s="87">
        <f t="shared" si="9"/>
        <v>0.51357374576594472</v>
      </c>
      <c r="V34" s="87">
        <f t="shared" si="10"/>
        <v>0.25258825222783038</v>
      </c>
      <c r="W34" s="120">
        <f t="shared" si="11"/>
        <v>0.1683921681518869</v>
      </c>
    </row>
    <row r="35" spans="2:23">
      <c r="B35" s="116">
        <f>Amnt_Deposited!B30</f>
        <v>2016</v>
      </c>
      <c r="C35" s="119">
        <f>Amnt_Deposited!C30</f>
        <v>0</v>
      </c>
      <c r="D35" s="453">
        <f>Dry_Matter_Content!C22</f>
        <v>0.59</v>
      </c>
      <c r="E35" s="319">
        <f>MCF!R34</f>
        <v>0.8</v>
      </c>
      <c r="F35" s="87">
        <f t="shared" si="5"/>
        <v>0</v>
      </c>
      <c r="G35" s="87">
        <f t="shared" si="0"/>
        <v>0</v>
      </c>
      <c r="H35" s="87">
        <f t="shared" si="1"/>
        <v>0</v>
      </c>
      <c r="I35" s="87">
        <f t="shared" si="2"/>
        <v>0.16655239626640864</v>
      </c>
      <c r="J35" s="87">
        <f t="shared" si="3"/>
        <v>8.1914581935155453E-2</v>
      </c>
      <c r="K35" s="120">
        <f t="shared" si="6"/>
        <v>5.4609721290103636E-2</v>
      </c>
      <c r="O35" s="116">
        <f>Amnt_Deposited!B30</f>
        <v>2016</v>
      </c>
      <c r="P35" s="119">
        <f>Amnt_Deposited!C30</f>
        <v>0</v>
      </c>
      <c r="Q35" s="319">
        <f>MCF!R34</f>
        <v>0.8</v>
      </c>
      <c r="R35" s="87">
        <f t="shared" si="4"/>
        <v>0</v>
      </c>
      <c r="S35" s="87">
        <f t="shared" si="7"/>
        <v>0</v>
      </c>
      <c r="T35" s="87">
        <f t="shared" si="8"/>
        <v>0</v>
      </c>
      <c r="U35" s="87">
        <f t="shared" si="9"/>
        <v>0.34425877690452378</v>
      </c>
      <c r="V35" s="87">
        <f t="shared" si="10"/>
        <v>0.16931496886142092</v>
      </c>
      <c r="W35" s="120">
        <f t="shared" si="11"/>
        <v>0.11287664590761394</v>
      </c>
    </row>
    <row r="36" spans="2:23">
      <c r="B36" s="116">
        <f>Amnt_Deposited!B31</f>
        <v>2017</v>
      </c>
      <c r="C36" s="119">
        <f>Amnt_Deposited!C31</f>
        <v>0</v>
      </c>
      <c r="D36" s="453">
        <f>Dry_Matter_Content!C23</f>
        <v>0.59</v>
      </c>
      <c r="E36" s="319">
        <f>MCF!R35</f>
        <v>0.8</v>
      </c>
      <c r="F36" s="87">
        <f t="shared" si="5"/>
        <v>0</v>
      </c>
      <c r="G36" s="87">
        <f t="shared" si="0"/>
        <v>0</v>
      </c>
      <c r="H36" s="87">
        <f t="shared" si="1"/>
        <v>0</v>
      </c>
      <c r="I36" s="87">
        <f t="shared" si="2"/>
        <v>0.11164340993264509</v>
      </c>
      <c r="J36" s="87">
        <f t="shared" si="3"/>
        <v>5.4908986333763558E-2</v>
      </c>
      <c r="K36" s="120">
        <f t="shared" si="6"/>
        <v>3.6605990889175703E-2</v>
      </c>
      <c r="O36" s="116">
        <f>Amnt_Deposited!B31</f>
        <v>2017</v>
      </c>
      <c r="P36" s="119">
        <f>Amnt_Deposited!C31</f>
        <v>0</v>
      </c>
      <c r="Q36" s="319">
        <f>MCF!R35</f>
        <v>0.8</v>
      </c>
      <c r="R36" s="87">
        <f t="shared" si="4"/>
        <v>0</v>
      </c>
      <c r="S36" s="87">
        <f t="shared" si="7"/>
        <v>0</v>
      </c>
      <c r="T36" s="87">
        <f t="shared" si="8"/>
        <v>0</v>
      </c>
      <c r="U36" s="87">
        <f t="shared" si="9"/>
        <v>0.23076355918281327</v>
      </c>
      <c r="V36" s="87">
        <f t="shared" si="10"/>
        <v>0.11349521772171051</v>
      </c>
      <c r="W36" s="120">
        <f t="shared" si="11"/>
        <v>7.5663478481140328E-2</v>
      </c>
    </row>
    <row r="37" spans="2:23">
      <c r="B37" s="116">
        <f>Amnt_Deposited!B32</f>
        <v>2018</v>
      </c>
      <c r="C37" s="119">
        <f>Amnt_Deposited!C32</f>
        <v>0</v>
      </c>
      <c r="D37" s="453">
        <f>Dry_Matter_Content!C24</f>
        <v>0.59</v>
      </c>
      <c r="E37" s="319">
        <f>MCF!R36</f>
        <v>0.8</v>
      </c>
      <c r="F37" s="87">
        <f t="shared" si="5"/>
        <v>0</v>
      </c>
      <c r="G37" s="87">
        <f t="shared" si="0"/>
        <v>0</v>
      </c>
      <c r="H37" s="87">
        <f t="shared" si="1"/>
        <v>0</v>
      </c>
      <c r="I37" s="87">
        <f t="shared" si="2"/>
        <v>7.4836815685626404E-2</v>
      </c>
      <c r="J37" s="87">
        <f t="shared" si="3"/>
        <v>3.6806594247018681E-2</v>
      </c>
      <c r="K37" s="120">
        <f t="shared" si="6"/>
        <v>2.4537729498012452E-2</v>
      </c>
      <c r="O37" s="116">
        <f>Amnt_Deposited!B32</f>
        <v>2018</v>
      </c>
      <c r="P37" s="119">
        <f>Amnt_Deposited!C32</f>
        <v>0</v>
      </c>
      <c r="Q37" s="319">
        <f>MCF!R36</f>
        <v>0.8</v>
      </c>
      <c r="R37" s="87">
        <f t="shared" si="4"/>
        <v>0</v>
      </c>
      <c r="S37" s="87">
        <f t="shared" si="7"/>
        <v>0</v>
      </c>
      <c r="T37" s="87">
        <f t="shared" si="8"/>
        <v>0</v>
      </c>
      <c r="U37" s="87">
        <f t="shared" si="9"/>
        <v>0.15468543961477138</v>
      </c>
      <c r="V37" s="87">
        <f t="shared" si="10"/>
        <v>7.6078119568041905E-2</v>
      </c>
      <c r="W37" s="120">
        <f t="shared" si="11"/>
        <v>5.0718746378694599E-2</v>
      </c>
    </row>
    <row r="38" spans="2:23">
      <c r="B38" s="116">
        <f>Amnt_Deposited!B33</f>
        <v>2019</v>
      </c>
      <c r="C38" s="119">
        <f>Amnt_Deposited!C33</f>
        <v>0</v>
      </c>
      <c r="D38" s="453">
        <f>Dry_Matter_Content!C25</f>
        <v>0.59</v>
      </c>
      <c r="E38" s="319">
        <f>MCF!R37</f>
        <v>0.8</v>
      </c>
      <c r="F38" s="87">
        <f t="shared" si="5"/>
        <v>0</v>
      </c>
      <c r="G38" s="87">
        <f t="shared" si="0"/>
        <v>0</v>
      </c>
      <c r="H38" s="87">
        <f t="shared" si="1"/>
        <v>0</v>
      </c>
      <c r="I38" s="87">
        <f t="shared" si="2"/>
        <v>5.0164617735549748E-2</v>
      </c>
      <c r="J38" s="87">
        <f t="shared" si="3"/>
        <v>2.4672197950076656E-2</v>
      </c>
      <c r="K38" s="120">
        <f t="shared" si="6"/>
        <v>1.644813196671777E-2</v>
      </c>
      <c r="O38" s="116">
        <f>Amnt_Deposited!B33</f>
        <v>2019</v>
      </c>
      <c r="P38" s="119">
        <f>Amnt_Deposited!C33</f>
        <v>0</v>
      </c>
      <c r="Q38" s="319">
        <f>MCF!R37</f>
        <v>0.8</v>
      </c>
      <c r="R38" s="87">
        <f t="shared" si="4"/>
        <v>0</v>
      </c>
      <c r="S38" s="87">
        <f t="shared" si="7"/>
        <v>0</v>
      </c>
      <c r="T38" s="87">
        <f t="shared" si="8"/>
        <v>0</v>
      </c>
      <c r="U38" s="87">
        <f t="shared" si="9"/>
        <v>0.10368875100361666</v>
      </c>
      <c r="V38" s="87">
        <f t="shared" si="10"/>
        <v>5.0996688611154722E-2</v>
      </c>
      <c r="W38" s="120">
        <f t="shared" si="11"/>
        <v>3.3997792407436479E-2</v>
      </c>
    </row>
    <row r="39" spans="2:23">
      <c r="B39" s="116">
        <f>Amnt_Deposited!B34</f>
        <v>2020</v>
      </c>
      <c r="C39" s="119">
        <f>Amnt_Deposited!C34</f>
        <v>0</v>
      </c>
      <c r="D39" s="453">
        <f>Dry_Matter_Content!C26</f>
        <v>0.59</v>
      </c>
      <c r="E39" s="319">
        <f>MCF!R38</f>
        <v>0.8</v>
      </c>
      <c r="F39" s="87">
        <f t="shared" si="5"/>
        <v>0</v>
      </c>
      <c r="G39" s="87">
        <f t="shared" si="0"/>
        <v>0</v>
      </c>
      <c r="H39" s="87">
        <f t="shared" si="1"/>
        <v>0</v>
      </c>
      <c r="I39" s="87">
        <f t="shared" si="2"/>
        <v>3.3626348869853953E-2</v>
      </c>
      <c r="J39" s="87">
        <f t="shared" si="3"/>
        <v>1.6538268865695791E-2</v>
      </c>
      <c r="K39" s="120">
        <f t="shared" si="6"/>
        <v>1.1025512577130527E-2</v>
      </c>
      <c r="O39" s="116">
        <f>Amnt_Deposited!B34</f>
        <v>2020</v>
      </c>
      <c r="P39" s="119">
        <f>Amnt_Deposited!C34</f>
        <v>0</v>
      </c>
      <c r="Q39" s="319">
        <f>MCF!R38</f>
        <v>0.8</v>
      </c>
      <c r="R39" s="87">
        <f t="shared" si="4"/>
        <v>0</v>
      </c>
      <c r="S39" s="87">
        <f t="shared" si="7"/>
        <v>0</v>
      </c>
      <c r="T39" s="87">
        <f t="shared" si="8"/>
        <v>0</v>
      </c>
      <c r="U39" s="87">
        <f t="shared" si="9"/>
        <v>6.9504648346122258E-2</v>
      </c>
      <c r="V39" s="87">
        <f t="shared" si="10"/>
        <v>3.4184102657494393E-2</v>
      </c>
      <c r="W39" s="120">
        <f t="shared" si="11"/>
        <v>2.2789401771662929E-2</v>
      </c>
    </row>
    <row r="40" spans="2:23">
      <c r="B40" s="116">
        <f>Amnt_Deposited!B35</f>
        <v>2021</v>
      </c>
      <c r="C40" s="119">
        <f>Amnt_Deposited!C35</f>
        <v>0</v>
      </c>
      <c r="D40" s="453">
        <f>Dry_Matter_Content!C27</f>
        <v>0.59</v>
      </c>
      <c r="E40" s="319">
        <f>MCF!R39</f>
        <v>0.8</v>
      </c>
      <c r="F40" s="87">
        <f t="shared" si="5"/>
        <v>0</v>
      </c>
      <c r="G40" s="87">
        <f t="shared" si="0"/>
        <v>0</v>
      </c>
      <c r="H40" s="87">
        <f t="shared" si="1"/>
        <v>0</v>
      </c>
      <c r="I40" s="87">
        <f t="shared" si="2"/>
        <v>2.2540415722450972E-2</v>
      </c>
      <c r="J40" s="87">
        <f t="shared" si="3"/>
        <v>1.1085933147402983E-2</v>
      </c>
      <c r="K40" s="120">
        <f t="shared" si="6"/>
        <v>7.3906220982686548E-3</v>
      </c>
      <c r="O40" s="116">
        <f>Amnt_Deposited!B35</f>
        <v>2021</v>
      </c>
      <c r="P40" s="119">
        <f>Amnt_Deposited!C35</f>
        <v>0</v>
      </c>
      <c r="Q40" s="319">
        <f>MCF!R39</f>
        <v>0.8</v>
      </c>
      <c r="R40" s="87">
        <f t="shared" si="4"/>
        <v>0</v>
      </c>
      <c r="S40" s="87">
        <f t="shared" si="7"/>
        <v>0</v>
      </c>
      <c r="T40" s="87">
        <f t="shared" si="8"/>
        <v>0</v>
      </c>
      <c r="U40" s="87">
        <f t="shared" si="9"/>
        <v>4.6590359079063594E-2</v>
      </c>
      <c r="V40" s="87">
        <f t="shared" si="10"/>
        <v>2.2914289267058664E-2</v>
      </c>
      <c r="W40" s="120">
        <f t="shared" si="11"/>
        <v>1.5276192844705775E-2</v>
      </c>
    </row>
    <row r="41" spans="2:23">
      <c r="B41" s="116">
        <f>Amnt_Deposited!B36</f>
        <v>2022</v>
      </c>
      <c r="C41" s="119">
        <f>Amnt_Deposited!C36</f>
        <v>0</v>
      </c>
      <c r="D41" s="453">
        <f>Dry_Matter_Content!C28</f>
        <v>0.59</v>
      </c>
      <c r="E41" s="319">
        <f>MCF!R40</f>
        <v>0.8</v>
      </c>
      <c r="F41" s="87">
        <f t="shared" si="5"/>
        <v>0</v>
      </c>
      <c r="G41" s="87">
        <f t="shared" si="0"/>
        <v>0</v>
      </c>
      <c r="H41" s="87">
        <f t="shared" si="1"/>
        <v>0</v>
      </c>
      <c r="I41" s="87">
        <f t="shared" si="2"/>
        <v>1.5109292504735784E-2</v>
      </c>
      <c r="J41" s="87">
        <f t="shared" si="3"/>
        <v>7.4311232177151874E-3</v>
      </c>
      <c r="K41" s="120">
        <f t="shared" si="6"/>
        <v>4.9540821451434583E-3</v>
      </c>
      <c r="O41" s="116">
        <f>Amnt_Deposited!B36</f>
        <v>2022</v>
      </c>
      <c r="P41" s="119">
        <f>Amnt_Deposited!C36</f>
        <v>0</v>
      </c>
      <c r="Q41" s="319">
        <f>MCF!R40</f>
        <v>0.8</v>
      </c>
      <c r="R41" s="87">
        <f t="shared" si="4"/>
        <v>0</v>
      </c>
      <c r="S41" s="87">
        <f t="shared" si="7"/>
        <v>0</v>
      </c>
      <c r="T41" s="87">
        <f t="shared" si="8"/>
        <v>0</v>
      </c>
      <c r="U41" s="87">
        <f t="shared" si="9"/>
        <v>3.1230451642694876E-2</v>
      </c>
      <c r="V41" s="87">
        <f t="shared" si="10"/>
        <v>1.535990743636872E-2</v>
      </c>
      <c r="W41" s="120">
        <f t="shared" si="11"/>
        <v>1.0239938290912479E-2</v>
      </c>
    </row>
    <row r="42" spans="2:23">
      <c r="B42" s="116">
        <f>Amnt_Deposited!B37</f>
        <v>2023</v>
      </c>
      <c r="C42" s="119">
        <f>Amnt_Deposited!C37</f>
        <v>0</v>
      </c>
      <c r="D42" s="453">
        <f>Dry_Matter_Content!C29</f>
        <v>0.59</v>
      </c>
      <c r="E42" s="319">
        <f>MCF!R41</f>
        <v>0.8</v>
      </c>
      <c r="F42" s="87">
        <f t="shared" si="5"/>
        <v>0</v>
      </c>
      <c r="G42" s="87">
        <f t="shared" si="0"/>
        <v>0</v>
      </c>
      <c r="H42" s="87">
        <f t="shared" si="1"/>
        <v>0</v>
      </c>
      <c r="I42" s="87">
        <f t="shared" si="2"/>
        <v>1.0128061647340432E-2</v>
      </c>
      <c r="J42" s="87">
        <f t="shared" si="3"/>
        <v>4.9812308573953532E-3</v>
      </c>
      <c r="K42" s="120">
        <f t="shared" si="6"/>
        <v>3.3208205715969021E-3</v>
      </c>
      <c r="O42" s="116">
        <f>Amnt_Deposited!B37</f>
        <v>2023</v>
      </c>
      <c r="P42" s="119">
        <f>Amnt_Deposited!C37</f>
        <v>0</v>
      </c>
      <c r="Q42" s="319">
        <f>MCF!R41</f>
        <v>0.8</v>
      </c>
      <c r="R42" s="87">
        <f t="shared" si="4"/>
        <v>0</v>
      </c>
      <c r="S42" s="87">
        <f t="shared" si="7"/>
        <v>0</v>
      </c>
      <c r="T42" s="87">
        <f t="shared" si="8"/>
        <v>0</v>
      </c>
      <c r="U42" s="87">
        <f t="shared" si="9"/>
        <v>2.0934397782845036E-2</v>
      </c>
      <c r="V42" s="87">
        <f t="shared" si="10"/>
        <v>1.0296053859849838E-2</v>
      </c>
      <c r="W42" s="120">
        <f t="shared" si="11"/>
        <v>6.8640359065665589E-3</v>
      </c>
    </row>
    <row r="43" spans="2:23">
      <c r="B43" s="116">
        <f>Amnt_Deposited!B38</f>
        <v>2024</v>
      </c>
      <c r="C43" s="119">
        <f>Amnt_Deposited!C38</f>
        <v>0</v>
      </c>
      <c r="D43" s="453">
        <f>Dry_Matter_Content!C30</f>
        <v>0.59</v>
      </c>
      <c r="E43" s="319">
        <f>MCF!R42</f>
        <v>0.8</v>
      </c>
      <c r="F43" s="87">
        <f t="shared" si="5"/>
        <v>0</v>
      </c>
      <c r="G43" s="87">
        <f t="shared" si="0"/>
        <v>0</v>
      </c>
      <c r="H43" s="87">
        <f t="shared" si="1"/>
        <v>0</v>
      </c>
      <c r="I43" s="87">
        <f t="shared" si="2"/>
        <v>6.7890427496970314E-3</v>
      </c>
      <c r="J43" s="87">
        <f t="shared" si="3"/>
        <v>3.3390188976434006E-3</v>
      </c>
      <c r="K43" s="120">
        <f t="shared" si="6"/>
        <v>2.2260125984289334E-3</v>
      </c>
      <c r="O43" s="116">
        <f>Amnt_Deposited!B38</f>
        <v>2024</v>
      </c>
      <c r="P43" s="119">
        <f>Amnt_Deposited!C38</f>
        <v>0</v>
      </c>
      <c r="Q43" s="319">
        <f>MCF!R42</f>
        <v>0.8</v>
      </c>
      <c r="R43" s="87">
        <f t="shared" si="4"/>
        <v>0</v>
      </c>
      <c r="S43" s="87">
        <f t="shared" si="7"/>
        <v>0</v>
      </c>
      <c r="T43" s="87">
        <f t="shared" si="8"/>
        <v>0</v>
      </c>
      <c r="U43" s="87">
        <f t="shared" si="9"/>
        <v>1.403274648552507E-2</v>
      </c>
      <c r="V43" s="87">
        <f t="shared" si="10"/>
        <v>6.9016512973199655E-3</v>
      </c>
      <c r="W43" s="120">
        <f t="shared" si="11"/>
        <v>4.601100864879977E-3</v>
      </c>
    </row>
    <row r="44" spans="2:23">
      <c r="B44" s="116">
        <f>Amnt_Deposited!B39</f>
        <v>2025</v>
      </c>
      <c r="C44" s="119">
        <f>Amnt_Deposited!C39</f>
        <v>0</v>
      </c>
      <c r="D44" s="453">
        <f>Dry_Matter_Content!C31</f>
        <v>0.59</v>
      </c>
      <c r="E44" s="319">
        <f>MCF!R43</f>
        <v>0.8</v>
      </c>
      <c r="F44" s="87">
        <f t="shared" si="5"/>
        <v>0</v>
      </c>
      <c r="G44" s="87">
        <f t="shared" si="0"/>
        <v>0</v>
      </c>
      <c r="H44" s="87">
        <f t="shared" si="1"/>
        <v>0</v>
      </c>
      <c r="I44" s="87">
        <f t="shared" si="2"/>
        <v>4.5508314485148372E-3</v>
      </c>
      <c r="J44" s="87">
        <f t="shared" si="3"/>
        <v>2.2382113011821937E-3</v>
      </c>
      <c r="K44" s="120">
        <f t="shared" si="6"/>
        <v>1.4921408674547958E-3</v>
      </c>
      <c r="O44" s="116">
        <f>Amnt_Deposited!B39</f>
        <v>2025</v>
      </c>
      <c r="P44" s="119">
        <f>Amnt_Deposited!C39</f>
        <v>0</v>
      </c>
      <c r="Q44" s="319">
        <f>MCF!R43</f>
        <v>0.8</v>
      </c>
      <c r="R44" s="87">
        <f t="shared" si="4"/>
        <v>0</v>
      </c>
      <c r="S44" s="87">
        <f t="shared" si="7"/>
        <v>0</v>
      </c>
      <c r="T44" s="87">
        <f t="shared" si="8"/>
        <v>0</v>
      </c>
      <c r="U44" s="87">
        <f t="shared" si="9"/>
        <v>9.4064312701836218E-3</v>
      </c>
      <c r="V44" s="87">
        <f t="shared" si="10"/>
        <v>4.6263152153414493E-3</v>
      </c>
      <c r="W44" s="120">
        <f t="shared" si="11"/>
        <v>3.0842101435609661E-3</v>
      </c>
    </row>
    <row r="45" spans="2:23">
      <c r="B45" s="116">
        <f>Amnt_Deposited!B40</f>
        <v>2026</v>
      </c>
      <c r="C45" s="119">
        <f>Amnt_Deposited!C40</f>
        <v>0</v>
      </c>
      <c r="D45" s="453">
        <f>Dry_Matter_Content!C32</f>
        <v>0.59</v>
      </c>
      <c r="E45" s="319">
        <f>MCF!R44</f>
        <v>0.8</v>
      </c>
      <c r="F45" s="87">
        <f t="shared" si="5"/>
        <v>0</v>
      </c>
      <c r="G45" s="87">
        <f t="shared" si="0"/>
        <v>0</v>
      </c>
      <c r="H45" s="87">
        <f t="shared" si="1"/>
        <v>0</v>
      </c>
      <c r="I45" s="87">
        <f t="shared" si="2"/>
        <v>3.050513546068901E-3</v>
      </c>
      <c r="J45" s="87">
        <f t="shared" si="3"/>
        <v>1.5003179024459363E-3</v>
      </c>
      <c r="K45" s="120">
        <f t="shared" si="6"/>
        <v>1.0002119349639574E-3</v>
      </c>
      <c r="O45" s="116">
        <f>Amnt_Deposited!B40</f>
        <v>2026</v>
      </c>
      <c r="P45" s="119">
        <f>Amnt_Deposited!C40</f>
        <v>0</v>
      </c>
      <c r="Q45" s="319">
        <f>MCF!R44</f>
        <v>0.8</v>
      </c>
      <c r="R45" s="87">
        <f t="shared" si="4"/>
        <v>0</v>
      </c>
      <c r="S45" s="87">
        <f t="shared" si="7"/>
        <v>0</v>
      </c>
      <c r="T45" s="87">
        <f t="shared" si="8"/>
        <v>0</v>
      </c>
      <c r="U45" s="87">
        <f t="shared" si="9"/>
        <v>6.3053194420605628E-3</v>
      </c>
      <c r="V45" s="87">
        <f t="shared" si="10"/>
        <v>3.101111828123059E-3</v>
      </c>
      <c r="W45" s="120">
        <f t="shared" si="11"/>
        <v>2.0674078854153724E-3</v>
      </c>
    </row>
    <row r="46" spans="2:23">
      <c r="B46" s="116">
        <f>Amnt_Deposited!B41</f>
        <v>2027</v>
      </c>
      <c r="C46" s="119">
        <f>Amnt_Deposited!C41</f>
        <v>0</v>
      </c>
      <c r="D46" s="453">
        <f>Dry_Matter_Content!C33</f>
        <v>0.59</v>
      </c>
      <c r="E46" s="319">
        <f>MCF!R45</f>
        <v>0.8</v>
      </c>
      <c r="F46" s="87">
        <f t="shared" si="5"/>
        <v>0</v>
      </c>
      <c r="G46" s="87">
        <f t="shared" si="0"/>
        <v>0</v>
      </c>
      <c r="H46" s="87">
        <f t="shared" si="1"/>
        <v>0</v>
      </c>
      <c r="I46" s="87">
        <f t="shared" si="2"/>
        <v>2.0448203806332469E-3</v>
      </c>
      <c r="J46" s="87">
        <f t="shared" si="3"/>
        <v>1.0056931654356539E-3</v>
      </c>
      <c r="K46" s="120">
        <f t="shared" si="6"/>
        <v>6.7046211029043589E-4</v>
      </c>
      <c r="O46" s="116">
        <f>Amnt_Deposited!B41</f>
        <v>2027</v>
      </c>
      <c r="P46" s="119">
        <f>Amnt_Deposited!C41</f>
        <v>0</v>
      </c>
      <c r="Q46" s="319">
        <f>MCF!R45</f>
        <v>0.8</v>
      </c>
      <c r="R46" s="87">
        <f t="shared" si="4"/>
        <v>0</v>
      </c>
      <c r="S46" s="87">
        <f t="shared" si="7"/>
        <v>0</v>
      </c>
      <c r="T46" s="87">
        <f t="shared" si="8"/>
        <v>0</v>
      </c>
      <c r="U46" s="87">
        <f t="shared" si="9"/>
        <v>4.2265820186714485E-3</v>
      </c>
      <c r="V46" s="87">
        <f t="shared" si="10"/>
        <v>2.0787374233891148E-3</v>
      </c>
      <c r="W46" s="120">
        <f t="shared" si="11"/>
        <v>1.3858249489260765E-3</v>
      </c>
    </row>
    <row r="47" spans="2:23">
      <c r="B47" s="116">
        <f>Amnt_Deposited!B42</f>
        <v>2028</v>
      </c>
      <c r="C47" s="119">
        <f>Amnt_Deposited!C42</f>
        <v>0</v>
      </c>
      <c r="D47" s="453">
        <f>Dry_Matter_Content!C34</f>
        <v>0.59</v>
      </c>
      <c r="E47" s="319">
        <f>MCF!R46</f>
        <v>0.8</v>
      </c>
      <c r="F47" s="87">
        <f t="shared" si="5"/>
        <v>0</v>
      </c>
      <c r="G47" s="87">
        <f t="shared" si="0"/>
        <v>0</v>
      </c>
      <c r="H47" s="87">
        <f t="shared" si="1"/>
        <v>0</v>
      </c>
      <c r="I47" s="87">
        <f t="shared" si="2"/>
        <v>1.3706840916806915E-3</v>
      </c>
      <c r="J47" s="87">
        <f t="shared" si="3"/>
        <v>6.7413628895255534E-4</v>
      </c>
      <c r="K47" s="120">
        <f t="shared" si="6"/>
        <v>4.4942419263503685E-4</v>
      </c>
      <c r="O47" s="116">
        <f>Amnt_Deposited!B42</f>
        <v>2028</v>
      </c>
      <c r="P47" s="119">
        <f>Amnt_Deposited!C42</f>
        <v>0</v>
      </c>
      <c r="Q47" s="319">
        <f>MCF!R46</f>
        <v>0.8</v>
      </c>
      <c r="R47" s="87">
        <f t="shared" si="4"/>
        <v>0</v>
      </c>
      <c r="S47" s="87">
        <f t="shared" si="7"/>
        <v>0</v>
      </c>
      <c r="T47" s="87">
        <f t="shared" si="8"/>
        <v>0</v>
      </c>
      <c r="U47" s="87">
        <f t="shared" si="9"/>
        <v>2.8331626533292507E-3</v>
      </c>
      <c r="V47" s="87">
        <f t="shared" si="10"/>
        <v>1.3934193653421978E-3</v>
      </c>
      <c r="W47" s="120">
        <f t="shared" si="11"/>
        <v>9.2894624356146521E-4</v>
      </c>
    </row>
    <row r="48" spans="2:23">
      <c r="B48" s="116">
        <f>Amnt_Deposited!B43</f>
        <v>2029</v>
      </c>
      <c r="C48" s="119">
        <f>Amnt_Deposited!C43</f>
        <v>0</v>
      </c>
      <c r="D48" s="453">
        <f>Dry_Matter_Content!C35</f>
        <v>0.59</v>
      </c>
      <c r="E48" s="319">
        <f>MCF!R47</f>
        <v>0.8</v>
      </c>
      <c r="F48" s="87">
        <f t="shared" si="5"/>
        <v>0</v>
      </c>
      <c r="G48" s="87">
        <f t="shared" si="0"/>
        <v>0</v>
      </c>
      <c r="H48" s="87">
        <f t="shared" si="1"/>
        <v>0</v>
      </c>
      <c r="I48" s="87">
        <f t="shared" si="2"/>
        <v>9.1879702343571957E-4</v>
      </c>
      <c r="J48" s="87">
        <f t="shared" si="3"/>
        <v>4.5188706824497189E-4</v>
      </c>
      <c r="K48" s="120">
        <f t="shared" si="6"/>
        <v>3.0125804549664789E-4</v>
      </c>
      <c r="O48" s="116">
        <f>Amnt_Deposited!B43</f>
        <v>2029</v>
      </c>
      <c r="P48" s="119">
        <f>Amnt_Deposited!C43</f>
        <v>0</v>
      </c>
      <c r="Q48" s="319">
        <f>MCF!R47</f>
        <v>0.8</v>
      </c>
      <c r="R48" s="87">
        <f t="shared" si="4"/>
        <v>0</v>
      </c>
      <c r="S48" s="87">
        <f t="shared" si="7"/>
        <v>0</v>
      </c>
      <c r="T48" s="87">
        <f t="shared" si="8"/>
        <v>0</v>
      </c>
      <c r="U48" s="87">
        <f t="shared" si="9"/>
        <v>1.8991257202061174E-3</v>
      </c>
      <c r="V48" s="87">
        <f t="shared" si="10"/>
        <v>9.340369331231333E-4</v>
      </c>
      <c r="W48" s="120">
        <f t="shared" si="11"/>
        <v>6.2269128874875546E-4</v>
      </c>
    </row>
    <row r="49" spans="2:23">
      <c r="B49" s="116">
        <f>Amnt_Deposited!B44</f>
        <v>2030</v>
      </c>
      <c r="C49" s="119">
        <f>Amnt_Deposited!C44</f>
        <v>0</v>
      </c>
      <c r="D49" s="453">
        <f>Dry_Matter_Content!C36</f>
        <v>0.59</v>
      </c>
      <c r="E49" s="319">
        <f>MCF!R48</f>
        <v>0.8</v>
      </c>
      <c r="F49" s="87">
        <f t="shared" si="5"/>
        <v>0</v>
      </c>
      <c r="G49" s="87">
        <f t="shared" si="0"/>
        <v>0</v>
      </c>
      <c r="H49" s="87">
        <f t="shared" si="1"/>
        <v>0</v>
      </c>
      <c r="I49" s="87">
        <f t="shared" si="2"/>
        <v>6.1588806304683997E-4</v>
      </c>
      <c r="J49" s="87">
        <f t="shared" si="3"/>
        <v>3.0290896038887965E-4</v>
      </c>
      <c r="K49" s="120">
        <f t="shared" si="6"/>
        <v>2.0193930692591976E-4</v>
      </c>
      <c r="O49" s="116">
        <f>Amnt_Deposited!B44</f>
        <v>2030</v>
      </c>
      <c r="P49" s="119">
        <f>Amnt_Deposited!C44</f>
        <v>0</v>
      </c>
      <c r="Q49" s="319">
        <f>MCF!R48</f>
        <v>0.8</v>
      </c>
      <c r="R49" s="87">
        <f t="shared" si="4"/>
        <v>0</v>
      </c>
      <c r="S49" s="87">
        <f t="shared" si="7"/>
        <v>0</v>
      </c>
      <c r="T49" s="87">
        <f t="shared" si="8"/>
        <v>0</v>
      </c>
      <c r="U49" s="87">
        <f t="shared" si="9"/>
        <v>1.2730220401960314E-3</v>
      </c>
      <c r="V49" s="87">
        <f t="shared" si="10"/>
        <v>6.2610368001008603E-4</v>
      </c>
      <c r="W49" s="120">
        <f t="shared" si="11"/>
        <v>4.1740245334005732E-4</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4.1284211477435849E-4</v>
      </c>
      <c r="J50" s="87">
        <f t="shared" si="3"/>
        <v>2.0304594827248146E-4</v>
      </c>
      <c r="K50" s="120">
        <f t="shared" si="6"/>
        <v>1.3536396551498762E-4</v>
      </c>
      <c r="O50" s="116">
        <f>Amnt_Deposited!B45</f>
        <v>2031</v>
      </c>
      <c r="P50" s="119">
        <f>Amnt_Deposited!C45</f>
        <v>0</v>
      </c>
      <c r="Q50" s="319">
        <f>MCF!R49</f>
        <v>0.8</v>
      </c>
      <c r="R50" s="87">
        <f t="shared" si="4"/>
        <v>0</v>
      </c>
      <c r="S50" s="87">
        <f t="shared" si="7"/>
        <v>0</v>
      </c>
      <c r="T50" s="87">
        <f t="shared" si="8"/>
        <v>0</v>
      </c>
      <c r="U50" s="87">
        <f t="shared" si="9"/>
        <v>8.5333219258858727E-4</v>
      </c>
      <c r="V50" s="87">
        <f t="shared" si="10"/>
        <v>4.1968984760744414E-4</v>
      </c>
      <c r="W50" s="120">
        <f t="shared" si="11"/>
        <v>2.7979323173829606E-4</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2.7673634538099868E-4</v>
      </c>
      <c r="J51" s="87">
        <f t="shared" ref="J51:J82" si="16">I50*(1-$K$10)+H51</f>
        <v>1.3610576939335981E-4</v>
      </c>
      <c r="K51" s="120">
        <f t="shared" si="6"/>
        <v>9.0737179595573204E-5</v>
      </c>
      <c r="O51" s="116">
        <f>Amnt_Deposited!B46</f>
        <v>2032</v>
      </c>
      <c r="P51" s="119">
        <f>Amnt_Deposited!C46</f>
        <v>0</v>
      </c>
      <c r="Q51" s="319">
        <f>MCF!R50</f>
        <v>0.8</v>
      </c>
      <c r="R51" s="87">
        <f t="shared" ref="R51:R82" si="17">P51*$W$6*DOCF*Q51</f>
        <v>0</v>
      </c>
      <c r="S51" s="87">
        <f t="shared" si="7"/>
        <v>0</v>
      </c>
      <c r="T51" s="87">
        <f t="shared" si="8"/>
        <v>0</v>
      </c>
      <c r="U51" s="87">
        <f t="shared" si="9"/>
        <v>5.720056746196749E-4</v>
      </c>
      <c r="V51" s="87">
        <f t="shared" si="10"/>
        <v>2.8132651796891243E-4</v>
      </c>
      <c r="W51" s="120">
        <f t="shared" si="11"/>
        <v>1.8755101197927493E-4</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1.8550191977552562E-4</v>
      </c>
      <c r="J52" s="87">
        <f t="shared" si="16"/>
        <v>9.1234425605473052E-5</v>
      </c>
      <c r="K52" s="120">
        <f t="shared" si="6"/>
        <v>6.0822950403648699E-5</v>
      </c>
      <c r="O52" s="116">
        <f>Amnt_Deposited!B47</f>
        <v>2033</v>
      </c>
      <c r="P52" s="119">
        <f>Amnt_Deposited!C47</f>
        <v>0</v>
      </c>
      <c r="Q52" s="319">
        <f>MCF!R51</f>
        <v>0.8</v>
      </c>
      <c r="R52" s="87">
        <f t="shared" si="17"/>
        <v>0</v>
      </c>
      <c r="S52" s="87">
        <f t="shared" si="7"/>
        <v>0</v>
      </c>
      <c r="T52" s="87">
        <f t="shared" si="8"/>
        <v>0</v>
      </c>
      <c r="U52" s="87">
        <f t="shared" si="9"/>
        <v>3.8342687014370738E-4</v>
      </c>
      <c r="V52" s="87">
        <f t="shared" si="10"/>
        <v>1.8857880447596749E-4</v>
      </c>
      <c r="W52" s="120">
        <f t="shared" si="11"/>
        <v>1.2571920298397831E-4</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1.2434565540362982E-4</v>
      </c>
      <c r="J53" s="87">
        <f t="shared" si="16"/>
        <v>6.1156264371895817E-5</v>
      </c>
      <c r="K53" s="120">
        <f t="shared" si="6"/>
        <v>4.0770842914597209E-5</v>
      </c>
      <c r="O53" s="116">
        <f>Amnt_Deposited!B48</f>
        <v>2034</v>
      </c>
      <c r="P53" s="119">
        <f>Amnt_Deposited!C48</f>
        <v>0</v>
      </c>
      <c r="Q53" s="319">
        <f>MCF!R52</f>
        <v>0.8</v>
      </c>
      <c r="R53" s="87">
        <f t="shared" si="17"/>
        <v>0</v>
      </c>
      <c r="S53" s="87">
        <f t="shared" si="7"/>
        <v>0</v>
      </c>
      <c r="T53" s="87">
        <f t="shared" si="8"/>
        <v>0</v>
      </c>
      <c r="U53" s="87">
        <f t="shared" si="9"/>
        <v>2.5701871724603104E-4</v>
      </c>
      <c r="V53" s="87">
        <f t="shared" si="10"/>
        <v>1.2640815289767634E-4</v>
      </c>
      <c r="W53" s="120">
        <f t="shared" si="11"/>
        <v>8.427210193178423E-5</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8.3351385454492891E-5</v>
      </c>
      <c r="J54" s="87">
        <f t="shared" si="16"/>
        <v>4.0994269949136938E-5</v>
      </c>
      <c r="K54" s="120">
        <f t="shared" si="6"/>
        <v>2.7329513299424624E-5</v>
      </c>
      <c r="O54" s="116">
        <f>Amnt_Deposited!B49</f>
        <v>2035</v>
      </c>
      <c r="P54" s="119">
        <f>Amnt_Deposited!C49</f>
        <v>0</v>
      </c>
      <c r="Q54" s="319">
        <f>MCF!R53</f>
        <v>0.8</v>
      </c>
      <c r="R54" s="87">
        <f t="shared" si="17"/>
        <v>0</v>
      </c>
      <c r="S54" s="87">
        <f t="shared" si="7"/>
        <v>0</v>
      </c>
      <c r="T54" s="87">
        <f t="shared" si="8"/>
        <v>0</v>
      </c>
      <c r="U54" s="87">
        <f t="shared" si="9"/>
        <v>1.722847983763805E-4</v>
      </c>
      <c r="V54" s="87">
        <f t="shared" si="10"/>
        <v>8.4733918869650551E-5</v>
      </c>
      <c r="W54" s="120">
        <f t="shared" si="11"/>
        <v>5.6489279246433696E-5</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5.5872104534989995E-5</v>
      </c>
      <c r="J55" s="87">
        <f t="shared" si="16"/>
        <v>2.7479280919502899E-5</v>
      </c>
      <c r="K55" s="120">
        <f t="shared" si="6"/>
        <v>1.8319520613001933E-5</v>
      </c>
      <c r="O55" s="116">
        <f>Amnt_Deposited!B50</f>
        <v>2036</v>
      </c>
      <c r="P55" s="119">
        <f>Amnt_Deposited!C50</f>
        <v>0</v>
      </c>
      <c r="Q55" s="319">
        <f>MCF!R54</f>
        <v>0.8</v>
      </c>
      <c r="R55" s="87">
        <f t="shared" si="17"/>
        <v>0</v>
      </c>
      <c r="S55" s="87">
        <f t="shared" si="7"/>
        <v>0</v>
      </c>
      <c r="T55" s="87">
        <f t="shared" si="8"/>
        <v>0</v>
      </c>
      <c r="U55" s="87">
        <f t="shared" si="9"/>
        <v>1.1548595397889621E-4</v>
      </c>
      <c r="V55" s="87">
        <f t="shared" si="10"/>
        <v>5.6798844397484281E-5</v>
      </c>
      <c r="W55" s="120">
        <f t="shared" si="11"/>
        <v>3.7865896264989516E-5</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3.7452191684002546E-5</v>
      </c>
      <c r="J56" s="87">
        <f t="shared" si="16"/>
        <v>1.8419912850987448E-5</v>
      </c>
      <c r="K56" s="120">
        <f t="shared" si="6"/>
        <v>1.2279941900658298E-5</v>
      </c>
      <c r="O56" s="116">
        <f>Amnt_Deposited!B51</f>
        <v>2037</v>
      </c>
      <c r="P56" s="119">
        <f>Amnt_Deposited!C51</f>
        <v>0</v>
      </c>
      <c r="Q56" s="319">
        <f>MCF!R55</f>
        <v>0.8</v>
      </c>
      <c r="R56" s="87">
        <f t="shared" si="17"/>
        <v>0</v>
      </c>
      <c r="S56" s="87">
        <f t="shared" si="7"/>
        <v>0</v>
      </c>
      <c r="T56" s="87">
        <f t="shared" si="8"/>
        <v>0</v>
      </c>
      <c r="U56" s="87">
        <f t="shared" si="9"/>
        <v>7.741254998760343E-5</v>
      </c>
      <c r="V56" s="87">
        <f t="shared" si="10"/>
        <v>3.8073403991292777E-5</v>
      </c>
      <c r="W56" s="120">
        <f t="shared" si="11"/>
        <v>2.5382269327528516E-5</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2.5104954853756175E-5</v>
      </c>
      <c r="J57" s="87">
        <f t="shared" si="16"/>
        <v>1.2347236830246372E-5</v>
      </c>
      <c r="K57" s="120">
        <f t="shared" si="6"/>
        <v>8.2314912201642471E-6</v>
      </c>
      <c r="O57" s="116">
        <f>Amnt_Deposited!B52</f>
        <v>2038</v>
      </c>
      <c r="P57" s="119">
        <f>Amnt_Deposited!C52</f>
        <v>0</v>
      </c>
      <c r="Q57" s="319">
        <f>MCF!R56</f>
        <v>0.8</v>
      </c>
      <c r="R57" s="87">
        <f t="shared" si="17"/>
        <v>0</v>
      </c>
      <c r="S57" s="87">
        <f t="shared" si="7"/>
        <v>0</v>
      </c>
      <c r="T57" s="87">
        <f t="shared" si="8"/>
        <v>0</v>
      </c>
      <c r="U57" s="87">
        <f t="shared" si="9"/>
        <v>5.189118407142656E-5</v>
      </c>
      <c r="V57" s="87">
        <f t="shared" si="10"/>
        <v>2.5521365916176867E-5</v>
      </c>
      <c r="W57" s="120">
        <f t="shared" si="11"/>
        <v>1.701424394411791E-5</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1.6828354493292487E-5</v>
      </c>
      <c r="J58" s="87">
        <f t="shared" si="16"/>
        <v>8.276600360463688E-6</v>
      </c>
      <c r="K58" s="120">
        <f t="shared" si="6"/>
        <v>5.5177335736424587E-6</v>
      </c>
      <c r="O58" s="116">
        <f>Amnt_Deposited!B53</f>
        <v>2039</v>
      </c>
      <c r="P58" s="119">
        <f>Amnt_Deposited!C53</f>
        <v>0</v>
      </c>
      <c r="Q58" s="319">
        <f>MCF!R57</f>
        <v>0.8</v>
      </c>
      <c r="R58" s="87">
        <f t="shared" si="17"/>
        <v>0</v>
      </c>
      <c r="S58" s="87">
        <f t="shared" si="7"/>
        <v>0</v>
      </c>
      <c r="T58" s="87">
        <f t="shared" si="8"/>
        <v>0</v>
      </c>
      <c r="U58" s="87">
        <f t="shared" si="9"/>
        <v>3.4783700895602484E-5</v>
      </c>
      <c r="V58" s="87">
        <f t="shared" si="10"/>
        <v>1.7107483175824076E-5</v>
      </c>
      <c r="W58" s="120">
        <f t="shared" si="11"/>
        <v>1.1404988783882716E-5</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1.1280383358647878E-5</v>
      </c>
      <c r="J59" s="87">
        <f t="shared" si="16"/>
        <v>5.5479711346446088E-6</v>
      </c>
      <c r="K59" s="120">
        <f t="shared" si="6"/>
        <v>3.6986474230964057E-6</v>
      </c>
      <c r="O59" s="116">
        <f>Amnt_Deposited!B54</f>
        <v>2040</v>
      </c>
      <c r="P59" s="119">
        <f>Amnt_Deposited!C54</f>
        <v>0</v>
      </c>
      <c r="Q59" s="319">
        <f>MCF!R58</f>
        <v>0.8</v>
      </c>
      <c r="R59" s="87">
        <f t="shared" si="17"/>
        <v>0</v>
      </c>
      <c r="S59" s="87">
        <f t="shared" si="7"/>
        <v>0</v>
      </c>
      <c r="T59" s="87">
        <f t="shared" si="8"/>
        <v>0</v>
      </c>
      <c r="U59" s="87">
        <f t="shared" si="9"/>
        <v>2.3316211985630166E-5</v>
      </c>
      <c r="V59" s="87">
        <f t="shared" si="10"/>
        <v>1.1467488909972319E-5</v>
      </c>
      <c r="W59" s="120">
        <f t="shared" si="11"/>
        <v>7.6449926066482124E-6</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7.5614670922685052E-6</v>
      </c>
      <c r="J60" s="87">
        <f t="shared" si="16"/>
        <v>3.7189162663793725E-6</v>
      </c>
      <c r="K60" s="120">
        <f t="shared" si="6"/>
        <v>2.4792775109195814E-6</v>
      </c>
      <c r="O60" s="116">
        <f>Amnt_Deposited!B55</f>
        <v>2041</v>
      </c>
      <c r="P60" s="119">
        <f>Amnt_Deposited!C55</f>
        <v>0</v>
      </c>
      <c r="Q60" s="319">
        <f>MCF!R59</f>
        <v>0.8</v>
      </c>
      <c r="R60" s="87">
        <f t="shared" si="17"/>
        <v>0</v>
      </c>
      <c r="S60" s="87">
        <f t="shared" si="7"/>
        <v>0</v>
      </c>
      <c r="T60" s="87">
        <f t="shared" si="8"/>
        <v>0</v>
      </c>
      <c r="U60" s="87">
        <f t="shared" si="9"/>
        <v>1.5629324291584338E-5</v>
      </c>
      <c r="V60" s="87">
        <f t="shared" si="10"/>
        <v>7.6868876940458275E-6</v>
      </c>
      <c r="W60" s="120">
        <f t="shared" si="11"/>
        <v>5.1245917960305511E-6</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5.0686029693863962E-6</v>
      </c>
      <c r="J61" s="87">
        <f t="shared" si="16"/>
        <v>2.492864122882109E-6</v>
      </c>
      <c r="K61" s="120">
        <f t="shared" si="6"/>
        <v>1.6619094152547393E-6</v>
      </c>
      <c r="O61" s="116">
        <f>Amnt_Deposited!B56</f>
        <v>2042</v>
      </c>
      <c r="P61" s="119">
        <f>Amnt_Deposited!C56</f>
        <v>0</v>
      </c>
      <c r="Q61" s="319">
        <f>MCF!R60</f>
        <v>0.8</v>
      </c>
      <c r="R61" s="87">
        <f t="shared" si="17"/>
        <v>0</v>
      </c>
      <c r="S61" s="87">
        <f t="shared" si="7"/>
        <v>0</v>
      </c>
      <c r="T61" s="87">
        <f t="shared" si="8"/>
        <v>0</v>
      </c>
      <c r="U61" s="87">
        <f t="shared" si="9"/>
        <v>1.0476649378640749E-5</v>
      </c>
      <c r="V61" s="87">
        <f t="shared" si="10"/>
        <v>5.1526749129435882E-6</v>
      </c>
      <c r="W61" s="120">
        <f t="shared" si="11"/>
        <v>3.4351166086290588E-6</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3.3975861757754674E-6</v>
      </c>
      <c r="J62" s="87">
        <f t="shared" si="16"/>
        <v>1.6710167936109289E-6</v>
      </c>
      <c r="K62" s="120">
        <f t="shared" si="6"/>
        <v>1.1140111957406192E-6</v>
      </c>
      <c r="O62" s="116">
        <f>Amnt_Deposited!B57</f>
        <v>2043</v>
      </c>
      <c r="P62" s="119">
        <f>Amnt_Deposited!C57</f>
        <v>0</v>
      </c>
      <c r="Q62" s="319">
        <f>MCF!R61</f>
        <v>0.8</v>
      </c>
      <c r="R62" s="87">
        <f t="shared" si="17"/>
        <v>0</v>
      </c>
      <c r="S62" s="87">
        <f t="shared" si="7"/>
        <v>0</v>
      </c>
      <c r="T62" s="87">
        <f t="shared" si="8"/>
        <v>0</v>
      </c>
      <c r="U62" s="87">
        <f t="shared" si="9"/>
        <v>7.0227080937897195E-6</v>
      </c>
      <c r="V62" s="87">
        <f t="shared" si="10"/>
        <v>3.45394128485103E-6</v>
      </c>
      <c r="W62" s="120">
        <f t="shared" si="11"/>
        <v>2.3026275232340197E-6</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2.2774701217558631E-6</v>
      </c>
      <c r="J63" s="87">
        <f t="shared" si="16"/>
        <v>1.1201160540196042E-6</v>
      </c>
      <c r="K63" s="120">
        <f t="shared" si="6"/>
        <v>7.4674403601306946E-7</v>
      </c>
      <c r="O63" s="116">
        <f>Amnt_Deposited!B58</f>
        <v>2044</v>
      </c>
      <c r="P63" s="119">
        <f>Amnt_Deposited!C58</f>
        <v>0</v>
      </c>
      <c r="Q63" s="319">
        <f>MCF!R62</f>
        <v>0.8</v>
      </c>
      <c r="R63" s="87">
        <f t="shared" si="17"/>
        <v>0</v>
      </c>
      <c r="S63" s="87">
        <f t="shared" si="7"/>
        <v>0</v>
      </c>
      <c r="T63" s="87">
        <f t="shared" si="8"/>
        <v>0</v>
      </c>
      <c r="U63" s="87">
        <f t="shared" si="9"/>
        <v>4.707462012723982E-6</v>
      </c>
      <c r="V63" s="87">
        <f t="shared" si="10"/>
        <v>2.3152460810657379E-6</v>
      </c>
      <c r="W63" s="120">
        <f t="shared" si="11"/>
        <v>1.5434973873771584E-6</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1.5266338768601833E-6</v>
      </c>
      <c r="J64" s="87">
        <f t="shared" si="16"/>
        <v>7.508362448956799E-7</v>
      </c>
      <c r="K64" s="120">
        <f t="shared" si="6"/>
        <v>5.005574965971199E-7</v>
      </c>
      <c r="O64" s="116">
        <f>Amnt_Deposited!B59</f>
        <v>2045</v>
      </c>
      <c r="P64" s="119">
        <f>Amnt_Deposited!C59</f>
        <v>0</v>
      </c>
      <c r="Q64" s="319">
        <f>MCF!R63</f>
        <v>0.8</v>
      </c>
      <c r="R64" s="87">
        <f t="shared" si="17"/>
        <v>0</v>
      </c>
      <c r="S64" s="87">
        <f t="shared" si="7"/>
        <v>0</v>
      </c>
      <c r="T64" s="87">
        <f t="shared" si="8"/>
        <v>0</v>
      </c>
      <c r="U64" s="87">
        <f t="shared" si="9"/>
        <v>3.1555061530801631E-6</v>
      </c>
      <c r="V64" s="87">
        <f t="shared" si="10"/>
        <v>1.5519558596438189E-6</v>
      </c>
      <c r="W64" s="120">
        <f t="shared" si="11"/>
        <v>1.034637239762546E-6</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1.0233332906164846E-6</v>
      </c>
      <c r="J65" s="87">
        <f t="shared" si="16"/>
        <v>5.0330058624369871E-7</v>
      </c>
      <c r="K65" s="120">
        <f t="shared" si="6"/>
        <v>3.3553372416246579E-7</v>
      </c>
      <c r="O65" s="116">
        <f>Amnt_Deposited!B60</f>
        <v>2046</v>
      </c>
      <c r="P65" s="119">
        <f>Amnt_Deposited!C60</f>
        <v>0</v>
      </c>
      <c r="Q65" s="319">
        <f>MCF!R64</f>
        <v>0.8</v>
      </c>
      <c r="R65" s="87">
        <f t="shared" si="17"/>
        <v>0</v>
      </c>
      <c r="S65" s="87">
        <f t="shared" si="7"/>
        <v>0</v>
      </c>
      <c r="T65" s="87">
        <f t="shared" si="8"/>
        <v>0</v>
      </c>
      <c r="U65" s="87">
        <f t="shared" si="9"/>
        <v>2.1151990297984381E-6</v>
      </c>
      <c r="V65" s="87">
        <f t="shared" si="10"/>
        <v>1.040307123281725E-6</v>
      </c>
      <c r="W65" s="120">
        <f t="shared" si="11"/>
        <v>6.9353808218781662E-7</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6.859608184758443E-7</v>
      </c>
      <c r="J66" s="87">
        <f t="shared" si="16"/>
        <v>3.3737247214064037E-7</v>
      </c>
      <c r="K66" s="120">
        <f t="shared" si="6"/>
        <v>2.2491498142709358E-7</v>
      </c>
      <c r="O66" s="116">
        <f>Amnt_Deposited!B61</f>
        <v>2047</v>
      </c>
      <c r="P66" s="119">
        <f>Amnt_Deposited!C61</f>
        <v>0</v>
      </c>
      <c r="Q66" s="319">
        <f>MCF!R65</f>
        <v>0.8</v>
      </c>
      <c r="R66" s="87">
        <f t="shared" si="17"/>
        <v>0</v>
      </c>
      <c r="S66" s="87">
        <f t="shared" si="7"/>
        <v>0</v>
      </c>
      <c r="T66" s="87">
        <f t="shared" si="8"/>
        <v>0</v>
      </c>
      <c r="U66" s="87">
        <f t="shared" si="9"/>
        <v>1.4178603110290286E-6</v>
      </c>
      <c r="V66" s="87">
        <f t="shared" si="10"/>
        <v>6.973387187694094E-7</v>
      </c>
      <c r="W66" s="120">
        <f t="shared" si="11"/>
        <v>4.6489247917960626E-7</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4.5981328741937279E-7</v>
      </c>
      <c r="J67" s="87">
        <f t="shared" si="16"/>
        <v>2.2614753105647152E-7</v>
      </c>
      <c r="K67" s="120">
        <f t="shared" si="6"/>
        <v>1.5076502070431433E-7</v>
      </c>
      <c r="O67" s="116">
        <f>Amnt_Deposited!B62</f>
        <v>2048</v>
      </c>
      <c r="P67" s="119">
        <f>Amnt_Deposited!C62</f>
        <v>0</v>
      </c>
      <c r="Q67" s="319">
        <f>MCF!R66</f>
        <v>0.8</v>
      </c>
      <c r="R67" s="87">
        <f t="shared" si="17"/>
        <v>0</v>
      </c>
      <c r="S67" s="87">
        <f t="shared" si="7"/>
        <v>0</v>
      </c>
      <c r="T67" s="87">
        <f t="shared" si="8"/>
        <v>0</v>
      </c>
      <c r="U67" s="87">
        <f t="shared" si="9"/>
        <v>9.5042018896108435E-7</v>
      </c>
      <c r="V67" s="87">
        <f t="shared" si="10"/>
        <v>4.6744012206794425E-7</v>
      </c>
      <c r="W67" s="120">
        <f t="shared" si="11"/>
        <v>3.1162674804529615E-7</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3.0822206399075264E-7</v>
      </c>
      <c r="J68" s="87">
        <f t="shared" si="16"/>
        <v>1.5159122342862015E-7</v>
      </c>
      <c r="K68" s="120">
        <f t="shared" si="6"/>
        <v>1.010608156190801E-7</v>
      </c>
      <c r="O68" s="116">
        <f>Amnt_Deposited!B63</f>
        <v>2049</v>
      </c>
      <c r="P68" s="119">
        <f>Amnt_Deposited!C63</f>
        <v>0</v>
      </c>
      <c r="Q68" s="319">
        <f>MCF!R67</f>
        <v>0.8</v>
      </c>
      <c r="R68" s="87">
        <f t="shared" si="17"/>
        <v>0</v>
      </c>
      <c r="S68" s="87">
        <f t="shared" si="7"/>
        <v>0</v>
      </c>
      <c r="T68" s="87">
        <f t="shared" si="8"/>
        <v>0</v>
      </c>
      <c r="U68" s="87">
        <f t="shared" si="9"/>
        <v>6.3708570481759509E-7</v>
      </c>
      <c r="V68" s="87">
        <f t="shared" si="10"/>
        <v>3.1333448414348926E-7</v>
      </c>
      <c r="W68" s="120">
        <f t="shared" si="11"/>
        <v>2.0888965609565949E-7</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2.0660742812348108E-7</v>
      </c>
      <c r="J69" s="87">
        <f t="shared" si="16"/>
        <v>1.0161463586727156E-7</v>
      </c>
      <c r="K69" s="120">
        <f t="shared" si="6"/>
        <v>6.7743090578181032E-8</v>
      </c>
      <c r="O69" s="116">
        <f>Amnt_Deposited!B64</f>
        <v>2050</v>
      </c>
      <c r="P69" s="119">
        <f>Amnt_Deposited!C64</f>
        <v>0</v>
      </c>
      <c r="Q69" s="319">
        <f>MCF!R68</f>
        <v>0.8</v>
      </c>
      <c r="R69" s="87">
        <f t="shared" si="17"/>
        <v>0</v>
      </c>
      <c r="S69" s="87">
        <f t="shared" si="7"/>
        <v>0</v>
      </c>
      <c r="T69" s="87">
        <f t="shared" si="8"/>
        <v>0</v>
      </c>
      <c r="U69" s="87">
        <f t="shared" si="9"/>
        <v>4.2705131898197807E-7</v>
      </c>
      <c r="V69" s="87">
        <f t="shared" si="10"/>
        <v>2.1003438583561701E-7</v>
      </c>
      <c r="W69" s="120">
        <f t="shared" si="11"/>
        <v>1.4002292389041133E-7</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1.3849310073103688E-7</v>
      </c>
      <c r="J70" s="87">
        <f t="shared" si="16"/>
        <v>6.81143273924442E-8</v>
      </c>
      <c r="K70" s="120">
        <f t="shared" si="6"/>
        <v>4.5409551594962798E-8</v>
      </c>
      <c r="O70" s="116">
        <f>Amnt_Deposited!B65</f>
        <v>2051</v>
      </c>
      <c r="P70" s="119">
        <f>Amnt_Deposited!C65</f>
        <v>0</v>
      </c>
      <c r="Q70" s="319">
        <f>MCF!R69</f>
        <v>0.8</v>
      </c>
      <c r="R70" s="87">
        <f t="shared" si="17"/>
        <v>0</v>
      </c>
      <c r="S70" s="87">
        <f t="shared" si="7"/>
        <v>0</v>
      </c>
      <c r="T70" s="87">
        <f t="shared" si="8"/>
        <v>0</v>
      </c>
      <c r="U70" s="87">
        <f t="shared" si="9"/>
        <v>2.8626105979958004E-7</v>
      </c>
      <c r="V70" s="87">
        <f t="shared" si="10"/>
        <v>1.4079025918239803E-7</v>
      </c>
      <c r="W70" s="120">
        <f t="shared" si="11"/>
        <v>9.3860172788265348E-8</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9.2834701657647072E-8</v>
      </c>
      <c r="J71" s="87">
        <f t="shared" si="16"/>
        <v>4.5658399073389802E-8</v>
      </c>
      <c r="K71" s="120">
        <f t="shared" si="6"/>
        <v>3.0438932715593197E-8</v>
      </c>
      <c r="O71" s="116">
        <f>Amnt_Deposited!B66</f>
        <v>2052</v>
      </c>
      <c r="P71" s="119">
        <f>Amnt_Deposited!C66</f>
        <v>0</v>
      </c>
      <c r="Q71" s="319">
        <f>MCF!R70</f>
        <v>0.8</v>
      </c>
      <c r="R71" s="87">
        <f t="shared" si="17"/>
        <v>0</v>
      </c>
      <c r="S71" s="87">
        <f t="shared" si="7"/>
        <v>0</v>
      </c>
      <c r="T71" s="87">
        <f t="shared" si="8"/>
        <v>0</v>
      </c>
      <c r="U71" s="87">
        <f t="shared" si="9"/>
        <v>1.9188652678306539E-7</v>
      </c>
      <c r="V71" s="87">
        <f t="shared" si="10"/>
        <v>9.4374533016514651E-8</v>
      </c>
      <c r="W71" s="120">
        <f t="shared" si="11"/>
        <v>6.2916355344343096E-8</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6.222896148885883E-8</v>
      </c>
      <c r="J72" s="87">
        <f t="shared" si="16"/>
        <v>3.0605740168788242E-8</v>
      </c>
      <c r="K72" s="120">
        <f t="shared" si="6"/>
        <v>2.0403826779192159E-8</v>
      </c>
      <c r="O72" s="116">
        <f>Amnt_Deposited!B67</f>
        <v>2053</v>
      </c>
      <c r="P72" s="119">
        <f>Amnt_Deposited!C67</f>
        <v>0</v>
      </c>
      <c r="Q72" s="319">
        <f>MCF!R71</f>
        <v>0.8</v>
      </c>
      <c r="R72" s="87">
        <f t="shared" si="17"/>
        <v>0</v>
      </c>
      <c r="S72" s="87">
        <f t="shared" si="7"/>
        <v>0</v>
      </c>
      <c r="T72" s="87">
        <f t="shared" si="8"/>
        <v>0</v>
      </c>
      <c r="U72" s="87">
        <f t="shared" si="9"/>
        <v>1.2862538546684334E-7</v>
      </c>
      <c r="V72" s="87">
        <f t="shared" si="10"/>
        <v>6.3261141316222064E-8</v>
      </c>
      <c r="W72" s="120">
        <f t="shared" si="11"/>
        <v>4.2174094210814709E-8</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4.1713320329961877E-8</v>
      </c>
      <c r="J73" s="87">
        <f t="shared" si="16"/>
        <v>2.0515641158896953E-8</v>
      </c>
      <c r="K73" s="120">
        <f t="shared" si="6"/>
        <v>1.3677094105931301E-8</v>
      </c>
      <c r="O73" s="116">
        <f>Amnt_Deposited!B68</f>
        <v>2054</v>
      </c>
      <c r="P73" s="119">
        <f>Amnt_Deposited!C68</f>
        <v>0</v>
      </c>
      <c r="Q73" s="319">
        <f>MCF!R72</f>
        <v>0.8</v>
      </c>
      <c r="R73" s="87">
        <f t="shared" si="17"/>
        <v>0</v>
      </c>
      <c r="S73" s="87">
        <f t="shared" si="7"/>
        <v>0</v>
      </c>
      <c r="T73" s="87">
        <f t="shared" si="8"/>
        <v>0</v>
      </c>
      <c r="U73" s="87">
        <f t="shared" si="9"/>
        <v>8.6220174307486284E-8</v>
      </c>
      <c r="V73" s="87">
        <f t="shared" si="10"/>
        <v>4.2405211159357059E-8</v>
      </c>
      <c r="W73" s="120">
        <f t="shared" si="11"/>
        <v>2.8270140772904706E-8</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2.7961274803879414E-8</v>
      </c>
      <c r="J74" s="87">
        <f t="shared" si="16"/>
        <v>1.3752045526082461E-8</v>
      </c>
      <c r="K74" s="120">
        <f t="shared" si="6"/>
        <v>9.168030350721641E-9</v>
      </c>
      <c r="O74" s="116">
        <f>Amnt_Deposited!B69</f>
        <v>2055</v>
      </c>
      <c r="P74" s="119">
        <f>Amnt_Deposited!C69</f>
        <v>0</v>
      </c>
      <c r="Q74" s="319">
        <f>MCF!R73</f>
        <v>0.8</v>
      </c>
      <c r="R74" s="87">
        <f t="shared" si="17"/>
        <v>0</v>
      </c>
      <c r="S74" s="87">
        <f t="shared" si="7"/>
        <v>0</v>
      </c>
      <c r="T74" s="87">
        <f t="shared" si="8"/>
        <v>0</v>
      </c>
      <c r="U74" s="87">
        <f t="shared" si="9"/>
        <v>5.7795111210995055E-8</v>
      </c>
      <c r="V74" s="87">
        <f t="shared" si="10"/>
        <v>2.8425063096491232E-8</v>
      </c>
      <c r="W74" s="120">
        <f t="shared" si="11"/>
        <v>1.8950042064327488E-8</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1.8743003013751612E-8</v>
      </c>
      <c r="J75" s="87">
        <f t="shared" si="16"/>
        <v>9.2182717901278037E-9</v>
      </c>
      <c r="K75" s="120">
        <f t="shared" si="6"/>
        <v>6.1455145267518689E-9</v>
      </c>
      <c r="O75" s="116">
        <f>Amnt_Deposited!B70</f>
        <v>2056</v>
      </c>
      <c r="P75" s="119">
        <f>Amnt_Deposited!C70</f>
        <v>0</v>
      </c>
      <c r="Q75" s="319">
        <f>MCF!R74</f>
        <v>0.8</v>
      </c>
      <c r="R75" s="87">
        <f t="shared" si="17"/>
        <v>0</v>
      </c>
      <c r="S75" s="87">
        <f t="shared" si="7"/>
        <v>0</v>
      </c>
      <c r="T75" s="87">
        <f t="shared" si="8"/>
        <v>0</v>
      </c>
      <c r="U75" s="87">
        <f t="shared" si="9"/>
        <v>3.8741221607589098E-8</v>
      </c>
      <c r="V75" s="87">
        <f t="shared" si="10"/>
        <v>1.9053889603405954E-8</v>
      </c>
      <c r="W75" s="120">
        <f t="shared" si="11"/>
        <v>1.2702593068937302E-8</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1.2563810643024107E-8</v>
      </c>
      <c r="J76" s="87">
        <f t="shared" si="16"/>
        <v>6.1791923707275046E-9</v>
      </c>
      <c r="K76" s="120">
        <f t="shared" si="6"/>
        <v>4.119461580485003E-9</v>
      </c>
      <c r="O76" s="116">
        <f>Amnt_Deposited!B71</f>
        <v>2057</v>
      </c>
      <c r="P76" s="119">
        <f>Amnt_Deposited!C71</f>
        <v>0</v>
      </c>
      <c r="Q76" s="319">
        <f>MCF!R75</f>
        <v>0.8</v>
      </c>
      <c r="R76" s="87">
        <f t="shared" si="17"/>
        <v>0</v>
      </c>
      <c r="S76" s="87">
        <f t="shared" si="7"/>
        <v>0</v>
      </c>
      <c r="T76" s="87">
        <f t="shared" si="8"/>
        <v>0</v>
      </c>
      <c r="U76" s="87">
        <f t="shared" si="9"/>
        <v>2.596901745147603E-8</v>
      </c>
      <c r="V76" s="87">
        <f t="shared" si="10"/>
        <v>1.2772204156113068E-8</v>
      </c>
      <c r="W76" s="120">
        <f t="shared" si="11"/>
        <v>8.5148027707420448E-9</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8.4217741286149749E-9</v>
      </c>
      <c r="J77" s="87">
        <f t="shared" si="16"/>
        <v>4.1420365144091323E-9</v>
      </c>
      <c r="K77" s="120">
        <f t="shared" si="6"/>
        <v>2.7613576762727548E-9</v>
      </c>
      <c r="O77" s="116">
        <f>Amnt_Deposited!B72</f>
        <v>2058</v>
      </c>
      <c r="P77" s="119">
        <f>Amnt_Deposited!C72</f>
        <v>0</v>
      </c>
      <c r="Q77" s="319">
        <f>MCF!R76</f>
        <v>0.8</v>
      </c>
      <c r="R77" s="87">
        <f t="shared" si="17"/>
        <v>0</v>
      </c>
      <c r="S77" s="87">
        <f t="shared" si="7"/>
        <v>0</v>
      </c>
      <c r="T77" s="87">
        <f t="shared" si="8"/>
        <v>0</v>
      </c>
      <c r="U77" s="87">
        <f t="shared" si="9"/>
        <v>1.7407552973573733E-8</v>
      </c>
      <c r="V77" s="87">
        <f t="shared" si="10"/>
        <v>8.5614644779022956E-9</v>
      </c>
      <c r="W77" s="120">
        <f t="shared" si="11"/>
        <v>5.7076429852681971E-9</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5.645284021594946E-9</v>
      </c>
      <c r="J78" s="87">
        <f t="shared" si="16"/>
        <v>2.7764901070200286E-9</v>
      </c>
      <c r="K78" s="120">
        <f t="shared" si="6"/>
        <v>1.850993404680019E-9</v>
      </c>
      <c r="O78" s="116">
        <f>Amnt_Deposited!B73</f>
        <v>2059</v>
      </c>
      <c r="P78" s="119">
        <f>Amnt_Deposited!C73</f>
        <v>0</v>
      </c>
      <c r="Q78" s="319">
        <f>MCF!R77</f>
        <v>0.8</v>
      </c>
      <c r="R78" s="87">
        <f t="shared" si="17"/>
        <v>0</v>
      </c>
      <c r="S78" s="87">
        <f t="shared" si="7"/>
        <v>0</v>
      </c>
      <c r="T78" s="87">
        <f t="shared" si="8"/>
        <v>0</v>
      </c>
      <c r="U78" s="87">
        <f t="shared" si="9"/>
        <v>1.1668631710613775E-8</v>
      </c>
      <c r="V78" s="87">
        <f t="shared" si="10"/>
        <v>5.738921262959958E-9</v>
      </c>
      <c r="W78" s="120">
        <f t="shared" si="11"/>
        <v>3.8259475086399714E-9</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3.7841470452397831E-9</v>
      </c>
      <c r="J79" s="87">
        <f t="shared" si="16"/>
        <v>1.8611369763551627E-9</v>
      </c>
      <c r="K79" s="120">
        <f t="shared" si="6"/>
        <v>1.2407579842367751E-9</v>
      </c>
      <c r="O79" s="116">
        <f>Amnt_Deposited!B74</f>
        <v>2060</v>
      </c>
      <c r="P79" s="119">
        <f>Amnt_Deposited!C74</f>
        <v>0</v>
      </c>
      <c r="Q79" s="319">
        <f>MCF!R78</f>
        <v>0.8</v>
      </c>
      <c r="R79" s="87">
        <f t="shared" si="17"/>
        <v>0</v>
      </c>
      <c r="S79" s="87">
        <f t="shared" si="7"/>
        <v>0</v>
      </c>
      <c r="T79" s="87">
        <f t="shared" si="8"/>
        <v>0</v>
      </c>
      <c r="U79" s="87">
        <f t="shared" si="9"/>
        <v>7.8217177454315467E-9</v>
      </c>
      <c r="V79" s="87">
        <f t="shared" si="10"/>
        <v>3.846913965182228E-9</v>
      </c>
      <c r="W79" s="120">
        <f t="shared" si="11"/>
        <v>2.564609310121485E-9</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2.5365896215707599E-9</v>
      </c>
      <c r="J80" s="87">
        <f t="shared" si="16"/>
        <v>1.2475574236690232E-9</v>
      </c>
      <c r="K80" s="120">
        <f t="shared" si="6"/>
        <v>8.3170494911268207E-10</v>
      </c>
      <c r="O80" s="116">
        <f>Amnt_Deposited!B75</f>
        <v>2061</v>
      </c>
      <c r="P80" s="119">
        <f>Amnt_Deposited!C75</f>
        <v>0</v>
      </c>
      <c r="Q80" s="319">
        <f>MCF!R79</f>
        <v>0.8</v>
      </c>
      <c r="R80" s="87">
        <f t="shared" si="17"/>
        <v>0</v>
      </c>
      <c r="S80" s="87">
        <f t="shared" si="7"/>
        <v>0</v>
      </c>
      <c r="T80" s="87">
        <f t="shared" si="8"/>
        <v>0</v>
      </c>
      <c r="U80" s="87">
        <f t="shared" si="9"/>
        <v>5.2430541991954512E-9</v>
      </c>
      <c r="V80" s="87">
        <f t="shared" si="10"/>
        <v>2.5786635462360951E-9</v>
      </c>
      <c r="W80" s="120">
        <f t="shared" si="11"/>
        <v>1.7191090308240633E-9</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1.7003268719048367E-9</v>
      </c>
      <c r="J81" s="87">
        <f t="shared" si="16"/>
        <v>8.3626274966592317E-10</v>
      </c>
      <c r="K81" s="120">
        <f t="shared" si="6"/>
        <v>5.5750849977728204E-10</v>
      </c>
      <c r="O81" s="116">
        <f>Amnt_Deposited!B76</f>
        <v>2062</v>
      </c>
      <c r="P81" s="119">
        <f>Amnt_Deposited!C76</f>
        <v>0</v>
      </c>
      <c r="Q81" s="319">
        <f>MCF!R80</f>
        <v>0.8</v>
      </c>
      <c r="R81" s="87">
        <f t="shared" si="17"/>
        <v>0</v>
      </c>
      <c r="S81" s="87">
        <f t="shared" si="7"/>
        <v>0</v>
      </c>
      <c r="T81" s="87">
        <f t="shared" si="8"/>
        <v>0</v>
      </c>
      <c r="U81" s="87">
        <f t="shared" si="9"/>
        <v>3.5145243321720469E-9</v>
      </c>
      <c r="V81" s="87">
        <f t="shared" si="10"/>
        <v>1.7285298670234043E-9</v>
      </c>
      <c r="W81" s="120">
        <f t="shared" si="11"/>
        <v>1.1523532446822695E-9</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1.1397631870508848E-9</v>
      </c>
      <c r="J82" s="87">
        <f t="shared" si="16"/>
        <v>5.6056368485395191E-10</v>
      </c>
      <c r="K82" s="120">
        <f t="shared" si="6"/>
        <v>3.7370912323596794E-10</v>
      </c>
      <c r="O82" s="116">
        <f>Amnt_Deposited!B77</f>
        <v>2063</v>
      </c>
      <c r="P82" s="119">
        <f>Amnt_Deposited!C77</f>
        <v>0</v>
      </c>
      <c r="Q82" s="319">
        <f>MCF!R81</f>
        <v>0.8</v>
      </c>
      <c r="R82" s="87">
        <f t="shared" si="17"/>
        <v>0</v>
      </c>
      <c r="S82" s="87">
        <f t="shared" si="7"/>
        <v>0</v>
      </c>
      <c r="T82" s="87">
        <f t="shared" si="8"/>
        <v>0</v>
      </c>
      <c r="U82" s="87">
        <f t="shared" si="9"/>
        <v>2.3558561121349412E-9</v>
      </c>
      <c r="V82" s="87">
        <f t="shared" si="10"/>
        <v>1.1586682200371059E-9</v>
      </c>
      <c r="W82" s="120">
        <f t="shared" si="11"/>
        <v>7.7244548002473723E-10</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7.6400611201367605E-10</v>
      </c>
      <c r="J83" s="87">
        <f t="shared" ref="J83:J99" si="22">I82*(1-$K$10)+H83</f>
        <v>3.757570750372087E-10</v>
      </c>
      <c r="K83" s="120">
        <f t="shared" si="6"/>
        <v>2.5050471669147245E-10</v>
      </c>
      <c r="O83" s="116">
        <f>Amnt_Deposited!B78</f>
        <v>2064</v>
      </c>
      <c r="P83" s="119">
        <f>Amnt_Deposited!C78</f>
        <v>0</v>
      </c>
      <c r="Q83" s="319">
        <f>MCF!R82</f>
        <v>0.8</v>
      </c>
      <c r="R83" s="87">
        <f t="shared" ref="R83:R99" si="23">P83*$W$6*DOCF*Q83</f>
        <v>0</v>
      </c>
      <c r="S83" s="87">
        <f t="shared" si="7"/>
        <v>0</v>
      </c>
      <c r="T83" s="87">
        <f t="shared" si="8"/>
        <v>0</v>
      </c>
      <c r="U83" s="87">
        <f t="shared" si="9"/>
        <v>1.5791775775396362E-9</v>
      </c>
      <c r="V83" s="87">
        <f t="shared" si="10"/>
        <v>7.7667853459530513E-10</v>
      </c>
      <c r="W83" s="120">
        <f t="shared" si="11"/>
        <v>5.1778568973020342E-10</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5.1212861217651711E-10</v>
      </c>
      <c r="J84" s="87">
        <f t="shared" si="22"/>
        <v>2.5187749983715889E-10</v>
      </c>
      <c r="K84" s="120">
        <f t="shared" si="6"/>
        <v>1.6791833322477259E-10</v>
      </c>
      <c r="O84" s="116">
        <f>Amnt_Deposited!B79</f>
        <v>2065</v>
      </c>
      <c r="P84" s="119">
        <f>Amnt_Deposited!C79</f>
        <v>0</v>
      </c>
      <c r="Q84" s="319">
        <f>MCF!R83</f>
        <v>0.8</v>
      </c>
      <c r="R84" s="87">
        <f t="shared" si="23"/>
        <v>0</v>
      </c>
      <c r="S84" s="87">
        <f t="shared" si="7"/>
        <v>0</v>
      </c>
      <c r="T84" s="87">
        <f t="shared" si="8"/>
        <v>0</v>
      </c>
      <c r="U84" s="87">
        <f t="shared" si="9"/>
        <v>1.0585543864748184E-9</v>
      </c>
      <c r="V84" s="87">
        <f t="shared" si="10"/>
        <v>5.2062319106481787E-10</v>
      </c>
      <c r="W84" s="120">
        <f t="shared" si="11"/>
        <v>3.4708212737654523E-10</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3.4329007489033103E-10</v>
      </c>
      <c r="J85" s="87">
        <f t="shared" si="22"/>
        <v>1.6883853728618607E-10</v>
      </c>
      <c r="K85" s="120">
        <f t="shared" ref="K85:K99" si="24">J85*CH4_fraction*conv</f>
        <v>1.1255902485745738E-10</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7.0957022507302819E-10</v>
      </c>
      <c r="V85" s="87">
        <f t="shared" ref="V85:V98" si="28">U84*(1-$W$10)+T85</f>
        <v>3.489841614017902E-10</v>
      </c>
      <c r="W85" s="120">
        <f t="shared" ref="W85:W99" si="29">V85*CH4_fraction*conv</f>
        <v>2.3265610760119346E-10</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2.3011421880406478E-10</v>
      </c>
      <c r="J86" s="87">
        <f t="shared" si="22"/>
        <v>1.1317585608626627E-10</v>
      </c>
      <c r="K86" s="120">
        <f t="shared" si="24"/>
        <v>7.5450570724177512E-11</v>
      </c>
      <c r="O86" s="116">
        <f>Amnt_Deposited!B81</f>
        <v>2067</v>
      </c>
      <c r="P86" s="119">
        <f>Amnt_Deposited!C81</f>
        <v>0</v>
      </c>
      <c r="Q86" s="319">
        <f>MCF!R85</f>
        <v>0.8</v>
      </c>
      <c r="R86" s="87">
        <f t="shared" si="23"/>
        <v>0</v>
      </c>
      <c r="S86" s="87">
        <f t="shared" si="25"/>
        <v>0</v>
      </c>
      <c r="T86" s="87">
        <f t="shared" si="26"/>
        <v>0</v>
      </c>
      <c r="U86" s="87">
        <f t="shared" si="27"/>
        <v>4.7563914593647117E-10</v>
      </c>
      <c r="V86" s="87">
        <f t="shared" si="28"/>
        <v>2.3393107913655697E-10</v>
      </c>
      <c r="W86" s="120">
        <f t="shared" si="29"/>
        <v>1.5595405275770463E-10</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1.542501737421959E-10</v>
      </c>
      <c r="J87" s="87">
        <f t="shared" si="22"/>
        <v>7.5864045061868896E-11</v>
      </c>
      <c r="K87" s="120">
        <f t="shared" si="24"/>
        <v>5.057603004124593E-11</v>
      </c>
      <c r="O87" s="116">
        <f>Amnt_Deposited!B82</f>
        <v>2068</v>
      </c>
      <c r="P87" s="119">
        <f>Amnt_Deposited!C82</f>
        <v>0</v>
      </c>
      <c r="Q87" s="319">
        <f>MCF!R86</f>
        <v>0.8</v>
      </c>
      <c r="R87" s="87">
        <f t="shared" si="23"/>
        <v>0</v>
      </c>
      <c r="S87" s="87">
        <f t="shared" si="25"/>
        <v>0</v>
      </c>
      <c r="T87" s="87">
        <f t="shared" si="26"/>
        <v>0</v>
      </c>
      <c r="U87" s="87">
        <f t="shared" si="27"/>
        <v>3.1883045420048753E-10</v>
      </c>
      <c r="V87" s="87">
        <f t="shared" si="28"/>
        <v>1.5680869173598364E-10</v>
      </c>
      <c r="W87" s="120">
        <f t="shared" si="29"/>
        <v>1.0453912782398909E-10</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1.0339698356387412E-10</v>
      </c>
      <c r="J88" s="87">
        <f t="shared" si="22"/>
        <v>5.0853190178321778E-11</v>
      </c>
      <c r="K88" s="120">
        <f t="shared" si="24"/>
        <v>3.390212678554785E-11</v>
      </c>
      <c r="O88" s="116">
        <f>Amnt_Deposited!B83</f>
        <v>2069</v>
      </c>
      <c r="P88" s="119">
        <f>Amnt_Deposited!C83</f>
        <v>0</v>
      </c>
      <c r="Q88" s="319">
        <f>MCF!R87</f>
        <v>0.8</v>
      </c>
      <c r="R88" s="87">
        <f t="shared" si="23"/>
        <v>0</v>
      </c>
      <c r="S88" s="87">
        <f t="shared" si="25"/>
        <v>0</v>
      </c>
      <c r="T88" s="87">
        <f t="shared" si="26"/>
        <v>0</v>
      </c>
      <c r="U88" s="87">
        <f t="shared" si="27"/>
        <v>2.1371844473723459E-10</v>
      </c>
      <c r="V88" s="87">
        <f t="shared" si="28"/>
        <v>1.0511200946325293E-10</v>
      </c>
      <c r="W88" s="120">
        <f t="shared" si="29"/>
        <v>7.0074672975501947E-11</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6.9309070782482341E-11</v>
      </c>
      <c r="J89" s="87">
        <f t="shared" si="22"/>
        <v>3.4087912781391776E-11</v>
      </c>
      <c r="K89" s="120">
        <f t="shared" si="24"/>
        <v>2.2725275187594515E-11</v>
      </c>
      <c r="O89" s="116">
        <f>Amnt_Deposited!B84</f>
        <v>2070</v>
      </c>
      <c r="P89" s="119">
        <f>Amnt_Deposited!C84</f>
        <v>0</v>
      </c>
      <c r="Q89" s="319">
        <f>MCF!R88</f>
        <v>0.8</v>
      </c>
      <c r="R89" s="87">
        <f t="shared" si="23"/>
        <v>0</v>
      </c>
      <c r="S89" s="87">
        <f t="shared" si="25"/>
        <v>0</v>
      </c>
      <c r="T89" s="87">
        <f t="shared" si="26"/>
        <v>0</v>
      </c>
      <c r="U89" s="87">
        <f t="shared" si="27"/>
        <v>1.4325975771492834E-10</v>
      </c>
      <c r="V89" s="87">
        <f t="shared" si="28"/>
        <v>7.0458687022306263E-11</v>
      </c>
      <c r="W89" s="120">
        <f t="shared" si="29"/>
        <v>4.6972458014870837E-11</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4.6459259517600946E-11</v>
      </c>
      <c r="J90" s="87">
        <f t="shared" si="22"/>
        <v>2.2849811264881393E-11</v>
      </c>
      <c r="K90" s="120">
        <f t="shared" si="24"/>
        <v>1.5233207509920928E-11</v>
      </c>
      <c r="O90" s="116">
        <f>Amnt_Deposited!B85</f>
        <v>2071</v>
      </c>
      <c r="P90" s="119">
        <f>Amnt_Deposited!C85</f>
        <v>0</v>
      </c>
      <c r="Q90" s="319">
        <f>MCF!R89</f>
        <v>0.8</v>
      </c>
      <c r="R90" s="87">
        <f t="shared" si="23"/>
        <v>0</v>
      </c>
      <c r="S90" s="87">
        <f t="shared" si="25"/>
        <v>0</v>
      </c>
      <c r="T90" s="87">
        <f t="shared" si="26"/>
        <v>0</v>
      </c>
      <c r="U90" s="87">
        <f t="shared" si="27"/>
        <v>9.6029887386525302E-11</v>
      </c>
      <c r="V90" s="87">
        <f t="shared" si="28"/>
        <v>4.7229870328403037E-11</v>
      </c>
      <c r="W90" s="120">
        <f t="shared" si="29"/>
        <v>3.1486580218935356E-11</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3.114257297861998E-11</v>
      </c>
      <c r="J91" s="87">
        <f t="shared" si="22"/>
        <v>1.5316686538980966E-11</v>
      </c>
      <c r="K91" s="120">
        <f t="shared" si="24"/>
        <v>1.0211124359320643E-11</v>
      </c>
      <c r="O91" s="116">
        <f>Amnt_Deposited!B86</f>
        <v>2072</v>
      </c>
      <c r="P91" s="119">
        <f>Amnt_Deposited!C86</f>
        <v>0</v>
      </c>
      <c r="Q91" s="319">
        <f>MCF!R90</f>
        <v>0.8</v>
      </c>
      <c r="R91" s="87">
        <f t="shared" si="23"/>
        <v>0</v>
      </c>
      <c r="S91" s="87">
        <f t="shared" si="25"/>
        <v>0</v>
      </c>
      <c r="T91" s="87">
        <f t="shared" si="26"/>
        <v>0</v>
      </c>
      <c r="U91" s="87">
        <f t="shared" si="27"/>
        <v>6.4370758533732905E-11</v>
      </c>
      <c r="V91" s="87">
        <f t="shared" si="28"/>
        <v>3.1659128852792403E-11</v>
      </c>
      <c r="W91" s="120">
        <f t="shared" si="29"/>
        <v>2.11060859018616E-11</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2.0875490952696802E-11</v>
      </c>
      <c r="J92" s="87">
        <f t="shared" si="22"/>
        <v>1.0267082025923177E-11</v>
      </c>
      <c r="K92" s="120">
        <f t="shared" si="24"/>
        <v>6.8447213506154514E-12</v>
      </c>
      <c r="O92" s="116">
        <f>Amnt_Deposited!B87</f>
        <v>2073</v>
      </c>
      <c r="P92" s="119">
        <f>Amnt_Deposited!C87</f>
        <v>0</v>
      </c>
      <c r="Q92" s="319">
        <f>MCF!R91</f>
        <v>0.8</v>
      </c>
      <c r="R92" s="87">
        <f t="shared" si="23"/>
        <v>0</v>
      </c>
      <c r="S92" s="87">
        <f t="shared" si="25"/>
        <v>0</v>
      </c>
      <c r="T92" s="87">
        <f t="shared" si="26"/>
        <v>0</v>
      </c>
      <c r="U92" s="87">
        <f t="shared" si="27"/>
        <v>4.3149009823680867E-11</v>
      </c>
      <c r="V92" s="87">
        <f t="shared" si="28"/>
        <v>2.1221748710052041E-11</v>
      </c>
      <c r="W92" s="120">
        <f t="shared" si="29"/>
        <v>1.4147832473368027E-11</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1.3993260056428293E-11</v>
      </c>
      <c r="J93" s="87">
        <f t="shared" si="22"/>
        <v>6.8822308962685099E-12</v>
      </c>
      <c r="K93" s="120">
        <f t="shared" si="24"/>
        <v>4.5881539308456727E-12</v>
      </c>
      <c r="O93" s="116">
        <f>Amnt_Deposited!B88</f>
        <v>2074</v>
      </c>
      <c r="P93" s="119">
        <f>Amnt_Deposited!C88</f>
        <v>0</v>
      </c>
      <c r="Q93" s="319">
        <f>MCF!R92</f>
        <v>0.8</v>
      </c>
      <c r="R93" s="87">
        <f t="shared" si="23"/>
        <v>0</v>
      </c>
      <c r="S93" s="87">
        <f t="shared" si="25"/>
        <v>0</v>
      </c>
      <c r="T93" s="87">
        <f t="shared" si="26"/>
        <v>0</v>
      </c>
      <c r="U93" s="87">
        <f t="shared" si="27"/>
        <v>2.8923646251402011E-11</v>
      </c>
      <c r="V93" s="87">
        <f t="shared" si="28"/>
        <v>1.4225363572278854E-11</v>
      </c>
      <c r="W93" s="120">
        <f t="shared" si="29"/>
        <v>9.4835757148525693E-12</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9.3799627252136868E-12</v>
      </c>
      <c r="J94" s="87">
        <f t="shared" si="22"/>
        <v>4.6132973312146065E-12</v>
      </c>
      <c r="K94" s="120">
        <f t="shared" si="24"/>
        <v>3.075531554143071E-12</v>
      </c>
      <c r="O94" s="116">
        <f>Amnt_Deposited!B89</f>
        <v>2075</v>
      </c>
      <c r="P94" s="119">
        <f>Amnt_Deposited!C89</f>
        <v>0</v>
      </c>
      <c r="Q94" s="319">
        <f>MCF!R93</f>
        <v>0.8</v>
      </c>
      <c r="R94" s="87">
        <f t="shared" si="23"/>
        <v>0</v>
      </c>
      <c r="S94" s="87">
        <f t="shared" si="25"/>
        <v>0</v>
      </c>
      <c r="T94" s="87">
        <f t="shared" si="26"/>
        <v>0</v>
      </c>
      <c r="U94" s="87">
        <f t="shared" si="27"/>
        <v>1.9388099886758343E-11</v>
      </c>
      <c r="V94" s="87">
        <f t="shared" si="28"/>
        <v>9.5355463646436685E-12</v>
      </c>
      <c r="W94" s="120">
        <f t="shared" si="29"/>
        <v>6.3570309097624451E-12</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6.2875770457778194E-12</v>
      </c>
      <c r="J95" s="87">
        <f t="shared" si="22"/>
        <v>3.0923856794358673E-12</v>
      </c>
      <c r="K95" s="120">
        <f t="shared" si="24"/>
        <v>2.0615904529572448E-12</v>
      </c>
      <c r="O95" s="116">
        <f>Amnt_Deposited!B90</f>
        <v>2076</v>
      </c>
      <c r="P95" s="119">
        <f>Amnt_Deposited!C90</f>
        <v>0</v>
      </c>
      <c r="Q95" s="319">
        <f>MCF!R94</f>
        <v>0.8</v>
      </c>
      <c r="R95" s="87">
        <f t="shared" si="23"/>
        <v>0</v>
      </c>
      <c r="S95" s="87">
        <f t="shared" si="25"/>
        <v>0</v>
      </c>
      <c r="T95" s="87">
        <f t="shared" si="26"/>
        <v>0</v>
      </c>
      <c r="U95" s="87">
        <f t="shared" si="27"/>
        <v>1.2996232008635426E-11</v>
      </c>
      <c r="V95" s="87">
        <f t="shared" si="28"/>
        <v>6.3918678781229169E-12</v>
      </c>
      <c r="W95" s="120">
        <f t="shared" si="29"/>
        <v>4.2612452520819441E-12</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4.2146889347784169E-12</v>
      </c>
      <c r="J96" s="87">
        <f t="shared" si="22"/>
        <v>2.0728881109994025E-12</v>
      </c>
      <c r="K96" s="120">
        <f t="shared" si="24"/>
        <v>1.3819254073329348E-12</v>
      </c>
      <c r="O96" s="116">
        <f>Amnt_Deposited!B91</f>
        <v>2077</v>
      </c>
      <c r="P96" s="119">
        <f>Amnt_Deposited!C91</f>
        <v>0</v>
      </c>
      <c r="Q96" s="319">
        <f>MCF!R95</f>
        <v>0.8</v>
      </c>
      <c r="R96" s="87">
        <f t="shared" si="23"/>
        <v>0</v>
      </c>
      <c r="S96" s="87">
        <f t="shared" si="25"/>
        <v>0</v>
      </c>
      <c r="T96" s="87">
        <f t="shared" si="26"/>
        <v>0</v>
      </c>
      <c r="U96" s="87">
        <f t="shared" si="27"/>
        <v>8.7116348383183487E-12</v>
      </c>
      <c r="V96" s="87">
        <f t="shared" si="28"/>
        <v>4.2845971703170782E-12</v>
      </c>
      <c r="W96" s="120">
        <f t="shared" si="29"/>
        <v>2.8563981135447186E-12</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2.8251904807865681E-12</v>
      </c>
      <c r="J97" s="87">
        <f t="shared" si="22"/>
        <v>1.3894984539918488E-12</v>
      </c>
      <c r="K97" s="120">
        <f t="shared" si="24"/>
        <v>9.2633230266123255E-13</v>
      </c>
      <c r="O97" s="116">
        <f>Amnt_Deposited!B92</f>
        <v>2078</v>
      </c>
      <c r="P97" s="119">
        <f>Amnt_Deposited!C92</f>
        <v>0</v>
      </c>
      <c r="Q97" s="319">
        <f>MCF!R96</f>
        <v>0.8</v>
      </c>
      <c r="R97" s="87">
        <f t="shared" si="23"/>
        <v>0</v>
      </c>
      <c r="S97" s="87">
        <f t="shared" si="25"/>
        <v>0</v>
      </c>
      <c r="T97" s="87">
        <f t="shared" si="26"/>
        <v>0</v>
      </c>
      <c r="U97" s="87">
        <f t="shared" si="27"/>
        <v>5.839583465867235E-12</v>
      </c>
      <c r="V97" s="87">
        <f t="shared" si="28"/>
        <v>2.8720513724511137E-12</v>
      </c>
      <c r="W97" s="120">
        <f t="shared" si="29"/>
        <v>1.9147009149674091E-12</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1.8937818131403023E-12</v>
      </c>
      <c r="J98" s="87">
        <f t="shared" si="22"/>
        <v>9.3140866764626581E-13</v>
      </c>
      <c r="K98" s="120">
        <f t="shared" si="24"/>
        <v>6.2093911176417717E-13</v>
      </c>
      <c r="O98" s="116">
        <f>Amnt_Deposited!B93</f>
        <v>2079</v>
      </c>
      <c r="P98" s="119">
        <f>Amnt_Deposited!C93</f>
        <v>0</v>
      </c>
      <c r="Q98" s="319">
        <f>MCF!R97</f>
        <v>0.8</v>
      </c>
      <c r="R98" s="87">
        <f t="shared" si="23"/>
        <v>0</v>
      </c>
      <c r="S98" s="87">
        <f t="shared" si="25"/>
        <v>0</v>
      </c>
      <c r="T98" s="87">
        <f t="shared" si="26"/>
        <v>0</v>
      </c>
      <c r="U98" s="87">
        <f t="shared" si="27"/>
        <v>3.9143898576690832E-12</v>
      </c>
      <c r="V98" s="87">
        <f t="shared" si="28"/>
        <v>1.9251936081981518E-12</v>
      </c>
      <c r="W98" s="120">
        <f t="shared" si="29"/>
        <v>1.2834624054654344E-12</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1.269439912165664E-12</v>
      </c>
      <c r="J99" s="88">
        <f t="shared" si="22"/>
        <v>6.2434190097463831E-13</v>
      </c>
      <c r="K99" s="122">
        <f t="shared" si="24"/>
        <v>4.1622793398309219E-13</v>
      </c>
      <c r="O99" s="117">
        <f>Amnt_Deposited!B94</f>
        <v>2080</v>
      </c>
      <c r="P99" s="121">
        <f>Amnt_Deposited!C94</f>
        <v>0</v>
      </c>
      <c r="Q99" s="320">
        <f>MCF!R98</f>
        <v>0.8</v>
      </c>
      <c r="R99" s="88">
        <f t="shared" si="23"/>
        <v>0</v>
      </c>
      <c r="S99" s="88">
        <f>R99*$W$12</f>
        <v>0</v>
      </c>
      <c r="T99" s="88">
        <f>R99*(1-$W$12)</f>
        <v>0</v>
      </c>
      <c r="U99" s="88">
        <f>S99+U98*$W$10</f>
        <v>2.6238939895941797E-12</v>
      </c>
      <c r="V99" s="88">
        <f>U98*(1-$W$10)+T99</f>
        <v>1.2904958680749037E-12</v>
      </c>
      <c r="W99" s="122">
        <f t="shared" si="29"/>
        <v>8.6033057871660242E-13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2.8000000000000001E-2</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3.2226275285820001</v>
      </c>
      <c r="D19" s="451">
        <f>Dry_Matter_Content!D6</f>
        <v>0.44</v>
      </c>
      <c r="E19" s="318">
        <f>MCF!R18</f>
        <v>0.8</v>
      </c>
      <c r="F19" s="150">
        <f t="shared" ref="F19:F50" si="0">C19*D19*$K$6*DOCF*E19</f>
        <v>1.5881108460852097E-2</v>
      </c>
      <c r="G19" s="85">
        <f t="shared" ref="G19:G82" si="1">F19*$K$12</f>
        <v>1.5881108460852097E-2</v>
      </c>
      <c r="H19" s="85">
        <f t="shared" ref="H19:H82" si="2">F19*(1-$K$12)</f>
        <v>0</v>
      </c>
      <c r="I19" s="85">
        <f t="shared" ref="I19:I82" si="3">G19+I18*$K$10</f>
        <v>1.5881108460852097E-2</v>
      </c>
      <c r="J19" s="85">
        <f t="shared" ref="J19:J82" si="4">I18*(1-$K$10)+H19</f>
        <v>0</v>
      </c>
      <c r="K19" s="86">
        <f>J19*CH4_fraction*conv</f>
        <v>0</v>
      </c>
      <c r="O19" s="115">
        <f>Amnt_Deposited!B14</f>
        <v>2000</v>
      </c>
      <c r="P19" s="118">
        <f>Amnt_Deposited!D14</f>
        <v>3.2226275285820001</v>
      </c>
      <c r="Q19" s="318">
        <f>MCF!R18</f>
        <v>0.8</v>
      </c>
      <c r="R19" s="150">
        <f t="shared" ref="R19:R50" si="5">P19*$W$6*DOCF*Q19</f>
        <v>0.51562040457312008</v>
      </c>
      <c r="S19" s="85">
        <f>R19*$W$12</f>
        <v>0.51562040457312008</v>
      </c>
      <c r="T19" s="85">
        <f>R19*(1-$W$12)</f>
        <v>0</v>
      </c>
      <c r="U19" s="85">
        <f>S19+U18*$W$10</f>
        <v>0.51562040457312008</v>
      </c>
      <c r="V19" s="85">
        <f>U18*(1-$W$10)+T19</f>
        <v>0</v>
      </c>
      <c r="W19" s="86">
        <f>V19*CH4_fraction*conv</f>
        <v>0</v>
      </c>
    </row>
    <row r="20" spans="2:23">
      <c r="B20" s="116">
        <f>Amnt_Deposited!B15</f>
        <v>2001</v>
      </c>
      <c r="C20" s="119">
        <f>Amnt_Deposited!D15</f>
        <v>3.2639131044299998</v>
      </c>
      <c r="D20" s="453">
        <f>Dry_Matter_Content!D7</f>
        <v>0.44</v>
      </c>
      <c r="E20" s="319">
        <f>MCF!R19</f>
        <v>0.8</v>
      </c>
      <c r="F20" s="87">
        <f t="shared" si="0"/>
        <v>1.6084563778631041E-2</v>
      </c>
      <c r="G20" s="87">
        <f t="shared" si="1"/>
        <v>1.6084563778631041E-2</v>
      </c>
      <c r="H20" s="87">
        <f t="shared" si="2"/>
        <v>0</v>
      </c>
      <c r="I20" s="87">
        <f t="shared" si="3"/>
        <v>3.0892011160785604E-2</v>
      </c>
      <c r="J20" s="87">
        <f t="shared" si="4"/>
        <v>1.0736610786975355E-3</v>
      </c>
      <c r="K20" s="120">
        <f>J20*CH4_fraction*conv</f>
        <v>7.1577405246502361E-4</v>
      </c>
      <c r="M20" s="428"/>
      <c r="O20" s="116">
        <f>Amnt_Deposited!B15</f>
        <v>2001</v>
      </c>
      <c r="P20" s="119">
        <f>Amnt_Deposited!D15</f>
        <v>3.2639131044299998</v>
      </c>
      <c r="Q20" s="319">
        <f>MCF!R19</f>
        <v>0.8</v>
      </c>
      <c r="R20" s="87">
        <f t="shared" si="5"/>
        <v>0.52222609670880005</v>
      </c>
      <c r="S20" s="87">
        <f>R20*$W$12</f>
        <v>0.52222609670880005</v>
      </c>
      <c r="T20" s="87">
        <f>R20*(1-$W$12)</f>
        <v>0</v>
      </c>
      <c r="U20" s="87">
        <f>S20+U19*$W$10</f>
        <v>1.0029873753501819</v>
      </c>
      <c r="V20" s="87">
        <f>U19*(1-$W$10)+T20</f>
        <v>3.485912593173817E-2</v>
      </c>
      <c r="W20" s="120">
        <f>V20*CH4_fraction*conv</f>
        <v>2.3239417287825446E-2</v>
      </c>
    </row>
    <row r="21" spans="2:23">
      <c r="B21" s="116">
        <f>Amnt_Deposited!B16</f>
        <v>2002</v>
      </c>
      <c r="C21" s="119">
        <f>Amnt_Deposited!D16</f>
        <v>3.3374619478200001</v>
      </c>
      <c r="D21" s="453">
        <f>Dry_Matter_Content!D8</f>
        <v>0.44</v>
      </c>
      <c r="E21" s="319">
        <f>MCF!R20</f>
        <v>0.8</v>
      </c>
      <c r="F21" s="87">
        <f t="shared" si="0"/>
        <v>1.6447012478856961E-2</v>
      </c>
      <c r="G21" s="87">
        <f t="shared" si="1"/>
        <v>1.6447012478856961E-2</v>
      </c>
      <c r="H21" s="87">
        <f t="shared" si="2"/>
        <v>0</v>
      </c>
      <c r="I21" s="87">
        <f t="shared" si="3"/>
        <v>4.5250532769639043E-2</v>
      </c>
      <c r="J21" s="87">
        <f t="shared" si="4"/>
        <v>2.0884908700035277E-3</v>
      </c>
      <c r="K21" s="120">
        <f t="shared" ref="K21:K84" si="6">J21*CH4_fraction*conv</f>
        <v>1.3923272466690184E-3</v>
      </c>
      <c r="O21" s="116">
        <f>Amnt_Deposited!B16</f>
        <v>2002</v>
      </c>
      <c r="P21" s="119">
        <f>Amnt_Deposited!D16</f>
        <v>3.3374619478200001</v>
      </c>
      <c r="Q21" s="319">
        <f>MCF!R20</f>
        <v>0.8</v>
      </c>
      <c r="R21" s="87">
        <f t="shared" si="5"/>
        <v>0.53399391165120003</v>
      </c>
      <c r="S21" s="87">
        <f t="shared" ref="S21:S84" si="7">R21*$W$12</f>
        <v>0.53399391165120003</v>
      </c>
      <c r="T21" s="87">
        <f t="shared" ref="T21:T84" si="8">R21*(1-$W$12)</f>
        <v>0</v>
      </c>
      <c r="U21" s="87">
        <f t="shared" ref="U21:U84" si="9">S21+U20*$W$10</f>
        <v>1.4691731418713974</v>
      </c>
      <c r="V21" s="87">
        <f t="shared" ref="V21:V84" si="10">U20*(1-$W$10)+T21</f>
        <v>6.7808145129984648E-2</v>
      </c>
      <c r="W21" s="120">
        <f t="shared" ref="W21:W84" si="11">V21*CH4_fraction*conv</f>
        <v>4.520543008665643E-2</v>
      </c>
    </row>
    <row r="22" spans="2:23">
      <c r="B22" s="116">
        <f>Amnt_Deposited!B17</f>
        <v>2003</v>
      </c>
      <c r="C22" s="119">
        <f>Amnt_Deposited!D17</f>
        <v>3.3967842190260003</v>
      </c>
      <c r="D22" s="453">
        <f>Dry_Matter_Content!D9</f>
        <v>0.44</v>
      </c>
      <c r="E22" s="319">
        <f>MCF!R21</f>
        <v>0.8</v>
      </c>
      <c r="F22" s="87">
        <f t="shared" si="0"/>
        <v>1.673935263136013E-2</v>
      </c>
      <c r="G22" s="87">
        <f t="shared" si="1"/>
        <v>1.673935263136013E-2</v>
      </c>
      <c r="H22" s="87">
        <f t="shared" si="2"/>
        <v>0</v>
      </c>
      <c r="I22" s="87">
        <f t="shared" si="3"/>
        <v>5.8930669733223168E-2</v>
      </c>
      <c r="J22" s="87">
        <f t="shared" si="4"/>
        <v>3.0592156677760065E-3</v>
      </c>
      <c r="K22" s="120">
        <f t="shared" si="6"/>
        <v>2.0394771118506707E-3</v>
      </c>
      <c r="N22" s="290"/>
      <c r="O22" s="116">
        <f>Amnt_Deposited!B17</f>
        <v>2003</v>
      </c>
      <c r="P22" s="119">
        <f>Amnt_Deposited!D17</f>
        <v>3.3967842190260003</v>
      </c>
      <c r="Q22" s="319">
        <f>MCF!R21</f>
        <v>0.8</v>
      </c>
      <c r="R22" s="87">
        <f t="shared" si="5"/>
        <v>0.54348547504416012</v>
      </c>
      <c r="S22" s="87">
        <f t="shared" si="7"/>
        <v>0.54348547504416012</v>
      </c>
      <c r="T22" s="87">
        <f t="shared" si="8"/>
        <v>0</v>
      </c>
      <c r="U22" s="87">
        <f t="shared" si="9"/>
        <v>1.9133334328968559</v>
      </c>
      <c r="V22" s="87">
        <f t="shared" si="10"/>
        <v>9.9325184018701496E-2</v>
      </c>
      <c r="W22" s="120">
        <f t="shared" si="11"/>
        <v>6.6216789345800997E-2</v>
      </c>
    </row>
    <row r="23" spans="2:23">
      <c r="B23" s="116">
        <f>Amnt_Deposited!B18</f>
        <v>2004</v>
      </c>
      <c r="C23" s="119">
        <f>Amnt_Deposited!D18</f>
        <v>3.4149555757019998</v>
      </c>
      <c r="D23" s="453">
        <f>Dry_Matter_Content!D10</f>
        <v>0.44</v>
      </c>
      <c r="E23" s="319">
        <f>MCF!R22</f>
        <v>0.8</v>
      </c>
      <c r="F23" s="87">
        <f t="shared" si="0"/>
        <v>1.682890107705946E-2</v>
      </c>
      <c r="G23" s="87">
        <f t="shared" si="1"/>
        <v>1.682890107705946E-2</v>
      </c>
      <c r="H23" s="87">
        <f t="shared" si="2"/>
        <v>0</v>
      </c>
      <c r="I23" s="87">
        <f t="shared" si="3"/>
        <v>7.1775493339235261E-2</v>
      </c>
      <c r="J23" s="87">
        <f t="shared" si="4"/>
        <v>3.9840774710473686E-3</v>
      </c>
      <c r="K23" s="120">
        <f t="shared" si="6"/>
        <v>2.6560516473649121E-3</v>
      </c>
      <c r="N23" s="290"/>
      <c r="O23" s="116">
        <f>Amnt_Deposited!B18</f>
        <v>2004</v>
      </c>
      <c r="P23" s="119">
        <f>Amnt_Deposited!D18</f>
        <v>3.4149555757019998</v>
      </c>
      <c r="Q23" s="319">
        <f>MCF!R22</f>
        <v>0.8</v>
      </c>
      <c r="R23" s="87">
        <f t="shared" si="5"/>
        <v>0.54639289211232001</v>
      </c>
      <c r="S23" s="87">
        <f t="shared" si="7"/>
        <v>0.54639289211232001</v>
      </c>
      <c r="T23" s="87">
        <f t="shared" si="8"/>
        <v>0</v>
      </c>
      <c r="U23" s="87">
        <f t="shared" si="9"/>
        <v>2.3303731603647808</v>
      </c>
      <c r="V23" s="87">
        <f t="shared" si="10"/>
        <v>0.12935316464439509</v>
      </c>
      <c r="W23" s="120">
        <f t="shared" si="11"/>
        <v>8.6235443096263381E-2</v>
      </c>
    </row>
    <row r="24" spans="2:23">
      <c r="B24" s="116">
        <f>Amnt_Deposited!B19</f>
        <v>2005</v>
      </c>
      <c r="C24" s="119">
        <f>Amnt_Deposited!D19</f>
        <v>3.78263642262</v>
      </c>
      <c r="D24" s="453">
        <f>Dry_Matter_Content!D11</f>
        <v>0.44</v>
      </c>
      <c r="E24" s="319">
        <f>MCF!R23</f>
        <v>0.8</v>
      </c>
      <c r="F24" s="87">
        <f t="shared" si="0"/>
        <v>1.8640832290671362E-2</v>
      </c>
      <c r="G24" s="87">
        <f t="shared" si="1"/>
        <v>1.8640832290671362E-2</v>
      </c>
      <c r="H24" s="87">
        <f t="shared" si="2"/>
        <v>0</v>
      </c>
      <c r="I24" s="87">
        <f t="shared" si="3"/>
        <v>8.5563858700874865E-2</v>
      </c>
      <c r="J24" s="87">
        <f t="shared" si="4"/>
        <v>4.8524669290317488E-3</v>
      </c>
      <c r="K24" s="120">
        <f t="shared" si="6"/>
        <v>3.2349779526878323E-3</v>
      </c>
      <c r="N24" s="290"/>
      <c r="O24" s="116">
        <f>Amnt_Deposited!B19</f>
        <v>2005</v>
      </c>
      <c r="P24" s="119">
        <f>Amnt_Deposited!D19</f>
        <v>3.78263642262</v>
      </c>
      <c r="Q24" s="319">
        <f>MCF!R23</f>
        <v>0.8</v>
      </c>
      <c r="R24" s="87">
        <f t="shared" si="5"/>
        <v>0.60522182761920007</v>
      </c>
      <c r="S24" s="87">
        <f t="shared" si="7"/>
        <v>0.60522182761920007</v>
      </c>
      <c r="T24" s="87">
        <f t="shared" si="8"/>
        <v>0</v>
      </c>
      <c r="U24" s="87">
        <f t="shared" si="9"/>
        <v>2.7780473604180149</v>
      </c>
      <c r="V24" s="87">
        <f t="shared" si="10"/>
        <v>0.15754762756596585</v>
      </c>
      <c r="W24" s="120">
        <f t="shared" si="11"/>
        <v>0.1050317517106439</v>
      </c>
    </row>
    <row r="25" spans="2:23">
      <c r="B25" s="116">
        <f>Amnt_Deposited!B20</f>
        <v>2006</v>
      </c>
      <c r="C25" s="119">
        <f>Amnt_Deposited!D20</f>
        <v>3.8604469006620001</v>
      </c>
      <c r="D25" s="453">
        <f>Dry_Matter_Content!D12</f>
        <v>0.44</v>
      </c>
      <c r="E25" s="319">
        <f>MCF!R24</f>
        <v>0.8</v>
      </c>
      <c r="F25" s="87">
        <f t="shared" si="0"/>
        <v>1.902428232646234E-2</v>
      </c>
      <c r="G25" s="87">
        <f t="shared" si="1"/>
        <v>1.902428232646234E-2</v>
      </c>
      <c r="H25" s="87">
        <f t="shared" si="2"/>
        <v>0</v>
      </c>
      <c r="I25" s="87">
        <f t="shared" si="3"/>
        <v>9.8803495386463852E-2</v>
      </c>
      <c r="J25" s="87">
        <f t="shared" si="4"/>
        <v>5.7846456408733411E-3</v>
      </c>
      <c r="K25" s="120">
        <f t="shared" si="6"/>
        <v>3.8564304272488939E-3</v>
      </c>
      <c r="N25" s="290"/>
      <c r="O25" s="116">
        <f>Amnt_Deposited!B20</f>
        <v>2006</v>
      </c>
      <c r="P25" s="119">
        <f>Amnt_Deposited!D20</f>
        <v>3.8604469006620001</v>
      </c>
      <c r="Q25" s="319">
        <f>MCF!R24</f>
        <v>0.8</v>
      </c>
      <c r="R25" s="87">
        <f t="shared" si="5"/>
        <v>0.61767150410592009</v>
      </c>
      <c r="S25" s="87">
        <f t="shared" si="7"/>
        <v>0.61767150410592009</v>
      </c>
      <c r="T25" s="87">
        <f t="shared" si="8"/>
        <v>0</v>
      </c>
      <c r="U25" s="87">
        <f t="shared" si="9"/>
        <v>3.2079056943657096</v>
      </c>
      <c r="V25" s="87">
        <f t="shared" si="10"/>
        <v>0.18781317015822535</v>
      </c>
      <c r="W25" s="120">
        <f t="shared" si="11"/>
        <v>0.12520878010548356</v>
      </c>
    </row>
    <row r="26" spans="2:23">
      <c r="B26" s="116">
        <f>Amnt_Deposited!B21</f>
        <v>2007</v>
      </c>
      <c r="C26" s="119">
        <f>Amnt_Deposited!D21</f>
        <v>3.9381940086720006</v>
      </c>
      <c r="D26" s="453">
        <f>Dry_Matter_Content!D13</f>
        <v>0.44</v>
      </c>
      <c r="E26" s="319">
        <f>MCF!R25</f>
        <v>0.8</v>
      </c>
      <c r="F26" s="87">
        <f t="shared" si="0"/>
        <v>1.9407420074735622E-2</v>
      </c>
      <c r="G26" s="87">
        <f t="shared" si="1"/>
        <v>1.9407420074735622E-2</v>
      </c>
      <c r="H26" s="87">
        <f t="shared" si="2"/>
        <v>0</v>
      </c>
      <c r="I26" s="87">
        <f t="shared" si="3"/>
        <v>0.11153118855818039</v>
      </c>
      <c r="J26" s="87">
        <f t="shared" si="4"/>
        <v>6.6797269030190844E-3</v>
      </c>
      <c r="K26" s="120">
        <f t="shared" si="6"/>
        <v>4.4531512686793893E-3</v>
      </c>
      <c r="N26" s="290"/>
      <c r="O26" s="116">
        <f>Amnt_Deposited!B21</f>
        <v>2007</v>
      </c>
      <c r="P26" s="119">
        <f>Amnt_Deposited!D21</f>
        <v>3.9381940086720006</v>
      </c>
      <c r="Q26" s="319">
        <f>MCF!R25</f>
        <v>0.8</v>
      </c>
      <c r="R26" s="87">
        <f t="shared" si="5"/>
        <v>0.63011104138752017</v>
      </c>
      <c r="S26" s="87">
        <f t="shared" si="7"/>
        <v>0.63011104138752017</v>
      </c>
      <c r="T26" s="87">
        <f t="shared" si="8"/>
        <v>0</v>
      </c>
      <c r="U26" s="87">
        <f t="shared" si="9"/>
        <v>3.6211424856552075</v>
      </c>
      <c r="V26" s="87">
        <f t="shared" si="10"/>
        <v>0.21687425009802222</v>
      </c>
      <c r="W26" s="120">
        <f t="shared" si="11"/>
        <v>0.14458283339868147</v>
      </c>
    </row>
    <row r="27" spans="2:23">
      <c r="B27" s="116">
        <f>Amnt_Deposited!B22</f>
        <v>2008</v>
      </c>
      <c r="C27" s="119">
        <f>Amnt_Deposited!D22</f>
        <v>4.0154024714099998</v>
      </c>
      <c r="D27" s="453">
        <f>Dry_Matter_Content!D14</f>
        <v>0.44</v>
      </c>
      <c r="E27" s="319">
        <f>MCF!R26</f>
        <v>0.8</v>
      </c>
      <c r="F27" s="87">
        <f t="shared" si="0"/>
        <v>1.978790337910848E-2</v>
      </c>
      <c r="G27" s="87">
        <f t="shared" si="1"/>
        <v>1.978790337910848E-2</v>
      </c>
      <c r="H27" s="87">
        <f t="shared" si="2"/>
        <v>0</v>
      </c>
      <c r="I27" s="87">
        <f t="shared" si="3"/>
        <v>0.12377889431752089</v>
      </c>
      <c r="J27" s="87">
        <f t="shared" si="4"/>
        <v>7.5401976197679854E-3</v>
      </c>
      <c r="K27" s="120">
        <f t="shared" si="6"/>
        <v>5.0267984131786569E-3</v>
      </c>
      <c r="N27" s="290"/>
      <c r="O27" s="116">
        <f>Amnt_Deposited!B22</f>
        <v>2008</v>
      </c>
      <c r="P27" s="119">
        <f>Amnt_Deposited!D22</f>
        <v>4.0154024714099998</v>
      </c>
      <c r="Q27" s="319">
        <f>MCF!R26</f>
        <v>0.8</v>
      </c>
      <c r="R27" s="87">
        <f t="shared" si="5"/>
        <v>0.64246439542560008</v>
      </c>
      <c r="S27" s="87">
        <f t="shared" si="7"/>
        <v>0.64246439542560008</v>
      </c>
      <c r="T27" s="87">
        <f t="shared" si="8"/>
        <v>0</v>
      </c>
      <c r="U27" s="87">
        <f t="shared" si="9"/>
        <v>4.0187952700493792</v>
      </c>
      <c r="V27" s="87">
        <f t="shared" si="10"/>
        <v>0.24481161103142807</v>
      </c>
      <c r="W27" s="120">
        <f t="shared" si="11"/>
        <v>0.1632077406876187</v>
      </c>
    </row>
    <row r="28" spans="2:23">
      <c r="B28" s="116">
        <f>Amnt_Deposited!B23</f>
        <v>2009</v>
      </c>
      <c r="C28" s="119">
        <f>Amnt_Deposited!D23</f>
        <v>4.0915019585880001</v>
      </c>
      <c r="D28" s="453">
        <f>Dry_Matter_Content!D15</f>
        <v>0.44</v>
      </c>
      <c r="E28" s="319">
        <f>MCF!R27</f>
        <v>0.8</v>
      </c>
      <c r="F28" s="87">
        <f t="shared" si="0"/>
        <v>2.016292165192167E-2</v>
      </c>
      <c r="G28" s="87">
        <f t="shared" si="1"/>
        <v>2.016292165192167E-2</v>
      </c>
      <c r="H28" s="87">
        <f t="shared" si="2"/>
        <v>0</v>
      </c>
      <c r="I28" s="87">
        <f t="shared" si="3"/>
        <v>0.13557359774836963</v>
      </c>
      <c r="J28" s="87">
        <f t="shared" si="4"/>
        <v>8.3682182210729136E-3</v>
      </c>
      <c r="K28" s="120">
        <f t="shared" si="6"/>
        <v>5.5788121473819424E-3</v>
      </c>
      <c r="N28" s="290"/>
      <c r="O28" s="116">
        <f>Amnt_Deposited!B23</f>
        <v>2009</v>
      </c>
      <c r="P28" s="119">
        <f>Amnt_Deposited!D23</f>
        <v>4.0915019585880001</v>
      </c>
      <c r="Q28" s="319">
        <f>MCF!R27</f>
        <v>0.8</v>
      </c>
      <c r="R28" s="87">
        <f t="shared" si="5"/>
        <v>0.65464031337408013</v>
      </c>
      <c r="S28" s="87">
        <f t="shared" si="7"/>
        <v>0.65464031337408013</v>
      </c>
      <c r="T28" s="87">
        <f t="shared" si="8"/>
        <v>0</v>
      </c>
      <c r="U28" s="87">
        <f t="shared" si="9"/>
        <v>4.4017401866353776</v>
      </c>
      <c r="V28" s="87">
        <f t="shared" si="10"/>
        <v>0.27169539678808158</v>
      </c>
      <c r="W28" s="120">
        <f t="shared" si="11"/>
        <v>0.18113026452538772</v>
      </c>
    </row>
    <row r="29" spans="2:23">
      <c r="B29" s="116">
        <f>Amnt_Deposited!B24</f>
        <v>2010</v>
      </c>
      <c r="C29" s="119">
        <f>Amnt_Deposited!D24</f>
        <v>4.4167248840660012</v>
      </c>
      <c r="D29" s="453">
        <f>Dry_Matter_Content!D16</f>
        <v>0.44</v>
      </c>
      <c r="E29" s="319">
        <f>MCF!R28</f>
        <v>0.8</v>
      </c>
      <c r="F29" s="87">
        <f t="shared" si="0"/>
        <v>2.1765620228677257E-2</v>
      </c>
      <c r="G29" s="87">
        <f t="shared" si="1"/>
        <v>2.1765620228677257E-2</v>
      </c>
      <c r="H29" s="87">
        <f t="shared" si="2"/>
        <v>0</v>
      </c>
      <c r="I29" s="87">
        <f t="shared" si="3"/>
        <v>0.14817360491167209</v>
      </c>
      <c r="J29" s="87">
        <f t="shared" si="4"/>
        <v>9.1656130653748023E-3</v>
      </c>
      <c r="K29" s="120">
        <f t="shared" si="6"/>
        <v>6.1104087102498679E-3</v>
      </c>
      <c r="O29" s="116">
        <f>Amnt_Deposited!B24</f>
        <v>2010</v>
      </c>
      <c r="P29" s="119">
        <f>Amnt_Deposited!D24</f>
        <v>4.4167248840660012</v>
      </c>
      <c r="Q29" s="319">
        <f>MCF!R28</f>
        <v>0.8</v>
      </c>
      <c r="R29" s="87">
        <f t="shared" si="5"/>
        <v>0.70667598145056021</v>
      </c>
      <c r="S29" s="87">
        <f t="shared" si="7"/>
        <v>0.70667598145056021</v>
      </c>
      <c r="T29" s="87">
        <f t="shared" si="8"/>
        <v>0</v>
      </c>
      <c r="U29" s="87">
        <f t="shared" si="9"/>
        <v>4.8108313283010418</v>
      </c>
      <c r="V29" s="87">
        <f t="shared" si="10"/>
        <v>0.29758483978489619</v>
      </c>
      <c r="W29" s="120">
        <f t="shared" si="11"/>
        <v>0.19838989318993078</v>
      </c>
    </row>
    <row r="30" spans="2:23">
      <c r="B30" s="116">
        <f>Amnt_Deposited!B25</f>
        <v>2011</v>
      </c>
      <c r="C30" s="119">
        <f>Amnt_Deposited!D25</f>
        <v>0</v>
      </c>
      <c r="D30" s="453">
        <f>Dry_Matter_Content!D17</f>
        <v>0.44</v>
      </c>
      <c r="E30" s="319">
        <f>MCF!R29</f>
        <v>0.8</v>
      </c>
      <c r="F30" s="87">
        <f t="shared" si="0"/>
        <v>0</v>
      </c>
      <c r="G30" s="87">
        <f t="shared" si="1"/>
        <v>0</v>
      </c>
      <c r="H30" s="87">
        <f t="shared" si="2"/>
        <v>0</v>
      </c>
      <c r="I30" s="87">
        <f t="shared" si="3"/>
        <v>0.13815615349282873</v>
      </c>
      <c r="J30" s="87">
        <f t="shared" si="4"/>
        <v>1.001745141884337E-2</v>
      </c>
      <c r="K30" s="120">
        <f t="shared" si="6"/>
        <v>6.6783009458955796E-3</v>
      </c>
      <c r="O30" s="116">
        <f>Amnt_Deposited!B25</f>
        <v>2011</v>
      </c>
      <c r="P30" s="119">
        <f>Amnt_Deposited!D25</f>
        <v>0</v>
      </c>
      <c r="Q30" s="319">
        <f>MCF!R29</f>
        <v>0.8</v>
      </c>
      <c r="R30" s="87">
        <f t="shared" si="5"/>
        <v>0</v>
      </c>
      <c r="S30" s="87">
        <f t="shared" si="7"/>
        <v>0</v>
      </c>
      <c r="T30" s="87">
        <f t="shared" si="8"/>
        <v>0</v>
      </c>
      <c r="U30" s="87">
        <f t="shared" si="9"/>
        <v>4.4855893991178153</v>
      </c>
      <c r="V30" s="87">
        <f t="shared" si="10"/>
        <v>0.32524192918322631</v>
      </c>
      <c r="W30" s="120">
        <f t="shared" si="11"/>
        <v>0.21682795278881753</v>
      </c>
    </row>
    <row r="31" spans="2:23">
      <c r="B31" s="116">
        <f>Amnt_Deposited!B26</f>
        <v>2012</v>
      </c>
      <c r="C31" s="119">
        <f>Amnt_Deposited!D26</f>
        <v>0</v>
      </c>
      <c r="D31" s="453">
        <f>Dry_Matter_Content!D18</f>
        <v>0.44</v>
      </c>
      <c r="E31" s="319">
        <f>MCF!R30</f>
        <v>0.8</v>
      </c>
      <c r="F31" s="87">
        <f t="shared" si="0"/>
        <v>0</v>
      </c>
      <c r="G31" s="87">
        <f t="shared" si="1"/>
        <v>0</v>
      </c>
      <c r="H31" s="87">
        <f t="shared" si="2"/>
        <v>0</v>
      </c>
      <c r="I31" s="87">
        <f t="shared" si="3"/>
        <v>0.12881594369869109</v>
      </c>
      <c r="J31" s="87">
        <f t="shared" si="4"/>
        <v>9.3402097941376327E-3</v>
      </c>
      <c r="K31" s="120">
        <f t="shared" si="6"/>
        <v>6.2268065294250885E-3</v>
      </c>
      <c r="O31" s="116">
        <f>Amnt_Deposited!B26</f>
        <v>2012</v>
      </c>
      <c r="P31" s="119">
        <f>Amnt_Deposited!D26</f>
        <v>0</v>
      </c>
      <c r="Q31" s="319">
        <f>MCF!R30</f>
        <v>0.8</v>
      </c>
      <c r="R31" s="87">
        <f t="shared" si="5"/>
        <v>0</v>
      </c>
      <c r="S31" s="87">
        <f t="shared" si="7"/>
        <v>0</v>
      </c>
      <c r="T31" s="87">
        <f t="shared" si="8"/>
        <v>0</v>
      </c>
      <c r="U31" s="87">
        <f t="shared" si="9"/>
        <v>4.1823358343730872</v>
      </c>
      <c r="V31" s="87">
        <f t="shared" si="10"/>
        <v>0.30325356474472831</v>
      </c>
      <c r="W31" s="120">
        <f t="shared" si="11"/>
        <v>0.20216904316315221</v>
      </c>
    </row>
    <row r="32" spans="2:23">
      <c r="B32" s="116">
        <f>Amnt_Deposited!B27</f>
        <v>2013</v>
      </c>
      <c r="C32" s="119">
        <f>Amnt_Deposited!D27</f>
        <v>0</v>
      </c>
      <c r="D32" s="453">
        <f>Dry_Matter_Content!D19</f>
        <v>0.44</v>
      </c>
      <c r="E32" s="319">
        <f>MCF!R31</f>
        <v>0.8</v>
      </c>
      <c r="F32" s="87">
        <f t="shared" si="0"/>
        <v>0</v>
      </c>
      <c r="G32" s="87">
        <f t="shared" si="1"/>
        <v>0</v>
      </c>
      <c r="H32" s="87">
        <f t="shared" si="2"/>
        <v>0</v>
      </c>
      <c r="I32" s="87">
        <f t="shared" si="3"/>
        <v>0.12010718981001216</v>
      </c>
      <c r="J32" s="87">
        <f t="shared" si="4"/>
        <v>8.7087538886789374E-3</v>
      </c>
      <c r="K32" s="120">
        <f t="shared" si="6"/>
        <v>5.805835925785958E-3</v>
      </c>
      <c r="O32" s="116">
        <f>Amnt_Deposited!B27</f>
        <v>2013</v>
      </c>
      <c r="P32" s="119">
        <f>Amnt_Deposited!D27</f>
        <v>0</v>
      </c>
      <c r="Q32" s="319">
        <f>MCF!R31</f>
        <v>0.8</v>
      </c>
      <c r="R32" s="87">
        <f t="shared" si="5"/>
        <v>0</v>
      </c>
      <c r="S32" s="87">
        <f t="shared" si="7"/>
        <v>0</v>
      </c>
      <c r="T32" s="87">
        <f t="shared" si="8"/>
        <v>0</v>
      </c>
      <c r="U32" s="87">
        <f t="shared" si="9"/>
        <v>3.899584084740654</v>
      </c>
      <c r="V32" s="87">
        <f t="shared" si="10"/>
        <v>0.28275174963243305</v>
      </c>
      <c r="W32" s="120">
        <f t="shared" si="11"/>
        <v>0.18850116642162201</v>
      </c>
    </row>
    <row r="33" spans="2:23">
      <c r="B33" s="116">
        <f>Amnt_Deposited!B28</f>
        <v>2014</v>
      </c>
      <c r="C33" s="119">
        <f>Amnt_Deposited!D28</f>
        <v>0</v>
      </c>
      <c r="D33" s="453">
        <f>Dry_Matter_Content!D20</f>
        <v>0.44</v>
      </c>
      <c r="E33" s="319">
        <f>MCF!R32</f>
        <v>0.8</v>
      </c>
      <c r="F33" s="87">
        <f t="shared" si="0"/>
        <v>0</v>
      </c>
      <c r="G33" s="87">
        <f t="shared" si="1"/>
        <v>0</v>
      </c>
      <c r="H33" s="87">
        <f t="shared" si="2"/>
        <v>0</v>
      </c>
      <c r="I33" s="87">
        <f t="shared" si="3"/>
        <v>0.11198720150512602</v>
      </c>
      <c r="J33" s="87">
        <f t="shared" si="4"/>
        <v>8.119988304886137E-3</v>
      </c>
      <c r="K33" s="120">
        <f t="shared" si="6"/>
        <v>5.413325536590758E-3</v>
      </c>
      <c r="O33" s="116">
        <f>Amnt_Deposited!B28</f>
        <v>2014</v>
      </c>
      <c r="P33" s="119">
        <f>Amnt_Deposited!D28</f>
        <v>0</v>
      </c>
      <c r="Q33" s="319">
        <f>MCF!R32</f>
        <v>0.8</v>
      </c>
      <c r="R33" s="87">
        <f t="shared" si="5"/>
        <v>0</v>
      </c>
      <c r="S33" s="87">
        <f t="shared" si="7"/>
        <v>0</v>
      </c>
      <c r="T33" s="87">
        <f t="shared" si="8"/>
        <v>0</v>
      </c>
      <c r="U33" s="87">
        <f t="shared" si="9"/>
        <v>3.6359481008157797</v>
      </c>
      <c r="V33" s="87">
        <f t="shared" si="10"/>
        <v>0.26363598392487453</v>
      </c>
      <c r="W33" s="120">
        <f t="shared" si="11"/>
        <v>0.175757322616583</v>
      </c>
    </row>
    <row r="34" spans="2:23">
      <c r="B34" s="116">
        <f>Amnt_Deposited!B29</f>
        <v>2015</v>
      </c>
      <c r="C34" s="119">
        <f>Amnt_Deposited!D29</f>
        <v>0</v>
      </c>
      <c r="D34" s="453">
        <f>Dry_Matter_Content!D21</f>
        <v>0.44</v>
      </c>
      <c r="E34" s="319">
        <f>MCF!R33</f>
        <v>0.8</v>
      </c>
      <c r="F34" s="87">
        <f t="shared" si="0"/>
        <v>0</v>
      </c>
      <c r="G34" s="87">
        <f t="shared" si="1"/>
        <v>0</v>
      </c>
      <c r="H34" s="87">
        <f t="shared" si="2"/>
        <v>0</v>
      </c>
      <c r="I34" s="87">
        <f t="shared" si="3"/>
        <v>0.10441617459194161</v>
      </c>
      <c r="J34" s="87">
        <f t="shared" si="4"/>
        <v>7.5710269131844098E-3</v>
      </c>
      <c r="K34" s="120">
        <f t="shared" si="6"/>
        <v>5.0473512754562726E-3</v>
      </c>
      <c r="O34" s="116">
        <f>Amnt_Deposited!B29</f>
        <v>2015</v>
      </c>
      <c r="P34" s="119">
        <f>Amnt_Deposited!D29</f>
        <v>0</v>
      </c>
      <c r="Q34" s="319">
        <f>MCF!R33</f>
        <v>0.8</v>
      </c>
      <c r="R34" s="87">
        <f t="shared" si="5"/>
        <v>0</v>
      </c>
      <c r="S34" s="87">
        <f t="shared" si="7"/>
        <v>0</v>
      </c>
      <c r="T34" s="87">
        <f t="shared" si="8"/>
        <v>0</v>
      </c>
      <c r="U34" s="87">
        <f t="shared" si="9"/>
        <v>3.3901355386994028</v>
      </c>
      <c r="V34" s="87">
        <f t="shared" si="10"/>
        <v>0.24581256211637695</v>
      </c>
      <c r="W34" s="120">
        <f t="shared" si="11"/>
        <v>0.16387504141091797</v>
      </c>
    </row>
    <row r="35" spans="2:23">
      <c r="B35" s="116">
        <f>Amnt_Deposited!B30</f>
        <v>2016</v>
      </c>
      <c r="C35" s="119">
        <f>Amnt_Deposited!D30</f>
        <v>0</v>
      </c>
      <c r="D35" s="453">
        <f>Dry_Matter_Content!D22</f>
        <v>0.44</v>
      </c>
      <c r="E35" s="319">
        <f>MCF!R34</f>
        <v>0.8</v>
      </c>
      <c r="F35" s="87">
        <f t="shared" si="0"/>
        <v>0</v>
      </c>
      <c r="G35" s="87">
        <f t="shared" si="1"/>
        <v>0</v>
      </c>
      <c r="H35" s="87">
        <f t="shared" si="2"/>
        <v>0</v>
      </c>
      <c r="I35" s="87">
        <f t="shared" si="3"/>
        <v>9.735699588774685E-2</v>
      </c>
      <c r="J35" s="87">
        <f t="shared" si="4"/>
        <v>7.0591787041947521E-3</v>
      </c>
      <c r="K35" s="120">
        <f t="shared" si="6"/>
        <v>4.7061191361298348E-3</v>
      </c>
      <c r="O35" s="116">
        <f>Amnt_Deposited!B30</f>
        <v>2016</v>
      </c>
      <c r="P35" s="119">
        <f>Amnt_Deposited!D30</f>
        <v>0</v>
      </c>
      <c r="Q35" s="319">
        <f>MCF!R34</f>
        <v>0.8</v>
      </c>
      <c r="R35" s="87">
        <f t="shared" si="5"/>
        <v>0</v>
      </c>
      <c r="S35" s="87">
        <f t="shared" si="7"/>
        <v>0</v>
      </c>
      <c r="T35" s="87">
        <f t="shared" si="8"/>
        <v>0</v>
      </c>
      <c r="U35" s="87">
        <f t="shared" si="9"/>
        <v>3.1609414249268459</v>
      </c>
      <c r="V35" s="87">
        <f t="shared" si="10"/>
        <v>0.22919411377255688</v>
      </c>
      <c r="W35" s="120">
        <f t="shared" si="11"/>
        <v>0.15279607584837124</v>
      </c>
    </row>
    <row r="36" spans="2:23">
      <c r="B36" s="116">
        <f>Amnt_Deposited!B31</f>
        <v>2017</v>
      </c>
      <c r="C36" s="119">
        <f>Amnt_Deposited!D31</f>
        <v>0</v>
      </c>
      <c r="D36" s="453">
        <f>Dry_Matter_Content!D23</f>
        <v>0.44</v>
      </c>
      <c r="E36" s="319">
        <f>MCF!R35</f>
        <v>0.8</v>
      </c>
      <c r="F36" s="87">
        <f t="shared" si="0"/>
        <v>0</v>
      </c>
      <c r="G36" s="87">
        <f t="shared" si="1"/>
        <v>0</v>
      </c>
      <c r="H36" s="87">
        <f t="shared" si="2"/>
        <v>0</v>
      </c>
      <c r="I36" s="87">
        <f t="shared" si="3"/>
        <v>9.0775061290343989E-2</v>
      </c>
      <c r="J36" s="87">
        <f t="shared" si="4"/>
        <v>6.581934597402867E-3</v>
      </c>
      <c r="K36" s="120">
        <f t="shared" si="6"/>
        <v>4.387956398268578E-3</v>
      </c>
      <c r="O36" s="116">
        <f>Amnt_Deposited!B31</f>
        <v>2017</v>
      </c>
      <c r="P36" s="119">
        <f>Amnt_Deposited!D31</f>
        <v>0</v>
      </c>
      <c r="Q36" s="319">
        <f>MCF!R35</f>
        <v>0.8</v>
      </c>
      <c r="R36" s="87">
        <f t="shared" si="5"/>
        <v>0</v>
      </c>
      <c r="S36" s="87">
        <f t="shared" si="7"/>
        <v>0</v>
      </c>
      <c r="T36" s="87">
        <f t="shared" si="8"/>
        <v>0</v>
      </c>
      <c r="U36" s="87">
        <f t="shared" si="9"/>
        <v>2.947242249686493</v>
      </c>
      <c r="V36" s="87">
        <f t="shared" si="10"/>
        <v>0.21369917524035284</v>
      </c>
      <c r="W36" s="120">
        <f t="shared" si="11"/>
        <v>0.14246611682690188</v>
      </c>
    </row>
    <row r="37" spans="2:23">
      <c r="B37" s="116">
        <f>Amnt_Deposited!B32</f>
        <v>2018</v>
      </c>
      <c r="C37" s="119">
        <f>Amnt_Deposited!D32</f>
        <v>0</v>
      </c>
      <c r="D37" s="453">
        <f>Dry_Matter_Content!D24</f>
        <v>0.44</v>
      </c>
      <c r="E37" s="319">
        <f>MCF!R36</f>
        <v>0.8</v>
      </c>
      <c r="F37" s="87">
        <f t="shared" si="0"/>
        <v>0</v>
      </c>
      <c r="G37" s="87">
        <f t="shared" si="1"/>
        <v>0</v>
      </c>
      <c r="H37" s="87">
        <f t="shared" si="2"/>
        <v>0</v>
      </c>
      <c r="I37" s="87">
        <f t="shared" si="3"/>
        <v>8.4638106148700404E-2</v>
      </c>
      <c r="J37" s="87">
        <f t="shared" si="4"/>
        <v>6.1369551416435792E-3</v>
      </c>
      <c r="K37" s="120">
        <f t="shared" si="6"/>
        <v>4.0913034277623855E-3</v>
      </c>
      <c r="O37" s="116">
        <f>Amnt_Deposited!B32</f>
        <v>2018</v>
      </c>
      <c r="P37" s="119">
        <f>Amnt_Deposited!D32</f>
        <v>0</v>
      </c>
      <c r="Q37" s="319">
        <f>MCF!R36</f>
        <v>0.8</v>
      </c>
      <c r="R37" s="87">
        <f t="shared" si="5"/>
        <v>0</v>
      </c>
      <c r="S37" s="87">
        <f t="shared" si="7"/>
        <v>0</v>
      </c>
      <c r="T37" s="87">
        <f t="shared" si="8"/>
        <v>0</v>
      </c>
      <c r="U37" s="87">
        <f t="shared" si="9"/>
        <v>2.7479904593733897</v>
      </c>
      <c r="V37" s="87">
        <f t="shared" si="10"/>
        <v>0.19925179031310322</v>
      </c>
      <c r="W37" s="120">
        <f t="shared" si="11"/>
        <v>0.13283452687540215</v>
      </c>
    </row>
    <row r="38" spans="2:23">
      <c r="B38" s="116">
        <f>Amnt_Deposited!B33</f>
        <v>2019</v>
      </c>
      <c r="C38" s="119">
        <f>Amnt_Deposited!D33</f>
        <v>0</v>
      </c>
      <c r="D38" s="453">
        <f>Dry_Matter_Content!D25</f>
        <v>0.44</v>
      </c>
      <c r="E38" s="319">
        <f>MCF!R37</f>
        <v>0.8</v>
      </c>
      <c r="F38" s="87">
        <f t="shared" si="0"/>
        <v>0</v>
      </c>
      <c r="G38" s="87">
        <f t="shared" si="1"/>
        <v>0</v>
      </c>
      <c r="H38" s="87">
        <f t="shared" si="2"/>
        <v>0</v>
      </c>
      <c r="I38" s="87">
        <f t="shared" si="3"/>
        <v>7.8916047101591891E-2</v>
      </c>
      <c r="J38" s="87">
        <f t="shared" si="4"/>
        <v>5.7220590471085062E-3</v>
      </c>
      <c r="K38" s="120">
        <f t="shared" si="6"/>
        <v>3.8147060314056708E-3</v>
      </c>
      <c r="O38" s="116">
        <f>Amnt_Deposited!B33</f>
        <v>2019</v>
      </c>
      <c r="P38" s="119">
        <f>Amnt_Deposited!D33</f>
        <v>0</v>
      </c>
      <c r="Q38" s="319">
        <f>MCF!R37</f>
        <v>0.8</v>
      </c>
      <c r="R38" s="87">
        <f t="shared" si="5"/>
        <v>0</v>
      </c>
      <c r="S38" s="87">
        <f t="shared" si="7"/>
        <v>0</v>
      </c>
      <c r="T38" s="87">
        <f t="shared" si="8"/>
        <v>0</v>
      </c>
      <c r="U38" s="87">
        <f t="shared" si="9"/>
        <v>2.5622093214802564</v>
      </c>
      <c r="V38" s="87">
        <f t="shared" si="10"/>
        <v>0.18578113789313333</v>
      </c>
      <c r="W38" s="120">
        <f t="shared" si="11"/>
        <v>0.12385409192875554</v>
      </c>
    </row>
    <row r="39" spans="2:23">
      <c r="B39" s="116">
        <f>Amnt_Deposited!B34</f>
        <v>2020</v>
      </c>
      <c r="C39" s="119">
        <f>Amnt_Deposited!D34</f>
        <v>0</v>
      </c>
      <c r="D39" s="453">
        <f>Dry_Matter_Content!D26</f>
        <v>0.44</v>
      </c>
      <c r="E39" s="319">
        <f>MCF!R38</f>
        <v>0.8</v>
      </c>
      <c r="F39" s="87">
        <f t="shared" si="0"/>
        <v>0</v>
      </c>
      <c r="G39" s="87">
        <f t="shared" si="1"/>
        <v>0</v>
      </c>
      <c r="H39" s="87">
        <f t="shared" si="2"/>
        <v>0</v>
      </c>
      <c r="I39" s="87">
        <f t="shared" si="3"/>
        <v>7.3580834608931001E-2</v>
      </c>
      <c r="J39" s="87">
        <f t="shared" si="4"/>
        <v>5.3352124926608901E-3</v>
      </c>
      <c r="K39" s="120">
        <f t="shared" si="6"/>
        <v>3.5568083284405931E-3</v>
      </c>
      <c r="O39" s="116">
        <f>Amnt_Deposited!B34</f>
        <v>2020</v>
      </c>
      <c r="P39" s="119">
        <f>Amnt_Deposited!D34</f>
        <v>0</v>
      </c>
      <c r="Q39" s="319">
        <f>MCF!R38</f>
        <v>0.8</v>
      </c>
      <c r="R39" s="87">
        <f t="shared" si="5"/>
        <v>0</v>
      </c>
      <c r="S39" s="87">
        <f t="shared" si="7"/>
        <v>0</v>
      </c>
      <c r="T39" s="87">
        <f t="shared" si="8"/>
        <v>0</v>
      </c>
      <c r="U39" s="87">
        <f t="shared" si="9"/>
        <v>2.3889881366536039</v>
      </c>
      <c r="V39" s="87">
        <f t="shared" si="10"/>
        <v>0.1732211848266523</v>
      </c>
      <c r="W39" s="120">
        <f t="shared" si="11"/>
        <v>0.11548078988443486</v>
      </c>
    </row>
    <row r="40" spans="2:23">
      <c r="B40" s="116">
        <f>Amnt_Deposited!B35</f>
        <v>2021</v>
      </c>
      <c r="C40" s="119">
        <f>Amnt_Deposited!D35</f>
        <v>0</v>
      </c>
      <c r="D40" s="453">
        <f>Dry_Matter_Content!D27</f>
        <v>0.44</v>
      </c>
      <c r="E40" s="319">
        <f>MCF!R39</f>
        <v>0.8</v>
      </c>
      <c r="F40" s="87">
        <f t="shared" si="0"/>
        <v>0</v>
      </c>
      <c r="G40" s="87">
        <f t="shared" si="1"/>
        <v>0</v>
      </c>
      <c r="H40" s="87">
        <f t="shared" si="2"/>
        <v>0</v>
      </c>
      <c r="I40" s="87">
        <f t="shared" si="3"/>
        <v>6.8606315452888977E-2</v>
      </c>
      <c r="J40" s="87">
        <f t="shared" si="4"/>
        <v>4.9745191560420232E-3</v>
      </c>
      <c r="K40" s="120">
        <f t="shared" si="6"/>
        <v>3.3163461040280153E-3</v>
      </c>
      <c r="O40" s="116">
        <f>Amnt_Deposited!B35</f>
        <v>2021</v>
      </c>
      <c r="P40" s="119">
        <f>Amnt_Deposited!D35</f>
        <v>0</v>
      </c>
      <c r="Q40" s="319">
        <f>MCF!R39</f>
        <v>0.8</v>
      </c>
      <c r="R40" s="87">
        <f t="shared" si="5"/>
        <v>0</v>
      </c>
      <c r="S40" s="87">
        <f t="shared" si="7"/>
        <v>0</v>
      </c>
      <c r="T40" s="87">
        <f t="shared" si="8"/>
        <v>0</v>
      </c>
      <c r="U40" s="87">
        <f t="shared" si="9"/>
        <v>2.2274777744444472</v>
      </c>
      <c r="V40" s="87">
        <f t="shared" si="10"/>
        <v>0.1615103622091566</v>
      </c>
      <c r="W40" s="120">
        <f t="shared" si="11"/>
        <v>0.1076735748061044</v>
      </c>
    </row>
    <row r="41" spans="2:23">
      <c r="B41" s="116">
        <f>Amnt_Deposited!B36</f>
        <v>2022</v>
      </c>
      <c r="C41" s="119">
        <f>Amnt_Deposited!D36</f>
        <v>0</v>
      </c>
      <c r="D41" s="453">
        <f>Dry_Matter_Content!D28</f>
        <v>0.44</v>
      </c>
      <c r="E41" s="319">
        <f>MCF!R40</f>
        <v>0.8</v>
      </c>
      <c r="F41" s="87">
        <f t="shared" si="0"/>
        <v>0</v>
      </c>
      <c r="G41" s="87">
        <f t="shared" si="1"/>
        <v>0</v>
      </c>
      <c r="H41" s="87">
        <f t="shared" si="2"/>
        <v>0</v>
      </c>
      <c r="I41" s="87">
        <f t="shared" si="3"/>
        <v>6.3968104534791639E-2</v>
      </c>
      <c r="J41" s="87">
        <f t="shared" si="4"/>
        <v>4.6382109180973363E-3</v>
      </c>
      <c r="K41" s="120">
        <f t="shared" si="6"/>
        <v>3.0921406120648907E-3</v>
      </c>
      <c r="O41" s="116">
        <f>Amnt_Deposited!B36</f>
        <v>2022</v>
      </c>
      <c r="P41" s="119">
        <f>Amnt_Deposited!D36</f>
        <v>0</v>
      </c>
      <c r="Q41" s="319">
        <f>MCF!R40</f>
        <v>0.8</v>
      </c>
      <c r="R41" s="87">
        <f t="shared" si="5"/>
        <v>0</v>
      </c>
      <c r="S41" s="87">
        <f t="shared" si="7"/>
        <v>0</v>
      </c>
      <c r="T41" s="87">
        <f t="shared" si="8"/>
        <v>0</v>
      </c>
      <c r="U41" s="87">
        <f t="shared" si="9"/>
        <v>2.0768865108698584</v>
      </c>
      <c r="V41" s="87">
        <f t="shared" si="10"/>
        <v>0.15059126357458882</v>
      </c>
      <c r="W41" s="120">
        <f t="shared" si="11"/>
        <v>0.10039417571639254</v>
      </c>
    </row>
    <row r="42" spans="2:23">
      <c r="B42" s="116">
        <f>Amnt_Deposited!B37</f>
        <v>2023</v>
      </c>
      <c r="C42" s="119">
        <f>Amnt_Deposited!D37</f>
        <v>0</v>
      </c>
      <c r="D42" s="453">
        <f>Dry_Matter_Content!D29</f>
        <v>0.44</v>
      </c>
      <c r="E42" s="319">
        <f>MCF!R41</f>
        <v>0.8</v>
      </c>
      <c r="F42" s="87">
        <f t="shared" si="0"/>
        <v>0</v>
      </c>
      <c r="G42" s="87">
        <f t="shared" si="1"/>
        <v>0</v>
      </c>
      <c r="H42" s="87">
        <f t="shared" si="2"/>
        <v>0</v>
      </c>
      <c r="I42" s="87">
        <f t="shared" si="3"/>
        <v>5.9643465339337391E-2</v>
      </c>
      <c r="J42" s="87">
        <f t="shared" si="4"/>
        <v>4.3246391954542508E-3</v>
      </c>
      <c r="K42" s="120">
        <f t="shared" si="6"/>
        <v>2.8830927969695002E-3</v>
      </c>
      <c r="O42" s="116">
        <f>Amnt_Deposited!B37</f>
        <v>2023</v>
      </c>
      <c r="P42" s="119">
        <f>Amnt_Deposited!D37</f>
        <v>0</v>
      </c>
      <c r="Q42" s="319">
        <f>MCF!R41</f>
        <v>0.8</v>
      </c>
      <c r="R42" s="87">
        <f t="shared" si="5"/>
        <v>0</v>
      </c>
      <c r="S42" s="87">
        <f t="shared" si="7"/>
        <v>0</v>
      </c>
      <c r="T42" s="87">
        <f t="shared" si="8"/>
        <v>0</v>
      </c>
      <c r="U42" s="87">
        <f t="shared" si="9"/>
        <v>1.9364761473810841</v>
      </c>
      <c r="V42" s="87">
        <f t="shared" si="10"/>
        <v>0.14041036348877436</v>
      </c>
      <c r="W42" s="120">
        <f t="shared" si="11"/>
        <v>9.3606908992516238E-2</v>
      </c>
    </row>
    <row r="43" spans="2:23">
      <c r="B43" s="116">
        <f>Amnt_Deposited!B38</f>
        <v>2024</v>
      </c>
      <c r="C43" s="119">
        <f>Amnt_Deposited!D38</f>
        <v>0</v>
      </c>
      <c r="D43" s="453">
        <f>Dry_Matter_Content!D30</f>
        <v>0.44</v>
      </c>
      <c r="E43" s="319">
        <f>MCF!R42</f>
        <v>0.8</v>
      </c>
      <c r="F43" s="87">
        <f t="shared" si="0"/>
        <v>0</v>
      </c>
      <c r="G43" s="87">
        <f t="shared" si="1"/>
        <v>0</v>
      </c>
      <c r="H43" s="87">
        <f t="shared" si="2"/>
        <v>0</v>
      </c>
      <c r="I43" s="87">
        <f t="shared" si="3"/>
        <v>5.5611198480172819E-2</v>
      </c>
      <c r="J43" s="87">
        <f t="shared" si="4"/>
        <v>4.0322668591645759E-3</v>
      </c>
      <c r="K43" s="120">
        <f t="shared" si="6"/>
        <v>2.6881779061097171E-3</v>
      </c>
      <c r="O43" s="116">
        <f>Amnt_Deposited!B38</f>
        <v>2024</v>
      </c>
      <c r="P43" s="119">
        <f>Amnt_Deposited!D38</f>
        <v>0</v>
      </c>
      <c r="Q43" s="319">
        <f>MCF!R42</f>
        <v>0.8</v>
      </c>
      <c r="R43" s="87">
        <f t="shared" si="5"/>
        <v>0</v>
      </c>
      <c r="S43" s="87">
        <f t="shared" si="7"/>
        <v>0</v>
      </c>
      <c r="T43" s="87">
        <f t="shared" si="8"/>
        <v>0</v>
      </c>
      <c r="U43" s="87">
        <f t="shared" si="9"/>
        <v>1.8055583922134031</v>
      </c>
      <c r="V43" s="87">
        <f t="shared" si="10"/>
        <v>0.13091775516768103</v>
      </c>
      <c r="W43" s="120">
        <f t="shared" si="11"/>
        <v>8.7278503445120684E-2</v>
      </c>
    </row>
    <row r="44" spans="2:23">
      <c r="B44" s="116">
        <f>Amnt_Deposited!B39</f>
        <v>2025</v>
      </c>
      <c r="C44" s="119">
        <f>Amnt_Deposited!D39</f>
        <v>0</v>
      </c>
      <c r="D44" s="453">
        <f>Dry_Matter_Content!D31</f>
        <v>0.44</v>
      </c>
      <c r="E44" s="319">
        <f>MCF!R43</f>
        <v>0.8</v>
      </c>
      <c r="F44" s="87">
        <f t="shared" si="0"/>
        <v>0</v>
      </c>
      <c r="G44" s="87">
        <f t="shared" si="1"/>
        <v>0</v>
      </c>
      <c r="H44" s="87">
        <f t="shared" si="2"/>
        <v>0</v>
      </c>
      <c r="I44" s="87">
        <f t="shared" si="3"/>
        <v>5.1851537780476201E-2</v>
      </c>
      <c r="J44" s="87">
        <f t="shared" si="4"/>
        <v>3.7596606996966194E-3</v>
      </c>
      <c r="K44" s="120">
        <f t="shared" si="6"/>
        <v>2.5064404664644126E-3</v>
      </c>
      <c r="O44" s="116">
        <f>Amnt_Deposited!B39</f>
        <v>2025</v>
      </c>
      <c r="P44" s="119">
        <f>Amnt_Deposited!D39</f>
        <v>0</v>
      </c>
      <c r="Q44" s="319">
        <f>MCF!R43</f>
        <v>0.8</v>
      </c>
      <c r="R44" s="87">
        <f t="shared" si="5"/>
        <v>0</v>
      </c>
      <c r="S44" s="87">
        <f t="shared" si="7"/>
        <v>0</v>
      </c>
      <c r="T44" s="87">
        <f t="shared" si="8"/>
        <v>0</v>
      </c>
      <c r="U44" s="87">
        <f t="shared" si="9"/>
        <v>1.6834914863790973</v>
      </c>
      <c r="V44" s="87">
        <f t="shared" si="10"/>
        <v>0.12206690583430581</v>
      </c>
      <c r="W44" s="120">
        <f t="shared" si="11"/>
        <v>8.1377937222870539E-2</v>
      </c>
    </row>
    <row r="45" spans="2:23">
      <c r="B45" s="116">
        <f>Amnt_Deposited!B40</f>
        <v>2026</v>
      </c>
      <c r="C45" s="119">
        <f>Amnt_Deposited!D40</f>
        <v>0</v>
      </c>
      <c r="D45" s="453">
        <f>Dry_Matter_Content!D32</f>
        <v>0.44</v>
      </c>
      <c r="E45" s="319">
        <f>MCF!R44</f>
        <v>0.8</v>
      </c>
      <c r="F45" s="87">
        <f t="shared" si="0"/>
        <v>0</v>
      </c>
      <c r="G45" s="87">
        <f t="shared" si="1"/>
        <v>0</v>
      </c>
      <c r="H45" s="87">
        <f t="shared" si="2"/>
        <v>0</v>
      </c>
      <c r="I45" s="87">
        <f t="shared" si="3"/>
        <v>4.8346053379135799E-2</v>
      </c>
      <c r="J45" s="87">
        <f t="shared" si="4"/>
        <v>3.5054844013404011E-3</v>
      </c>
      <c r="K45" s="120">
        <f t="shared" si="6"/>
        <v>2.3369896008936008E-3</v>
      </c>
      <c r="O45" s="116">
        <f>Amnt_Deposited!B40</f>
        <v>2026</v>
      </c>
      <c r="P45" s="119">
        <f>Amnt_Deposited!D40</f>
        <v>0</v>
      </c>
      <c r="Q45" s="319">
        <f>MCF!R44</f>
        <v>0.8</v>
      </c>
      <c r="R45" s="87">
        <f t="shared" si="5"/>
        <v>0</v>
      </c>
      <c r="S45" s="87">
        <f t="shared" si="7"/>
        <v>0</v>
      </c>
      <c r="T45" s="87">
        <f t="shared" si="8"/>
        <v>0</v>
      </c>
      <c r="U45" s="87">
        <f t="shared" si="9"/>
        <v>1.5696770577641492</v>
      </c>
      <c r="V45" s="87">
        <f t="shared" si="10"/>
        <v>0.11381442861494807</v>
      </c>
      <c r="W45" s="120">
        <f t="shared" si="11"/>
        <v>7.5876285743298716E-2</v>
      </c>
    </row>
    <row r="46" spans="2:23">
      <c r="B46" s="116">
        <f>Amnt_Deposited!B41</f>
        <v>2027</v>
      </c>
      <c r="C46" s="119">
        <f>Amnt_Deposited!D41</f>
        <v>0</v>
      </c>
      <c r="D46" s="453">
        <f>Dry_Matter_Content!D33</f>
        <v>0.44</v>
      </c>
      <c r="E46" s="319">
        <f>MCF!R45</f>
        <v>0.8</v>
      </c>
      <c r="F46" s="87">
        <f t="shared" si="0"/>
        <v>0</v>
      </c>
      <c r="G46" s="87">
        <f t="shared" si="1"/>
        <v>0</v>
      </c>
      <c r="H46" s="87">
        <f t="shared" si="2"/>
        <v>0</v>
      </c>
      <c r="I46" s="87">
        <f t="shared" si="3"/>
        <v>4.5077561387549307E-2</v>
      </c>
      <c r="J46" s="87">
        <f t="shared" si="4"/>
        <v>3.2684919915864927E-3</v>
      </c>
      <c r="K46" s="120">
        <f t="shared" si="6"/>
        <v>2.1789946610576618E-3</v>
      </c>
      <c r="O46" s="116">
        <f>Amnt_Deposited!B41</f>
        <v>2027</v>
      </c>
      <c r="P46" s="119">
        <f>Amnt_Deposited!D41</f>
        <v>0</v>
      </c>
      <c r="Q46" s="319">
        <f>MCF!R45</f>
        <v>0.8</v>
      </c>
      <c r="R46" s="87">
        <f t="shared" si="5"/>
        <v>0</v>
      </c>
      <c r="S46" s="87">
        <f t="shared" si="7"/>
        <v>0</v>
      </c>
      <c r="T46" s="87">
        <f t="shared" si="8"/>
        <v>0</v>
      </c>
      <c r="U46" s="87">
        <f t="shared" si="9"/>
        <v>1.4635571879074449</v>
      </c>
      <c r="V46" s="87">
        <f t="shared" si="10"/>
        <v>0.10611986985670431</v>
      </c>
      <c r="W46" s="120">
        <f t="shared" si="11"/>
        <v>7.0746579904469531E-2</v>
      </c>
    </row>
    <row r="47" spans="2:23">
      <c r="B47" s="116">
        <f>Amnt_Deposited!B42</f>
        <v>2028</v>
      </c>
      <c r="C47" s="119">
        <f>Amnt_Deposited!D42</f>
        <v>0</v>
      </c>
      <c r="D47" s="453">
        <f>Dry_Matter_Content!D34</f>
        <v>0.44</v>
      </c>
      <c r="E47" s="319">
        <f>MCF!R46</f>
        <v>0.8</v>
      </c>
      <c r="F47" s="87">
        <f t="shared" si="0"/>
        <v>0</v>
      </c>
      <c r="G47" s="87">
        <f t="shared" si="1"/>
        <v>0</v>
      </c>
      <c r="H47" s="87">
        <f t="shared" si="2"/>
        <v>0</v>
      </c>
      <c r="I47" s="87">
        <f t="shared" si="3"/>
        <v>4.2030039654181978E-2</v>
      </c>
      <c r="J47" s="87">
        <f t="shared" si="4"/>
        <v>3.0475217333673305E-3</v>
      </c>
      <c r="K47" s="120">
        <f t="shared" si="6"/>
        <v>2.03168115557822E-3</v>
      </c>
      <c r="O47" s="116">
        <f>Amnt_Deposited!B42</f>
        <v>2028</v>
      </c>
      <c r="P47" s="119">
        <f>Amnt_Deposited!D42</f>
        <v>0</v>
      </c>
      <c r="Q47" s="319">
        <f>MCF!R46</f>
        <v>0.8</v>
      </c>
      <c r="R47" s="87">
        <f t="shared" si="5"/>
        <v>0</v>
      </c>
      <c r="S47" s="87">
        <f t="shared" si="7"/>
        <v>0</v>
      </c>
      <c r="T47" s="87">
        <f t="shared" si="8"/>
        <v>0</v>
      </c>
      <c r="U47" s="87">
        <f t="shared" si="9"/>
        <v>1.3646116770838304</v>
      </c>
      <c r="V47" s="87">
        <f t="shared" si="10"/>
        <v>9.8945510823614621E-2</v>
      </c>
      <c r="W47" s="120">
        <f t="shared" si="11"/>
        <v>6.5963673882409743E-2</v>
      </c>
    </row>
    <row r="48" spans="2:23">
      <c r="B48" s="116">
        <f>Amnt_Deposited!B43</f>
        <v>2029</v>
      </c>
      <c r="C48" s="119">
        <f>Amnt_Deposited!D43</f>
        <v>0</v>
      </c>
      <c r="D48" s="453">
        <f>Dry_Matter_Content!D35</f>
        <v>0.44</v>
      </c>
      <c r="E48" s="319">
        <f>MCF!R47</f>
        <v>0.8</v>
      </c>
      <c r="F48" s="87">
        <f t="shared" si="0"/>
        <v>0</v>
      </c>
      <c r="G48" s="87">
        <f t="shared" si="1"/>
        <v>0</v>
      </c>
      <c r="H48" s="87">
        <f t="shared" si="2"/>
        <v>0</v>
      </c>
      <c r="I48" s="87">
        <f t="shared" si="3"/>
        <v>3.9188549223961214E-2</v>
      </c>
      <c r="J48" s="87">
        <f t="shared" si="4"/>
        <v>2.8414904302207621E-3</v>
      </c>
      <c r="K48" s="120">
        <f t="shared" si="6"/>
        <v>1.8943269534805081E-3</v>
      </c>
      <c r="O48" s="116">
        <f>Amnt_Deposited!B43</f>
        <v>2029</v>
      </c>
      <c r="P48" s="119">
        <f>Amnt_Deposited!D43</f>
        <v>0</v>
      </c>
      <c r="Q48" s="319">
        <f>MCF!R47</f>
        <v>0.8</v>
      </c>
      <c r="R48" s="87">
        <f t="shared" si="5"/>
        <v>0</v>
      </c>
      <c r="S48" s="87">
        <f t="shared" si="7"/>
        <v>0</v>
      </c>
      <c r="T48" s="87">
        <f t="shared" si="8"/>
        <v>0</v>
      </c>
      <c r="U48" s="87">
        <f t="shared" si="9"/>
        <v>1.272355494284455</v>
      </c>
      <c r="V48" s="87">
        <f t="shared" si="10"/>
        <v>9.2256182799375391E-2</v>
      </c>
      <c r="W48" s="120">
        <f t="shared" si="11"/>
        <v>6.1504121866250261E-2</v>
      </c>
    </row>
    <row r="49" spans="2:23">
      <c r="B49" s="116">
        <f>Amnt_Deposited!B44</f>
        <v>2030</v>
      </c>
      <c r="C49" s="119">
        <f>Amnt_Deposited!D44</f>
        <v>0</v>
      </c>
      <c r="D49" s="453">
        <f>Dry_Matter_Content!D36</f>
        <v>0.44</v>
      </c>
      <c r="E49" s="319">
        <f>MCF!R48</f>
        <v>0.8</v>
      </c>
      <c r="F49" s="87">
        <f t="shared" si="0"/>
        <v>0</v>
      </c>
      <c r="G49" s="87">
        <f t="shared" si="1"/>
        <v>0</v>
      </c>
      <c r="H49" s="87">
        <f t="shared" si="2"/>
        <v>0</v>
      </c>
      <c r="I49" s="87">
        <f t="shared" si="3"/>
        <v>3.653916110750148E-2</v>
      </c>
      <c r="J49" s="87">
        <f t="shared" si="4"/>
        <v>2.6493881164597328E-3</v>
      </c>
      <c r="K49" s="120">
        <f t="shared" si="6"/>
        <v>1.7662587443064886E-3</v>
      </c>
      <c r="O49" s="116">
        <f>Amnt_Deposited!B44</f>
        <v>2030</v>
      </c>
      <c r="P49" s="119">
        <f>Amnt_Deposited!D44</f>
        <v>0</v>
      </c>
      <c r="Q49" s="319">
        <f>MCF!R48</f>
        <v>0.8</v>
      </c>
      <c r="R49" s="87">
        <f t="shared" si="5"/>
        <v>0</v>
      </c>
      <c r="S49" s="87">
        <f t="shared" si="7"/>
        <v>0</v>
      </c>
      <c r="T49" s="87">
        <f t="shared" si="8"/>
        <v>0</v>
      </c>
      <c r="U49" s="87">
        <f t="shared" si="9"/>
        <v>1.186336399594204</v>
      </c>
      <c r="V49" s="87">
        <f t="shared" si="10"/>
        <v>8.6019094690251069E-2</v>
      </c>
      <c r="W49" s="120">
        <f t="shared" si="11"/>
        <v>5.7346063126834046E-2</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3.4068888001182164E-2</v>
      </c>
      <c r="J50" s="87">
        <f t="shared" si="4"/>
        <v>2.4702731063193156E-3</v>
      </c>
      <c r="K50" s="120">
        <f t="shared" si="6"/>
        <v>1.6468487375462103E-3</v>
      </c>
      <c r="O50" s="116">
        <f>Amnt_Deposited!B45</f>
        <v>2031</v>
      </c>
      <c r="P50" s="119">
        <f>Amnt_Deposited!D45</f>
        <v>0</v>
      </c>
      <c r="Q50" s="319">
        <f>MCF!R49</f>
        <v>0.8</v>
      </c>
      <c r="R50" s="87">
        <f t="shared" si="5"/>
        <v>0</v>
      </c>
      <c r="S50" s="87">
        <f t="shared" si="7"/>
        <v>0</v>
      </c>
      <c r="T50" s="87">
        <f t="shared" si="8"/>
        <v>0</v>
      </c>
      <c r="U50" s="87">
        <f t="shared" si="9"/>
        <v>1.1061327273111092</v>
      </c>
      <c r="V50" s="87">
        <f t="shared" si="10"/>
        <v>8.0203672283094676E-2</v>
      </c>
      <c r="W50" s="120">
        <f t="shared" si="11"/>
        <v>5.3469114855396446E-2</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3.1765620623370162E-2</v>
      </c>
      <c r="J51" s="87">
        <f t="shared" si="4"/>
        <v>2.3032673778119995E-3</v>
      </c>
      <c r="K51" s="120">
        <f t="shared" si="6"/>
        <v>1.5355115852079995E-3</v>
      </c>
      <c r="O51" s="116">
        <f>Amnt_Deposited!B46</f>
        <v>2032</v>
      </c>
      <c r="P51" s="119">
        <f>Amnt_Deposited!D46</f>
        <v>0</v>
      </c>
      <c r="Q51" s="319">
        <f>MCF!R50</f>
        <v>0.8</v>
      </c>
      <c r="R51" s="87">
        <f t="shared" ref="R51:R82" si="13">P51*$W$6*DOCF*Q51</f>
        <v>0</v>
      </c>
      <c r="S51" s="87">
        <f t="shared" si="7"/>
        <v>0</v>
      </c>
      <c r="T51" s="87">
        <f t="shared" si="8"/>
        <v>0</v>
      </c>
      <c r="U51" s="87">
        <f t="shared" si="9"/>
        <v>1.0313513189405898</v>
      </c>
      <c r="V51" s="87">
        <f t="shared" si="10"/>
        <v>7.4781408370519456E-2</v>
      </c>
      <c r="W51" s="120">
        <f t="shared" si="11"/>
        <v>4.9854272247012971E-2</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2.9618068354707275E-2</v>
      </c>
      <c r="J52" s="87">
        <f t="shared" si="4"/>
        <v>2.1475522686628867E-3</v>
      </c>
      <c r="K52" s="120">
        <f t="shared" si="6"/>
        <v>1.4317015124419245E-3</v>
      </c>
      <c r="O52" s="116">
        <f>Amnt_Deposited!B47</f>
        <v>2033</v>
      </c>
      <c r="P52" s="119">
        <f>Amnt_Deposited!D47</f>
        <v>0</v>
      </c>
      <c r="Q52" s="319">
        <f>MCF!R51</f>
        <v>0.8</v>
      </c>
      <c r="R52" s="87">
        <f t="shared" si="13"/>
        <v>0</v>
      </c>
      <c r="S52" s="87">
        <f t="shared" si="7"/>
        <v>0</v>
      </c>
      <c r="T52" s="87">
        <f t="shared" si="8"/>
        <v>0</v>
      </c>
      <c r="U52" s="87">
        <f t="shared" si="9"/>
        <v>0.96162559593205454</v>
      </c>
      <c r="V52" s="87">
        <f t="shared" si="10"/>
        <v>6.9725723008535301E-2</v>
      </c>
      <c r="W52" s="120">
        <f t="shared" si="11"/>
        <v>4.6483815339023529E-2</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2.7615703891481002E-2</v>
      </c>
      <c r="J53" s="87">
        <f t="shared" si="4"/>
        <v>2.0023644632262741E-3</v>
      </c>
      <c r="K53" s="120">
        <f t="shared" si="6"/>
        <v>1.3349096421508494E-3</v>
      </c>
      <c r="O53" s="116">
        <f>Amnt_Deposited!B48</f>
        <v>2034</v>
      </c>
      <c r="P53" s="119">
        <f>Amnt_Deposited!D48</f>
        <v>0</v>
      </c>
      <c r="Q53" s="319">
        <f>MCF!R52</f>
        <v>0.8</v>
      </c>
      <c r="R53" s="87">
        <f t="shared" si="13"/>
        <v>0</v>
      </c>
      <c r="S53" s="87">
        <f t="shared" si="7"/>
        <v>0</v>
      </c>
      <c r="T53" s="87">
        <f t="shared" si="8"/>
        <v>0</v>
      </c>
      <c r="U53" s="87">
        <f t="shared" si="9"/>
        <v>0.89661376271042226</v>
      </c>
      <c r="V53" s="87">
        <f t="shared" si="10"/>
        <v>6.5011833221632301E-2</v>
      </c>
      <c r="W53" s="120">
        <f t="shared" si="11"/>
        <v>4.3341222147754863E-2</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2.5748711640769532E-2</v>
      </c>
      <c r="J54" s="87">
        <f t="shared" si="4"/>
        <v>1.8669922507114696E-3</v>
      </c>
      <c r="K54" s="120">
        <f t="shared" si="6"/>
        <v>1.244661500474313E-3</v>
      </c>
      <c r="O54" s="116">
        <f>Amnt_Deposited!B49</f>
        <v>2035</v>
      </c>
      <c r="P54" s="119">
        <f>Amnt_Deposited!D49</f>
        <v>0</v>
      </c>
      <c r="Q54" s="319">
        <f>MCF!R53</f>
        <v>0.8</v>
      </c>
      <c r="R54" s="87">
        <f t="shared" si="13"/>
        <v>0</v>
      </c>
      <c r="S54" s="87">
        <f t="shared" si="7"/>
        <v>0</v>
      </c>
      <c r="T54" s="87">
        <f t="shared" si="8"/>
        <v>0</v>
      </c>
      <c r="U54" s="87">
        <f t="shared" si="9"/>
        <v>0.83599713119381613</v>
      </c>
      <c r="V54" s="87">
        <f t="shared" si="10"/>
        <v>6.0616631516606165E-2</v>
      </c>
      <c r="W54" s="120">
        <f t="shared" si="11"/>
        <v>4.0411087677737441E-2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2.400793960439386E-2</v>
      </c>
      <c r="J55" s="87">
        <f t="shared" si="4"/>
        <v>1.7407720363756712E-3</v>
      </c>
      <c r="K55" s="120">
        <f t="shared" si="6"/>
        <v>1.160514690917114E-3</v>
      </c>
      <c r="O55" s="116">
        <f>Amnt_Deposited!B50</f>
        <v>2036</v>
      </c>
      <c r="P55" s="119">
        <f>Amnt_Deposited!D50</f>
        <v>0</v>
      </c>
      <c r="Q55" s="319">
        <f>MCF!R54</f>
        <v>0.8</v>
      </c>
      <c r="R55" s="87">
        <f t="shared" si="13"/>
        <v>0</v>
      </c>
      <c r="S55" s="87">
        <f t="shared" si="7"/>
        <v>0</v>
      </c>
      <c r="T55" s="87">
        <f t="shared" si="8"/>
        <v>0</v>
      </c>
      <c r="U55" s="87">
        <f t="shared" si="9"/>
        <v>0.77947855858421644</v>
      </c>
      <c r="V55" s="87">
        <f t="shared" si="10"/>
        <v>5.6518572609599721E-2</v>
      </c>
      <c r="W55" s="120">
        <f t="shared" si="11"/>
        <v>3.7679048406399809E-2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2.2384854515812094E-2</v>
      </c>
      <c r="J56" s="87">
        <f t="shared" si="4"/>
        <v>1.6230850885817682E-3</v>
      </c>
      <c r="K56" s="120">
        <f t="shared" si="6"/>
        <v>1.0820567257211788E-3</v>
      </c>
      <c r="O56" s="116">
        <f>Amnt_Deposited!B51</f>
        <v>2037</v>
      </c>
      <c r="P56" s="119">
        <f>Amnt_Deposited!D51</f>
        <v>0</v>
      </c>
      <c r="Q56" s="319">
        <f>MCF!R55</f>
        <v>0.8</v>
      </c>
      <c r="R56" s="87">
        <f t="shared" si="13"/>
        <v>0</v>
      </c>
      <c r="S56" s="87">
        <f t="shared" si="7"/>
        <v>0</v>
      </c>
      <c r="T56" s="87">
        <f t="shared" si="8"/>
        <v>0</v>
      </c>
      <c r="U56" s="87">
        <f t="shared" si="9"/>
        <v>0.72678099077312008</v>
      </c>
      <c r="V56" s="87">
        <f t="shared" si="10"/>
        <v>5.2697567811096385E-2</v>
      </c>
      <c r="W56" s="120">
        <f t="shared" si="11"/>
        <v>3.5131711874064254E-2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2.0871500010036955E-2</v>
      </c>
      <c r="J57" s="87">
        <f t="shared" si="4"/>
        <v>1.5133545057751394E-3</v>
      </c>
      <c r="K57" s="120">
        <f t="shared" si="6"/>
        <v>1.0089030038500928E-3</v>
      </c>
      <c r="O57" s="116">
        <f>Amnt_Deposited!B52</f>
        <v>2038</v>
      </c>
      <c r="P57" s="119">
        <f>Amnt_Deposited!D52</f>
        <v>0</v>
      </c>
      <c r="Q57" s="319">
        <f>MCF!R56</f>
        <v>0.8</v>
      </c>
      <c r="R57" s="87">
        <f t="shared" si="13"/>
        <v>0</v>
      </c>
      <c r="S57" s="87">
        <f t="shared" si="7"/>
        <v>0</v>
      </c>
      <c r="T57" s="87">
        <f t="shared" si="8"/>
        <v>0</v>
      </c>
      <c r="U57" s="87">
        <f t="shared" si="9"/>
        <v>0.67764610422197913</v>
      </c>
      <c r="V57" s="87">
        <f t="shared" si="10"/>
        <v>4.9134886551140899E-2</v>
      </c>
      <c r="W57" s="120">
        <f t="shared" si="11"/>
        <v>3.2756591034093931E-2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1.9460457621525394E-2</v>
      </c>
      <c r="J58" s="87">
        <f t="shared" si="4"/>
        <v>1.4110423885115608E-3</v>
      </c>
      <c r="K58" s="120">
        <f t="shared" si="6"/>
        <v>9.406949256743738E-4</v>
      </c>
      <c r="O58" s="116">
        <f>Amnt_Deposited!B53</f>
        <v>2039</v>
      </c>
      <c r="P58" s="119">
        <f>Amnt_Deposited!D53</f>
        <v>0</v>
      </c>
      <c r="Q58" s="319">
        <f>MCF!R57</f>
        <v>0.8</v>
      </c>
      <c r="R58" s="87">
        <f t="shared" si="13"/>
        <v>0</v>
      </c>
      <c r="S58" s="87">
        <f t="shared" si="7"/>
        <v>0</v>
      </c>
      <c r="T58" s="87">
        <f t="shared" si="8"/>
        <v>0</v>
      </c>
      <c r="U58" s="87">
        <f t="shared" si="9"/>
        <v>0.63183303965991544</v>
      </c>
      <c r="V58" s="87">
        <f t="shared" si="10"/>
        <v>4.5813064562063667E-2</v>
      </c>
      <c r="W58" s="120">
        <f t="shared" si="11"/>
        <v>3.0542043041375776E-2</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1.8144810418851888E-2</v>
      </c>
      <c r="J59" s="87">
        <f t="shared" si="4"/>
        <v>1.3156472026735074E-3</v>
      </c>
      <c r="K59" s="120">
        <f t="shared" si="6"/>
        <v>8.7709813511567156E-4</v>
      </c>
      <c r="O59" s="116">
        <f>Amnt_Deposited!B54</f>
        <v>2040</v>
      </c>
      <c r="P59" s="119">
        <f>Amnt_Deposited!D54</f>
        <v>0</v>
      </c>
      <c r="Q59" s="319">
        <f>MCF!R58</f>
        <v>0.8</v>
      </c>
      <c r="R59" s="87">
        <f t="shared" si="13"/>
        <v>0</v>
      </c>
      <c r="S59" s="87">
        <f t="shared" si="7"/>
        <v>0</v>
      </c>
      <c r="T59" s="87">
        <f t="shared" si="8"/>
        <v>0</v>
      </c>
      <c r="U59" s="87">
        <f t="shared" si="9"/>
        <v>0.58911722139129508</v>
      </c>
      <c r="V59" s="87">
        <f t="shared" si="10"/>
        <v>4.2715818268620372E-2</v>
      </c>
      <c r="W59" s="120">
        <f t="shared" si="11"/>
        <v>2.8477212179080245E-2</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1.6918109097902562E-2</v>
      </c>
      <c r="J60" s="87">
        <f t="shared" si="4"/>
        <v>1.226701320949327E-3</v>
      </c>
      <c r="K60" s="120">
        <f t="shared" si="6"/>
        <v>8.1780088063288458E-4</v>
      </c>
      <c r="O60" s="116">
        <f>Amnt_Deposited!B55</f>
        <v>2041</v>
      </c>
      <c r="P60" s="119">
        <f>Amnt_Deposited!D55</f>
        <v>0</v>
      </c>
      <c r="Q60" s="319">
        <f>MCF!R59</f>
        <v>0.8</v>
      </c>
      <c r="R60" s="87">
        <f t="shared" si="13"/>
        <v>0</v>
      </c>
      <c r="S60" s="87">
        <f t="shared" si="7"/>
        <v>0</v>
      </c>
      <c r="T60" s="87">
        <f t="shared" si="8"/>
        <v>0</v>
      </c>
      <c r="U60" s="87">
        <f t="shared" si="9"/>
        <v>0.54928925642540782</v>
      </c>
      <c r="V60" s="87">
        <f t="shared" si="10"/>
        <v>3.9827964965887239E-2</v>
      </c>
      <c r="W60" s="120">
        <f t="shared" si="11"/>
        <v>2.6551976643924825E-2</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1.5774340367378945E-2</v>
      </c>
      <c r="J61" s="87">
        <f t="shared" si="4"/>
        <v>1.1437687305236156E-3</v>
      </c>
      <c r="K61" s="120">
        <f t="shared" si="6"/>
        <v>7.6251248701574373E-4</v>
      </c>
      <c r="O61" s="116">
        <f>Amnt_Deposited!B56</f>
        <v>2042</v>
      </c>
      <c r="P61" s="119">
        <f>Amnt_Deposited!D56</f>
        <v>0</v>
      </c>
      <c r="Q61" s="319">
        <f>MCF!R60</f>
        <v>0.8</v>
      </c>
      <c r="R61" s="87">
        <f t="shared" si="13"/>
        <v>0</v>
      </c>
      <c r="S61" s="87">
        <f t="shared" si="7"/>
        <v>0</v>
      </c>
      <c r="T61" s="87">
        <f t="shared" si="8"/>
        <v>0</v>
      </c>
      <c r="U61" s="87">
        <f t="shared" si="9"/>
        <v>0.51215390803178396</v>
      </c>
      <c r="V61" s="87">
        <f t="shared" si="10"/>
        <v>3.7135348393623882E-2</v>
      </c>
      <c r="W61" s="120">
        <f t="shared" si="11"/>
        <v>2.4756898929082588E-2</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1.4707897471637053E-2</v>
      </c>
      <c r="J62" s="87">
        <f t="shared" si="4"/>
        <v>1.0664428957418909E-3</v>
      </c>
      <c r="K62" s="120">
        <f t="shared" si="6"/>
        <v>7.1096193049459389E-4</v>
      </c>
      <c r="O62" s="116">
        <f>Amnt_Deposited!B57</f>
        <v>2043</v>
      </c>
      <c r="P62" s="119">
        <f>Amnt_Deposited!D57</f>
        <v>0</v>
      </c>
      <c r="Q62" s="319">
        <f>MCF!R61</f>
        <v>0.8</v>
      </c>
      <c r="R62" s="87">
        <f t="shared" si="13"/>
        <v>0</v>
      </c>
      <c r="S62" s="87">
        <f t="shared" si="7"/>
        <v>0</v>
      </c>
      <c r="T62" s="87">
        <f t="shared" si="8"/>
        <v>0</v>
      </c>
      <c r="U62" s="87">
        <f t="shared" si="9"/>
        <v>0.47752913868951474</v>
      </c>
      <c r="V62" s="87">
        <f t="shared" si="10"/>
        <v>3.4624769342269192E-2</v>
      </c>
      <c r="W62" s="120">
        <f t="shared" si="11"/>
        <v>2.3083179561512793E-2</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1.371355270636471E-2</v>
      </c>
      <c r="J63" s="87">
        <f t="shared" si="4"/>
        <v>9.9434476527234276E-4</v>
      </c>
      <c r="K63" s="120">
        <f t="shared" si="6"/>
        <v>6.6289651018156177E-4</v>
      </c>
      <c r="O63" s="116">
        <f>Amnt_Deposited!B58</f>
        <v>2044</v>
      </c>
      <c r="P63" s="119">
        <f>Amnt_Deposited!D58</f>
        <v>0</v>
      </c>
      <c r="Q63" s="319">
        <f>MCF!R62</f>
        <v>0.8</v>
      </c>
      <c r="R63" s="87">
        <f t="shared" si="13"/>
        <v>0</v>
      </c>
      <c r="S63" s="87">
        <f t="shared" si="7"/>
        <v>0</v>
      </c>
      <c r="T63" s="87">
        <f t="shared" si="8"/>
        <v>0</v>
      </c>
      <c r="U63" s="87">
        <f t="shared" si="9"/>
        <v>0.44524521773911402</v>
      </c>
      <c r="V63" s="87">
        <f t="shared" si="10"/>
        <v>3.2283920950400738E-2</v>
      </c>
      <c r="W63" s="120">
        <f t="shared" si="11"/>
        <v>2.1522613966933824E-2</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1.2786431792368947E-2</v>
      </c>
      <c r="J64" s="87">
        <f t="shared" si="4"/>
        <v>9.27120913995763E-4</v>
      </c>
      <c r="K64" s="120">
        <f t="shared" si="6"/>
        <v>6.1808060933050859E-4</v>
      </c>
      <c r="O64" s="116">
        <f>Amnt_Deposited!B59</f>
        <v>2045</v>
      </c>
      <c r="P64" s="119">
        <f>Amnt_Deposited!D59</f>
        <v>0</v>
      </c>
      <c r="Q64" s="319">
        <f>MCF!R63</f>
        <v>0.8</v>
      </c>
      <c r="R64" s="87">
        <f t="shared" si="13"/>
        <v>0</v>
      </c>
      <c r="S64" s="87">
        <f t="shared" si="7"/>
        <v>0</v>
      </c>
      <c r="T64" s="87">
        <f t="shared" si="8"/>
        <v>0</v>
      </c>
      <c r="U64" s="87">
        <f t="shared" si="9"/>
        <v>0.41514388936262819</v>
      </c>
      <c r="V64" s="87">
        <f t="shared" si="10"/>
        <v>3.0101328376485818E-2</v>
      </c>
      <c r="W64" s="120">
        <f t="shared" si="11"/>
        <v>2.0067552250990543E-2</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1.1921989981853743E-2</v>
      </c>
      <c r="J65" s="87">
        <f t="shared" si="4"/>
        <v>8.6444181051520365E-4</v>
      </c>
      <c r="K65" s="120">
        <f t="shared" si="6"/>
        <v>5.7629454034346906E-4</v>
      </c>
      <c r="O65" s="116">
        <f>Amnt_Deposited!B60</f>
        <v>2046</v>
      </c>
      <c r="P65" s="119">
        <f>Amnt_Deposited!D60</f>
        <v>0</v>
      </c>
      <c r="Q65" s="319">
        <f>MCF!R64</f>
        <v>0.8</v>
      </c>
      <c r="R65" s="87">
        <f t="shared" si="13"/>
        <v>0</v>
      </c>
      <c r="S65" s="87">
        <f t="shared" si="7"/>
        <v>0</v>
      </c>
      <c r="T65" s="87">
        <f t="shared" si="8"/>
        <v>0</v>
      </c>
      <c r="U65" s="87">
        <f t="shared" si="9"/>
        <v>0.38707759681343329</v>
      </c>
      <c r="V65" s="87">
        <f t="shared" si="10"/>
        <v>2.8066292549194925E-2</v>
      </c>
      <c r="W65" s="120">
        <f t="shared" si="11"/>
        <v>1.8710861699463281E-2</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1.1115989780061059E-2</v>
      </c>
      <c r="J66" s="87">
        <f t="shared" si="4"/>
        <v>8.0600020179268463E-4</v>
      </c>
      <c r="K66" s="120">
        <f t="shared" si="6"/>
        <v>5.3733346786178976E-4</v>
      </c>
      <c r="O66" s="116">
        <f>Amnt_Deposited!B61</f>
        <v>2047</v>
      </c>
      <c r="P66" s="119">
        <f>Amnt_Deposited!D61</f>
        <v>0</v>
      </c>
      <c r="Q66" s="319">
        <f>MCF!R65</f>
        <v>0.8</v>
      </c>
      <c r="R66" s="87">
        <f t="shared" si="13"/>
        <v>0</v>
      </c>
      <c r="S66" s="87">
        <f t="shared" si="7"/>
        <v>0</v>
      </c>
      <c r="T66" s="87">
        <f t="shared" si="8"/>
        <v>0</v>
      </c>
      <c r="U66" s="87">
        <f t="shared" si="9"/>
        <v>0.36090875909289155</v>
      </c>
      <c r="V66" s="87">
        <f t="shared" si="10"/>
        <v>2.6168837720541713E-2</v>
      </c>
      <c r="W66" s="120">
        <f t="shared" si="11"/>
        <v>1.7445891813694474E-2</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1.0364480173066612E-2</v>
      </c>
      <c r="J67" s="87">
        <f t="shared" si="4"/>
        <v>7.5150960699444638E-4</v>
      </c>
      <c r="K67" s="120">
        <f t="shared" si="6"/>
        <v>5.0100640466296418E-4</v>
      </c>
      <c r="O67" s="116">
        <f>Amnt_Deposited!B62</f>
        <v>2048</v>
      </c>
      <c r="P67" s="119">
        <f>Amnt_Deposited!D62</f>
        <v>0</v>
      </c>
      <c r="Q67" s="319">
        <f>MCF!R66</f>
        <v>0.8</v>
      </c>
      <c r="R67" s="87">
        <f t="shared" si="13"/>
        <v>0</v>
      </c>
      <c r="S67" s="87">
        <f t="shared" si="7"/>
        <v>0</v>
      </c>
      <c r="T67" s="87">
        <f t="shared" si="8"/>
        <v>0</v>
      </c>
      <c r="U67" s="87">
        <f t="shared" si="9"/>
        <v>0.33650909652813682</v>
      </c>
      <c r="V67" s="87">
        <f t="shared" si="10"/>
        <v>2.4399662564754756E-2</v>
      </c>
      <c r="W67" s="120">
        <f t="shared" si="11"/>
        <v>1.6266441709836502E-2</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9.6637772599050421E-3</v>
      </c>
      <c r="J68" s="87">
        <f t="shared" si="4"/>
        <v>7.0070291316156978E-4</v>
      </c>
      <c r="K68" s="120">
        <f t="shared" si="6"/>
        <v>4.6713527544104652E-4</v>
      </c>
      <c r="O68" s="116">
        <f>Amnt_Deposited!B63</f>
        <v>2049</v>
      </c>
      <c r="P68" s="119">
        <f>Amnt_Deposited!D63</f>
        <v>0</v>
      </c>
      <c r="Q68" s="319">
        <f>MCF!R67</f>
        <v>0.8</v>
      </c>
      <c r="R68" s="87">
        <f t="shared" si="13"/>
        <v>0</v>
      </c>
      <c r="S68" s="87">
        <f t="shared" si="7"/>
        <v>0</v>
      </c>
      <c r="T68" s="87">
        <f t="shared" si="8"/>
        <v>0</v>
      </c>
      <c r="U68" s="87">
        <f t="shared" si="9"/>
        <v>0.31375900194496897</v>
      </c>
      <c r="V68" s="87">
        <f t="shared" si="10"/>
        <v>2.2750094583167853E-2</v>
      </c>
      <c r="W68" s="120">
        <f t="shared" si="11"/>
        <v>1.5166729722111902E-2</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9.0104461940831004E-3</v>
      </c>
      <c r="J69" s="87">
        <f t="shared" si="4"/>
        <v>6.5333106582194202E-4</v>
      </c>
      <c r="K69" s="120">
        <f t="shared" si="6"/>
        <v>4.3555404388129465E-4</v>
      </c>
      <c r="O69" s="116">
        <f>Amnt_Deposited!B64</f>
        <v>2050</v>
      </c>
      <c r="P69" s="119">
        <f>Amnt_Deposited!D64</f>
        <v>0</v>
      </c>
      <c r="Q69" s="319">
        <f>MCF!R68</f>
        <v>0.8</v>
      </c>
      <c r="R69" s="87">
        <f t="shared" si="13"/>
        <v>0</v>
      </c>
      <c r="S69" s="87">
        <f t="shared" si="7"/>
        <v>0</v>
      </c>
      <c r="T69" s="87">
        <f t="shared" si="8"/>
        <v>0</v>
      </c>
      <c r="U69" s="87">
        <f t="shared" si="9"/>
        <v>0.29254695435334749</v>
      </c>
      <c r="V69" s="87">
        <f t="shared" si="10"/>
        <v>2.12120475916215E-2</v>
      </c>
      <c r="W69" s="120">
        <f t="shared" si="11"/>
        <v>1.4141365061080999E-2</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8.4012843459581547E-3</v>
      </c>
      <c r="J70" s="87">
        <f t="shared" si="4"/>
        <v>6.0916184812494505E-4</v>
      </c>
      <c r="K70" s="120">
        <f t="shared" si="6"/>
        <v>4.0610789874996335E-4</v>
      </c>
      <c r="O70" s="116">
        <f>Amnt_Deposited!B65</f>
        <v>2051</v>
      </c>
      <c r="P70" s="119">
        <f>Amnt_Deposited!D65</f>
        <v>0</v>
      </c>
      <c r="Q70" s="319">
        <f>MCF!R69</f>
        <v>0.8</v>
      </c>
      <c r="R70" s="87">
        <f t="shared" si="13"/>
        <v>0</v>
      </c>
      <c r="S70" s="87">
        <f t="shared" si="7"/>
        <v>0</v>
      </c>
      <c r="T70" s="87">
        <f t="shared" si="8"/>
        <v>0</v>
      </c>
      <c r="U70" s="87">
        <f t="shared" si="9"/>
        <v>0.27276897227136876</v>
      </c>
      <c r="V70" s="87">
        <f t="shared" si="10"/>
        <v>1.9777982081978739E-2</v>
      </c>
      <c r="W70" s="120">
        <f t="shared" si="11"/>
        <v>1.3185321387985826E-2</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7.8333056034439706E-3</v>
      </c>
      <c r="J71" s="87">
        <f t="shared" si="4"/>
        <v>5.6797874251418459E-4</v>
      </c>
      <c r="K71" s="120">
        <f t="shared" si="6"/>
        <v>3.7865249500945638E-4</v>
      </c>
      <c r="O71" s="116">
        <f>Amnt_Deposited!B66</f>
        <v>2052</v>
      </c>
      <c r="P71" s="119">
        <f>Amnt_Deposited!D66</f>
        <v>0</v>
      </c>
      <c r="Q71" s="319">
        <f>MCF!R70</f>
        <v>0.8</v>
      </c>
      <c r="R71" s="87">
        <f t="shared" si="13"/>
        <v>0</v>
      </c>
      <c r="S71" s="87">
        <f t="shared" si="7"/>
        <v>0</v>
      </c>
      <c r="T71" s="87">
        <f t="shared" si="8"/>
        <v>0</v>
      </c>
      <c r="U71" s="87">
        <f t="shared" si="9"/>
        <v>0.25432810400792122</v>
      </c>
      <c r="V71" s="87">
        <f t="shared" si="10"/>
        <v>1.8440868263447558E-2</v>
      </c>
      <c r="W71" s="120">
        <f t="shared" si="11"/>
        <v>1.2293912175631704E-2</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7.3037257340857926E-3</v>
      </c>
      <c r="J72" s="87">
        <f t="shared" si="4"/>
        <v>5.2957986935817764E-4</v>
      </c>
      <c r="K72" s="120">
        <f t="shared" si="6"/>
        <v>3.530532462387851E-4</v>
      </c>
      <c r="O72" s="116">
        <f>Amnt_Deposited!B67</f>
        <v>2053</v>
      </c>
      <c r="P72" s="119">
        <f>Amnt_Deposited!D67</f>
        <v>0</v>
      </c>
      <c r="Q72" s="319">
        <f>MCF!R71</f>
        <v>0.8</v>
      </c>
      <c r="R72" s="87">
        <f t="shared" si="13"/>
        <v>0</v>
      </c>
      <c r="S72" s="87">
        <f t="shared" si="7"/>
        <v>0</v>
      </c>
      <c r="T72" s="87">
        <f t="shared" si="8"/>
        <v>0</v>
      </c>
      <c r="U72" s="87">
        <f t="shared" si="9"/>
        <v>0.23713395240538299</v>
      </c>
      <c r="V72" s="87">
        <f t="shared" si="10"/>
        <v>1.7194151602538239E-2</v>
      </c>
      <c r="W72" s="120">
        <f t="shared" si="11"/>
        <v>1.1462767735025492E-2</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6.809948736749628E-3</v>
      </c>
      <c r="J73" s="87">
        <f t="shared" si="4"/>
        <v>4.937769973361642E-4</v>
      </c>
      <c r="K73" s="120">
        <f t="shared" si="6"/>
        <v>3.2918466489077611E-4</v>
      </c>
      <c r="O73" s="116">
        <f>Amnt_Deposited!B68</f>
        <v>2054</v>
      </c>
      <c r="P73" s="119">
        <f>Amnt_Deposited!D68</f>
        <v>0</v>
      </c>
      <c r="Q73" s="319">
        <f>MCF!R72</f>
        <v>0.8</v>
      </c>
      <c r="R73" s="87">
        <f t="shared" si="13"/>
        <v>0</v>
      </c>
      <c r="S73" s="87">
        <f t="shared" si="7"/>
        <v>0</v>
      </c>
      <c r="T73" s="87">
        <f t="shared" si="8"/>
        <v>0</v>
      </c>
      <c r="U73" s="87">
        <f t="shared" si="9"/>
        <v>0.22110223171265037</v>
      </c>
      <c r="V73" s="87">
        <f t="shared" si="10"/>
        <v>1.6031720692732614E-2</v>
      </c>
      <c r="W73" s="120">
        <f t="shared" si="11"/>
        <v>1.0687813795155075E-2</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6.3495541160216726E-3</v>
      </c>
      <c r="J74" s="87">
        <f t="shared" si="4"/>
        <v>4.603946207279554E-4</v>
      </c>
      <c r="K74" s="120">
        <f t="shared" si="6"/>
        <v>3.0692974715197023E-4</v>
      </c>
      <c r="O74" s="116">
        <f>Amnt_Deposited!B69</f>
        <v>2055</v>
      </c>
      <c r="P74" s="119">
        <f>Amnt_Deposited!D69</f>
        <v>0</v>
      </c>
      <c r="Q74" s="319">
        <f>MCF!R73</f>
        <v>0.8</v>
      </c>
      <c r="R74" s="87">
        <f t="shared" si="13"/>
        <v>0</v>
      </c>
      <c r="S74" s="87">
        <f t="shared" si="7"/>
        <v>0</v>
      </c>
      <c r="T74" s="87">
        <f t="shared" si="8"/>
        <v>0</v>
      </c>
      <c r="U74" s="87">
        <f t="shared" si="9"/>
        <v>0.20615435441628818</v>
      </c>
      <c r="V74" s="87">
        <f t="shared" si="10"/>
        <v>1.4947877296362195E-2</v>
      </c>
      <c r="W74" s="120">
        <f t="shared" si="11"/>
        <v>9.9652515309081296E-3</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5.9202850169369839E-3</v>
      </c>
      <c r="J75" s="87">
        <f t="shared" si="4"/>
        <v>4.2926909908468861E-4</v>
      </c>
      <c r="K75" s="120">
        <f t="shared" si="6"/>
        <v>2.8617939938979241E-4</v>
      </c>
      <c r="O75" s="116">
        <f>Amnt_Deposited!B70</f>
        <v>2056</v>
      </c>
      <c r="P75" s="119">
        <f>Amnt_Deposited!D70</f>
        <v>0</v>
      </c>
      <c r="Q75" s="319">
        <f>MCF!R74</f>
        <v>0.8</v>
      </c>
      <c r="R75" s="87">
        <f t="shared" si="13"/>
        <v>0</v>
      </c>
      <c r="S75" s="87">
        <f t="shared" si="7"/>
        <v>0</v>
      </c>
      <c r="T75" s="87">
        <f t="shared" si="8"/>
        <v>0</v>
      </c>
      <c r="U75" s="87">
        <f t="shared" si="9"/>
        <v>0.19221704600444764</v>
      </c>
      <c r="V75" s="87">
        <f t="shared" si="10"/>
        <v>1.3937308411840547E-2</v>
      </c>
      <c r="W75" s="120">
        <f t="shared" si="11"/>
        <v>9.2915389412270306E-3</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5.5200371618738262E-3</v>
      </c>
      <c r="J76" s="87">
        <f t="shared" si="4"/>
        <v>4.0024785506315782E-4</v>
      </c>
      <c r="K76" s="120">
        <f t="shared" si="6"/>
        <v>2.6683190337543851E-4</v>
      </c>
      <c r="O76" s="116">
        <f>Amnt_Deposited!B71</f>
        <v>2057</v>
      </c>
      <c r="P76" s="119">
        <f>Amnt_Deposited!D71</f>
        <v>0</v>
      </c>
      <c r="Q76" s="319">
        <f>MCF!R75</f>
        <v>0.8</v>
      </c>
      <c r="R76" s="87">
        <f t="shared" si="13"/>
        <v>0</v>
      </c>
      <c r="S76" s="87">
        <f t="shared" si="7"/>
        <v>0</v>
      </c>
      <c r="T76" s="87">
        <f t="shared" si="8"/>
        <v>0</v>
      </c>
      <c r="U76" s="87">
        <f t="shared" si="9"/>
        <v>0.17922198577512433</v>
      </c>
      <c r="V76" s="87">
        <f t="shared" si="10"/>
        <v>1.2995060229323313E-2</v>
      </c>
      <c r="W76" s="120">
        <f t="shared" si="11"/>
        <v>8.663373486215542E-3</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5.146848535382326E-3</v>
      </c>
      <c r="J77" s="87">
        <f t="shared" si="4"/>
        <v>3.7318862649150005E-4</v>
      </c>
      <c r="K77" s="120">
        <f t="shared" si="6"/>
        <v>2.4879241766100004E-4</v>
      </c>
      <c r="O77" s="116">
        <f>Amnt_Deposited!B72</f>
        <v>2058</v>
      </c>
      <c r="P77" s="119">
        <f>Amnt_Deposited!D72</f>
        <v>0</v>
      </c>
      <c r="Q77" s="319">
        <f>MCF!R76</f>
        <v>0.8</v>
      </c>
      <c r="R77" s="87">
        <f t="shared" si="13"/>
        <v>0</v>
      </c>
      <c r="S77" s="87">
        <f t="shared" si="7"/>
        <v>0</v>
      </c>
      <c r="T77" s="87">
        <f t="shared" si="8"/>
        <v>0</v>
      </c>
      <c r="U77" s="87">
        <f t="shared" si="9"/>
        <v>0.16710547192799768</v>
      </c>
      <c r="V77" s="87">
        <f t="shared" si="10"/>
        <v>1.2116513847126632E-2</v>
      </c>
      <c r="W77" s="120">
        <f t="shared" si="11"/>
        <v>8.0776758980844205E-3</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4.7988897663824625E-3</v>
      </c>
      <c r="J78" s="87">
        <f t="shared" si="4"/>
        <v>3.4795876899986389E-4</v>
      </c>
      <c r="K78" s="120">
        <f t="shared" si="6"/>
        <v>2.3197251266657591E-4</v>
      </c>
      <c r="O78" s="116">
        <f>Amnt_Deposited!B73</f>
        <v>2059</v>
      </c>
      <c r="P78" s="119">
        <f>Amnt_Deposited!D73</f>
        <v>0</v>
      </c>
      <c r="Q78" s="319">
        <f>MCF!R77</f>
        <v>0.8</v>
      </c>
      <c r="R78" s="87">
        <f t="shared" si="13"/>
        <v>0</v>
      </c>
      <c r="S78" s="87">
        <f t="shared" si="7"/>
        <v>0</v>
      </c>
      <c r="T78" s="87">
        <f t="shared" si="8"/>
        <v>0</v>
      </c>
      <c r="U78" s="87">
        <f t="shared" si="9"/>
        <v>0.15580810929813196</v>
      </c>
      <c r="V78" s="87">
        <f t="shared" si="10"/>
        <v>1.1297362629865717E-2</v>
      </c>
      <c r="W78" s="120">
        <f t="shared" si="11"/>
        <v>7.5315750865771443E-3</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4.4744551605849078E-3</v>
      </c>
      <c r="J79" s="87">
        <f t="shared" si="4"/>
        <v>3.2443460579755455E-4</v>
      </c>
      <c r="K79" s="120">
        <f t="shared" si="6"/>
        <v>2.1628973719836969E-4</v>
      </c>
      <c r="O79" s="116">
        <f>Amnt_Deposited!B74</f>
        <v>2060</v>
      </c>
      <c r="P79" s="119">
        <f>Amnt_Deposited!D74</f>
        <v>0</v>
      </c>
      <c r="Q79" s="319">
        <f>MCF!R78</f>
        <v>0.8</v>
      </c>
      <c r="R79" s="87">
        <f t="shared" si="13"/>
        <v>0</v>
      </c>
      <c r="S79" s="87">
        <f t="shared" si="7"/>
        <v>0</v>
      </c>
      <c r="T79" s="87">
        <f t="shared" si="8"/>
        <v>0</v>
      </c>
      <c r="U79" s="87">
        <f t="shared" si="9"/>
        <v>0.14527451820080875</v>
      </c>
      <c r="V79" s="87">
        <f t="shared" si="10"/>
        <v>1.0533591097323205E-2</v>
      </c>
      <c r="W79" s="120">
        <f t="shared" si="11"/>
        <v>7.0223940648821365E-3</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4.1719543391756453E-3</v>
      </c>
      <c r="J80" s="87">
        <f t="shared" si="4"/>
        <v>3.0250082140926242E-4</v>
      </c>
      <c r="K80" s="120">
        <f t="shared" si="6"/>
        <v>2.016672142728416E-4</v>
      </c>
      <c r="O80" s="116">
        <f>Amnt_Deposited!B75</f>
        <v>2061</v>
      </c>
      <c r="P80" s="119">
        <f>Amnt_Deposited!D75</f>
        <v>0</v>
      </c>
      <c r="Q80" s="319">
        <f>MCF!R79</f>
        <v>0.8</v>
      </c>
      <c r="R80" s="87">
        <f t="shared" si="13"/>
        <v>0</v>
      </c>
      <c r="S80" s="87">
        <f t="shared" si="7"/>
        <v>0</v>
      </c>
      <c r="T80" s="87">
        <f t="shared" si="8"/>
        <v>0</v>
      </c>
      <c r="U80" s="87">
        <f t="shared" si="9"/>
        <v>0.13545306296024828</v>
      </c>
      <c r="V80" s="87">
        <f t="shared" si="10"/>
        <v>9.8214552405604724E-3</v>
      </c>
      <c r="W80" s="120">
        <f t="shared" si="11"/>
        <v>6.5476368270403146E-3</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3.8899044427771761E-3</v>
      </c>
      <c r="J81" s="87">
        <f t="shared" si="4"/>
        <v>2.8204989639846922E-4</v>
      </c>
      <c r="K81" s="120">
        <f t="shared" si="6"/>
        <v>1.8803326426564614E-4</v>
      </c>
      <c r="O81" s="116">
        <f>Amnt_Deposited!B76</f>
        <v>2062</v>
      </c>
      <c r="P81" s="119">
        <f>Amnt_Deposited!D76</f>
        <v>0</v>
      </c>
      <c r="Q81" s="319">
        <f>MCF!R80</f>
        <v>0.8</v>
      </c>
      <c r="R81" s="87">
        <f t="shared" si="13"/>
        <v>0</v>
      </c>
      <c r="S81" s="87">
        <f t="shared" si="7"/>
        <v>0</v>
      </c>
      <c r="T81" s="87">
        <f t="shared" si="8"/>
        <v>0</v>
      </c>
      <c r="U81" s="87">
        <f t="shared" si="9"/>
        <v>0.12629559879146682</v>
      </c>
      <c r="V81" s="87">
        <f t="shared" si="10"/>
        <v>9.157464168781472E-3</v>
      </c>
      <c r="W81" s="120">
        <f t="shared" si="11"/>
        <v>6.1049761125209811E-3</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3.6269228624701303E-3</v>
      </c>
      <c r="J82" s="87">
        <f t="shared" si="4"/>
        <v>2.6298158030704571E-4</v>
      </c>
      <c r="K82" s="120">
        <f t="shared" si="6"/>
        <v>1.7532105353803047E-4</v>
      </c>
      <c r="O82" s="116">
        <f>Amnt_Deposited!B77</f>
        <v>2063</v>
      </c>
      <c r="P82" s="119">
        <f>Amnt_Deposited!D77</f>
        <v>0</v>
      </c>
      <c r="Q82" s="319">
        <f>MCF!R81</f>
        <v>0.8</v>
      </c>
      <c r="R82" s="87">
        <f t="shared" si="13"/>
        <v>0</v>
      </c>
      <c r="S82" s="87">
        <f t="shared" si="7"/>
        <v>0</v>
      </c>
      <c r="T82" s="87">
        <f t="shared" si="8"/>
        <v>0</v>
      </c>
      <c r="U82" s="87">
        <f t="shared" si="9"/>
        <v>0.11775723579448481</v>
      </c>
      <c r="V82" s="87">
        <f t="shared" si="10"/>
        <v>8.5383629969820081E-3</v>
      </c>
      <c r="W82" s="120">
        <f t="shared" si="11"/>
        <v>5.6922419979880054E-3</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3.381720462242741E-3</v>
      </c>
      <c r="J83" s="87">
        <f t="shared" ref="J83:J99" si="18">I82*(1-$K$10)+H83</f>
        <v>2.4520240022738924E-4</v>
      </c>
      <c r="K83" s="120">
        <f t="shared" si="6"/>
        <v>1.6346826681825949E-4</v>
      </c>
      <c r="O83" s="116">
        <f>Amnt_Deposited!B78</f>
        <v>2064</v>
      </c>
      <c r="P83" s="119">
        <f>Amnt_Deposited!D78</f>
        <v>0</v>
      </c>
      <c r="Q83" s="319">
        <f>MCF!R82</f>
        <v>0.8</v>
      </c>
      <c r="R83" s="87">
        <f t="shared" ref="R83:R99" si="19">P83*$W$6*DOCF*Q83</f>
        <v>0</v>
      </c>
      <c r="S83" s="87">
        <f t="shared" si="7"/>
        <v>0</v>
      </c>
      <c r="T83" s="87">
        <f t="shared" si="8"/>
        <v>0</v>
      </c>
      <c r="U83" s="87">
        <f t="shared" si="9"/>
        <v>0.10979611890398516</v>
      </c>
      <c r="V83" s="87">
        <f t="shared" si="10"/>
        <v>7.9611168904996539E-3</v>
      </c>
      <c r="W83" s="120">
        <f t="shared" si="11"/>
        <v>5.307411260333102E-3</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3.1530952596446186E-3</v>
      </c>
      <c r="J84" s="87">
        <f t="shared" si="18"/>
        <v>2.2862520259812259E-4</v>
      </c>
      <c r="K84" s="120">
        <f t="shared" si="6"/>
        <v>1.5241680173208171E-4</v>
      </c>
      <c r="O84" s="116">
        <f>Amnt_Deposited!B79</f>
        <v>2065</v>
      </c>
      <c r="P84" s="119">
        <f>Amnt_Deposited!D79</f>
        <v>0</v>
      </c>
      <c r="Q84" s="319">
        <f>MCF!R83</f>
        <v>0.8</v>
      </c>
      <c r="R84" s="87">
        <f t="shared" si="19"/>
        <v>0</v>
      </c>
      <c r="S84" s="87">
        <f t="shared" si="7"/>
        <v>0</v>
      </c>
      <c r="T84" s="87">
        <f t="shared" si="8"/>
        <v>0</v>
      </c>
      <c r="U84" s="87">
        <f t="shared" si="9"/>
        <v>0.10237322271573443</v>
      </c>
      <c r="V84" s="87">
        <f t="shared" si="10"/>
        <v>7.4228961882507379E-3</v>
      </c>
      <c r="W84" s="120">
        <f t="shared" si="11"/>
        <v>4.948597458833825E-3</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2.9399265336673835E-3</v>
      </c>
      <c r="J85" s="87">
        <f t="shared" si="18"/>
        <v>2.1316872597723489E-4</v>
      </c>
      <c r="K85" s="120">
        <f t="shared" ref="K85:K99" si="20">J85*CH4_fraction*conv</f>
        <v>1.4211248398482326E-4</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9.5452160184006027E-2</v>
      </c>
      <c r="V85" s="87">
        <f t="shared" ref="V85:V98" si="24">U84*(1-$W$10)+T85</f>
        <v>6.9210625317284091E-3</v>
      </c>
      <c r="W85" s="120">
        <f t="shared" ref="W85:W99" si="25">V85*CH4_fraction*conv</f>
        <v>4.6140416878189391E-3</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2.7411693309689852E-3</v>
      </c>
      <c r="J86" s="87">
        <f t="shared" si="18"/>
        <v>1.9875720269839836E-4</v>
      </c>
      <c r="K86" s="120">
        <f t="shared" si="20"/>
        <v>1.3250480179893224E-4</v>
      </c>
      <c r="O86" s="116">
        <f>Amnt_Deposited!B81</f>
        <v>2067</v>
      </c>
      <c r="P86" s="119">
        <f>Amnt_Deposited!D81</f>
        <v>0</v>
      </c>
      <c r="Q86" s="319">
        <f>MCF!R85</f>
        <v>0.8</v>
      </c>
      <c r="R86" s="87">
        <f t="shared" si="19"/>
        <v>0</v>
      </c>
      <c r="S86" s="87">
        <f t="shared" si="21"/>
        <v>0</v>
      </c>
      <c r="T86" s="87">
        <f t="shared" si="22"/>
        <v>0</v>
      </c>
      <c r="U86" s="87">
        <f t="shared" si="23"/>
        <v>8.8999004252239847E-2</v>
      </c>
      <c r="V86" s="87">
        <f t="shared" si="24"/>
        <v>6.4531559317661854E-3</v>
      </c>
      <c r="W86" s="120">
        <f t="shared" si="25"/>
        <v>4.3021039545107897E-3</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2.5558493435112045E-3</v>
      </c>
      <c r="J87" s="87">
        <f t="shared" si="18"/>
        <v>1.8531998745778051E-4</v>
      </c>
      <c r="K87" s="120">
        <f t="shared" si="20"/>
        <v>1.2354665830518699E-4</v>
      </c>
      <c r="O87" s="116">
        <f>Amnt_Deposited!B82</f>
        <v>2068</v>
      </c>
      <c r="P87" s="119">
        <f>Amnt_Deposited!D82</f>
        <v>0</v>
      </c>
      <c r="Q87" s="319">
        <f>MCF!R86</f>
        <v>0.8</v>
      </c>
      <c r="R87" s="87">
        <f t="shared" si="19"/>
        <v>0</v>
      </c>
      <c r="S87" s="87">
        <f t="shared" si="21"/>
        <v>0</v>
      </c>
      <c r="T87" s="87">
        <f t="shared" si="22"/>
        <v>0</v>
      </c>
      <c r="U87" s="87">
        <f t="shared" si="23"/>
        <v>8.2982121542571646E-2</v>
      </c>
      <c r="V87" s="87">
        <f t="shared" si="24"/>
        <v>6.0168827096682021E-3</v>
      </c>
      <c r="W87" s="120">
        <f t="shared" si="25"/>
        <v>4.0112551397788014E-3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2.3830581325005222E-3</v>
      </c>
      <c r="J88" s="87">
        <f t="shared" si="18"/>
        <v>1.7279121101068236E-4</v>
      </c>
      <c r="K88" s="120">
        <f t="shared" si="20"/>
        <v>1.1519414067378823E-4</v>
      </c>
      <c r="O88" s="116">
        <f>Amnt_Deposited!B83</f>
        <v>2069</v>
      </c>
      <c r="P88" s="119">
        <f>Amnt_Deposited!D83</f>
        <v>0</v>
      </c>
      <c r="Q88" s="319">
        <f>MCF!R87</f>
        <v>0.8</v>
      </c>
      <c r="R88" s="87">
        <f t="shared" si="19"/>
        <v>0</v>
      </c>
      <c r="S88" s="87">
        <f t="shared" si="21"/>
        <v>0</v>
      </c>
      <c r="T88" s="87">
        <f t="shared" si="22"/>
        <v>0</v>
      </c>
      <c r="U88" s="87">
        <f t="shared" si="23"/>
        <v>7.7372017288978065E-2</v>
      </c>
      <c r="V88" s="87">
        <f t="shared" si="24"/>
        <v>5.6101042535935883E-3</v>
      </c>
      <c r="W88" s="120">
        <f t="shared" si="25"/>
        <v>3.7400695023957252E-3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2.2219486752200973E-3</v>
      </c>
      <c r="J89" s="87">
        <f t="shared" si="18"/>
        <v>1.6110945728042489E-4</v>
      </c>
      <c r="K89" s="120">
        <f t="shared" si="20"/>
        <v>1.0740630485361659E-4</v>
      </c>
      <c r="O89" s="116">
        <f>Amnt_Deposited!B84</f>
        <v>2070</v>
      </c>
      <c r="P89" s="119">
        <f>Amnt_Deposited!D84</f>
        <v>0</v>
      </c>
      <c r="Q89" s="319">
        <f>MCF!R88</f>
        <v>0.8</v>
      </c>
      <c r="R89" s="87">
        <f t="shared" si="19"/>
        <v>0</v>
      </c>
      <c r="S89" s="87">
        <f t="shared" si="21"/>
        <v>0</v>
      </c>
      <c r="T89" s="87">
        <f t="shared" si="22"/>
        <v>0</v>
      </c>
      <c r="U89" s="87">
        <f t="shared" si="23"/>
        <v>7.2141190753899326E-2</v>
      </c>
      <c r="V89" s="87">
        <f t="shared" si="24"/>
        <v>5.2308265350787348E-3</v>
      </c>
      <c r="W89" s="120">
        <f t="shared" si="25"/>
        <v>3.4872176900524899E-3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2.0717312129234279E-3</v>
      </c>
      <c r="J90" s="87">
        <f t="shared" si="18"/>
        <v>1.5021746229666955E-4</v>
      </c>
      <c r="K90" s="120">
        <f t="shared" si="20"/>
        <v>1.0014497486444637E-4</v>
      </c>
      <c r="O90" s="116">
        <f>Amnt_Deposited!B85</f>
        <v>2071</v>
      </c>
      <c r="P90" s="119">
        <f>Amnt_Deposited!D85</f>
        <v>0</v>
      </c>
      <c r="Q90" s="319">
        <f>MCF!R89</f>
        <v>0.8</v>
      </c>
      <c r="R90" s="87">
        <f t="shared" si="19"/>
        <v>0</v>
      </c>
      <c r="S90" s="87">
        <f t="shared" si="21"/>
        <v>0</v>
      </c>
      <c r="T90" s="87">
        <f t="shared" si="22"/>
        <v>0</v>
      </c>
      <c r="U90" s="87">
        <f t="shared" si="23"/>
        <v>6.7264000419591866E-2</v>
      </c>
      <c r="V90" s="87">
        <f t="shared" si="24"/>
        <v>4.8771903343074567E-3</v>
      </c>
      <c r="W90" s="120">
        <f t="shared" si="25"/>
        <v>3.2514602228716377E-3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1.9316693794360583E-3</v>
      </c>
      <c r="J91" s="87">
        <f t="shared" si="18"/>
        <v>1.4006183348736948E-4</v>
      </c>
      <c r="K91" s="120">
        <f t="shared" si="20"/>
        <v>9.3374555658246321E-5</v>
      </c>
      <c r="O91" s="116">
        <f>Amnt_Deposited!B86</f>
        <v>2072</v>
      </c>
      <c r="P91" s="119">
        <f>Amnt_Deposited!D86</f>
        <v>0</v>
      </c>
      <c r="Q91" s="319">
        <f>MCF!R90</f>
        <v>0.8</v>
      </c>
      <c r="R91" s="87">
        <f t="shared" si="19"/>
        <v>0</v>
      </c>
      <c r="S91" s="87">
        <f t="shared" si="21"/>
        <v>0</v>
      </c>
      <c r="T91" s="87">
        <f t="shared" si="22"/>
        <v>0</v>
      </c>
      <c r="U91" s="87">
        <f t="shared" si="23"/>
        <v>6.2716538293378574E-2</v>
      </c>
      <c r="V91" s="87">
        <f t="shared" si="24"/>
        <v>4.5474621262132989E-3</v>
      </c>
      <c r="W91" s="120">
        <f t="shared" si="25"/>
        <v>3.0316414174755323E-3</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1.801076591487739E-3</v>
      </c>
      <c r="J92" s="87">
        <f t="shared" si="18"/>
        <v>1.3059278794831929E-4</v>
      </c>
      <c r="K92" s="120">
        <f t="shared" si="20"/>
        <v>8.7061858632212855E-5</v>
      </c>
      <c r="O92" s="116">
        <f>Amnt_Deposited!B87</f>
        <v>2073</v>
      </c>
      <c r="P92" s="119">
        <f>Amnt_Deposited!D87</f>
        <v>0</v>
      </c>
      <c r="Q92" s="319">
        <f>MCF!R91</f>
        <v>0.8</v>
      </c>
      <c r="R92" s="87">
        <f t="shared" si="19"/>
        <v>0</v>
      </c>
      <c r="S92" s="87">
        <f t="shared" si="21"/>
        <v>0</v>
      </c>
      <c r="T92" s="87">
        <f t="shared" si="22"/>
        <v>0</v>
      </c>
      <c r="U92" s="87">
        <f t="shared" si="23"/>
        <v>5.8476512710640929E-2</v>
      </c>
      <c r="V92" s="87">
        <f t="shared" si="24"/>
        <v>4.2400255827376434E-3</v>
      </c>
      <c r="W92" s="120">
        <f t="shared" si="25"/>
        <v>2.8266837218250953E-3</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1.679312683080438E-3</v>
      </c>
      <c r="J93" s="87">
        <f t="shared" si="18"/>
        <v>1.2176390840730091E-4</v>
      </c>
      <c r="K93" s="120">
        <f t="shared" si="20"/>
        <v>8.1175938938200608E-5</v>
      </c>
      <c r="O93" s="116">
        <f>Amnt_Deposited!B88</f>
        <v>2074</v>
      </c>
      <c r="P93" s="119">
        <f>Amnt_Deposited!D88</f>
        <v>0</v>
      </c>
      <c r="Q93" s="319">
        <f>MCF!R92</f>
        <v>0.8</v>
      </c>
      <c r="R93" s="87">
        <f t="shared" si="19"/>
        <v>0</v>
      </c>
      <c r="S93" s="87">
        <f t="shared" si="21"/>
        <v>0</v>
      </c>
      <c r="T93" s="87">
        <f t="shared" si="22"/>
        <v>0</v>
      </c>
      <c r="U93" s="87">
        <f t="shared" si="23"/>
        <v>5.4523139061053237E-2</v>
      </c>
      <c r="V93" s="87">
        <f t="shared" si="24"/>
        <v>3.9533736495876957E-3</v>
      </c>
      <c r="W93" s="120">
        <f t="shared" si="25"/>
        <v>2.6355824330584637E-3</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1.5657807673938766E-3</v>
      </c>
      <c r="J94" s="87">
        <f t="shared" si="18"/>
        <v>1.1353191568656131E-4</v>
      </c>
      <c r="K94" s="120">
        <f t="shared" si="20"/>
        <v>7.5687943791040866E-5</v>
      </c>
      <c r="O94" s="116">
        <f>Amnt_Deposited!B89</f>
        <v>2075</v>
      </c>
      <c r="P94" s="119">
        <f>Amnt_Deposited!D89</f>
        <v>0</v>
      </c>
      <c r="Q94" s="319">
        <f>MCF!R93</f>
        <v>0.8</v>
      </c>
      <c r="R94" s="87">
        <f t="shared" si="19"/>
        <v>0</v>
      </c>
      <c r="S94" s="87">
        <f t="shared" si="21"/>
        <v>0</v>
      </c>
      <c r="T94" s="87">
        <f t="shared" si="22"/>
        <v>0</v>
      </c>
      <c r="U94" s="87">
        <f t="shared" si="23"/>
        <v>5.0837037902398644E-2</v>
      </c>
      <c r="V94" s="87">
        <f t="shared" si="24"/>
        <v>3.6861011586545914E-3</v>
      </c>
      <c r="W94" s="120">
        <f t="shared" si="25"/>
        <v>2.4574007724363941E-3</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1.4599243108456437E-3</v>
      </c>
      <c r="J95" s="87">
        <f t="shared" si="18"/>
        <v>1.0585645654823295E-4</v>
      </c>
      <c r="K95" s="120">
        <f t="shared" si="20"/>
        <v>7.0570971032155288E-5</v>
      </c>
      <c r="O95" s="116">
        <f>Amnt_Deposited!B90</f>
        <v>2076</v>
      </c>
      <c r="P95" s="119">
        <f>Amnt_Deposited!D90</f>
        <v>0</v>
      </c>
      <c r="Q95" s="319">
        <f>MCF!R94</f>
        <v>0.8</v>
      </c>
      <c r="R95" s="87">
        <f t="shared" si="19"/>
        <v>0</v>
      </c>
      <c r="S95" s="87">
        <f t="shared" si="21"/>
        <v>0</v>
      </c>
      <c r="T95" s="87">
        <f t="shared" si="22"/>
        <v>0</v>
      </c>
      <c r="U95" s="87">
        <f t="shared" si="23"/>
        <v>4.7400139962520946E-2</v>
      </c>
      <c r="V95" s="87">
        <f t="shared" si="24"/>
        <v>3.4368979398776965E-3</v>
      </c>
      <c r="W95" s="120">
        <f t="shared" si="25"/>
        <v>2.2912652932517976E-3</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1.3612244049629287E-3</v>
      </c>
      <c r="J96" s="87">
        <f t="shared" si="18"/>
        <v>9.8699905882714949E-5</v>
      </c>
      <c r="K96" s="120">
        <f t="shared" si="20"/>
        <v>6.5799937255143299E-5</v>
      </c>
      <c r="O96" s="116">
        <f>Amnt_Deposited!B91</f>
        <v>2077</v>
      </c>
      <c r="P96" s="119">
        <f>Amnt_Deposited!D91</f>
        <v>0</v>
      </c>
      <c r="Q96" s="319">
        <f>MCF!R95</f>
        <v>0.8</v>
      </c>
      <c r="R96" s="87">
        <f t="shared" si="19"/>
        <v>0</v>
      </c>
      <c r="S96" s="87">
        <f t="shared" si="21"/>
        <v>0</v>
      </c>
      <c r="T96" s="87">
        <f t="shared" si="22"/>
        <v>0</v>
      </c>
      <c r="U96" s="87">
        <f t="shared" si="23"/>
        <v>4.4195597563731495E-2</v>
      </c>
      <c r="V96" s="87">
        <f t="shared" si="24"/>
        <v>3.2045423987894493E-3</v>
      </c>
      <c r="W96" s="120">
        <f t="shared" si="25"/>
        <v>2.1363615991929659E-3</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1.2691972226925865E-3</v>
      </c>
      <c r="J97" s="87">
        <f t="shared" si="18"/>
        <v>9.2027182270342162E-5</v>
      </c>
      <c r="K97" s="120">
        <f t="shared" si="20"/>
        <v>6.135145484689477E-5</v>
      </c>
      <c r="O97" s="116">
        <f>Amnt_Deposited!B92</f>
        <v>2078</v>
      </c>
      <c r="P97" s="119">
        <f>Amnt_Deposited!D92</f>
        <v>0</v>
      </c>
      <c r="Q97" s="319">
        <f>MCF!R96</f>
        <v>0.8</v>
      </c>
      <c r="R97" s="87">
        <f t="shared" si="19"/>
        <v>0</v>
      </c>
      <c r="S97" s="87">
        <f t="shared" si="21"/>
        <v>0</v>
      </c>
      <c r="T97" s="87">
        <f t="shared" si="22"/>
        <v>0</v>
      </c>
      <c r="U97" s="87">
        <f t="shared" si="23"/>
        <v>4.120770203547363E-2</v>
      </c>
      <c r="V97" s="87">
        <f t="shared" si="24"/>
        <v>2.9878955282578654E-3</v>
      </c>
      <c r="W97" s="120">
        <f t="shared" si="25"/>
        <v>1.99193035217191E-3</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1.1833916466803612E-3</v>
      </c>
      <c r="J98" s="87">
        <f t="shared" si="18"/>
        <v>8.5805576012225272E-5</v>
      </c>
      <c r="K98" s="120">
        <f t="shared" si="20"/>
        <v>5.720371734148351E-5</v>
      </c>
      <c r="O98" s="116">
        <f>Amnt_Deposited!B93</f>
        <v>2079</v>
      </c>
      <c r="P98" s="119">
        <f>Amnt_Deposited!D93</f>
        <v>0</v>
      </c>
      <c r="Q98" s="319">
        <f>MCF!R97</f>
        <v>0.8</v>
      </c>
      <c r="R98" s="87">
        <f t="shared" si="19"/>
        <v>0</v>
      </c>
      <c r="S98" s="87">
        <f t="shared" si="21"/>
        <v>0</v>
      </c>
      <c r="T98" s="87">
        <f t="shared" si="22"/>
        <v>0</v>
      </c>
      <c r="U98" s="87">
        <f t="shared" si="23"/>
        <v>3.8421806710401379E-2</v>
      </c>
      <c r="V98" s="87">
        <f t="shared" si="24"/>
        <v>2.7858953250722521E-3</v>
      </c>
      <c r="W98" s="120">
        <f t="shared" si="25"/>
        <v>1.8572635500481681E-3</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1.1033870578930922E-3</v>
      </c>
      <c r="J99" s="88">
        <f t="shared" si="18"/>
        <v>8.0004588787268929E-5</v>
      </c>
      <c r="K99" s="122">
        <f t="shared" si="20"/>
        <v>5.3336392524845952E-5</v>
      </c>
      <c r="O99" s="117">
        <f>Amnt_Deposited!B94</f>
        <v>2080</v>
      </c>
      <c r="P99" s="121">
        <f>Amnt_Deposited!D94</f>
        <v>0</v>
      </c>
      <c r="Q99" s="320">
        <f>MCF!R98</f>
        <v>0.8</v>
      </c>
      <c r="R99" s="88">
        <f t="shared" si="19"/>
        <v>0</v>
      </c>
      <c r="S99" s="88">
        <f>R99*$W$12</f>
        <v>0</v>
      </c>
      <c r="T99" s="88">
        <f>R99*(1-$W$12)</f>
        <v>0</v>
      </c>
      <c r="U99" s="88">
        <f>S99+U98*$W$10</f>
        <v>3.582425512639914E-2</v>
      </c>
      <c r="V99" s="88">
        <f>U98*(1-$W$10)+T99</f>
        <v>2.5975515840022407E-3</v>
      </c>
      <c r="W99" s="122">
        <f t="shared" si="25"/>
        <v>1.7317010560014938E-3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2.8000000000000001E-2</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3.2226275285820001</v>
      </c>
      <c r="D19" s="451">
        <f>Dry_Matter_Content!E6</f>
        <v>0.44</v>
      </c>
      <c r="E19" s="318">
        <f>MCF!R18</f>
        <v>0.8</v>
      </c>
      <c r="F19" s="150">
        <f t="shared" ref="F19:F82" si="0">C19*D19*$K$6*DOCF*E19</f>
        <v>1.5881108460852097E-2</v>
      </c>
      <c r="G19" s="85">
        <f t="shared" ref="G19:G82" si="1">F19*$K$12</f>
        <v>1.5881108460852097E-2</v>
      </c>
      <c r="H19" s="85">
        <f t="shared" ref="H19:H82" si="2">F19*(1-$K$12)</f>
        <v>0</v>
      </c>
      <c r="I19" s="85">
        <f t="shared" ref="I19:I82" si="3">G19+I18*$K$10</f>
        <v>1.5881108460852097E-2</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3.2639131044299998</v>
      </c>
      <c r="D20" s="453">
        <f>Dry_Matter_Content!E7</f>
        <v>0.44</v>
      </c>
      <c r="E20" s="319">
        <f>MCF!R19</f>
        <v>0.8</v>
      </c>
      <c r="F20" s="87">
        <f t="shared" si="0"/>
        <v>1.6084563778631041E-2</v>
      </c>
      <c r="G20" s="87">
        <f t="shared" si="1"/>
        <v>1.6084563778631041E-2</v>
      </c>
      <c r="H20" s="87">
        <f t="shared" si="2"/>
        <v>0</v>
      </c>
      <c r="I20" s="87">
        <f t="shared" si="3"/>
        <v>2.9482896235603101E-2</v>
      </c>
      <c r="J20" s="87">
        <f t="shared" si="4"/>
        <v>2.4827760038800351E-3</v>
      </c>
      <c r="K20" s="120">
        <f>J20*CH4_fraction*conv</f>
        <v>1.6551840025866901E-3</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3.3374619478200001</v>
      </c>
      <c r="D21" s="453">
        <f>Dry_Matter_Content!E8</f>
        <v>0.44</v>
      </c>
      <c r="E21" s="319">
        <f>MCF!R20</f>
        <v>0.8</v>
      </c>
      <c r="F21" s="87">
        <f t="shared" si="0"/>
        <v>1.6447012478856961E-2</v>
      </c>
      <c r="G21" s="87">
        <f t="shared" si="1"/>
        <v>1.6447012478856961E-2</v>
      </c>
      <c r="H21" s="87">
        <f t="shared" si="2"/>
        <v>0</v>
      </c>
      <c r="I21" s="87">
        <f t="shared" si="3"/>
        <v>4.1320694724197263E-2</v>
      </c>
      <c r="J21" s="87">
        <f t="shared" si="4"/>
        <v>4.6092139902627989E-3</v>
      </c>
      <c r="K21" s="120">
        <f t="shared" ref="K21:K84" si="6">J21*CH4_fraction*conv</f>
        <v>3.0728093268418658E-3</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3.3967842190260003</v>
      </c>
      <c r="D22" s="453">
        <f>Dry_Matter_Content!E9</f>
        <v>0.44</v>
      </c>
      <c r="E22" s="319">
        <f>MCF!R21</f>
        <v>0.8</v>
      </c>
      <c r="F22" s="87">
        <f t="shared" si="0"/>
        <v>1.673935263136013E-2</v>
      </c>
      <c r="G22" s="87">
        <f t="shared" si="1"/>
        <v>1.673935263136013E-2</v>
      </c>
      <c r="H22" s="87">
        <f t="shared" si="2"/>
        <v>0</v>
      </c>
      <c r="I22" s="87">
        <f t="shared" si="3"/>
        <v>5.160016896748517E-2</v>
      </c>
      <c r="J22" s="87">
        <f t="shared" si="4"/>
        <v>6.459878388072219E-3</v>
      </c>
      <c r="K22" s="120">
        <f t="shared" si="6"/>
        <v>4.3065855920481457E-3</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3.4149555757019998</v>
      </c>
      <c r="D23" s="453">
        <f>Dry_Matter_Content!E10</f>
        <v>0.44</v>
      </c>
      <c r="E23" s="319">
        <f>MCF!R22</f>
        <v>0.8</v>
      </c>
      <c r="F23" s="87">
        <f t="shared" si="0"/>
        <v>1.682890107705946E-2</v>
      </c>
      <c r="G23" s="87">
        <f t="shared" si="1"/>
        <v>1.682890107705946E-2</v>
      </c>
      <c r="H23" s="87">
        <f t="shared" si="2"/>
        <v>0</v>
      </c>
      <c r="I23" s="87">
        <f t="shared" si="3"/>
        <v>6.0362148165355248E-2</v>
      </c>
      <c r="J23" s="87">
        <f t="shared" si="4"/>
        <v>8.066921879189384E-3</v>
      </c>
      <c r="K23" s="120">
        <f t="shared" si="6"/>
        <v>5.3779479194595893E-3</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3.78263642262</v>
      </c>
      <c r="D24" s="453">
        <f>Dry_Matter_Content!E11</f>
        <v>0.44</v>
      </c>
      <c r="E24" s="319">
        <f>MCF!R23</f>
        <v>0.8</v>
      </c>
      <c r="F24" s="87">
        <f t="shared" si="0"/>
        <v>1.8640832290671362E-2</v>
      </c>
      <c r="G24" s="87">
        <f t="shared" si="1"/>
        <v>1.8640832290671362E-2</v>
      </c>
      <c r="H24" s="87">
        <f t="shared" si="2"/>
        <v>0</v>
      </c>
      <c r="I24" s="87">
        <f t="shared" si="3"/>
        <v>6.9566252951959534E-2</v>
      </c>
      <c r="J24" s="87">
        <f t="shared" si="4"/>
        <v>9.4367275040670735E-3</v>
      </c>
      <c r="K24" s="120">
        <f t="shared" si="6"/>
        <v>6.2911516693780487E-3</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3.8604469006620001</v>
      </c>
      <c r="D25" s="453">
        <f>Dry_Matter_Content!E12</f>
        <v>0.44</v>
      </c>
      <c r="E25" s="319">
        <f>MCF!R24</f>
        <v>0.8</v>
      </c>
      <c r="F25" s="87">
        <f t="shared" si="0"/>
        <v>1.902428232646234E-2</v>
      </c>
      <c r="G25" s="87">
        <f t="shared" si="1"/>
        <v>1.902428232646234E-2</v>
      </c>
      <c r="H25" s="87">
        <f t="shared" si="2"/>
        <v>0</v>
      </c>
      <c r="I25" s="87">
        <f t="shared" si="3"/>
        <v>7.7714882364474908E-2</v>
      </c>
      <c r="J25" s="87">
        <f t="shared" si="4"/>
        <v>1.0875652913946958E-2</v>
      </c>
      <c r="K25" s="120">
        <f t="shared" si="6"/>
        <v>7.2504352759646378E-3</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3.9381940086720006</v>
      </c>
      <c r="D26" s="453">
        <f>Dry_Matter_Content!E13</f>
        <v>0.44</v>
      </c>
      <c r="E26" s="319">
        <f>MCF!R25</f>
        <v>0.8</v>
      </c>
      <c r="F26" s="87">
        <f t="shared" si="0"/>
        <v>1.9407420074735622E-2</v>
      </c>
      <c r="G26" s="87">
        <f t="shared" si="1"/>
        <v>1.9407420074735622E-2</v>
      </c>
      <c r="H26" s="87">
        <f t="shared" si="2"/>
        <v>0</v>
      </c>
      <c r="I26" s="87">
        <f t="shared" si="3"/>
        <v>8.4972732051569883E-2</v>
      </c>
      <c r="J26" s="87">
        <f t="shared" si="4"/>
        <v>1.2149570387640651E-2</v>
      </c>
      <c r="K26" s="120">
        <f t="shared" si="6"/>
        <v>8.0997135917604338E-3</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4.0154024714099998</v>
      </c>
      <c r="D27" s="453">
        <f>Dry_Matter_Content!E14</f>
        <v>0.44</v>
      </c>
      <c r="E27" s="319">
        <f>MCF!R26</f>
        <v>0.8</v>
      </c>
      <c r="F27" s="87">
        <f t="shared" si="0"/>
        <v>1.978790337910848E-2</v>
      </c>
      <c r="G27" s="87">
        <f t="shared" si="1"/>
        <v>1.978790337910848E-2</v>
      </c>
      <c r="H27" s="87">
        <f t="shared" si="2"/>
        <v>0</v>
      </c>
      <c r="I27" s="87">
        <f t="shared" si="3"/>
        <v>9.1476407781089841E-2</v>
      </c>
      <c r="J27" s="87">
        <f t="shared" si="4"/>
        <v>1.3284227649588523E-2</v>
      </c>
      <c r="K27" s="120">
        <f t="shared" si="6"/>
        <v>8.8561517663923485E-3</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4.0915019585880001</v>
      </c>
      <c r="D28" s="453">
        <f>Dry_Matter_Content!E15</f>
        <v>0.44</v>
      </c>
      <c r="E28" s="319">
        <f>MCF!R27</f>
        <v>0.8</v>
      </c>
      <c r="F28" s="87">
        <f t="shared" si="0"/>
        <v>2.016292165192167E-2</v>
      </c>
      <c r="G28" s="87">
        <f t="shared" si="1"/>
        <v>2.016292165192167E-2</v>
      </c>
      <c r="H28" s="87">
        <f t="shared" si="2"/>
        <v>0</v>
      </c>
      <c r="I28" s="87">
        <f t="shared" si="3"/>
        <v>9.7338348445450834E-2</v>
      </c>
      <c r="J28" s="87">
        <f t="shared" si="4"/>
        <v>1.4300980987560673E-2</v>
      </c>
      <c r="K28" s="120">
        <f t="shared" si="6"/>
        <v>9.5339873250404484E-3</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4.4167248840660012</v>
      </c>
      <c r="D29" s="453">
        <f>Dry_Matter_Content!E16</f>
        <v>0.44</v>
      </c>
      <c r="E29" s="319">
        <f>MCF!R28</f>
        <v>0.8</v>
      </c>
      <c r="F29" s="87">
        <f t="shared" si="0"/>
        <v>2.1765620228677257E-2</v>
      </c>
      <c r="G29" s="87">
        <f t="shared" si="1"/>
        <v>2.1765620228677257E-2</v>
      </c>
      <c r="H29" s="87">
        <f t="shared" si="2"/>
        <v>0</v>
      </c>
      <c r="I29" s="87">
        <f t="shared" si="3"/>
        <v>0.10388656011770342</v>
      </c>
      <c r="J29" s="87">
        <f t="shared" si="4"/>
        <v>1.5217408556424665E-2</v>
      </c>
      <c r="K29" s="120">
        <f t="shared" si="6"/>
        <v>1.0144939037616443E-2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0</v>
      </c>
      <c r="D30" s="453">
        <f>Dry_Matter_Content!E17</f>
        <v>0.44</v>
      </c>
      <c r="E30" s="319">
        <f>MCF!R29</f>
        <v>0.8</v>
      </c>
      <c r="F30" s="87">
        <f t="shared" si="0"/>
        <v>0</v>
      </c>
      <c r="G30" s="87">
        <f t="shared" si="1"/>
        <v>0</v>
      </c>
      <c r="H30" s="87">
        <f t="shared" si="2"/>
        <v>0</v>
      </c>
      <c r="I30" s="87">
        <f t="shared" si="3"/>
        <v>8.7645435688531448E-2</v>
      </c>
      <c r="J30" s="87">
        <f t="shared" si="4"/>
        <v>1.6241124429171975E-2</v>
      </c>
      <c r="K30" s="120">
        <f t="shared" si="6"/>
        <v>1.0827416286114649E-2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0</v>
      </c>
      <c r="D31" s="453">
        <f>Dry_Matter_Content!E18</f>
        <v>0.44</v>
      </c>
      <c r="E31" s="319">
        <f>MCF!R30</f>
        <v>0.8</v>
      </c>
      <c r="F31" s="87">
        <f t="shared" si="0"/>
        <v>0</v>
      </c>
      <c r="G31" s="87">
        <f t="shared" si="1"/>
        <v>0</v>
      </c>
      <c r="H31" s="87">
        <f t="shared" si="2"/>
        <v>0</v>
      </c>
      <c r="I31" s="87">
        <f t="shared" si="3"/>
        <v>7.3943370425675031E-2</v>
      </c>
      <c r="J31" s="87">
        <f t="shared" si="4"/>
        <v>1.3702065262856422E-2</v>
      </c>
      <c r="K31" s="120">
        <f t="shared" si="6"/>
        <v>9.1347101752376134E-3</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0</v>
      </c>
      <c r="D32" s="453">
        <f>Dry_Matter_Content!E19</f>
        <v>0.44</v>
      </c>
      <c r="E32" s="319">
        <f>MCF!R31</f>
        <v>0.8</v>
      </c>
      <c r="F32" s="87">
        <f t="shared" si="0"/>
        <v>0</v>
      </c>
      <c r="G32" s="87">
        <f t="shared" si="1"/>
        <v>0</v>
      </c>
      <c r="H32" s="87">
        <f t="shared" si="2"/>
        <v>0</v>
      </c>
      <c r="I32" s="87">
        <f t="shared" si="3"/>
        <v>6.2383420048695591E-2</v>
      </c>
      <c r="J32" s="87">
        <f t="shared" si="4"/>
        <v>1.1559950376979444E-2</v>
      </c>
      <c r="K32" s="120">
        <f t="shared" si="6"/>
        <v>7.7066335846529624E-3</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0</v>
      </c>
      <c r="D33" s="453">
        <f>Dry_Matter_Content!E20</f>
        <v>0.44</v>
      </c>
      <c r="E33" s="319">
        <f>MCF!R32</f>
        <v>0.8</v>
      </c>
      <c r="F33" s="87">
        <f t="shared" si="0"/>
        <v>0</v>
      </c>
      <c r="G33" s="87">
        <f t="shared" si="1"/>
        <v>0</v>
      </c>
      <c r="H33" s="87">
        <f t="shared" si="2"/>
        <v>0</v>
      </c>
      <c r="I33" s="87">
        <f t="shared" si="3"/>
        <v>5.2630696634037931E-2</v>
      </c>
      <c r="J33" s="87">
        <f t="shared" si="4"/>
        <v>9.7527234146576585E-3</v>
      </c>
      <c r="K33" s="120">
        <f t="shared" si="6"/>
        <v>6.5018156097717723E-3</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0</v>
      </c>
      <c r="D34" s="453">
        <f>Dry_Matter_Content!E21</f>
        <v>0.44</v>
      </c>
      <c r="E34" s="319">
        <f>MCF!R33</f>
        <v>0.8</v>
      </c>
      <c r="F34" s="87">
        <f t="shared" si="0"/>
        <v>0</v>
      </c>
      <c r="G34" s="87">
        <f t="shared" si="1"/>
        <v>0</v>
      </c>
      <c r="H34" s="87">
        <f t="shared" si="2"/>
        <v>0</v>
      </c>
      <c r="I34" s="87">
        <f t="shared" si="3"/>
        <v>4.4402667023095518E-2</v>
      </c>
      <c r="J34" s="87">
        <f t="shared" si="4"/>
        <v>8.2280296109424108E-3</v>
      </c>
      <c r="K34" s="120">
        <f t="shared" si="6"/>
        <v>5.4853530739616069E-3</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0</v>
      </c>
      <c r="D35" s="453">
        <f>Dry_Matter_Content!E22</f>
        <v>0.44</v>
      </c>
      <c r="E35" s="319">
        <f>MCF!R34</f>
        <v>0.8</v>
      </c>
      <c r="F35" s="87">
        <f t="shared" si="0"/>
        <v>0</v>
      </c>
      <c r="G35" s="87">
        <f t="shared" si="1"/>
        <v>0</v>
      </c>
      <c r="H35" s="87">
        <f t="shared" si="2"/>
        <v>0</v>
      </c>
      <c r="I35" s="87">
        <f t="shared" si="3"/>
        <v>3.7460967930430175E-2</v>
      </c>
      <c r="J35" s="87">
        <f t="shared" si="4"/>
        <v>6.9416990926653432E-3</v>
      </c>
      <c r="K35" s="120">
        <f t="shared" si="6"/>
        <v>4.6277993951102285E-3</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0</v>
      </c>
      <c r="D36" s="453">
        <f>Dry_Matter_Content!E23</f>
        <v>0.44</v>
      </c>
      <c r="E36" s="319">
        <f>MCF!R35</f>
        <v>0.8</v>
      </c>
      <c r="F36" s="87">
        <f t="shared" si="0"/>
        <v>0</v>
      </c>
      <c r="G36" s="87">
        <f t="shared" si="1"/>
        <v>0</v>
      </c>
      <c r="H36" s="87">
        <f t="shared" si="2"/>
        <v>0</v>
      </c>
      <c r="I36" s="87">
        <f t="shared" si="3"/>
        <v>3.1604500638549388E-2</v>
      </c>
      <c r="J36" s="87">
        <f t="shared" si="4"/>
        <v>5.8564672918807901E-3</v>
      </c>
      <c r="K36" s="120">
        <f t="shared" si="6"/>
        <v>3.9043115279205265E-3</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0</v>
      </c>
      <c r="D37" s="453">
        <f>Dry_Matter_Content!E24</f>
        <v>0.44</v>
      </c>
      <c r="E37" s="319">
        <f>MCF!R36</f>
        <v>0.8</v>
      </c>
      <c r="F37" s="87">
        <f t="shared" si="0"/>
        <v>0</v>
      </c>
      <c r="G37" s="87">
        <f t="shared" si="1"/>
        <v>0</v>
      </c>
      <c r="H37" s="87">
        <f t="shared" si="2"/>
        <v>0</v>
      </c>
      <c r="I37" s="87">
        <f t="shared" si="3"/>
        <v>2.6663605234842062E-2</v>
      </c>
      <c r="J37" s="87">
        <f t="shared" si="4"/>
        <v>4.940895403707327E-3</v>
      </c>
      <c r="K37" s="120">
        <f t="shared" si="6"/>
        <v>3.2939302691382178E-3</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0</v>
      </c>
      <c r="D38" s="453">
        <f>Dry_Matter_Content!E25</f>
        <v>0.44</v>
      </c>
      <c r="E38" s="319">
        <f>MCF!R37</f>
        <v>0.8</v>
      </c>
      <c r="F38" s="87">
        <f t="shared" si="0"/>
        <v>0</v>
      </c>
      <c r="G38" s="87">
        <f t="shared" si="1"/>
        <v>0</v>
      </c>
      <c r="H38" s="87">
        <f t="shared" si="2"/>
        <v>0</v>
      </c>
      <c r="I38" s="87">
        <f t="shared" si="3"/>
        <v>2.2495145620251403E-2</v>
      </c>
      <c r="J38" s="87">
        <f t="shared" si="4"/>
        <v>4.1684596145906572E-3</v>
      </c>
      <c r="K38" s="120">
        <f t="shared" si="6"/>
        <v>2.7789730763937712E-3</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0</v>
      </c>
      <c r="D39" s="453">
        <f>Dry_Matter_Content!E26</f>
        <v>0.44</v>
      </c>
      <c r="E39" s="319">
        <f>MCF!R38</f>
        <v>0.8</v>
      </c>
      <c r="F39" s="87">
        <f t="shared" si="0"/>
        <v>0</v>
      </c>
      <c r="G39" s="87">
        <f t="shared" si="1"/>
        <v>0</v>
      </c>
      <c r="H39" s="87">
        <f t="shared" si="2"/>
        <v>0</v>
      </c>
      <c r="I39" s="87">
        <f t="shared" si="3"/>
        <v>1.8978362904018345E-2</v>
      </c>
      <c r="J39" s="87">
        <f t="shared" si="4"/>
        <v>3.516782716233059E-3</v>
      </c>
      <c r="K39" s="120">
        <f t="shared" si="6"/>
        <v>2.3445218108220393E-3</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0</v>
      </c>
      <c r="D40" s="453">
        <f>Dry_Matter_Content!E27</f>
        <v>0.44</v>
      </c>
      <c r="E40" s="319">
        <f>MCF!R39</f>
        <v>0.8</v>
      </c>
      <c r="F40" s="87">
        <f t="shared" si="0"/>
        <v>0</v>
      </c>
      <c r="G40" s="87">
        <f t="shared" si="1"/>
        <v>0</v>
      </c>
      <c r="H40" s="87">
        <f t="shared" si="2"/>
        <v>0</v>
      </c>
      <c r="I40" s="87">
        <f t="shared" si="3"/>
        <v>1.6011377058718249E-2</v>
      </c>
      <c r="J40" s="87">
        <f t="shared" si="4"/>
        <v>2.9669858453000961E-3</v>
      </c>
      <c r="K40" s="120">
        <f t="shared" si="6"/>
        <v>1.9779905635333972E-3</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0</v>
      </c>
      <c r="D41" s="453">
        <f>Dry_Matter_Content!E28</f>
        <v>0.44</v>
      </c>
      <c r="E41" s="319">
        <f>MCF!R40</f>
        <v>0.8</v>
      </c>
      <c r="F41" s="87">
        <f t="shared" si="0"/>
        <v>0</v>
      </c>
      <c r="G41" s="87">
        <f t="shared" si="1"/>
        <v>0</v>
      </c>
      <c r="H41" s="87">
        <f t="shared" si="2"/>
        <v>0</v>
      </c>
      <c r="I41" s="87">
        <f t="shared" si="3"/>
        <v>1.3508235489699077E-2</v>
      </c>
      <c r="J41" s="87">
        <f t="shared" si="4"/>
        <v>2.503141569019172E-3</v>
      </c>
      <c r="K41" s="120">
        <f t="shared" si="6"/>
        <v>1.6687610460127812E-3</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0</v>
      </c>
      <c r="D42" s="453">
        <f>Dry_Matter_Content!E29</f>
        <v>0.44</v>
      </c>
      <c r="E42" s="319">
        <f>MCF!R41</f>
        <v>0.8</v>
      </c>
      <c r="F42" s="87">
        <f t="shared" si="0"/>
        <v>0</v>
      </c>
      <c r="G42" s="87">
        <f t="shared" si="1"/>
        <v>0</v>
      </c>
      <c r="H42" s="87">
        <f t="shared" si="2"/>
        <v>0</v>
      </c>
      <c r="I42" s="87">
        <f t="shared" si="3"/>
        <v>1.1396423016957733E-2</v>
      </c>
      <c r="J42" s="87">
        <f t="shared" si="4"/>
        <v>2.1118124727413437E-3</v>
      </c>
      <c r="K42" s="120">
        <f t="shared" si="6"/>
        <v>1.4078749818275623E-3</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0</v>
      </c>
      <c r="D43" s="453">
        <f>Dry_Matter_Content!E30</f>
        <v>0.44</v>
      </c>
      <c r="E43" s="319">
        <f>MCF!R42</f>
        <v>0.8</v>
      </c>
      <c r="F43" s="87">
        <f t="shared" si="0"/>
        <v>0</v>
      </c>
      <c r="G43" s="87">
        <f t="shared" si="1"/>
        <v>0</v>
      </c>
      <c r="H43" s="87">
        <f t="shared" si="2"/>
        <v>0</v>
      </c>
      <c r="I43" s="87">
        <f t="shared" si="3"/>
        <v>9.6147611344564524E-3</v>
      </c>
      <c r="J43" s="87">
        <f t="shared" si="4"/>
        <v>1.7816618825012814E-3</v>
      </c>
      <c r="K43" s="120">
        <f t="shared" si="6"/>
        <v>1.1877745883341875E-3</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0</v>
      </c>
      <c r="D44" s="453">
        <f>Dry_Matter_Content!E31</f>
        <v>0.44</v>
      </c>
      <c r="E44" s="319">
        <f>MCF!R43</f>
        <v>0.8</v>
      </c>
      <c r="F44" s="87">
        <f t="shared" si="0"/>
        <v>0</v>
      </c>
      <c r="G44" s="87">
        <f t="shared" si="1"/>
        <v>0</v>
      </c>
      <c r="H44" s="87">
        <f t="shared" si="2"/>
        <v>0</v>
      </c>
      <c r="I44" s="87">
        <f t="shared" si="3"/>
        <v>8.1116356891192416E-3</v>
      </c>
      <c r="J44" s="87">
        <f t="shared" si="4"/>
        <v>1.5031254453372115E-3</v>
      </c>
      <c r="K44" s="120">
        <f t="shared" si="6"/>
        <v>1.0020836302248076E-3</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0</v>
      </c>
      <c r="D45" s="453">
        <f>Dry_Matter_Content!E32</f>
        <v>0.44</v>
      </c>
      <c r="E45" s="319">
        <f>MCF!R44</f>
        <v>0.8</v>
      </c>
      <c r="F45" s="87">
        <f t="shared" si="0"/>
        <v>0</v>
      </c>
      <c r="G45" s="87">
        <f t="shared" si="1"/>
        <v>0</v>
      </c>
      <c r="H45" s="87">
        <f t="shared" si="2"/>
        <v>0</v>
      </c>
      <c r="I45" s="87">
        <f t="shared" si="3"/>
        <v>6.8435016359574656E-3</v>
      </c>
      <c r="J45" s="87">
        <f t="shared" si="4"/>
        <v>1.2681340531617762E-3</v>
      </c>
      <c r="K45" s="120">
        <f t="shared" si="6"/>
        <v>8.4542270210785078E-4</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0</v>
      </c>
      <c r="D46" s="453">
        <f>Dry_Matter_Content!E33</f>
        <v>0.44</v>
      </c>
      <c r="E46" s="319">
        <f>MCF!R45</f>
        <v>0.8</v>
      </c>
      <c r="F46" s="87">
        <f t="shared" si="0"/>
        <v>0</v>
      </c>
      <c r="G46" s="87">
        <f t="shared" si="1"/>
        <v>0</v>
      </c>
      <c r="H46" s="87">
        <f t="shared" si="2"/>
        <v>0</v>
      </c>
      <c r="I46" s="87">
        <f t="shared" si="3"/>
        <v>5.7736215525771069E-3</v>
      </c>
      <c r="J46" s="87">
        <f t="shared" si="4"/>
        <v>1.0698800833803584E-3</v>
      </c>
      <c r="K46" s="120">
        <f t="shared" si="6"/>
        <v>7.1325338892023896E-4</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0</v>
      </c>
      <c r="D47" s="453">
        <f>Dry_Matter_Content!E34</f>
        <v>0.44</v>
      </c>
      <c r="E47" s="319">
        <f>MCF!R46</f>
        <v>0.8</v>
      </c>
      <c r="F47" s="87">
        <f t="shared" si="0"/>
        <v>0</v>
      </c>
      <c r="G47" s="87">
        <f t="shared" si="1"/>
        <v>0</v>
      </c>
      <c r="H47" s="87">
        <f t="shared" si="2"/>
        <v>0</v>
      </c>
      <c r="I47" s="87">
        <f t="shared" si="3"/>
        <v>4.8710013682518932E-3</v>
      </c>
      <c r="J47" s="87">
        <f t="shared" si="4"/>
        <v>9.0262018432521387E-4</v>
      </c>
      <c r="K47" s="120">
        <f t="shared" si="6"/>
        <v>6.0174678955014251E-4</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0</v>
      </c>
      <c r="D48" s="453">
        <f>Dry_Matter_Content!E35</f>
        <v>0.44</v>
      </c>
      <c r="E48" s="319">
        <f>MCF!R47</f>
        <v>0.8</v>
      </c>
      <c r="F48" s="87">
        <f t="shared" si="0"/>
        <v>0</v>
      </c>
      <c r="G48" s="87">
        <f t="shared" si="1"/>
        <v>0</v>
      </c>
      <c r="H48" s="87">
        <f t="shared" si="2"/>
        <v>0</v>
      </c>
      <c r="I48" s="87">
        <f t="shared" si="3"/>
        <v>4.1094924759869679E-3</v>
      </c>
      <c r="J48" s="87">
        <f t="shared" si="4"/>
        <v>7.6150889226492562E-4</v>
      </c>
      <c r="K48" s="120">
        <f t="shared" si="6"/>
        <v>5.0767259484328371E-4</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0</v>
      </c>
      <c r="D49" s="453">
        <f>Dry_Matter_Content!E36</f>
        <v>0.44</v>
      </c>
      <c r="E49" s="319">
        <f>MCF!R48</f>
        <v>0.8</v>
      </c>
      <c r="F49" s="87">
        <f t="shared" si="0"/>
        <v>0</v>
      </c>
      <c r="G49" s="87">
        <f t="shared" si="1"/>
        <v>0</v>
      </c>
      <c r="H49" s="87">
        <f t="shared" si="2"/>
        <v>0</v>
      </c>
      <c r="I49" s="87">
        <f t="shared" si="3"/>
        <v>3.467034216057764E-3</v>
      </c>
      <c r="J49" s="87">
        <f t="shared" si="4"/>
        <v>6.4245825992920386E-4</v>
      </c>
      <c r="K49" s="120">
        <f t="shared" si="6"/>
        <v>4.2830550661946922E-4</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2.9250147860237605E-3</v>
      </c>
      <c r="J50" s="87">
        <f t="shared" si="4"/>
        <v>5.4201943003400355E-4</v>
      </c>
      <c r="K50" s="120">
        <f t="shared" si="6"/>
        <v>3.613462866893357E-4</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2.4677320629924466E-3</v>
      </c>
      <c r="J51" s="87">
        <f t="shared" si="4"/>
        <v>4.5728272303131406E-4</v>
      </c>
      <c r="K51" s="120">
        <f t="shared" si="6"/>
        <v>3.0485514868754267E-4</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2.0819387183335382E-3</v>
      </c>
      <c r="J52" s="87">
        <f t="shared" si="4"/>
        <v>3.8579334465890856E-4</v>
      </c>
      <c r="K52" s="120">
        <f t="shared" si="6"/>
        <v>2.5719556310593904E-4</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1.7564584469677747E-3</v>
      </c>
      <c r="J53" s="87">
        <f t="shared" si="4"/>
        <v>3.2548027136576353E-4</v>
      </c>
      <c r="K53" s="120">
        <f t="shared" si="6"/>
        <v>2.1698684757717567E-4</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1.4818621935202365E-3</v>
      </c>
      <c r="J54" s="87">
        <f t="shared" si="4"/>
        <v>2.7459625344753807E-4</v>
      </c>
      <c r="K54" s="120">
        <f t="shared" si="6"/>
        <v>1.8306416896502538E-4</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1.2501949957173652E-3</v>
      </c>
      <c r="J55" s="87">
        <f t="shared" si="4"/>
        <v>2.3166719780287132E-4</v>
      </c>
      <c r="K55" s="120">
        <f t="shared" si="6"/>
        <v>1.5444479853524753E-4</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1.0547455317716076E-3</v>
      </c>
      <c r="J56" s="87">
        <f t="shared" si="4"/>
        <v>1.9544946394575756E-4</v>
      </c>
      <c r="K56" s="120">
        <f t="shared" si="6"/>
        <v>1.3029964263050502E-4</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8.8985169561794854E-4</v>
      </c>
      <c r="J57" s="87">
        <f t="shared" si="4"/>
        <v>1.6489383615365908E-4</v>
      </c>
      <c r="K57" s="120">
        <f t="shared" si="6"/>
        <v>1.0992922410243939E-4</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7.5073656758149765E-4</v>
      </c>
      <c r="J58" s="87">
        <f t="shared" si="4"/>
        <v>1.3911512803645092E-4</v>
      </c>
      <c r="K58" s="120">
        <f t="shared" si="6"/>
        <v>9.2743418690967275E-5</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6.3337002860084279E-4</v>
      </c>
      <c r="J59" s="87">
        <f t="shared" si="4"/>
        <v>1.1736653898065481E-4</v>
      </c>
      <c r="K59" s="120">
        <f t="shared" si="6"/>
        <v>7.8244359320436542E-5</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5.3435200901717631E-4</v>
      </c>
      <c r="J60" s="87">
        <f t="shared" si="4"/>
        <v>9.9018019583666455E-5</v>
      </c>
      <c r="K60" s="120">
        <f t="shared" si="6"/>
        <v>6.6012013055777628E-5</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4.5081398968538523E-4</v>
      </c>
      <c r="J61" s="87">
        <f t="shared" si="4"/>
        <v>8.353801933179109E-5</v>
      </c>
      <c r="K61" s="120">
        <f t="shared" si="6"/>
        <v>5.5692012887860722E-5</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3.8033590192700453E-4</v>
      </c>
      <c r="J62" s="87">
        <f t="shared" si="4"/>
        <v>7.047808775838068E-5</v>
      </c>
      <c r="K62" s="120">
        <f t="shared" si="6"/>
        <v>4.6985391838920453E-5</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3.2087601894426645E-4</v>
      </c>
      <c r="J63" s="87">
        <f t="shared" si="4"/>
        <v>5.9459882982738075E-5</v>
      </c>
      <c r="K63" s="120">
        <f t="shared" si="6"/>
        <v>3.9639921988492048E-5</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2.7071180767279228E-4</v>
      </c>
      <c r="J64" s="87">
        <f t="shared" si="4"/>
        <v>5.0164211271474154E-5</v>
      </c>
      <c r="K64" s="120">
        <f t="shared" si="6"/>
        <v>3.3442807514316098E-5</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2.2839002757074181E-4</v>
      </c>
      <c r="J65" s="87">
        <f t="shared" si="4"/>
        <v>4.2321780102050486E-5</v>
      </c>
      <c r="K65" s="120">
        <f t="shared" si="6"/>
        <v>2.8214520068033656E-5</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1.926846307229129E-4</v>
      </c>
      <c r="J66" s="87">
        <f t="shared" si="4"/>
        <v>3.5705396847828902E-5</v>
      </c>
      <c r="K66" s="120">
        <f t="shared" si="6"/>
        <v>2.38035978985526E-5</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1.6256124363978823E-4</v>
      </c>
      <c r="J67" s="87">
        <f t="shared" si="4"/>
        <v>3.0123387083124667E-5</v>
      </c>
      <c r="K67" s="120">
        <f t="shared" si="6"/>
        <v>2.0082258055416444E-5</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1.3714720180104198E-4</v>
      </c>
      <c r="J68" s="87">
        <f t="shared" si="4"/>
        <v>2.5414041838746244E-5</v>
      </c>
      <c r="K68" s="120">
        <f t="shared" si="6"/>
        <v>1.6942694559164162E-5</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1.1570626885418331E-4</v>
      </c>
      <c r="J69" s="87">
        <f t="shared" si="4"/>
        <v>2.1440932946858671E-5</v>
      </c>
      <c r="K69" s="120">
        <f t="shared" si="6"/>
        <v>1.429395529790578E-5</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9.7617308091916424E-5</v>
      </c>
      <c r="J70" s="87">
        <f t="shared" si="4"/>
        <v>1.8088960762266884E-5</v>
      </c>
      <c r="K70" s="120">
        <f t="shared" si="6"/>
        <v>1.2059307174844589E-5</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8.2356288327999357E-5</v>
      </c>
      <c r="J71" s="87">
        <f t="shared" si="4"/>
        <v>1.5261019763917071E-5</v>
      </c>
      <c r="K71" s="120">
        <f t="shared" si="6"/>
        <v>1.0174013175944713E-5</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6.9481102887800474E-5</v>
      </c>
      <c r="J72" s="87">
        <f t="shared" si="4"/>
        <v>1.2875185440198883E-5</v>
      </c>
      <c r="K72" s="120">
        <f t="shared" si="6"/>
        <v>8.5834569601325876E-6</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5.8618761924750655E-5</v>
      </c>
      <c r="J73" s="87">
        <f t="shared" si="4"/>
        <v>1.0862340963049821E-5</v>
      </c>
      <c r="K73" s="120">
        <f t="shared" si="6"/>
        <v>7.2415606420332134E-6</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4.9454587028351843E-5</v>
      </c>
      <c r="J74" s="87">
        <f t="shared" si="4"/>
        <v>9.1641748963988135E-6</v>
      </c>
      <c r="K74" s="120">
        <f t="shared" si="6"/>
        <v>6.1094499309325417E-6</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4.1723095095124355E-5</v>
      </c>
      <c r="J75" s="87">
        <f t="shared" si="4"/>
        <v>7.7314919332274883E-6</v>
      </c>
      <c r="K75" s="120">
        <f t="shared" si="6"/>
        <v>5.1543279554849922E-6</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3.5200307371261563E-5</v>
      </c>
      <c r="J76" s="87">
        <f t="shared" si="4"/>
        <v>6.5227877238627895E-6</v>
      </c>
      <c r="K76" s="120">
        <f t="shared" si="6"/>
        <v>4.3485251492418597E-6</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2.9697260862511721E-5</v>
      </c>
      <c r="J77" s="87">
        <f t="shared" si="4"/>
        <v>5.5030465087498429E-6</v>
      </c>
      <c r="K77" s="120">
        <f t="shared" si="6"/>
        <v>3.6686976724998953E-6</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2.5054534138985915E-5</v>
      </c>
      <c r="J78" s="87">
        <f t="shared" si="4"/>
        <v>4.642726723525806E-6</v>
      </c>
      <c r="K78" s="120">
        <f t="shared" si="6"/>
        <v>3.0951511490172038E-6</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2.1137628949275386E-5</v>
      </c>
      <c r="J79" s="87">
        <f t="shared" si="4"/>
        <v>3.9169051897105283E-6</v>
      </c>
      <c r="K79" s="120">
        <f t="shared" si="6"/>
        <v>2.6112701264736855E-6</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1.7833073850772828E-5</v>
      </c>
      <c r="J80" s="87">
        <f t="shared" si="4"/>
        <v>3.3045550985025566E-6</v>
      </c>
      <c r="K80" s="120">
        <f t="shared" si="6"/>
        <v>2.2030367323350377E-6</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1.5045136979662025E-5</v>
      </c>
      <c r="J81" s="87">
        <f t="shared" si="4"/>
        <v>2.7879368711108038E-6</v>
      </c>
      <c r="K81" s="120">
        <f t="shared" si="6"/>
        <v>1.8586245807405358E-6</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1.2693052730614033E-5</v>
      </c>
      <c r="J82" s="87">
        <f t="shared" si="4"/>
        <v>2.3520842490479923E-6</v>
      </c>
      <c r="K82" s="120">
        <f t="shared" si="6"/>
        <v>1.5680561660319949E-6</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1.0708682004021715E-5</v>
      </c>
      <c r="J83" s="87">
        <f t="shared" ref="J83:J99" si="16">I82*(1-$K$10)+H83</f>
        <v>1.9843707265923173E-6</v>
      </c>
      <c r="K83" s="120">
        <f t="shared" si="6"/>
        <v>1.3229138177282115E-6</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9.0345382389119738E-6</v>
      </c>
      <c r="J84" s="87">
        <f t="shared" si="16"/>
        <v>1.6741437651097401E-6</v>
      </c>
      <c r="K84" s="120">
        <f t="shared" si="6"/>
        <v>1.1160958434064933E-6</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7.6221220463646858E-6</v>
      </c>
      <c r="J85" s="87">
        <f t="shared" si="16"/>
        <v>1.412416192547288E-6</v>
      </c>
      <c r="K85" s="120">
        <f t="shared" ref="K85:K99" si="18">J85*CH4_fraction*conv</f>
        <v>9.4161079503152529E-7</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6.4305161983215153E-6</v>
      </c>
      <c r="J86" s="87">
        <f t="shared" si="16"/>
        <v>1.1916058480431703E-6</v>
      </c>
      <c r="K86" s="120">
        <f t="shared" si="18"/>
        <v>7.9440389869544679E-7</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5.4252002690769955E-6</v>
      </c>
      <c r="J87" s="87">
        <f t="shared" si="16"/>
        <v>1.0053159292445196E-6</v>
      </c>
      <c r="K87" s="120">
        <f t="shared" si="18"/>
        <v>6.7021061949634631E-7</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4.5770505900094947E-6</v>
      </c>
      <c r="J88" s="87">
        <f t="shared" si="16"/>
        <v>8.4814967906750057E-7</v>
      </c>
      <c r="K88" s="120">
        <f t="shared" si="18"/>
        <v>5.6543311937833371E-7</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3.86149654657273E-6</v>
      </c>
      <c r="J89" s="87">
        <f t="shared" si="16"/>
        <v>7.1555404343676452E-7</v>
      </c>
      <c r="K89" s="120">
        <f t="shared" si="18"/>
        <v>4.7703602895784294E-7</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3.2578087757518511E-6</v>
      </c>
      <c r="J90" s="87">
        <f t="shared" si="16"/>
        <v>6.0368777082087873E-7</v>
      </c>
      <c r="K90" s="120">
        <f t="shared" si="18"/>
        <v>4.024585138805858E-7</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2.7484986433007749E-6</v>
      </c>
      <c r="J91" s="87">
        <f t="shared" si="16"/>
        <v>5.0931013245107633E-7</v>
      </c>
      <c r="K91" s="120">
        <f t="shared" si="18"/>
        <v>3.3954008830071754E-7</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2.3188116038157575E-6</v>
      </c>
      <c r="J92" s="87">
        <f t="shared" si="16"/>
        <v>4.2968703948501719E-7</v>
      </c>
      <c r="K92" s="120">
        <f t="shared" si="18"/>
        <v>2.8645802632334479E-7</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1.9562997664547872E-6</v>
      </c>
      <c r="J93" s="87">
        <f t="shared" si="16"/>
        <v>3.6251183736097011E-7</v>
      </c>
      <c r="K93" s="120">
        <f t="shared" si="18"/>
        <v>2.416745582406467E-7</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1.6504612836736264E-6</v>
      </c>
      <c r="J94" s="87">
        <f t="shared" si="16"/>
        <v>3.0583848278116088E-7</v>
      </c>
      <c r="K94" s="120">
        <f t="shared" si="18"/>
        <v>2.0389232185410724E-7</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1.392436116189942E-6</v>
      </c>
      <c r="J95" s="87">
        <f t="shared" si="16"/>
        <v>2.5802516748368438E-7</v>
      </c>
      <c r="K95" s="120">
        <f t="shared" si="18"/>
        <v>1.7201677832245624E-7</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1.1747493605875682E-6</v>
      </c>
      <c r="J96" s="87">
        <f t="shared" si="16"/>
        <v>2.1768675560237375E-7</v>
      </c>
      <c r="K96" s="120">
        <f t="shared" si="18"/>
        <v>1.4512450373491582E-7</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9.9109470384682974E-7</v>
      </c>
      <c r="J97" s="87">
        <f t="shared" si="16"/>
        <v>1.8365465674073845E-7</v>
      </c>
      <c r="K97" s="120">
        <f t="shared" si="18"/>
        <v>1.2243643782715896E-7</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8.3615173155058281E-7</v>
      </c>
      <c r="J98" s="87">
        <f t="shared" si="16"/>
        <v>1.5494297229624691E-7</v>
      </c>
      <c r="K98" s="120">
        <f t="shared" si="18"/>
        <v>1.032953148641646E-7</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7.0543179724537114E-7</v>
      </c>
      <c r="J99" s="88">
        <f t="shared" si="16"/>
        <v>1.3071993430521169E-7</v>
      </c>
      <c r="K99" s="122">
        <f t="shared" si="18"/>
        <v>8.7146622870141129E-8</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2.5000000000000001E-2</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2.5000000000000001E-2</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5.0000000000000001E-3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0.20313838896119998</v>
      </c>
      <c r="D19" s="451">
        <f>Dry_Matter_Content!H6</f>
        <v>0.73</v>
      </c>
      <c r="E19" s="318">
        <f>MCF!R18</f>
        <v>0.8</v>
      </c>
      <c r="F19" s="150">
        <f t="shared" ref="F19:F50" si="0">C19*D19*$K$6*DOCF*E19</f>
        <v>2.96582047883352E-4</v>
      </c>
      <c r="G19" s="85">
        <f t="shared" ref="G19:G82" si="1">F19*$K$12</f>
        <v>2.96582047883352E-4</v>
      </c>
      <c r="H19" s="85">
        <f t="shared" ref="H19:H82" si="2">F19*(1-$K$12)</f>
        <v>0</v>
      </c>
      <c r="I19" s="85">
        <f t="shared" ref="I19:I82" si="3">G19+I18*$K$10</f>
        <v>2.96582047883352E-4</v>
      </c>
      <c r="J19" s="85">
        <f t="shared" ref="J19:J82" si="4">I18*(1-$K$10)+H19</f>
        <v>0</v>
      </c>
      <c r="K19" s="86">
        <f>J19*CH4_fraction*conv</f>
        <v>0</v>
      </c>
      <c r="O19" s="115">
        <f>Amnt_Deposited!B14</f>
        <v>2000</v>
      </c>
      <c r="P19" s="118">
        <f>Amnt_Deposited!H14</f>
        <v>0.20313838896119998</v>
      </c>
      <c r="Q19" s="318">
        <f>MCF!R18</f>
        <v>0.8</v>
      </c>
      <c r="R19" s="150">
        <f t="shared" ref="R19:R50" si="5">P19*$W$6*DOCF*Q19</f>
        <v>1.9501285340275201E-2</v>
      </c>
      <c r="S19" s="85">
        <f>R19*$W$12</f>
        <v>1.9501285340275201E-2</v>
      </c>
      <c r="T19" s="85">
        <f>R19*(1-$W$12)</f>
        <v>0</v>
      </c>
      <c r="U19" s="85">
        <f>S19+U18*$W$10</f>
        <v>1.9501285340275201E-2</v>
      </c>
      <c r="V19" s="85">
        <f>U18*(1-$W$10)+T19</f>
        <v>0</v>
      </c>
      <c r="W19" s="86">
        <f>V19*CH4_fraction*conv</f>
        <v>0</v>
      </c>
    </row>
    <row r="20" spans="2:23">
      <c r="B20" s="116">
        <f>Amnt_Deposited!B15</f>
        <v>2001</v>
      </c>
      <c r="C20" s="119">
        <f>Amnt_Deposited!H15</f>
        <v>0.20574082603799998</v>
      </c>
      <c r="D20" s="453">
        <f>Dry_Matter_Content!H7</f>
        <v>0.73</v>
      </c>
      <c r="E20" s="319">
        <f>MCF!R19</f>
        <v>0.8</v>
      </c>
      <c r="F20" s="87">
        <f t="shared" si="0"/>
        <v>3.0038160601548E-4</v>
      </c>
      <c r="G20" s="87">
        <f t="shared" si="1"/>
        <v>3.0038160601548E-4</v>
      </c>
      <c r="H20" s="87">
        <f t="shared" si="2"/>
        <v>0</v>
      </c>
      <c r="I20" s="87">
        <f t="shared" si="3"/>
        <v>5.7691287455696738E-4</v>
      </c>
      <c r="J20" s="87">
        <f t="shared" si="4"/>
        <v>2.0050779341864568E-5</v>
      </c>
      <c r="K20" s="120">
        <f>J20*CH4_fraction*conv</f>
        <v>1.3367186227909711E-5</v>
      </c>
      <c r="M20" s="428"/>
      <c r="O20" s="116">
        <f>Amnt_Deposited!B15</f>
        <v>2001</v>
      </c>
      <c r="P20" s="119">
        <f>Amnt_Deposited!H15</f>
        <v>0.20574082603799998</v>
      </c>
      <c r="Q20" s="319">
        <f>MCF!R19</f>
        <v>0.8</v>
      </c>
      <c r="R20" s="87">
        <f t="shared" si="5"/>
        <v>1.9751119299647998E-2</v>
      </c>
      <c r="S20" s="87">
        <f>R20*$W$12</f>
        <v>1.9751119299647998E-2</v>
      </c>
      <c r="T20" s="87">
        <f>R20*(1-$W$12)</f>
        <v>0</v>
      </c>
      <c r="U20" s="87">
        <f>S20+U19*$W$10</f>
        <v>3.793399723114306E-2</v>
      </c>
      <c r="V20" s="87">
        <f>U19*(1-$W$10)+T20</f>
        <v>1.318407408780136E-3</v>
      </c>
      <c r="W20" s="120">
        <f>V20*CH4_fraction*conv</f>
        <v>8.7893827252009059E-4</v>
      </c>
    </row>
    <row r="21" spans="2:23">
      <c r="B21" s="116">
        <f>Amnt_Deposited!B16</f>
        <v>2002</v>
      </c>
      <c r="C21" s="119">
        <f>Amnt_Deposited!H16</f>
        <v>0.21037697881199999</v>
      </c>
      <c r="D21" s="453">
        <f>Dry_Matter_Content!H8</f>
        <v>0.73</v>
      </c>
      <c r="E21" s="319">
        <f>MCF!R20</f>
        <v>0.8</v>
      </c>
      <c r="F21" s="87">
        <f t="shared" si="0"/>
        <v>3.0715038906551999E-4</v>
      </c>
      <c r="G21" s="87">
        <f t="shared" si="1"/>
        <v>3.0715038906551999E-4</v>
      </c>
      <c r="H21" s="87">
        <f t="shared" si="2"/>
        <v>0</v>
      </c>
      <c r="I21" s="87">
        <f t="shared" si="3"/>
        <v>8.4506038792661197E-4</v>
      </c>
      <c r="J21" s="87">
        <f t="shared" si="4"/>
        <v>3.9002875695875409E-5</v>
      </c>
      <c r="K21" s="120">
        <f t="shared" ref="K21:K84" si="6">J21*CH4_fraction*conv</f>
        <v>2.6001917130583606E-5</v>
      </c>
      <c r="O21" s="116">
        <f>Amnt_Deposited!B16</f>
        <v>2002</v>
      </c>
      <c r="P21" s="119">
        <f>Amnt_Deposited!H16</f>
        <v>0.21037697881199999</v>
      </c>
      <c r="Q21" s="319">
        <f>MCF!R20</f>
        <v>0.8</v>
      </c>
      <c r="R21" s="87">
        <f t="shared" si="5"/>
        <v>2.0196189965951999E-2</v>
      </c>
      <c r="S21" s="87">
        <f t="shared" ref="S21:S84" si="7">R21*$W$12</f>
        <v>2.0196189965951999E-2</v>
      </c>
      <c r="T21" s="87">
        <f t="shared" ref="T21:T84" si="8">R21*(1-$W$12)</f>
        <v>0</v>
      </c>
      <c r="U21" s="87">
        <f t="shared" ref="U21:U84" si="9">S21+U20*$W$10</f>
        <v>5.5565614548599138E-2</v>
      </c>
      <c r="V21" s="87">
        <f t="shared" ref="V21:V84" si="10">U20*(1-$W$10)+T21</f>
        <v>2.5645726484959173E-3</v>
      </c>
      <c r="W21" s="120">
        <f t="shared" ref="W21:W84" si="11">V21*CH4_fraction*conv</f>
        <v>1.7097150989972781E-3</v>
      </c>
    </row>
    <row r="22" spans="2:23">
      <c r="B22" s="116">
        <f>Amnt_Deposited!B17</f>
        <v>2003</v>
      </c>
      <c r="C22" s="119">
        <f>Amnt_Deposited!H17</f>
        <v>0.2141163593316</v>
      </c>
      <c r="D22" s="453">
        <f>Dry_Matter_Content!H9</f>
        <v>0.73</v>
      </c>
      <c r="E22" s="319">
        <f>MCF!R21</f>
        <v>0.8</v>
      </c>
      <c r="F22" s="87">
        <f t="shared" si="0"/>
        <v>3.1260988462413603E-4</v>
      </c>
      <c r="G22" s="87">
        <f t="shared" si="1"/>
        <v>3.1260988462413603E-4</v>
      </c>
      <c r="H22" s="87">
        <f t="shared" si="2"/>
        <v>0</v>
      </c>
      <c r="I22" s="87">
        <f t="shared" si="3"/>
        <v>1.1005389677742321E-3</v>
      </c>
      <c r="J22" s="87">
        <f t="shared" si="4"/>
        <v>5.7131304776515744E-5</v>
      </c>
      <c r="K22" s="120">
        <f t="shared" si="6"/>
        <v>3.8087536517677158E-5</v>
      </c>
      <c r="N22" s="290"/>
      <c r="O22" s="116">
        <f>Amnt_Deposited!B17</f>
        <v>2003</v>
      </c>
      <c r="P22" s="119">
        <f>Amnt_Deposited!H17</f>
        <v>0.2141163593316</v>
      </c>
      <c r="Q22" s="319">
        <f>MCF!R21</f>
        <v>0.8</v>
      </c>
      <c r="R22" s="87">
        <f t="shared" si="5"/>
        <v>2.0555170495833601E-2</v>
      </c>
      <c r="S22" s="87">
        <f t="shared" si="7"/>
        <v>2.0555170495833601E-2</v>
      </c>
      <c r="T22" s="87">
        <f t="shared" si="8"/>
        <v>0</v>
      </c>
      <c r="U22" s="87">
        <f t="shared" si="9"/>
        <v>7.2364206100223483E-2</v>
      </c>
      <c r="V22" s="87">
        <f t="shared" si="10"/>
        <v>3.7565789442092542E-3</v>
      </c>
      <c r="W22" s="120">
        <f t="shared" si="11"/>
        <v>2.5043859628061695E-3</v>
      </c>
    </row>
    <row r="23" spans="2:23">
      <c r="B23" s="116">
        <f>Amnt_Deposited!B18</f>
        <v>2004</v>
      </c>
      <c r="C23" s="119">
        <f>Amnt_Deposited!H18</f>
        <v>0.21526179115319999</v>
      </c>
      <c r="D23" s="453">
        <f>Dry_Matter_Content!H10</f>
        <v>0.73</v>
      </c>
      <c r="E23" s="319">
        <f>MCF!R22</f>
        <v>0.8</v>
      </c>
      <c r="F23" s="87">
        <f t="shared" si="0"/>
        <v>3.1428221508367199E-4</v>
      </c>
      <c r="G23" s="87">
        <f t="shared" si="1"/>
        <v>3.1428221508367199E-4</v>
      </c>
      <c r="H23" s="87">
        <f t="shared" si="2"/>
        <v>0</v>
      </c>
      <c r="I23" s="87">
        <f t="shared" si="3"/>
        <v>1.3404179472020375E-3</v>
      </c>
      <c r="J23" s="87">
        <f t="shared" si="4"/>
        <v>7.4403235655866524E-5</v>
      </c>
      <c r="K23" s="120">
        <f t="shared" si="6"/>
        <v>4.9602157103911014E-5</v>
      </c>
      <c r="N23" s="290"/>
      <c r="O23" s="116">
        <f>Amnt_Deposited!B18</f>
        <v>2004</v>
      </c>
      <c r="P23" s="119">
        <f>Amnt_Deposited!H18</f>
        <v>0.21526179115319999</v>
      </c>
      <c r="Q23" s="319">
        <f>MCF!R22</f>
        <v>0.8</v>
      </c>
      <c r="R23" s="87">
        <f t="shared" si="5"/>
        <v>2.0665131950707197E-2</v>
      </c>
      <c r="S23" s="87">
        <f t="shared" si="7"/>
        <v>2.0665131950707197E-2</v>
      </c>
      <c r="T23" s="87">
        <f t="shared" si="8"/>
        <v>0</v>
      </c>
      <c r="U23" s="87">
        <f t="shared" si="9"/>
        <v>8.81370705009559E-2</v>
      </c>
      <c r="V23" s="87">
        <f t="shared" si="10"/>
        <v>4.892267549974785E-3</v>
      </c>
      <c r="W23" s="120">
        <f t="shared" si="11"/>
        <v>3.2615116999831898E-3</v>
      </c>
    </row>
    <row r="24" spans="2:23">
      <c r="B24" s="116">
        <f>Amnt_Deposited!B19</f>
        <v>2005</v>
      </c>
      <c r="C24" s="119">
        <f>Amnt_Deposited!H19</f>
        <v>0.23843856049199999</v>
      </c>
      <c r="D24" s="453">
        <f>Dry_Matter_Content!H11</f>
        <v>0.73</v>
      </c>
      <c r="E24" s="319">
        <f>MCF!R23</f>
        <v>0.8</v>
      </c>
      <c r="F24" s="87">
        <f t="shared" si="0"/>
        <v>3.4812029831832002E-4</v>
      </c>
      <c r="G24" s="87">
        <f t="shared" si="1"/>
        <v>3.4812029831832002E-4</v>
      </c>
      <c r="H24" s="87">
        <f t="shared" si="2"/>
        <v>0</v>
      </c>
      <c r="I24" s="87">
        <f t="shared" si="3"/>
        <v>1.5979177083805176E-3</v>
      </c>
      <c r="J24" s="87">
        <f t="shared" si="4"/>
        <v>9.0620537139840063E-5</v>
      </c>
      <c r="K24" s="120">
        <f t="shared" si="6"/>
        <v>6.0413691426560042E-5</v>
      </c>
      <c r="N24" s="290"/>
      <c r="O24" s="116">
        <f>Amnt_Deposited!B19</f>
        <v>2005</v>
      </c>
      <c r="P24" s="119">
        <f>Amnt_Deposited!H19</f>
        <v>0.23843856049199999</v>
      </c>
      <c r="Q24" s="319">
        <f>MCF!R23</f>
        <v>0.8</v>
      </c>
      <c r="R24" s="87">
        <f t="shared" si="5"/>
        <v>2.2890101807231999E-2</v>
      </c>
      <c r="S24" s="87">
        <f t="shared" si="7"/>
        <v>2.2890101807231999E-2</v>
      </c>
      <c r="T24" s="87">
        <f t="shared" si="8"/>
        <v>0</v>
      </c>
      <c r="U24" s="87">
        <f t="shared" si="9"/>
        <v>0.10506856164693815</v>
      </c>
      <c r="V24" s="87">
        <f t="shared" si="10"/>
        <v>5.9586106612497585E-3</v>
      </c>
      <c r="W24" s="120">
        <f t="shared" si="11"/>
        <v>3.9724071074998387E-3</v>
      </c>
    </row>
    <row r="25" spans="2:23">
      <c r="B25" s="116">
        <f>Amnt_Deposited!B20</f>
        <v>2006</v>
      </c>
      <c r="C25" s="119">
        <f>Amnt_Deposited!H20</f>
        <v>0.2433433454892</v>
      </c>
      <c r="D25" s="453">
        <f>Dry_Matter_Content!H12</f>
        <v>0.73</v>
      </c>
      <c r="E25" s="319">
        <f>MCF!R24</f>
        <v>0.8</v>
      </c>
      <c r="F25" s="87">
        <f t="shared" si="0"/>
        <v>3.5528128441423201E-4</v>
      </c>
      <c r="G25" s="87">
        <f t="shared" si="1"/>
        <v>3.5528128441423201E-4</v>
      </c>
      <c r="H25" s="87">
        <f t="shared" si="2"/>
        <v>0</v>
      </c>
      <c r="I25" s="87">
        <f t="shared" si="3"/>
        <v>1.8451698804265019E-3</v>
      </c>
      <c r="J25" s="87">
        <f t="shared" si="4"/>
        <v>1.080291123682477E-4</v>
      </c>
      <c r="K25" s="120">
        <f t="shared" si="6"/>
        <v>7.2019408245498458E-5</v>
      </c>
      <c r="N25" s="290"/>
      <c r="O25" s="116">
        <f>Amnt_Deposited!B20</f>
        <v>2006</v>
      </c>
      <c r="P25" s="119">
        <f>Amnt_Deposited!H20</f>
        <v>0.2433433454892</v>
      </c>
      <c r="Q25" s="319">
        <f>MCF!R24</f>
        <v>0.8</v>
      </c>
      <c r="R25" s="87">
        <f t="shared" si="5"/>
        <v>2.33609611669632E-2</v>
      </c>
      <c r="S25" s="87">
        <f t="shared" si="7"/>
        <v>2.33609611669632E-2</v>
      </c>
      <c r="T25" s="87">
        <f t="shared" si="8"/>
        <v>0</v>
      </c>
      <c r="U25" s="87">
        <f t="shared" si="9"/>
        <v>0.12132623871297546</v>
      </c>
      <c r="V25" s="87">
        <f t="shared" si="10"/>
        <v>7.1032841009258767E-3</v>
      </c>
      <c r="W25" s="120">
        <f t="shared" si="11"/>
        <v>4.7355227339505842E-3</v>
      </c>
    </row>
    <row r="26" spans="2:23">
      <c r="B26" s="116">
        <f>Amnt_Deposited!B21</f>
        <v>2007</v>
      </c>
      <c r="C26" s="119">
        <f>Amnt_Deposited!H21</f>
        <v>0.24824413595520001</v>
      </c>
      <c r="D26" s="453">
        <f>Dry_Matter_Content!H13</f>
        <v>0.73</v>
      </c>
      <c r="E26" s="319">
        <f>MCF!R25</f>
        <v>0.8</v>
      </c>
      <c r="F26" s="87">
        <f t="shared" si="0"/>
        <v>3.6243643849459203E-4</v>
      </c>
      <c r="G26" s="87">
        <f t="shared" si="1"/>
        <v>3.6243643849459203E-4</v>
      </c>
      <c r="H26" s="87">
        <f t="shared" si="2"/>
        <v>0</v>
      </c>
      <c r="I26" s="87">
        <f t="shared" si="3"/>
        <v>2.08286143168086E-3</v>
      </c>
      <c r="J26" s="87">
        <f t="shared" si="4"/>
        <v>1.2474488724023398E-4</v>
      </c>
      <c r="K26" s="120">
        <f t="shared" si="6"/>
        <v>8.3163258160155989E-5</v>
      </c>
      <c r="N26" s="290"/>
      <c r="O26" s="116">
        <f>Amnt_Deposited!B21</f>
        <v>2007</v>
      </c>
      <c r="P26" s="119">
        <f>Amnt_Deposited!H21</f>
        <v>0.24824413595520001</v>
      </c>
      <c r="Q26" s="319">
        <f>MCF!R25</f>
        <v>0.8</v>
      </c>
      <c r="R26" s="87">
        <f t="shared" si="5"/>
        <v>2.3831437051699201E-2</v>
      </c>
      <c r="S26" s="87">
        <f t="shared" si="7"/>
        <v>2.3831437051699201E-2</v>
      </c>
      <c r="T26" s="87">
        <f t="shared" si="8"/>
        <v>0</v>
      </c>
      <c r="U26" s="87">
        <f t="shared" si="9"/>
        <v>0.13695527222011133</v>
      </c>
      <c r="V26" s="87">
        <f t="shared" si="10"/>
        <v>8.2024035445633289E-3</v>
      </c>
      <c r="W26" s="120">
        <f t="shared" si="11"/>
        <v>5.468269029708886E-3</v>
      </c>
    </row>
    <row r="27" spans="2:23">
      <c r="B27" s="116">
        <f>Amnt_Deposited!B22</f>
        <v>2008</v>
      </c>
      <c r="C27" s="119">
        <f>Amnt_Deposited!H22</f>
        <v>0.25311097290599999</v>
      </c>
      <c r="D27" s="453">
        <f>Dry_Matter_Content!H14</f>
        <v>0.73</v>
      </c>
      <c r="E27" s="319">
        <f>MCF!R26</f>
        <v>0.8</v>
      </c>
      <c r="F27" s="87">
        <f t="shared" si="0"/>
        <v>3.6954202044276E-4</v>
      </c>
      <c r="G27" s="87">
        <f t="shared" si="1"/>
        <v>3.6954202044276E-4</v>
      </c>
      <c r="H27" s="87">
        <f t="shared" si="2"/>
        <v>0</v>
      </c>
      <c r="I27" s="87">
        <f t="shared" si="3"/>
        <v>2.3115891470624492E-3</v>
      </c>
      <c r="J27" s="87">
        <f t="shared" si="4"/>
        <v>1.4081430506117064E-4</v>
      </c>
      <c r="K27" s="120">
        <f t="shared" si="6"/>
        <v>9.3876203374113754E-5</v>
      </c>
      <c r="N27" s="290"/>
      <c r="O27" s="116">
        <f>Amnt_Deposited!B22</f>
        <v>2008</v>
      </c>
      <c r="P27" s="119">
        <f>Amnt_Deposited!H22</f>
        <v>0.25311097290599999</v>
      </c>
      <c r="Q27" s="319">
        <f>MCF!R26</f>
        <v>0.8</v>
      </c>
      <c r="R27" s="87">
        <f t="shared" si="5"/>
        <v>2.4298653398975998E-2</v>
      </c>
      <c r="S27" s="87">
        <f t="shared" si="7"/>
        <v>2.4298653398975998E-2</v>
      </c>
      <c r="T27" s="87">
        <f t="shared" si="8"/>
        <v>0</v>
      </c>
      <c r="U27" s="87">
        <f t="shared" si="9"/>
        <v>0.15199490282054459</v>
      </c>
      <c r="V27" s="87">
        <f t="shared" si="10"/>
        <v>9.2590227985427272E-3</v>
      </c>
      <c r="W27" s="120">
        <f t="shared" si="11"/>
        <v>6.1726818656951512E-3</v>
      </c>
    </row>
    <row r="28" spans="2:23">
      <c r="B28" s="116">
        <f>Amnt_Deposited!B23</f>
        <v>2009</v>
      </c>
      <c r="C28" s="119">
        <f>Amnt_Deposited!H23</f>
        <v>0.25790790556080001</v>
      </c>
      <c r="D28" s="453">
        <f>Dry_Matter_Content!H15</f>
        <v>0.73</v>
      </c>
      <c r="E28" s="319">
        <f>MCF!R27</f>
        <v>0.8</v>
      </c>
      <c r="F28" s="87">
        <f t="shared" si="0"/>
        <v>3.7654554211876806E-4</v>
      </c>
      <c r="G28" s="87">
        <f t="shared" si="1"/>
        <v>3.7654554211876806E-4</v>
      </c>
      <c r="H28" s="87">
        <f t="shared" si="2"/>
        <v>0</v>
      </c>
      <c r="I28" s="87">
        <f t="shared" si="3"/>
        <v>2.5318569770014579E-3</v>
      </c>
      <c r="J28" s="87">
        <f t="shared" si="4"/>
        <v>1.5627771217975936E-4</v>
      </c>
      <c r="K28" s="120">
        <f t="shared" si="6"/>
        <v>1.041851414531729E-4</v>
      </c>
      <c r="N28" s="290"/>
      <c r="O28" s="116">
        <f>Amnt_Deposited!B23</f>
        <v>2009</v>
      </c>
      <c r="P28" s="119">
        <f>Amnt_Deposited!H23</f>
        <v>0.25790790556080001</v>
      </c>
      <c r="Q28" s="319">
        <f>MCF!R27</f>
        <v>0.8</v>
      </c>
      <c r="R28" s="87">
        <f t="shared" si="5"/>
        <v>2.4759158933836803E-2</v>
      </c>
      <c r="S28" s="87">
        <f t="shared" si="7"/>
        <v>2.4759158933836803E-2</v>
      </c>
      <c r="T28" s="87">
        <f t="shared" si="8"/>
        <v>0</v>
      </c>
      <c r="U28" s="87">
        <f t="shared" si="9"/>
        <v>0.16647826698091778</v>
      </c>
      <c r="V28" s="87">
        <f t="shared" si="10"/>
        <v>1.0275794773463628E-2</v>
      </c>
      <c r="W28" s="120">
        <f t="shared" si="11"/>
        <v>6.8505298489757518E-3</v>
      </c>
    </row>
    <row r="29" spans="2:23">
      <c r="B29" s="116">
        <f>Amnt_Deposited!B24</f>
        <v>2010</v>
      </c>
      <c r="C29" s="119">
        <f>Amnt_Deposited!H24</f>
        <v>0.27840833899560002</v>
      </c>
      <c r="D29" s="453">
        <f>Dry_Matter_Content!H16</f>
        <v>0.73</v>
      </c>
      <c r="E29" s="319">
        <f>MCF!R28</f>
        <v>0.8</v>
      </c>
      <c r="F29" s="87">
        <f t="shared" si="0"/>
        <v>4.0647617493357605E-4</v>
      </c>
      <c r="G29" s="87">
        <f t="shared" si="1"/>
        <v>4.0647617493357605E-4</v>
      </c>
      <c r="H29" s="87">
        <f t="shared" si="2"/>
        <v>0</v>
      </c>
      <c r="I29" s="87">
        <f t="shared" si="3"/>
        <v>2.767163973175492E-3</v>
      </c>
      <c r="J29" s="87">
        <f t="shared" si="4"/>
        <v>1.7116917875954193E-4</v>
      </c>
      <c r="K29" s="120">
        <f t="shared" si="6"/>
        <v>1.1411278583969462E-4</v>
      </c>
      <c r="O29" s="116">
        <f>Amnt_Deposited!B24</f>
        <v>2010</v>
      </c>
      <c r="P29" s="119">
        <f>Amnt_Deposited!H24</f>
        <v>0.27840833899560002</v>
      </c>
      <c r="Q29" s="319">
        <f>MCF!R28</f>
        <v>0.8</v>
      </c>
      <c r="R29" s="87">
        <f t="shared" si="5"/>
        <v>2.6727200543577603E-2</v>
      </c>
      <c r="S29" s="87">
        <f t="shared" si="7"/>
        <v>2.6727200543577603E-2</v>
      </c>
      <c r="T29" s="87">
        <f t="shared" si="8"/>
        <v>0</v>
      </c>
      <c r="U29" s="87">
        <f t="shared" si="9"/>
        <v>0.18195050782523783</v>
      </c>
      <c r="V29" s="87">
        <f t="shared" si="10"/>
        <v>1.1254959699257553E-2</v>
      </c>
      <c r="W29" s="120">
        <f t="shared" si="11"/>
        <v>7.5033064661717015E-3</v>
      </c>
    </row>
    <row r="30" spans="2:23">
      <c r="B30" s="116">
        <f>Amnt_Deposited!B25</f>
        <v>2011</v>
      </c>
      <c r="C30" s="119">
        <f>Amnt_Deposited!H25</f>
        <v>0</v>
      </c>
      <c r="D30" s="453">
        <f>Dry_Matter_Content!H17</f>
        <v>0.73</v>
      </c>
      <c r="E30" s="319">
        <f>MCF!R29</f>
        <v>0.8</v>
      </c>
      <c r="F30" s="87">
        <f t="shared" si="0"/>
        <v>0</v>
      </c>
      <c r="G30" s="87">
        <f t="shared" si="1"/>
        <v>0</v>
      </c>
      <c r="H30" s="87">
        <f t="shared" si="2"/>
        <v>0</v>
      </c>
      <c r="I30" s="87">
        <f t="shared" si="3"/>
        <v>2.5800865872552181E-3</v>
      </c>
      <c r="J30" s="87">
        <f t="shared" si="4"/>
        <v>1.8707738592027405E-4</v>
      </c>
      <c r="K30" s="120">
        <f t="shared" si="6"/>
        <v>1.2471825728018268E-4</v>
      </c>
      <c r="O30" s="116">
        <f>Amnt_Deposited!B25</f>
        <v>2011</v>
      </c>
      <c r="P30" s="119">
        <f>Amnt_Deposited!H25</f>
        <v>0</v>
      </c>
      <c r="Q30" s="319">
        <f>MCF!R29</f>
        <v>0.8</v>
      </c>
      <c r="R30" s="87">
        <f t="shared" si="5"/>
        <v>0</v>
      </c>
      <c r="S30" s="87">
        <f t="shared" si="7"/>
        <v>0</v>
      </c>
      <c r="T30" s="87">
        <f t="shared" si="8"/>
        <v>0</v>
      </c>
      <c r="U30" s="87">
        <f t="shared" si="9"/>
        <v>0.16964952902500063</v>
      </c>
      <c r="V30" s="87">
        <f t="shared" si="10"/>
        <v>1.2300978800237197E-2</v>
      </c>
      <c r="W30" s="120">
        <f t="shared" si="11"/>
        <v>8.2006525334914638E-3</v>
      </c>
    </row>
    <row r="31" spans="2:23">
      <c r="B31" s="116">
        <f>Amnt_Deposited!B26</f>
        <v>2012</v>
      </c>
      <c r="C31" s="119">
        <f>Amnt_Deposited!H26</f>
        <v>0</v>
      </c>
      <c r="D31" s="453">
        <f>Dry_Matter_Content!H18</f>
        <v>0.73</v>
      </c>
      <c r="E31" s="319">
        <f>MCF!R30</f>
        <v>0.8</v>
      </c>
      <c r="F31" s="87">
        <f t="shared" si="0"/>
        <v>0</v>
      </c>
      <c r="G31" s="87">
        <f t="shared" si="1"/>
        <v>0</v>
      </c>
      <c r="H31" s="87">
        <f t="shared" si="2"/>
        <v>0</v>
      </c>
      <c r="I31" s="87">
        <f t="shared" si="3"/>
        <v>2.4056567887789943E-3</v>
      </c>
      <c r="J31" s="87">
        <f t="shared" si="4"/>
        <v>1.7442979847622357E-4</v>
      </c>
      <c r="K31" s="120">
        <f t="shared" si="6"/>
        <v>1.1628653231748237E-4</v>
      </c>
      <c r="O31" s="116">
        <f>Amnt_Deposited!B26</f>
        <v>2012</v>
      </c>
      <c r="P31" s="119">
        <f>Amnt_Deposited!H26</f>
        <v>0</v>
      </c>
      <c r="Q31" s="319">
        <f>MCF!R30</f>
        <v>0.8</v>
      </c>
      <c r="R31" s="87">
        <f t="shared" si="5"/>
        <v>0</v>
      </c>
      <c r="S31" s="87">
        <f t="shared" si="7"/>
        <v>0</v>
      </c>
      <c r="T31" s="87">
        <f t="shared" si="8"/>
        <v>0</v>
      </c>
      <c r="U31" s="87">
        <f t="shared" si="9"/>
        <v>0.15818017241286539</v>
      </c>
      <c r="V31" s="87">
        <f t="shared" si="10"/>
        <v>1.1469356612135249E-2</v>
      </c>
      <c r="W31" s="120">
        <f t="shared" si="11"/>
        <v>7.6462377414234992E-3</v>
      </c>
    </row>
    <row r="32" spans="2:23">
      <c r="B32" s="116">
        <f>Amnt_Deposited!B27</f>
        <v>2013</v>
      </c>
      <c r="C32" s="119">
        <f>Amnt_Deposited!H27</f>
        <v>0</v>
      </c>
      <c r="D32" s="453">
        <f>Dry_Matter_Content!H19</f>
        <v>0.73</v>
      </c>
      <c r="E32" s="319">
        <f>MCF!R31</f>
        <v>0.8</v>
      </c>
      <c r="F32" s="87">
        <f t="shared" si="0"/>
        <v>0</v>
      </c>
      <c r="G32" s="87">
        <f t="shared" si="1"/>
        <v>0</v>
      </c>
      <c r="H32" s="87">
        <f t="shared" si="2"/>
        <v>0</v>
      </c>
      <c r="I32" s="87">
        <f t="shared" si="3"/>
        <v>2.2430195226723236E-3</v>
      </c>
      <c r="J32" s="87">
        <f t="shared" si="4"/>
        <v>1.6263726610667083E-4</v>
      </c>
      <c r="K32" s="120">
        <f t="shared" si="6"/>
        <v>1.0842484407111388E-4</v>
      </c>
      <c r="O32" s="116">
        <f>Amnt_Deposited!B27</f>
        <v>2013</v>
      </c>
      <c r="P32" s="119">
        <f>Amnt_Deposited!H27</f>
        <v>0</v>
      </c>
      <c r="Q32" s="319">
        <f>MCF!R31</f>
        <v>0.8</v>
      </c>
      <c r="R32" s="87">
        <f t="shared" si="5"/>
        <v>0</v>
      </c>
      <c r="S32" s="87">
        <f t="shared" si="7"/>
        <v>0</v>
      </c>
      <c r="T32" s="87">
        <f t="shared" si="8"/>
        <v>0</v>
      </c>
      <c r="U32" s="87">
        <f t="shared" si="9"/>
        <v>0.14748621518941304</v>
      </c>
      <c r="V32" s="87">
        <f t="shared" si="10"/>
        <v>1.069395722345233E-2</v>
      </c>
      <c r="W32" s="120">
        <f t="shared" si="11"/>
        <v>7.1293048156348864E-3</v>
      </c>
    </row>
    <row r="33" spans="2:23">
      <c r="B33" s="116">
        <f>Amnt_Deposited!B28</f>
        <v>2014</v>
      </c>
      <c r="C33" s="119">
        <f>Amnt_Deposited!H28</f>
        <v>0</v>
      </c>
      <c r="D33" s="453">
        <f>Dry_Matter_Content!H20</f>
        <v>0.73</v>
      </c>
      <c r="E33" s="319">
        <f>MCF!R32</f>
        <v>0.8</v>
      </c>
      <c r="F33" s="87">
        <f t="shared" si="0"/>
        <v>0</v>
      </c>
      <c r="G33" s="87">
        <f t="shared" si="1"/>
        <v>0</v>
      </c>
      <c r="H33" s="87">
        <f t="shared" si="2"/>
        <v>0</v>
      </c>
      <c r="I33" s="87">
        <f t="shared" si="3"/>
        <v>2.0913775408680645E-3</v>
      </c>
      <c r="J33" s="87">
        <f t="shared" si="4"/>
        <v>1.5164198180425903E-4</v>
      </c>
      <c r="K33" s="120">
        <f t="shared" si="6"/>
        <v>1.0109465453617269E-4</v>
      </c>
      <c r="O33" s="116">
        <f>Amnt_Deposited!B28</f>
        <v>2014</v>
      </c>
      <c r="P33" s="119">
        <f>Amnt_Deposited!H28</f>
        <v>0</v>
      </c>
      <c r="Q33" s="319">
        <f>MCF!R32</f>
        <v>0.8</v>
      </c>
      <c r="R33" s="87">
        <f t="shared" si="5"/>
        <v>0</v>
      </c>
      <c r="S33" s="87">
        <f t="shared" si="7"/>
        <v>0</v>
      </c>
      <c r="T33" s="87">
        <f t="shared" si="8"/>
        <v>0</v>
      </c>
      <c r="U33" s="87">
        <f t="shared" si="9"/>
        <v>0.13751523556392753</v>
      </c>
      <c r="V33" s="87">
        <f t="shared" si="10"/>
        <v>9.9709796254855258E-3</v>
      </c>
      <c r="W33" s="120">
        <f t="shared" si="11"/>
        <v>6.6473197503236839E-3</v>
      </c>
    </row>
    <row r="34" spans="2:23">
      <c r="B34" s="116">
        <f>Amnt_Deposited!B29</f>
        <v>2015</v>
      </c>
      <c r="C34" s="119">
        <f>Amnt_Deposited!H29</f>
        <v>0</v>
      </c>
      <c r="D34" s="453">
        <f>Dry_Matter_Content!H21</f>
        <v>0.73</v>
      </c>
      <c r="E34" s="319">
        <f>MCF!R33</f>
        <v>0.8</v>
      </c>
      <c r="F34" s="87">
        <f t="shared" si="0"/>
        <v>0</v>
      </c>
      <c r="G34" s="87">
        <f t="shared" si="1"/>
        <v>0</v>
      </c>
      <c r="H34" s="87">
        <f t="shared" si="2"/>
        <v>0</v>
      </c>
      <c r="I34" s="87">
        <f t="shared" si="3"/>
        <v>1.9499874941954832E-3</v>
      </c>
      <c r="J34" s="87">
        <f t="shared" si="4"/>
        <v>1.4139004667258138E-4</v>
      </c>
      <c r="K34" s="120">
        <f t="shared" si="6"/>
        <v>9.4260031115054254E-5</v>
      </c>
      <c r="O34" s="116">
        <f>Amnt_Deposited!B29</f>
        <v>2015</v>
      </c>
      <c r="P34" s="119">
        <f>Amnt_Deposited!H29</f>
        <v>0</v>
      </c>
      <c r="Q34" s="319">
        <f>MCF!R33</f>
        <v>0.8</v>
      </c>
      <c r="R34" s="87">
        <f t="shared" si="5"/>
        <v>0</v>
      </c>
      <c r="S34" s="87">
        <f t="shared" si="7"/>
        <v>0</v>
      </c>
      <c r="T34" s="87">
        <f t="shared" si="8"/>
        <v>0</v>
      </c>
      <c r="U34" s="87">
        <f t="shared" si="9"/>
        <v>0.1282183557827167</v>
      </c>
      <c r="V34" s="87">
        <f t="shared" si="10"/>
        <v>9.2968797812108313E-3</v>
      </c>
      <c r="W34" s="120">
        <f t="shared" si="11"/>
        <v>6.1979198541405539E-3</v>
      </c>
    </row>
    <row r="35" spans="2:23">
      <c r="B35" s="116">
        <f>Amnt_Deposited!B30</f>
        <v>2016</v>
      </c>
      <c r="C35" s="119">
        <f>Amnt_Deposited!H30</f>
        <v>0</v>
      </c>
      <c r="D35" s="453">
        <f>Dry_Matter_Content!H22</f>
        <v>0.73</v>
      </c>
      <c r="E35" s="319">
        <f>MCF!R34</f>
        <v>0.8</v>
      </c>
      <c r="F35" s="87">
        <f t="shared" si="0"/>
        <v>0</v>
      </c>
      <c r="G35" s="87">
        <f t="shared" si="1"/>
        <v>0</v>
      </c>
      <c r="H35" s="87">
        <f t="shared" si="2"/>
        <v>0</v>
      </c>
      <c r="I35" s="87">
        <f t="shared" si="3"/>
        <v>1.8181562884817548E-3</v>
      </c>
      <c r="J35" s="87">
        <f t="shared" si="4"/>
        <v>1.3183120571372847E-4</v>
      </c>
      <c r="K35" s="120">
        <f t="shared" si="6"/>
        <v>8.7887470475818982E-5</v>
      </c>
      <c r="O35" s="116">
        <f>Amnt_Deposited!B30</f>
        <v>2016</v>
      </c>
      <c r="P35" s="119">
        <f>Amnt_Deposited!H30</f>
        <v>0</v>
      </c>
      <c r="Q35" s="319">
        <f>MCF!R34</f>
        <v>0.8</v>
      </c>
      <c r="R35" s="87">
        <f t="shared" si="5"/>
        <v>0</v>
      </c>
      <c r="S35" s="87">
        <f t="shared" si="7"/>
        <v>0</v>
      </c>
      <c r="T35" s="87">
        <f t="shared" si="8"/>
        <v>0</v>
      </c>
      <c r="U35" s="87">
        <f t="shared" si="9"/>
        <v>0.11955000253030716</v>
      </c>
      <c r="V35" s="87">
        <f t="shared" si="10"/>
        <v>8.6683532524095448E-3</v>
      </c>
      <c r="W35" s="120">
        <f t="shared" si="11"/>
        <v>5.7789021682730299E-3</v>
      </c>
    </row>
    <row r="36" spans="2:23">
      <c r="B36" s="116">
        <f>Amnt_Deposited!B31</f>
        <v>2017</v>
      </c>
      <c r="C36" s="119">
        <f>Amnt_Deposited!H31</f>
        <v>0</v>
      </c>
      <c r="D36" s="453">
        <f>Dry_Matter_Content!H23</f>
        <v>0.73</v>
      </c>
      <c r="E36" s="319">
        <f>MCF!R35</f>
        <v>0.8</v>
      </c>
      <c r="F36" s="87">
        <f t="shared" si="0"/>
        <v>0</v>
      </c>
      <c r="G36" s="87">
        <f t="shared" si="1"/>
        <v>0</v>
      </c>
      <c r="H36" s="87">
        <f t="shared" si="2"/>
        <v>0</v>
      </c>
      <c r="I36" s="87">
        <f t="shared" si="3"/>
        <v>1.6952376870035246E-3</v>
      </c>
      <c r="J36" s="87">
        <f t="shared" si="4"/>
        <v>1.2291860147823017E-4</v>
      </c>
      <c r="K36" s="120">
        <f t="shared" si="6"/>
        <v>8.1945734318820108E-5</v>
      </c>
      <c r="O36" s="116">
        <f>Amnt_Deposited!B31</f>
        <v>2017</v>
      </c>
      <c r="P36" s="119">
        <f>Amnt_Deposited!H31</f>
        <v>0</v>
      </c>
      <c r="Q36" s="319">
        <f>MCF!R35</f>
        <v>0.8</v>
      </c>
      <c r="R36" s="87">
        <f t="shared" si="5"/>
        <v>0</v>
      </c>
      <c r="S36" s="87">
        <f t="shared" si="7"/>
        <v>0</v>
      </c>
      <c r="T36" s="87">
        <f t="shared" si="8"/>
        <v>0</v>
      </c>
      <c r="U36" s="87">
        <f t="shared" si="9"/>
        <v>0.11146768352899887</v>
      </c>
      <c r="V36" s="87">
        <f t="shared" si="10"/>
        <v>8.0823190013082861E-3</v>
      </c>
      <c r="W36" s="120">
        <f t="shared" si="11"/>
        <v>5.3882126675388574E-3</v>
      </c>
    </row>
    <row r="37" spans="2:23">
      <c r="B37" s="116">
        <f>Amnt_Deposited!B32</f>
        <v>2018</v>
      </c>
      <c r="C37" s="119">
        <f>Amnt_Deposited!H32</f>
        <v>0</v>
      </c>
      <c r="D37" s="453">
        <f>Dry_Matter_Content!H24</f>
        <v>0.73</v>
      </c>
      <c r="E37" s="319">
        <f>MCF!R36</f>
        <v>0.8</v>
      </c>
      <c r="F37" s="87">
        <f t="shared" si="0"/>
        <v>0</v>
      </c>
      <c r="G37" s="87">
        <f t="shared" si="1"/>
        <v>0</v>
      </c>
      <c r="H37" s="87">
        <f t="shared" si="2"/>
        <v>0</v>
      </c>
      <c r="I37" s="87">
        <f t="shared" si="3"/>
        <v>1.5806291426337406E-3</v>
      </c>
      <c r="J37" s="87">
        <f t="shared" si="4"/>
        <v>1.1460854436978398E-4</v>
      </c>
      <c r="K37" s="120">
        <f t="shared" si="6"/>
        <v>7.6405696246522646E-5</v>
      </c>
      <c r="O37" s="116">
        <f>Amnt_Deposited!B32</f>
        <v>2018</v>
      </c>
      <c r="P37" s="119">
        <f>Amnt_Deposited!H32</f>
        <v>0</v>
      </c>
      <c r="Q37" s="319">
        <f>MCF!R36</f>
        <v>0.8</v>
      </c>
      <c r="R37" s="87">
        <f t="shared" si="5"/>
        <v>0</v>
      </c>
      <c r="S37" s="87">
        <f t="shared" si="7"/>
        <v>0</v>
      </c>
      <c r="T37" s="87">
        <f t="shared" si="8"/>
        <v>0</v>
      </c>
      <c r="U37" s="87">
        <f t="shared" si="9"/>
        <v>0.10393177924167062</v>
      </c>
      <c r="V37" s="87">
        <f t="shared" si="10"/>
        <v>7.5359042873282605E-3</v>
      </c>
      <c r="W37" s="120">
        <f t="shared" si="11"/>
        <v>5.0239361915521731E-3</v>
      </c>
    </row>
    <row r="38" spans="2:23">
      <c r="B38" s="116">
        <f>Amnt_Deposited!B33</f>
        <v>2019</v>
      </c>
      <c r="C38" s="119">
        <f>Amnt_Deposited!H33</f>
        <v>0</v>
      </c>
      <c r="D38" s="453">
        <f>Dry_Matter_Content!H25</f>
        <v>0.73</v>
      </c>
      <c r="E38" s="319">
        <f>MCF!R37</f>
        <v>0.8</v>
      </c>
      <c r="F38" s="87">
        <f t="shared" si="0"/>
        <v>0</v>
      </c>
      <c r="G38" s="87">
        <f t="shared" si="1"/>
        <v>0</v>
      </c>
      <c r="H38" s="87">
        <f t="shared" si="2"/>
        <v>0</v>
      </c>
      <c r="I38" s="87">
        <f t="shared" si="3"/>
        <v>1.4737688441549374E-3</v>
      </c>
      <c r="J38" s="87">
        <f t="shared" si="4"/>
        <v>1.0686029847880324E-4</v>
      </c>
      <c r="K38" s="120">
        <f t="shared" si="6"/>
        <v>7.1240198985868827E-5</v>
      </c>
      <c r="O38" s="116">
        <f>Amnt_Deposited!B33</f>
        <v>2019</v>
      </c>
      <c r="P38" s="119">
        <f>Amnt_Deposited!H33</f>
        <v>0</v>
      </c>
      <c r="Q38" s="319">
        <f>MCF!R37</f>
        <v>0.8</v>
      </c>
      <c r="R38" s="87">
        <f t="shared" si="5"/>
        <v>0</v>
      </c>
      <c r="S38" s="87">
        <f t="shared" si="7"/>
        <v>0</v>
      </c>
      <c r="T38" s="87">
        <f t="shared" si="8"/>
        <v>0</v>
      </c>
      <c r="U38" s="87">
        <f t="shared" si="9"/>
        <v>9.6905348656763007E-2</v>
      </c>
      <c r="V38" s="87">
        <f t="shared" si="10"/>
        <v>7.0264305849076104E-3</v>
      </c>
      <c r="W38" s="120">
        <f t="shared" si="11"/>
        <v>4.6842870566050736E-3</v>
      </c>
    </row>
    <row r="39" spans="2:23">
      <c r="B39" s="116">
        <f>Amnt_Deposited!B34</f>
        <v>2020</v>
      </c>
      <c r="C39" s="119">
        <f>Amnt_Deposited!H34</f>
        <v>0</v>
      </c>
      <c r="D39" s="453">
        <f>Dry_Matter_Content!H26</f>
        <v>0.73</v>
      </c>
      <c r="E39" s="319">
        <f>MCF!R38</f>
        <v>0.8</v>
      </c>
      <c r="F39" s="87">
        <f t="shared" si="0"/>
        <v>0</v>
      </c>
      <c r="G39" s="87">
        <f t="shared" si="1"/>
        <v>0</v>
      </c>
      <c r="H39" s="87">
        <f t="shared" si="2"/>
        <v>0</v>
      </c>
      <c r="I39" s="87">
        <f t="shared" si="3"/>
        <v>1.3741329622599962E-3</v>
      </c>
      <c r="J39" s="87">
        <f t="shared" si="4"/>
        <v>9.9635881894941152E-5</v>
      </c>
      <c r="K39" s="120">
        <f t="shared" si="6"/>
        <v>6.6423921263294097E-5</v>
      </c>
      <c r="O39" s="116">
        <f>Amnt_Deposited!B34</f>
        <v>2020</v>
      </c>
      <c r="P39" s="119">
        <f>Amnt_Deposited!H34</f>
        <v>0</v>
      </c>
      <c r="Q39" s="319">
        <f>MCF!R38</f>
        <v>0.8</v>
      </c>
      <c r="R39" s="87">
        <f t="shared" si="5"/>
        <v>0</v>
      </c>
      <c r="S39" s="87">
        <f t="shared" si="7"/>
        <v>0</v>
      </c>
      <c r="T39" s="87">
        <f t="shared" si="8"/>
        <v>0</v>
      </c>
      <c r="U39" s="87">
        <f t="shared" si="9"/>
        <v>9.0353948203397011E-2</v>
      </c>
      <c r="V39" s="87">
        <f t="shared" si="10"/>
        <v>6.5514004533659938E-3</v>
      </c>
      <c r="W39" s="120">
        <f t="shared" si="11"/>
        <v>4.3676003022439956E-3</v>
      </c>
    </row>
    <row r="40" spans="2:23">
      <c r="B40" s="116">
        <f>Amnt_Deposited!B35</f>
        <v>2021</v>
      </c>
      <c r="C40" s="119">
        <f>Amnt_Deposited!H35</f>
        <v>0</v>
      </c>
      <c r="D40" s="453">
        <f>Dry_Matter_Content!H27</f>
        <v>0.73</v>
      </c>
      <c r="E40" s="319">
        <f>MCF!R39</f>
        <v>0.8</v>
      </c>
      <c r="F40" s="87">
        <f t="shared" si="0"/>
        <v>0</v>
      </c>
      <c r="G40" s="87">
        <f t="shared" si="1"/>
        <v>0</v>
      </c>
      <c r="H40" s="87">
        <f t="shared" si="2"/>
        <v>0</v>
      </c>
      <c r="I40" s="87">
        <f t="shared" si="3"/>
        <v>1.2812330817402742E-3</v>
      </c>
      <c r="J40" s="87">
        <f t="shared" si="4"/>
        <v>9.2899880519722083E-5</v>
      </c>
      <c r="K40" s="120">
        <f t="shared" si="6"/>
        <v>6.1933253679814722E-5</v>
      </c>
      <c r="O40" s="116">
        <f>Amnt_Deposited!B35</f>
        <v>2021</v>
      </c>
      <c r="P40" s="119">
        <f>Amnt_Deposited!H35</f>
        <v>0</v>
      </c>
      <c r="Q40" s="319">
        <f>MCF!R39</f>
        <v>0.8</v>
      </c>
      <c r="R40" s="87">
        <f t="shared" si="5"/>
        <v>0</v>
      </c>
      <c r="S40" s="87">
        <f t="shared" si="7"/>
        <v>0</v>
      </c>
      <c r="T40" s="87">
        <f t="shared" si="8"/>
        <v>0</v>
      </c>
      <c r="U40" s="87">
        <f t="shared" si="9"/>
        <v>8.4245462908949534E-2</v>
      </c>
      <c r="V40" s="87">
        <f t="shared" si="10"/>
        <v>6.1084852944474797E-3</v>
      </c>
      <c r="W40" s="120">
        <f t="shared" si="11"/>
        <v>4.0723235296316529E-3</v>
      </c>
    </row>
    <row r="41" spans="2:23">
      <c r="B41" s="116">
        <f>Amnt_Deposited!B36</f>
        <v>2022</v>
      </c>
      <c r="C41" s="119">
        <f>Amnt_Deposited!H36</f>
        <v>0</v>
      </c>
      <c r="D41" s="453">
        <f>Dry_Matter_Content!H28</f>
        <v>0.73</v>
      </c>
      <c r="E41" s="319">
        <f>MCF!R40</f>
        <v>0.8</v>
      </c>
      <c r="F41" s="87">
        <f t="shared" si="0"/>
        <v>0</v>
      </c>
      <c r="G41" s="87">
        <f t="shared" si="1"/>
        <v>0</v>
      </c>
      <c r="H41" s="87">
        <f t="shared" si="2"/>
        <v>0</v>
      </c>
      <c r="I41" s="87">
        <f t="shared" si="3"/>
        <v>1.1946138072736843E-3</v>
      </c>
      <c r="J41" s="87">
        <f t="shared" si="4"/>
        <v>8.6619274466589869E-5</v>
      </c>
      <c r="K41" s="120">
        <f t="shared" si="6"/>
        <v>5.7746182977726577E-5</v>
      </c>
      <c r="O41" s="116">
        <f>Amnt_Deposited!B36</f>
        <v>2022</v>
      </c>
      <c r="P41" s="119">
        <f>Amnt_Deposited!H36</f>
        <v>0</v>
      </c>
      <c r="Q41" s="319">
        <f>MCF!R40</f>
        <v>0.8</v>
      </c>
      <c r="R41" s="87">
        <f t="shared" si="5"/>
        <v>0</v>
      </c>
      <c r="S41" s="87">
        <f t="shared" si="7"/>
        <v>0</v>
      </c>
      <c r="T41" s="87">
        <f t="shared" si="8"/>
        <v>0</v>
      </c>
      <c r="U41" s="87">
        <f t="shared" si="9"/>
        <v>7.8549948971420341E-2</v>
      </c>
      <c r="V41" s="87">
        <f t="shared" si="10"/>
        <v>5.6955139375291968E-3</v>
      </c>
      <c r="W41" s="120">
        <f t="shared" si="11"/>
        <v>3.797009291686131E-3</v>
      </c>
    </row>
    <row r="42" spans="2:23">
      <c r="B42" s="116">
        <f>Amnt_Deposited!B37</f>
        <v>2023</v>
      </c>
      <c r="C42" s="119">
        <f>Amnt_Deposited!H37</f>
        <v>0</v>
      </c>
      <c r="D42" s="453">
        <f>Dry_Matter_Content!H29</f>
        <v>0.73</v>
      </c>
      <c r="E42" s="319">
        <f>MCF!R41</f>
        <v>0.8</v>
      </c>
      <c r="F42" s="87">
        <f t="shared" si="0"/>
        <v>0</v>
      </c>
      <c r="G42" s="87">
        <f t="shared" si="1"/>
        <v>0</v>
      </c>
      <c r="H42" s="87">
        <f t="shared" si="2"/>
        <v>0</v>
      </c>
      <c r="I42" s="87">
        <f t="shared" si="3"/>
        <v>1.1138505310762988E-3</v>
      </c>
      <c r="J42" s="87">
        <f t="shared" si="4"/>
        <v>8.0763276197385505E-5</v>
      </c>
      <c r="K42" s="120">
        <f t="shared" si="6"/>
        <v>5.3842184131590336E-5</v>
      </c>
      <c r="O42" s="116">
        <f>Amnt_Deposited!B37</f>
        <v>2023</v>
      </c>
      <c r="P42" s="119">
        <f>Amnt_Deposited!H37</f>
        <v>0</v>
      </c>
      <c r="Q42" s="319">
        <f>MCF!R41</f>
        <v>0.8</v>
      </c>
      <c r="R42" s="87">
        <f t="shared" si="5"/>
        <v>0</v>
      </c>
      <c r="S42" s="87">
        <f t="shared" si="7"/>
        <v>0</v>
      </c>
      <c r="T42" s="87">
        <f t="shared" si="8"/>
        <v>0</v>
      </c>
      <c r="U42" s="87">
        <f t="shared" si="9"/>
        <v>7.3239486974879919E-2</v>
      </c>
      <c r="V42" s="87">
        <f t="shared" si="10"/>
        <v>5.3104619965404169E-3</v>
      </c>
      <c r="W42" s="120">
        <f t="shared" si="11"/>
        <v>3.5403079976936112E-3</v>
      </c>
    </row>
    <row r="43" spans="2:23">
      <c r="B43" s="116">
        <f>Amnt_Deposited!B38</f>
        <v>2024</v>
      </c>
      <c r="C43" s="119">
        <f>Amnt_Deposited!H38</f>
        <v>0</v>
      </c>
      <c r="D43" s="453">
        <f>Dry_Matter_Content!H30</f>
        <v>0.73</v>
      </c>
      <c r="E43" s="319">
        <f>MCF!R42</f>
        <v>0.8</v>
      </c>
      <c r="F43" s="87">
        <f t="shared" si="0"/>
        <v>0</v>
      </c>
      <c r="G43" s="87">
        <f t="shared" si="1"/>
        <v>0</v>
      </c>
      <c r="H43" s="87">
        <f t="shared" si="2"/>
        <v>0</v>
      </c>
      <c r="I43" s="87">
        <f t="shared" si="3"/>
        <v>1.0385473514744994E-3</v>
      </c>
      <c r="J43" s="87">
        <f t="shared" si="4"/>
        <v>7.5303179601799423E-5</v>
      </c>
      <c r="K43" s="120">
        <f t="shared" si="6"/>
        <v>5.0202119734532949E-5</v>
      </c>
      <c r="O43" s="116">
        <f>Amnt_Deposited!B38</f>
        <v>2024</v>
      </c>
      <c r="P43" s="119">
        <f>Amnt_Deposited!H38</f>
        <v>0</v>
      </c>
      <c r="Q43" s="319">
        <f>MCF!R42</f>
        <v>0.8</v>
      </c>
      <c r="R43" s="87">
        <f t="shared" si="5"/>
        <v>0</v>
      </c>
      <c r="S43" s="87">
        <f t="shared" si="7"/>
        <v>0</v>
      </c>
      <c r="T43" s="87">
        <f t="shared" si="8"/>
        <v>0</v>
      </c>
      <c r="U43" s="87">
        <f t="shared" si="9"/>
        <v>6.8288045028460226E-2</v>
      </c>
      <c r="V43" s="87">
        <f t="shared" si="10"/>
        <v>4.9514419464196874E-3</v>
      </c>
      <c r="W43" s="120">
        <f t="shared" si="11"/>
        <v>3.3009612976131249E-3</v>
      </c>
    </row>
    <row r="44" spans="2:23">
      <c r="B44" s="116">
        <f>Amnt_Deposited!B39</f>
        <v>2025</v>
      </c>
      <c r="C44" s="119">
        <f>Amnt_Deposited!H39</f>
        <v>0</v>
      </c>
      <c r="D44" s="453">
        <f>Dry_Matter_Content!H31</f>
        <v>0.73</v>
      </c>
      <c r="E44" s="319">
        <f>MCF!R43</f>
        <v>0.8</v>
      </c>
      <c r="F44" s="87">
        <f t="shared" si="0"/>
        <v>0</v>
      </c>
      <c r="G44" s="87">
        <f t="shared" si="1"/>
        <v>0</v>
      </c>
      <c r="H44" s="87">
        <f t="shared" si="2"/>
        <v>0</v>
      </c>
      <c r="I44" s="87">
        <f t="shared" si="3"/>
        <v>9.6833513219451398E-4</v>
      </c>
      <c r="J44" s="87">
        <f t="shared" si="4"/>
        <v>7.0212219279985443E-5</v>
      </c>
      <c r="K44" s="120">
        <f t="shared" si="6"/>
        <v>4.680814618665696E-5</v>
      </c>
      <c r="O44" s="116">
        <f>Amnt_Deposited!B39</f>
        <v>2025</v>
      </c>
      <c r="P44" s="119">
        <f>Amnt_Deposited!H39</f>
        <v>0</v>
      </c>
      <c r="Q44" s="319">
        <f>MCF!R43</f>
        <v>0.8</v>
      </c>
      <c r="R44" s="87">
        <f t="shared" si="5"/>
        <v>0</v>
      </c>
      <c r="S44" s="87">
        <f t="shared" si="7"/>
        <v>0</v>
      </c>
      <c r="T44" s="87">
        <f t="shared" si="8"/>
        <v>0</v>
      </c>
      <c r="U44" s="87">
        <f t="shared" si="9"/>
        <v>6.3671351157995423E-2</v>
      </c>
      <c r="V44" s="87">
        <f t="shared" si="10"/>
        <v>4.6166938704647956E-3</v>
      </c>
      <c r="W44" s="120">
        <f t="shared" si="11"/>
        <v>3.077795913643197E-3</v>
      </c>
    </row>
    <row r="45" spans="2:23">
      <c r="B45" s="116">
        <f>Amnt_Deposited!B40</f>
        <v>2026</v>
      </c>
      <c r="C45" s="119">
        <f>Amnt_Deposited!H40</f>
        <v>0</v>
      </c>
      <c r="D45" s="453">
        <f>Dry_Matter_Content!H32</f>
        <v>0.73</v>
      </c>
      <c r="E45" s="319">
        <f>MCF!R44</f>
        <v>0.8</v>
      </c>
      <c r="F45" s="87">
        <f t="shared" si="0"/>
        <v>0</v>
      </c>
      <c r="G45" s="87">
        <f t="shared" si="1"/>
        <v>0</v>
      </c>
      <c r="H45" s="87">
        <f t="shared" si="2"/>
        <v>0</v>
      </c>
      <c r="I45" s="87">
        <f t="shared" si="3"/>
        <v>9.0286969285597425E-4</v>
      </c>
      <c r="J45" s="87">
        <f t="shared" si="4"/>
        <v>6.5465439338539694E-5</v>
      </c>
      <c r="K45" s="120">
        <f t="shared" si="6"/>
        <v>4.3643626225693129E-5</v>
      </c>
      <c r="O45" s="116">
        <f>Amnt_Deposited!B40</f>
        <v>2026</v>
      </c>
      <c r="P45" s="119">
        <f>Amnt_Deposited!H40</f>
        <v>0</v>
      </c>
      <c r="Q45" s="319">
        <f>MCF!R44</f>
        <v>0.8</v>
      </c>
      <c r="R45" s="87">
        <f t="shared" si="5"/>
        <v>0</v>
      </c>
      <c r="S45" s="87">
        <f t="shared" si="7"/>
        <v>0</v>
      </c>
      <c r="T45" s="87">
        <f t="shared" si="8"/>
        <v>0</v>
      </c>
      <c r="U45" s="87">
        <f t="shared" si="9"/>
        <v>5.9366774324776377E-2</v>
      </c>
      <c r="V45" s="87">
        <f t="shared" si="10"/>
        <v>4.3045768332190476E-3</v>
      </c>
      <c r="W45" s="120">
        <f t="shared" si="11"/>
        <v>2.8697178888126983E-3</v>
      </c>
    </row>
    <row r="46" spans="2:23">
      <c r="B46" s="116">
        <f>Amnt_Deposited!B41</f>
        <v>2027</v>
      </c>
      <c r="C46" s="119">
        <f>Amnt_Deposited!H41</f>
        <v>0</v>
      </c>
      <c r="D46" s="453">
        <f>Dry_Matter_Content!H33</f>
        <v>0.73</v>
      </c>
      <c r="E46" s="319">
        <f>MCF!R45</f>
        <v>0.8</v>
      </c>
      <c r="F46" s="87">
        <f t="shared" si="0"/>
        <v>0</v>
      </c>
      <c r="G46" s="87">
        <f t="shared" si="1"/>
        <v>0</v>
      </c>
      <c r="H46" s="87">
        <f t="shared" si="2"/>
        <v>0</v>
      </c>
      <c r="I46" s="87">
        <f t="shared" si="3"/>
        <v>8.4183012179929212E-4</v>
      </c>
      <c r="J46" s="87">
        <f t="shared" si="4"/>
        <v>6.1039571056682162E-5</v>
      </c>
      <c r="K46" s="120">
        <f t="shared" si="6"/>
        <v>4.0693047371121442E-5</v>
      </c>
      <c r="O46" s="116">
        <f>Amnt_Deposited!B41</f>
        <v>2027</v>
      </c>
      <c r="P46" s="119">
        <f>Amnt_Deposited!H41</f>
        <v>0</v>
      </c>
      <c r="Q46" s="319">
        <f>MCF!R45</f>
        <v>0.8</v>
      </c>
      <c r="R46" s="87">
        <f t="shared" si="5"/>
        <v>0</v>
      </c>
      <c r="S46" s="87">
        <f t="shared" si="7"/>
        <v>0</v>
      </c>
      <c r="T46" s="87">
        <f t="shared" si="8"/>
        <v>0</v>
      </c>
      <c r="U46" s="87">
        <f t="shared" si="9"/>
        <v>5.5353213488172619E-2</v>
      </c>
      <c r="V46" s="87">
        <f t="shared" si="10"/>
        <v>4.0135608366037578E-3</v>
      </c>
      <c r="W46" s="120">
        <f t="shared" si="11"/>
        <v>2.6757072244025051E-3</v>
      </c>
    </row>
    <row r="47" spans="2:23">
      <c r="B47" s="116">
        <f>Amnt_Deposited!B42</f>
        <v>2028</v>
      </c>
      <c r="C47" s="119">
        <f>Amnt_Deposited!H42</f>
        <v>0</v>
      </c>
      <c r="D47" s="453">
        <f>Dry_Matter_Content!H34</f>
        <v>0.73</v>
      </c>
      <c r="E47" s="319">
        <f>MCF!R46</f>
        <v>0.8</v>
      </c>
      <c r="F47" s="87">
        <f t="shared" si="0"/>
        <v>0</v>
      </c>
      <c r="G47" s="87">
        <f t="shared" si="1"/>
        <v>0</v>
      </c>
      <c r="H47" s="87">
        <f t="shared" si="2"/>
        <v>0</v>
      </c>
      <c r="I47" s="87">
        <f t="shared" si="3"/>
        <v>7.849172029763317E-4</v>
      </c>
      <c r="J47" s="87">
        <f t="shared" si="4"/>
        <v>5.6912918822960445E-5</v>
      </c>
      <c r="K47" s="120">
        <f t="shared" si="6"/>
        <v>3.7941945881973625E-5</v>
      </c>
      <c r="O47" s="116">
        <f>Amnt_Deposited!B42</f>
        <v>2028</v>
      </c>
      <c r="P47" s="119">
        <f>Amnt_Deposited!H42</f>
        <v>0</v>
      </c>
      <c r="Q47" s="319">
        <f>MCF!R46</f>
        <v>0.8</v>
      </c>
      <c r="R47" s="87">
        <f t="shared" si="5"/>
        <v>0</v>
      </c>
      <c r="S47" s="87">
        <f t="shared" si="7"/>
        <v>0</v>
      </c>
      <c r="T47" s="87">
        <f t="shared" si="8"/>
        <v>0</v>
      </c>
      <c r="U47" s="87">
        <f t="shared" si="9"/>
        <v>5.161099416830673E-2</v>
      </c>
      <c r="V47" s="87">
        <f t="shared" si="10"/>
        <v>3.7422193198658913E-3</v>
      </c>
      <c r="W47" s="120">
        <f t="shared" si="11"/>
        <v>2.4948128799105939E-3</v>
      </c>
    </row>
    <row r="48" spans="2:23">
      <c r="B48" s="116">
        <f>Amnt_Deposited!B43</f>
        <v>2029</v>
      </c>
      <c r="C48" s="119">
        <f>Amnt_Deposited!H43</f>
        <v>0</v>
      </c>
      <c r="D48" s="453">
        <f>Dry_Matter_Content!H35</f>
        <v>0.73</v>
      </c>
      <c r="E48" s="319">
        <f>MCF!R47</f>
        <v>0.8</v>
      </c>
      <c r="F48" s="87">
        <f t="shared" si="0"/>
        <v>0</v>
      </c>
      <c r="G48" s="87">
        <f t="shared" si="1"/>
        <v>0</v>
      </c>
      <c r="H48" s="87">
        <f t="shared" si="2"/>
        <v>0</v>
      </c>
      <c r="I48" s="87">
        <f t="shared" si="3"/>
        <v>7.3185194919299444E-4</v>
      </c>
      <c r="J48" s="87">
        <f t="shared" si="4"/>
        <v>5.3065253783337235E-5</v>
      </c>
      <c r="K48" s="120">
        <f t="shared" si="6"/>
        <v>3.5376835855558157E-5</v>
      </c>
      <c r="O48" s="116">
        <f>Amnt_Deposited!B43</f>
        <v>2029</v>
      </c>
      <c r="P48" s="119">
        <f>Amnt_Deposited!H43</f>
        <v>0</v>
      </c>
      <c r="Q48" s="319">
        <f>MCF!R47</f>
        <v>0.8</v>
      </c>
      <c r="R48" s="87">
        <f t="shared" si="5"/>
        <v>0</v>
      </c>
      <c r="S48" s="87">
        <f t="shared" si="7"/>
        <v>0</v>
      </c>
      <c r="T48" s="87">
        <f t="shared" si="8"/>
        <v>0</v>
      </c>
      <c r="U48" s="87">
        <f t="shared" si="9"/>
        <v>4.8121772001731129E-2</v>
      </c>
      <c r="V48" s="87">
        <f t="shared" si="10"/>
        <v>3.4892221665755981E-3</v>
      </c>
      <c r="W48" s="120">
        <f t="shared" si="11"/>
        <v>2.3261481110503986E-3</v>
      </c>
    </row>
    <row r="49" spans="2:23">
      <c r="B49" s="116">
        <f>Amnt_Deposited!B44</f>
        <v>2030</v>
      </c>
      <c r="C49" s="119">
        <f>Amnt_Deposited!H44</f>
        <v>0</v>
      </c>
      <c r="D49" s="453">
        <f>Dry_Matter_Content!H36</f>
        <v>0.73</v>
      </c>
      <c r="E49" s="319">
        <f>MCF!R48</f>
        <v>0.8</v>
      </c>
      <c r="F49" s="87">
        <f t="shared" si="0"/>
        <v>0</v>
      </c>
      <c r="G49" s="87">
        <f t="shared" si="1"/>
        <v>0</v>
      </c>
      <c r="H49" s="87">
        <f t="shared" si="2"/>
        <v>0</v>
      </c>
      <c r="I49" s="87">
        <f t="shared" si="3"/>
        <v>6.8237423451367001E-4</v>
      </c>
      <c r="J49" s="87">
        <f t="shared" si="4"/>
        <v>4.9477714679324375E-5</v>
      </c>
      <c r="K49" s="120">
        <f t="shared" si="6"/>
        <v>3.2985143119549581E-5</v>
      </c>
      <c r="O49" s="116">
        <f>Amnt_Deposited!B44</f>
        <v>2030</v>
      </c>
      <c r="P49" s="119">
        <f>Amnt_Deposited!H44</f>
        <v>0</v>
      </c>
      <c r="Q49" s="319">
        <f>MCF!R48</f>
        <v>0.8</v>
      </c>
      <c r="R49" s="87">
        <f t="shared" si="5"/>
        <v>0</v>
      </c>
      <c r="S49" s="87">
        <f t="shared" si="7"/>
        <v>0</v>
      </c>
      <c r="T49" s="87">
        <f t="shared" si="8"/>
        <v>0</v>
      </c>
      <c r="U49" s="87">
        <f t="shared" si="9"/>
        <v>4.4868442817337199E-2</v>
      </c>
      <c r="V49" s="87">
        <f t="shared" si="10"/>
        <v>3.2533291843939308E-3</v>
      </c>
      <c r="W49" s="120">
        <f t="shared" si="11"/>
        <v>2.1688861229292871E-3</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6.3624151912359812E-4</v>
      </c>
      <c r="J50" s="87">
        <f t="shared" si="4"/>
        <v>4.6132715390071859E-5</v>
      </c>
      <c r="K50" s="120">
        <f t="shared" si="6"/>
        <v>3.0755143593381237E-5</v>
      </c>
      <c r="O50" s="116">
        <f>Amnt_Deposited!B45</f>
        <v>2031</v>
      </c>
      <c r="P50" s="119">
        <f>Amnt_Deposited!H45</f>
        <v>0</v>
      </c>
      <c r="Q50" s="319">
        <f>MCF!R49</f>
        <v>0.8</v>
      </c>
      <c r="R50" s="87">
        <f t="shared" si="5"/>
        <v>0</v>
      </c>
      <c r="S50" s="87">
        <f t="shared" si="7"/>
        <v>0</v>
      </c>
      <c r="T50" s="87">
        <f t="shared" si="8"/>
        <v>0</v>
      </c>
      <c r="U50" s="87">
        <f t="shared" si="9"/>
        <v>4.183505879168864E-2</v>
      </c>
      <c r="V50" s="87">
        <f t="shared" si="10"/>
        <v>3.0333840256485602E-3</v>
      </c>
      <c r="W50" s="120">
        <f t="shared" si="11"/>
        <v>2.0222560170990401E-3</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5.9322766039841509E-4</v>
      </c>
      <c r="J51" s="87">
        <f t="shared" si="4"/>
        <v>4.3013858725183033E-5</v>
      </c>
      <c r="K51" s="120">
        <f t="shared" si="6"/>
        <v>2.8675905816788689E-5</v>
      </c>
      <c r="O51" s="116">
        <f>Amnt_Deposited!B46</f>
        <v>2032</v>
      </c>
      <c r="P51" s="119">
        <f>Amnt_Deposited!H46</f>
        <v>0</v>
      </c>
      <c r="Q51" s="319">
        <f>MCF!R50</f>
        <v>0.8</v>
      </c>
      <c r="R51" s="87">
        <f t="shared" ref="R51:R82" si="13">P51*$W$6*DOCF*Q51</f>
        <v>0</v>
      </c>
      <c r="S51" s="87">
        <f t="shared" si="7"/>
        <v>0</v>
      </c>
      <c r="T51" s="87">
        <f t="shared" si="8"/>
        <v>0</v>
      </c>
      <c r="U51" s="87">
        <f t="shared" si="9"/>
        <v>3.9006750272772499E-2</v>
      </c>
      <c r="V51" s="87">
        <f t="shared" si="10"/>
        <v>2.8283085189161443E-3</v>
      </c>
      <c r="W51" s="120">
        <f t="shared" si="11"/>
        <v>1.8855390126107628E-3</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5.531218043527469E-4</v>
      </c>
      <c r="J52" s="87">
        <f t="shared" si="4"/>
        <v>4.0105856045668206E-5</v>
      </c>
      <c r="K52" s="120">
        <f t="shared" si="6"/>
        <v>2.6737237363778804E-5</v>
      </c>
      <c r="O52" s="116">
        <f>Amnt_Deposited!B47</f>
        <v>2033</v>
      </c>
      <c r="P52" s="119">
        <f>Amnt_Deposited!H47</f>
        <v>0</v>
      </c>
      <c r="Q52" s="319">
        <f>MCF!R51</f>
        <v>0.8</v>
      </c>
      <c r="R52" s="87">
        <f t="shared" si="13"/>
        <v>0</v>
      </c>
      <c r="S52" s="87">
        <f t="shared" si="7"/>
        <v>0</v>
      </c>
      <c r="T52" s="87">
        <f t="shared" si="8"/>
        <v>0</v>
      </c>
      <c r="U52" s="87">
        <f t="shared" si="9"/>
        <v>3.6369652888947737E-2</v>
      </c>
      <c r="V52" s="87">
        <f t="shared" si="10"/>
        <v>2.637097383824759E-3</v>
      </c>
      <c r="W52" s="120">
        <f t="shared" si="11"/>
        <v>1.7580649225498392E-3</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5.1572735203372824E-4</v>
      </c>
      <c r="J53" s="87">
        <f t="shared" si="4"/>
        <v>3.7394452319018654E-5</v>
      </c>
      <c r="K53" s="120">
        <f t="shared" si="6"/>
        <v>2.4929634879345769E-5</v>
      </c>
      <c r="O53" s="116">
        <f>Amnt_Deposited!B48</f>
        <v>2034</v>
      </c>
      <c r="P53" s="119">
        <f>Amnt_Deposited!H48</f>
        <v>0</v>
      </c>
      <c r="Q53" s="319">
        <f>MCF!R52</f>
        <v>0.8</v>
      </c>
      <c r="R53" s="87">
        <f t="shared" si="13"/>
        <v>0</v>
      </c>
      <c r="S53" s="87">
        <f t="shared" si="7"/>
        <v>0</v>
      </c>
      <c r="T53" s="87">
        <f t="shared" si="8"/>
        <v>0</v>
      </c>
      <c r="U53" s="87">
        <f t="shared" si="9"/>
        <v>3.3910839585779388E-2</v>
      </c>
      <c r="V53" s="87">
        <f t="shared" si="10"/>
        <v>2.4588133031683492E-3</v>
      </c>
      <c r="W53" s="120">
        <f t="shared" si="11"/>
        <v>1.6392088687788994E-3</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4.8086099579270757E-4</v>
      </c>
      <c r="J54" s="87">
        <f t="shared" si="4"/>
        <v>3.4866356241020645E-5</v>
      </c>
      <c r="K54" s="120">
        <f t="shared" si="6"/>
        <v>2.3244237494013763E-5</v>
      </c>
      <c r="O54" s="116">
        <f>Amnt_Deposited!B49</f>
        <v>2035</v>
      </c>
      <c r="P54" s="119">
        <f>Amnt_Deposited!H49</f>
        <v>0</v>
      </c>
      <c r="Q54" s="319">
        <f>MCF!R53</f>
        <v>0.8</v>
      </c>
      <c r="R54" s="87">
        <f t="shared" si="13"/>
        <v>0</v>
      </c>
      <c r="S54" s="87">
        <f t="shared" si="7"/>
        <v>0</v>
      </c>
      <c r="T54" s="87">
        <f t="shared" si="8"/>
        <v>0</v>
      </c>
      <c r="U54" s="87">
        <f t="shared" si="9"/>
        <v>3.1618257257602686E-2</v>
      </c>
      <c r="V54" s="87">
        <f t="shared" si="10"/>
        <v>2.2925823281766998E-3</v>
      </c>
      <c r="W54" s="120">
        <f t="shared" si="11"/>
        <v>1.5283882187844666E-3</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4.4835182071094071E-4</v>
      </c>
      <c r="J55" s="87">
        <f t="shared" si="4"/>
        <v>3.2509175081766837E-5</v>
      </c>
      <c r="K55" s="120">
        <f t="shared" si="6"/>
        <v>2.1672783387844556E-5</v>
      </c>
      <c r="O55" s="116">
        <f>Amnt_Deposited!B50</f>
        <v>2036</v>
      </c>
      <c r="P55" s="119">
        <f>Amnt_Deposited!H50</f>
        <v>0</v>
      </c>
      <c r="Q55" s="319">
        <f>MCF!R54</f>
        <v>0.8</v>
      </c>
      <c r="R55" s="87">
        <f t="shared" si="13"/>
        <v>0</v>
      </c>
      <c r="S55" s="87">
        <f t="shared" si="7"/>
        <v>0</v>
      </c>
      <c r="T55" s="87">
        <f t="shared" si="8"/>
        <v>0</v>
      </c>
      <c r="U55" s="87">
        <f t="shared" si="9"/>
        <v>2.9480667663185141E-2</v>
      </c>
      <c r="V55" s="87">
        <f t="shared" si="10"/>
        <v>2.1375895944175452E-3</v>
      </c>
      <c r="W55" s="120">
        <f t="shared" si="11"/>
        <v>1.4250597296116968E-3</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4.1804046677446088E-4</v>
      </c>
      <c r="J56" s="87">
        <f t="shared" si="4"/>
        <v>3.0311353936479847E-5</v>
      </c>
      <c r="K56" s="120">
        <f t="shared" si="6"/>
        <v>2.0207569290986563E-5</v>
      </c>
      <c r="O56" s="116">
        <f>Amnt_Deposited!B51</f>
        <v>2037</v>
      </c>
      <c r="P56" s="119">
        <f>Amnt_Deposited!H51</f>
        <v>0</v>
      </c>
      <c r="Q56" s="319">
        <f>MCF!R55</f>
        <v>0.8</v>
      </c>
      <c r="R56" s="87">
        <f t="shared" si="13"/>
        <v>0</v>
      </c>
      <c r="S56" s="87">
        <f t="shared" si="7"/>
        <v>0</v>
      </c>
      <c r="T56" s="87">
        <f t="shared" si="8"/>
        <v>0</v>
      </c>
      <c r="U56" s="87">
        <f t="shared" si="9"/>
        <v>2.748759233585496E-2</v>
      </c>
      <c r="V56" s="87">
        <f t="shared" si="10"/>
        <v>1.9930753273301816E-3</v>
      </c>
      <c r="W56" s="120">
        <f t="shared" si="11"/>
        <v>1.3287168848867877E-3</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3.8977834769110526E-4</v>
      </c>
      <c r="J57" s="87">
        <f t="shared" si="4"/>
        <v>2.8262119083355649E-5</v>
      </c>
      <c r="K57" s="120">
        <f t="shared" si="6"/>
        <v>1.8841412722237098E-5</v>
      </c>
      <c r="O57" s="116">
        <f>Amnt_Deposited!B52</f>
        <v>2038</v>
      </c>
      <c r="P57" s="119">
        <f>Amnt_Deposited!H52</f>
        <v>0</v>
      </c>
      <c r="Q57" s="319">
        <f>MCF!R56</f>
        <v>0.8</v>
      </c>
      <c r="R57" s="87">
        <f t="shared" si="13"/>
        <v>0</v>
      </c>
      <c r="S57" s="87">
        <f t="shared" si="7"/>
        <v>0</v>
      </c>
      <c r="T57" s="87">
        <f t="shared" si="8"/>
        <v>0</v>
      </c>
      <c r="U57" s="87">
        <f t="shared" si="9"/>
        <v>2.5629261218045273E-2</v>
      </c>
      <c r="V57" s="87">
        <f t="shared" si="10"/>
        <v>1.8583311178096864E-3</v>
      </c>
      <c r="W57" s="120">
        <f t="shared" si="11"/>
        <v>1.2388874118731243E-3</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3.6342692252033847E-4</v>
      </c>
      <c r="J58" s="87">
        <f t="shared" si="4"/>
        <v>2.6351425170766773E-5</v>
      </c>
      <c r="K58" s="120">
        <f t="shared" si="6"/>
        <v>1.7567616780511182E-5</v>
      </c>
      <c r="O58" s="116">
        <f>Amnt_Deposited!B53</f>
        <v>2039</v>
      </c>
      <c r="P58" s="119">
        <f>Amnt_Deposited!H53</f>
        <v>0</v>
      </c>
      <c r="Q58" s="319">
        <f>MCF!R57</f>
        <v>0.8</v>
      </c>
      <c r="R58" s="87">
        <f t="shared" si="13"/>
        <v>0</v>
      </c>
      <c r="S58" s="87">
        <f t="shared" si="7"/>
        <v>0</v>
      </c>
      <c r="T58" s="87">
        <f t="shared" si="8"/>
        <v>0</v>
      </c>
      <c r="U58" s="87">
        <f t="shared" si="9"/>
        <v>2.389656476846061E-2</v>
      </c>
      <c r="V58" s="87">
        <f t="shared" si="10"/>
        <v>1.7326964495846644E-3</v>
      </c>
      <c r="W58" s="120">
        <f t="shared" si="11"/>
        <v>1.1551309663897762E-3</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3.3885701654540147E-4</v>
      </c>
      <c r="J59" s="87">
        <f t="shared" si="4"/>
        <v>2.4569905974936986E-5</v>
      </c>
      <c r="K59" s="120">
        <f t="shared" si="6"/>
        <v>1.6379937316624656E-5</v>
      </c>
      <c r="O59" s="116">
        <f>Amnt_Deposited!B54</f>
        <v>2040</v>
      </c>
      <c r="P59" s="119">
        <f>Amnt_Deposited!H54</f>
        <v>0</v>
      </c>
      <c r="Q59" s="319">
        <f>MCF!R58</f>
        <v>0.8</v>
      </c>
      <c r="R59" s="87">
        <f t="shared" si="13"/>
        <v>0</v>
      </c>
      <c r="S59" s="87">
        <f t="shared" si="7"/>
        <v>0</v>
      </c>
      <c r="T59" s="87">
        <f t="shared" si="8"/>
        <v>0</v>
      </c>
      <c r="U59" s="87">
        <f t="shared" si="9"/>
        <v>2.2281009307094889E-2</v>
      </c>
      <c r="V59" s="87">
        <f t="shared" si="10"/>
        <v>1.6155554613657196E-3</v>
      </c>
      <c r="W59" s="120">
        <f t="shared" si="11"/>
        <v>1.077036974243813E-3</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3.1594818805869999E-4</v>
      </c>
      <c r="J60" s="87">
        <f t="shared" si="4"/>
        <v>2.2908828486701476E-5</v>
      </c>
      <c r="K60" s="120">
        <f t="shared" si="6"/>
        <v>1.5272552324467648E-5</v>
      </c>
      <c r="O60" s="116">
        <f>Amnt_Deposited!B55</f>
        <v>2041</v>
      </c>
      <c r="P60" s="119">
        <f>Amnt_Deposited!H55</f>
        <v>0</v>
      </c>
      <c r="Q60" s="319">
        <f>MCF!R59</f>
        <v>0.8</v>
      </c>
      <c r="R60" s="87">
        <f t="shared" si="13"/>
        <v>0</v>
      </c>
      <c r="S60" s="87">
        <f t="shared" si="7"/>
        <v>0</v>
      </c>
      <c r="T60" s="87">
        <f t="shared" si="8"/>
        <v>0</v>
      </c>
      <c r="U60" s="87">
        <f t="shared" si="9"/>
        <v>2.077467537920219E-2</v>
      </c>
      <c r="V60" s="87">
        <f t="shared" si="10"/>
        <v>1.5063339278926996E-3</v>
      </c>
      <c r="W60" s="120">
        <f t="shared" si="11"/>
        <v>1.0042226185951329E-3</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2.9458813795641417E-4</v>
      </c>
      <c r="J61" s="87">
        <f t="shared" si="4"/>
        <v>2.1360050102285793E-5</v>
      </c>
      <c r="K61" s="120">
        <f t="shared" si="6"/>
        <v>1.4240033401523862E-5</v>
      </c>
      <c r="O61" s="116">
        <f>Amnt_Deposited!B56</f>
        <v>2042</v>
      </c>
      <c r="P61" s="119">
        <f>Amnt_Deposited!H56</f>
        <v>0</v>
      </c>
      <c r="Q61" s="319">
        <f>MCF!R60</f>
        <v>0.8</v>
      </c>
      <c r="R61" s="87">
        <f t="shared" si="13"/>
        <v>0</v>
      </c>
      <c r="S61" s="87">
        <f t="shared" si="7"/>
        <v>0</v>
      </c>
      <c r="T61" s="87">
        <f t="shared" si="8"/>
        <v>0</v>
      </c>
      <c r="U61" s="87">
        <f t="shared" si="9"/>
        <v>1.9370178934120384E-2</v>
      </c>
      <c r="V61" s="87">
        <f t="shared" si="10"/>
        <v>1.4044964450818057E-3</v>
      </c>
      <c r="W61" s="120">
        <f t="shared" si="11"/>
        <v>9.3633096338787043E-4</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2.7467215924816148E-4</v>
      </c>
      <c r="J62" s="87">
        <f t="shared" si="4"/>
        <v>1.9915978708252691E-5</v>
      </c>
      <c r="K62" s="120">
        <f t="shared" si="6"/>
        <v>1.3277319138835127E-5</v>
      </c>
      <c r="O62" s="116">
        <f>Amnt_Deposited!B57</f>
        <v>2043</v>
      </c>
      <c r="P62" s="119">
        <f>Amnt_Deposited!H57</f>
        <v>0</v>
      </c>
      <c r="Q62" s="319">
        <f>MCF!R61</f>
        <v>0.8</v>
      </c>
      <c r="R62" s="87">
        <f t="shared" si="13"/>
        <v>0</v>
      </c>
      <c r="S62" s="87">
        <f t="shared" si="7"/>
        <v>0</v>
      </c>
      <c r="T62" s="87">
        <f t="shared" si="8"/>
        <v>0</v>
      </c>
      <c r="U62" s="87">
        <f t="shared" si="9"/>
        <v>1.8060635128646235E-2</v>
      </c>
      <c r="V62" s="87">
        <f t="shared" si="10"/>
        <v>1.3095438054741497E-3</v>
      </c>
      <c r="W62" s="120">
        <f t="shared" si="11"/>
        <v>8.7302920364943303E-4</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2.5610262378320821E-4</v>
      </c>
      <c r="J63" s="87">
        <f t="shared" si="4"/>
        <v>1.8569535464953259E-5</v>
      </c>
      <c r="K63" s="120">
        <f t="shared" si="6"/>
        <v>1.2379690309968839E-5</v>
      </c>
      <c r="O63" s="116">
        <f>Amnt_Deposited!B58</f>
        <v>2044</v>
      </c>
      <c r="P63" s="119">
        <f>Amnt_Deposited!H58</f>
        <v>0</v>
      </c>
      <c r="Q63" s="319">
        <f>MCF!R62</f>
        <v>0.8</v>
      </c>
      <c r="R63" s="87">
        <f t="shared" si="13"/>
        <v>0</v>
      </c>
      <c r="S63" s="87">
        <f t="shared" si="7"/>
        <v>0</v>
      </c>
      <c r="T63" s="87">
        <f t="shared" si="8"/>
        <v>0</v>
      </c>
      <c r="U63" s="87">
        <f t="shared" si="9"/>
        <v>1.6839624577526021E-2</v>
      </c>
      <c r="V63" s="87">
        <f t="shared" si="10"/>
        <v>1.2210105511202144E-3</v>
      </c>
      <c r="W63" s="120">
        <f t="shared" si="11"/>
        <v>8.1400703408014284E-4</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2.3878850367716145E-4</v>
      </c>
      <c r="J64" s="87">
        <f t="shared" si="4"/>
        <v>1.7314120106046748E-5</v>
      </c>
      <c r="K64" s="120">
        <f t="shared" si="6"/>
        <v>1.1542746737364498E-5</v>
      </c>
      <c r="O64" s="116">
        <f>Amnt_Deposited!B59</f>
        <v>2045</v>
      </c>
      <c r="P64" s="119">
        <f>Amnt_Deposited!H59</f>
        <v>0</v>
      </c>
      <c r="Q64" s="319">
        <f>MCF!R63</f>
        <v>0.8</v>
      </c>
      <c r="R64" s="87">
        <f t="shared" si="13"/>
        <v>0</v>
      </c>
      <c r="S64" s="87">
        <f t="shared" si="7"/>
        <v>0</v>
      </c>
      <c r="T64" s="87">
        <f t="shared" si="8"/>
        <v>0</v>
      </c>
      <c r="U64" s="87">
        <f t="shared" si="9"/>
        <v>1.5701161885621578E-2</v>
      </c>
      <c r="V64" s="87">
        <f t="shared" si="10"/>
        <v>1.1384626919044439E-3</v>
      </c>
      <c r="W64" s="120">
        <f t="shared" si="11"/>
        <v>7.5897512793629595E-4</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2.2264492509317413E-4</v>
      </c>
      <c r="J65" s="87">
        <f t="shared" si="4"/>
        <v>1.6143578583987312E-5</v>
      </c>
      <c r="K65" s="120">
        <f t="shared" si="6"/>
        <v>1.0762385722658207E-5</v>
      </c>
      <c r="O65" s="116">
        <f>Amnt_Deposited!B60</f>
        <v>2046</v>
      </c>
      <c r="P65" s="119">
        <f>Amnt_Deposited!H60</f>
        <v>0</v>
      </c>
      <c r="Q65" s="319">
        <f>MCF!R64</f>
        <v>0.8</v>
      </c>
      <c r="R65" s="87">
        <f t="shared" si="13"/>
        <v>0</v>
      </c>
      <c r="S65" s="87">
        <f t="shared" si="7"/>
        <v>0</v>
      </c>
      <c r="T65" s="87">
        <f t="shared" si="8"/>
        <v>0</v>
      </c>
      <c r="U65" s="87">
        <f t="shared" si="9"/>
        <v>1.4639666307496385E-2</v>
      </c>
      <c r="V65" s="87">
        <f t="shared" si="10"/>
        <v>1.0614955781251931E-3</v>
      </c>
      <c r="W65" s="120">
        <f t="shared" si="11"/>
        <v>7.0766371875012873E-4</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2.0759275219029834E-4</v>
      </c>
      <c r="J66" s="87">
        <f t="shared" si="4"/>
        <v>1.5052172902875786E-5</v>
      </c>
      <c r="K66" s="120">
        <f t="shared" si="6"/>
        <v>1.0034781935250523E-5</v>
      </c>
      <c r="O66" s="116">
        <f>Amnt_Deposited!B61</f>
        <v>2047</v>
      </c>
      <c r="P66" s="119">
        <f>Amnt_Deposited!H61</f>
        <v>0</v>
      </c>
      <c r="Q66" s="319">
        <f>MCF!R65</f>
        <v>0.8</v>
      </c>
      <c r="R66" s="87">
        <f t="shared" si="13"/>
        <v>0</v>
      </c>
      <c r="S66" s="87">
        <f t="shared" si="7"/>
        <v>0</v>
      </c>
      <c r="T66" s="87">
        <f t="shared" si="8"/>
        <v>0</v>
      </c>
      <c r="U66" s="87">
        <f t="shared" si="9"/>
        <v>1.3649934390594963E-2</v>
      </c>
      <c r="V66" s="87">
        <f t="shared" si="10"/>
        <v>9.8973191690142175E-4</v>
      </c>
      <c r="W66" s="120">
        <f t="shared" si="11"/>
        <v>6.5982127793428116E-4</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1.9355819919950119E-4</v>
      </c>
      <c r="J67" s="87">
        <f t="shared" si="4"/>
        <v>1.4034552990797161E-5</v>
      </c>
      <c r="K67" s="120">
        <f t="shared" si="6"/>
        <v>9.3563686605314405E-6</v>
      </c>
      <c r="O67" s="116">
        <f>Amnt_Deposited!B62</f>
        <v>2048</v>
      </c>
      <c r="P67" s="119">
        <f>Amnt_Deposited!H62</f>
        <v>0</v>
      </c>
      <c r="Q67" s="319">
        <f>MCF!R66</f>
        <v>0.8</v>
      </c>
      <c r="R67" s="87">
        <f t="shared" si="13"/>
        <v>0</v>
      </c>
      <c r="S67" s="87">
        <f t="shared" si="7"/>
        <v>0</v>
      </c>
      <c r="T67" s="87">
        <f t="shared" si="8"/>
        <v>0</v>
      </c>
      <c r="U67" s="87">
        <f t="shared" si="9"/>
        <v>1.272711446791241E-2</v>
      </c>
      <c r="V67" s="87">
        <f t="shared" si="10"/>
        <v>9.2281992268255326E-4</v>
      </c>
      <c r="W67" s="120">
        <f t="shared" si="11"/>
        <v>6.1521328178836877E-4</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1.8047246872573936E-4</v>
      </c>
      <c r="J68" s="87">
        <f t="shared" si="4"/>
        <v>1.3085730473761817E-5</v>
      </c>
      <c r="K68" s="120">
        <f t="shared" si="6"/>
        <v>8.7238203158412108E-6</v>
      </c>
      <c r="O68" s="116">
        <f>Amnt_Deposited!B63</f>
        <v>2049</v>
      </c>
      <c r="P68" s="119">
        <f>Amnt_Deposited!H63</f>
        <v>0</v>
      </c>
      <c r="Q68" s="319">
        <f>MCF!R67</f>
        <v>0.8</v>
      </c>
      <c r="R68" s="87">
        <f t="shared" si="13"/>
        <v>0</v>
      </c>
      <c r="S68" s="87">
        <f t="shared" si="7"/>
        <v>0</v>
      </c>
      <c r="T68" s="87">
        <f t="shared" si="8"/>
        <v>0</v>
      </c>
      <c r="U68" s="87">
        <f t="shared" si="9"/>
        <v>1.1866682875117112E-2</v>
      </c>
      <c r="V68" s="87">
        <f t="shared" si="10"/>
        <v>8.604315927952977E-4</v>
      </c>
      <c r="W68" s="120">
        <f t="shared" si="11"/>
        <v>5.7362106186353173E-4</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1.6827141450304891E-4</v>
      </c>
      <c r="J69" s="87">
        <f t="shared" si="4"/>
        <v>1.2201054222690454E-5</v>
      </c>
      <c r="K69" s="120">
        <f t="shared" si="6"/>
        <v>8.1340361484603021E-6</v>
      </c>
      <c r="O69" s="116">
        <f>Amnt_Deposited!B64</f>
        <v>2050</v>
      </c>
      <c r="P69" s="119">
        <f>Amnt_Deposited!H64</f>
        <v>0</v>
      </c>
      <c r="Q69" s="319">
        <f>MCF!R68</f>
        <v>0.8</v>
      </c>
      <c r="R69" s="87">
        <f t="shared" si="13"/>
        <v>0</v>
      </c>
      <c r="S69" s="87">
        <f t="shared" si="7"/>
        <v>0</v>
      </c>
      <c r="T69" s="87">
        <f t="shared" si="8"/>
        <v>0</v>
      </c>
      <c r="U69" s="87">
        <f t="shared" si="9"/>
        <v>1.1064421775542945E-2</v>
      </c>
      <c r="V69" s="87">
        <f t="shared" si="10"/>
        <v>8.0226109957416702E-4</v>
      </c>
      <c r="W69" s="120">
        <f t="shared" si="11"/>
        <v>5.3484073304944468E-4</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1.5689522694947497E-4</v>
      </c>
      <c r="J70" s="87">
        <f t="shared" si="4"/>
        <v>1.1376187553573952E-5</v>
      </c>
      <c r="K70" s="120">
        <f t="shared" si="6"/>
        <v>7.5841250357159675E-6</v>
      </c>
      <c r="O70" s="116">
        <f>Amnt_Deposited!B65</f>
        <v>2051</v>
      </c>
      <c r="P70" s="119">
        <f>Amnt_Deposited!H65</f>
        <v>0</v>
      </c>
      <c r="Q70" s="319">
        <f>MCF!R69</f>
        <v>0.8</v>
      </c>
      <c r="R70" s="87">
        <f t="shared" si="13"/>
        <v>0</v>
      </c>
      <c r="S70" s="87">
        <f t="shared" si="7"/>
        <v>0</v>
      </c>
      <c r="T70" s="87">
        <f t="shared" si="8"/>
        <v>0</v>
      </c>
      <c r="U70" s="87">
        <f t="shared" si="9"/>
        <v>1.0316398484349041E-2</v>
      </c>
      <c r="V70" s="87">
        <f t="shared" si="10"/>
        <v>7.4802329119390395E-4</v>
      </c>
      <c r="W70" s="120">
        <f t="shared" si="11"/>
        <v>4.9868219412926927E-4</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1.4628813998043166E-4</v>
      </c>
      <c r="J71" s="87">
        <f t="shared" si="4"/>
        <v>1.0607086969043322E-5</v>
      </c>
      <c r="K71" s="120">
        <f t="shared" si="6"/>
        <v>7.0713913126955483E-6</v>
      </c>
      <c r="O71" s="116">
        <f>Amnt_Deposited!B66</f>
        <v>2052</v>
      </c>
      <c r="P71" s="119">
        <f>Amnt_Deposited!H66</f>
        <v>0</v>
      </c>
      <c r="Q71" s="319">
        <f>MCF!R70</f>
        <v>0.8</v>
      </c>
      <c r="R71" s="87">
        <f t="shared" si="13"/>
        <v>0</v>
      </c>
      <c r="S71" s="87">
        <f t="shared" si="7"/>
        <v>0</v>
      </c>
      <c r="T71" s="87">
        <f t="shared" si="8"/>
        <v>0</v>
      </c>
      <c r="U71" s="87">
        <f t="shared" si="9"/>
        <v>9.6189461904941376E-3</v>
      </c>
      <c r="V71" s="87">
        <f t="shared" si="10"/>
        <v>6.9745229385490351E-4</v>
      </c>
      <c r="W71" s="120">
        <f t="shared" si="11"/>
        <v>4.6496819590326899E-4</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1.3639815764329076E-4</v>
      </c>
      <c r="J72" s="87">
        <f t="shared" si="4"/>
        <v>9.8899823371409115E-6</v>
      </c>
      <c r="K72" s="120">
        <f t="shared" si="6"/>
        <v>6.5933215580939407E-6</v>
      </c>
      <c r="O72" s="116">
        <f>Amnt_Deposited!B67</f>
        <v>2053</v>
      </c>
      <c r="P72" s="119">
        <f>Amnt_Deposited!H67</f>
        <v>0</v>
      </c>
      <c r="Q72" s="319">
        <f>MCF!R71</f>
        <v>0.8</v>
      </c>
      <c r="R72" s="87">
        <f t="shared" si="13"/>
        <v>0</v>
      </c>
      <c r="S72" s="87">
        <f t="shared" si="7"/>
        <v>0</v>
      </c>
      <c r="T72" s="87">
        <f t="shared" si="8"/>
        <v>0</v>
      </c>
      <c r="U72" s="87">
        <f t="shared" si="9"/>
        <v>8.9686459820245978E-3</v>
      </c>
      <c r="V72" s="87">
        <f t="shared" si="10"/>
        <v>6.5030020846953941E-4</v>
      </c>
      <c r="W72" s="120">
        <f t="shared" si="11"/>
        <v>4.3353347231302625E-4</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1.2717679923316159E-4</v>
      </c>
      <c r="J73" s="87">
        <f t="shared" si="4"/>
        <v>9.2213584101291734E-6</v>
      </c>
      <c r="K73" s="120">
        <f t="shared" si="6"/>
        <v>6.1475722734194489E-6</v>
      </c>
      <c r="O73" s="116">
        <f>Amnt_Deposited!B68</f>
        <v>2054</v>
      </c>
      <c r="P73" s="119">
        <f>Amnt_Deposited!H68</f>
        <v>0</v>
      </c>
      <c r="Q73" s="319">
        <f>MCF!R72</f>
        <v>0.8</v>
      </c>
      <c r="R73" s="87">
        <f t="shared" si="13"/>
        <v>0</v>
      </c>
      <c r="S73" s="87">
        <f t="shared" si="7"/>
        <v>0</v>
      </c>
      <c r="T73" s="87">
        <f t="shared" si="8"/>
        <v>0</v>
      </c>
      <c r="U73" s="87">
        <f t="shared" si="9"/>
        <v>8.3623100865640489E-3</v>
      </c>
      <c r="V73" s="87">
        <f t="shared" si="10"/>
        <v>6.0633589546054832E-4</v>
      </c>
      <c r="W73" s="120">
        <f t="shared" si="11"/>
        <v>4.042239303070322E-4</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1.185788616404194E-4</v>
      </c>
      <c r="J74" s="87">
        <f t="shared" si="4"/>
        <v>8.5979375927421816E-6</v>
      </c>
      <c r="K74" s="120">
        <f t="shared" si="6"/>
        <v>5.7319583951614541E-6</v>
      </c>
      <c r="O74" s="116">
        <f>Amnt_Deposited!B69</f>
        <v>2055</v>
      </c>
      <c r="P74" s="119">
        <f>Amnt_Deposited!H69</f>
        <v>0</v>
      </c>
      <c r="Q74" s="319">
        <f>MCF!R73</f>
        <v>0.8</v>
      </c>
      <c r="R74" s="87">
        <f t="shared" si="13"/>
        <v>0</v>
      </c>
      <c r="S74" s="87">
        <f t="shared" si="7"/>
        <v>0</v>
      </c>
      <c r="T74" s="87">
        <f t="shared" si="8"/>
        <v>0</v>
      </c>
      <c r="U74" s="87">
        <f t="shared" si="9"/>
        <v>7.7969662448494946E-3</v>
      </c>
      <c r="V74" s="87">
        <f t="shared" si="10"/>
        <v>5.6534384171455434E-4</v>
      </c>
      <c r="W74" s="120">
        <f t="shared" si="11"/>
        <v>3.7689589447636952E-4</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1.1056219776500957E-4</v>
      </c>
      <c r="J75" s="87">
        <f t="shared" si="4"/>
        <v>8.0166638754098362E-6</v>
      </c>
      <c r="K75" s="120">
        <f t="shared" si="6"/>
        <v>5.3444425836065569E-6</v>
      </c>
      <c r="O75" s="116">
        <f>Amnt_Deposited!B70</f>
        <v>2056</v>
      </c>
      <c r="P75" s="119">
        <f>Amnt_Deposited!H70</f>
        <v>0</v>
      </c>
      <c r="Q75" s="319">
        <f>MCF!R74</f>
        <v>0.8</v>
      </c>
      <c r="R75" s="87">
        <f t="shared" si="13"/>
        <v>0</v>
      </c>
      <c r="S75" s="87">
        <f t="shared" si="7"/>
        <v>0</v>
      </c>
      <c r="T75" s="87">
        <f t="shared" si="8"/>
        <v>0</v>
      </c>
      <c r="U75" s="87">
        <f t="shared" si="9"/>
        <v>7.2698431407129576E-3</v>
      </c>
      <c r="V75" s="87">
        <f t="shared" si="10"/>
        <v>5.2712310413653718E-4</v>
      </c>
      <c r="W75" s="120">
        <f t="shared" si="11"/>
        <v>3.5141540275769145E-4</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1.0308750991131417E-4</v>
      </c>
      <c r="J76" s="87">
        <f t="shared" si="4"/>
        <v>7.4746878536954001E-6</v>
      </c>
      <c r="K76" s="120">
        <f t="shared" si="6"/>
        <v>4.9831252357969334E-6</v>
      </c>
      <c r="O76" s="116">
        <f>Amnt_Deposited!B71</f>
        <v>2057</v>
      </c>
      <c r="P76" s="119">
        <f>Amnt_Deposited!H71</f>
        <v>0</v>
      </c>
      <c r="Q76" s="319">
        <f>MCF!R75</f>
        <v>0.8</v>
      </c>
      <c r="R76" s="87">
        <f t="shared" si="13"/>
        <v>0</v>
      </c>
      <c r="S76" s="87">
        <f t="shared" si="7"/>
        <v>0</v>
      </c>
      <c r="T76" s="87">
        <f t="shared" si="8"/>
        <v>0</v>
      </c>
      <c r="U76" s="87">
        <f t="shared" si="9"/>
        <v>6.7783568160864104E-3</v>
      </c>
      <c r="V76" s="87">
        <f t="shared" si="10"/>
        <v>4.9148632462654685E-4</v>
      </c>
      <c r="W76" s="120">
        <f t="shared" si="11"/>
        <v>3.2765754975103123E-4</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9.611815715080252E-5</v>
      </c>
      <c r="J77" s="87">
        <f t="shared" si="4"/>
        <v>6.969352760511648E-6</v>
      </c>
      <c r="K77" s="120">
        <f t="shared" si="6"/>
        <v>4.6462351736744314E-6</v>
      </c>
      <c r="O77" s="116">
        <f>Amnt_Deposited!B72</f>
        <v>2058</v>
      </c>
      <c r="P77" s="119">
        <f>Amnt_Deposited!H72</f>
        <v>0</v>
      </c>
      <c r="Q77" s="319">
        <f>MCF!R76</f>
        <v>0.8</v>
      </c>
      <c r="R77" s="87">
        <f t="shared" si="13"/>
        <v>0</v>
      </c>
      <c r="S77" s="87">
        <f t="shared" si="7"/>
        <v>0</v>
      </c>
      <c r="T77" s="87">
        <f t="shared" si="8"/>
        <v>0</v>
      </c>
      <c r="U77" s="87">
        <f t="shared" si="9"/>
        <v>6.3200980044363295E-3</v>
      </c>
      <c r="V77" s="87">
        <f t="shared" si="10"/>
        <v>4.5825881165008093E-4</v>
      </c>
      <c r="W77" s="120">
        <f t="shared" si="11"/>
        <v>3.0550587443338727E-4</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8.9619975708156994E-5</v>
      </c>
      <c r="J78" s="87">
        <f t="shared" si="4"/>
        <v>6.4981814426455205E-6</v>
      </c>
      <c r="K78" s="120">
        <f t="shared" si="6"/>
        <v>4.3321209617636804E-6</v>
      </c>
      <c r="O78" s="116">
        <f>Amnt_Deposited!B73</f>
        <v>2059</v>
      </c>
      <c r="P78" s="119">
        <f>Amnt_Deposited!H73</f>
        <v>0</v>
      </c>
      <c r="Q78" s="319">
        <f>MCF!R77</f>
        <v>0.8</v>
      </c>
      <c r="R78" s="87">
        <f t="shared" si="13"/>
        <v>0</v>
      </c>
      <c r="S78" s="87">
        <f t="shared" si="7"/>
        <v>0</v>
      </c>
      <c r="T78" s="87">
        <f t="shared" si="8"/>
        <v>0</v>
      </c>
      <c r="U78" s="87">
        <f t="shared" si="9"/>
        <v>5.8928203205363501E-3</v>
      </c>
      <c r="V78" s="87">
        <f t="shared" si="10"/>
        <v>4.2727768389997939E-4</v>
      </c>
      <c r="W78" s="120">
        <f t="shared" si="11"/>
        <v>2.8485178926665293E-4</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8.3561111490406786E-5</v>
      </c>
      <c r="J79" s="87">
        <f t="shared" si="4"/>
        <v>6.0588642177502025E-6</v>
      </c>
      <c r="K79" s="120">
        <f t="shared" si="6"/>
        <v>4.0392428118334683E-6</v>
      </c>
      <c r="O79" s="116">
        <f>Amnt_Deposited!B74</f>
        <v>2060</v>
      </c>
      <c r="P79" s="119">
        <f>Amnt_Deposited!H74</f>
        <v>0</v>
      </c>
      <c r="Q79" s="319">
        <f>MCF!R78</f>
        <v>0.8</v>
      </c>
      <c r="R79" s="87">
        <f t="shared" si="13"/>
        <v>0</v>
      </c>
      <c r="S79" s="87">
        <f t="shared" si="7"/>
        <v>0</v>
      </c>
      <c r="T79" s="87">
        <f t="shared" si="8"/>
        <v>0</v>
      </c>
      <c r="U79" s="87">
        <f t="shared" si="9"/>
        <v>5.4944292486842818E-3</v>
      </c>
      <c r="V79" s="87">
        <f t="shared" si="10"/>
        <v>3.9839107185206808E-4</v>
      </c>
      <c r="W79" s="120">
        <f t="shared" si="11"/>
        <v>2.6559404790137868E-4</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7.7911863938127208E-5</v>
      </c>
      <c r="J80" s="87">
        <f t="shared" si="4"/>
        <v>5.6492475522795765E-6</v>
      </c>
      <c r="K80" s="120">
        <f t="shared" si="6"/>
        <v>3.7661650348530507E-6</v>
      </c>
      <c r="O80" s="116">
        <f>Amnt_Deposited!B75</f>
        <v>2061</v>
      </c>
      <c r="P80" s="119">
        <f>Amnt_Deposited!H75</f>
        <v>0</v>
      </c>
      <c r="Q80" s="319">
        <f>MCF!R79</f>
        <v>0.8</v>
      </c>
      <c r="R80" s="87">
        <f t="shared" si="13"/>
        <v>0</v>
      </c>
      <c r="S80" s="87">
        <f t="shared" si="7"/>
        <v>0</v>
      </c>
      <c r="T80" s="87">
        <f t="shared" si="8"/>
        <v>0</v>
      </c>
      <c r="U80" s="87">
        <f t="shared" si="9"/>
        <v>5.122971875383707E-3</v>
      </c>
      <c r="V80" s="87">
        <f t="shared" si="10"/>
        <v>3.7145737330057486E-4</v>
      </c>
      <c r="W80" s="120">
        <f t="shared" si="11"/>
        <v>2.4763824886704991E-4</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7.2644540433262924E-5</v>
      </c>
      <c r="J81" s="87">
        <f t="shared" si="4"/>
        <v>5.267323504864282E-6</v>
      </c>
      <c r="K81" s="120">
        <f t="shared" si="6"/>
        <v>3.5115490032428547E-6</v>
      </c>
      <c r="O81" s="116">
        <f>Amnt_Deposited!B76</f>
        <v>2062</v>
      </c>
      <c r="P81" s="119">
        <f>Amnt_Deposited!H76</f>
        <v>0</v>
      </c>
      <c r="Q81" s="319">
        <f>MCF!R80</f>
        <v>0.8</v>
      </c>
      <c r="R81" s="87">
        <f t="shared" si="13"/>
        <v>0</v>
      </c>
      <c r="S81" s="87">
        <f t="shared" si="7"/>
        <v>0</v>
      </c>
      <c r="T81" s="87">
        <f t="shared" si="8"/>
        <v>0</v>
      </c>
      <c r="U81" s="87">
        <f t="shared" si="9"/>
        <v>4.7766273161597541E-3</v>
      </c>
      <c r="V81" s="87">
        <f t="shared" si="10"/>
        <v>3.4634455922395279E-4</v>
      </c>
      <c r="W81" s="120">
        <f t="shared" si="11"/>
        <v>2.3089637281596852E-4</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6.7733320549882126E-5</v>
      </c>
      <c r="J82" s="87">
        <f t="shared" si="4"/>
        <v>4.9112198833807954E-6</v>
      </c>
      <c r="K82" s="120">
        <f t="shared" si="6"/>
        <v>3.2741465889205301E-6</v>
      </c>
      <c r="O82" s="116">
        <f>Amnt_Deposited!B77</f>
        <v>2063</v>
      </c>
      <c r="P82" s="119">
        <f>Amnt_Deposited!H77</f>
        <v>0</v>
      </c>
      <c r="Q82" s="319">
        <f>MCF!R81</f>
        <v>0.8</v>
      </c>
      <c r="R82" s="87">
        <f t="shared" si="13"/>
        <v>0</v>
      </c>
      <c r="S82" s="87">
        <f t="shared" si="7"/>
        <v>0</v>
      </c>
      <c r="T82" s="87">
        <f t="shared" si="8"/>
        <v>0</v>
      </c>
      <c r="U82" s="87">
        <f t="shared" si="9"/>
        <v>4.4536977895812905E-3</v>
      </c>
      <c r="V82" s="87">
        <f t="shared" si="10"/>
        <v>3.229295265784633E-4</v>
      </c>
      <c r="W82" s="120">
        <f t="shared" si="11"/>
        <v>2.1528635105230886E-4</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6.3154129482418655E-5</v>
      </c>
      <c r="J83" s="87">
        <f t="shared" ref="J83:J99" si="18">I82*(1-$K$10)+H83</f>
        <v>4.579191067463466E-6</v>
      </c>
      <c r="K83" s="120">
        <f t="shared" si="6"/>
        <v>3.0527940449756437E-6</v>
      </c>
      <c r="O83" s="116">
        <f>Amnt_Deposited!B78</f>
        <v>2064</v>
      </c>
      <c r="P83" s="119">
        <f>Amnt_Deposited!H78</f>
        <v>0</v>
      </c>
      <c r="Q83" s="319">
        <f>MCF!R82</f>
        <v>0.8</v>
      </c>
      <c r="R83" s="87">
        <f t="shared" ref="R83:R99" si="19">P83*$W$6*DOCF*Q83</f>
        <v>0</v>
      </c>
      <c r="S83" s="87">
        <f t="shared" si="7"/>
        <v>0</v>
      </c>
      <c r="T83" s="87">
        <f t="shared" si="8"/>
        <v>0</v>
      </c>
      <c r="U83" s="87">
        <f t="shared" si="9"/>
        <v>4.1526002947343777E-3</v>
      </c>
      <c r="V83" s="87">
        <f t="shared" si="10"/>
        <v>3.010974948469128E-4</v>
      </c>
      <c r="W83" s="120">
        <f t="shared" si="11"/>
        <v>2.0073166323127518E-4</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5.8884520030947199E-5</v>
      </c>
      <c r="J84" s="87">
        <f t="shared" si="18"/>
        <v>4.2696094514714571E-6</v>
      </c>
      <c r="K84" s="120">
        <f t="shared" si="6"/>
        <v>2.8464063009809713E-6</v>
      </c>
      <c r="O84" s="116">
        <f>Amnt_Deposited!B79</f>
        <v>2065</v>
      </c>
      <c r="P84" s="119">
        <f>Amnt_Deposited!H79</f>
        <v>0</v>
      </c>
      <c r="Q84" s="319">
        <f>MCF!R83</f>
        <v>0.8</v>
      </c>
      <c r="R84" s="87">
        <f t="shared" si="19"/>
        <v>0</v>
      </c>
      <c r="S84" s="87">
        <f t="shared" si="7"/>
        <v>0</v>
      </c>
      <c r="T84" s="87">
        <f t="shared" si="8"/>
        <v>0</v>
      </c>
      <c r="U84" s="87">
        <f t="shared" si="9"/>
        <v>3.8718588513499529E-3</v>
      </c>
      <c r="V84" s="87">
        <f t="shared" si="10"/>
        <v>2.8074144338442459E-4</v>
      </c>
      <c r="W84" s="120">
        <f t="shared" si="11"/>
        <v>1.8716096225628305E-4</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5.4903562564983183E-5</v>
      </c>
      <c r="J85" s="87">
        <f t="shared" si="18"/>
        <v>3.9809574659640123E-6</v>
      </c>
      <c r="K85" s="120">
        <f t="shared" ref="K85:K99" si="20">J85*CH4_fraction*conv</f>
        <v>2.6539716439760082E-6</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3.6100972645468398E-3</v>
      </c>
      <c r="V85" s="87">
        <f t="shared" ref="V85:V98" si="24">U84*(1-$W$10)+T85</f>
        <v>2.6176158680311316E-4</v>
      </c>
      <c r="W85" s="120">
        <f t="shared" ref="W85:W99" si="25">V85*CH4_fraction*conv</f>
        <v>1.7450772453540876E-4</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5.1191742426409892E-5</v>
      </c>
      <c r="J86" s="87">
        <f t="shared" si="18"/>
        <v>3.7118201385732894E-6</v>
      </c>
      <c r="K86" s="120">
        <f t="shared" si="20"/>
        <v>2.4745467590488595E-6</v>
      </c>
      <c r="O86" s="116">
        <f>Amnt_Deposited!B81</f>
        <v>2067</v>
      </c>
      <c r="P86" s="119">
        <f>Amnt_Deposited!H81</f>
        <v>0</v>
      </c>
      <c r="Q86" s="319">
        <f>MCF!R85</f>
        <v>0.8</v>
      </c>
      <c r="R86" s="87">
        <f t="shared" si="19"/>
        <v>0</v>
      </c>
      <c r="S86" s="87">
        <f t="shared" si="21"/>
        <v>0</v>
      </c>
      <c r="T86" s="87">
        <f t="shared" si="22"/>
        <v>0</v>
      </c>
      <c r="U86" s="87">
        <f t="shared" si="23"/>
        <v>3.3660323787228427E-3</v>
      </c>
      <c r="V86" s="87">
        <f t="shared" si="24"/>
        <v>2.4406488582399716E-4</v>
      </c>
      <c r="W86" s="120">
        <f t="shared" si="25"/>
        <v>1.6270992388266477E-4</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4.7730864268601719E-5</v>
      </c>
      <c r="J87" s="87">
        <f t="shared" si="18"/>
        <v>3.4608781578081758E-6</v>
      </c>
      <c r="K87" s="120">
        <f t="shared" si="20"/>
        <v>2.3072521052054505E-6</v>
      </c>
      <c r="O87" s="116">
        <f>Amnt_Deposited!B82</f>
        <v>2068</v>
      </c>
      <c r="P87" s="119">
        <f>Amnt_Deposited!H82</f>
        <v>0</v>
      </c>
      <c r="Q87" s="319">
        <f>MCF!R86</f>
        <v>0.8</v>
      </c>
      <c r="R87" s="87">
        <f t="shared" si="19"/>
        <v>0</v>
      </c>
      <c r="S87" s="87">
        <f t="shared" si="21"/>
        <v>0</v>
      </c>
      <c r="T87" s="87">
        <f t="shared" si="22"/>
        <v>0</v>
      </c>
      <c r="U87" s="87">
        <f t="shared" si="23"/>
        <v>3.1384677875244968E-3</v>
      </c>
      <c r="V87" s="87">
        <f t="shared" si="24"/>
        <v>2.2756459119834584E-4</v>
      </c>
      <c r="W87" s="120">
        <f t="shared" si="25"/>
        <v>1.517097274655639E-4</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4.4503962862813892E-5</v>
      </c>
      <c r="J88" s="87">
        <f t="shared" si="18"/>
        <v>3.2269014057878265E-6</v>
      </c>
      <c r="K88" s="120">
        <f t="shared" si="20"/>
        <v>2.1512676038585509E-6</v>
      </c>
      <c r="O88" s="116">
        <f>Amnt_Deposited!B83</f>
        <v>2069</v>
      </c>
      <c r="P88" s="119">
        <f>Amnt_Deposited!H83</f>
        <v>0</v>
      </c>
      <c r="Q88" s="319">
        <f>MCF!R87</f>
        <v>0.8</v>
      </c>
      <c r="R88" s="87">
        <f t="shared" si="19"/>
        <v>0</v>
      </c>
      <c r="S88" s="87">
        <f t="shared" si="21"/>
        <v>0</v>
      </c>
      <c r="T88" s="87">
        <f t="shared" si="22"/>
        <v>0</v>
      </c>
      <c r="U88" s="87">
        <f t="shared" si="23"/>
        <v>2.9262879690617354E-3</v>
      </c>
      <c r="V88" s="87">
        <f t="shared" si="24"/>
        <v>2.1217981846276119E-4</v>
      </c>
      <c r="W88" s="120">
        <f t="shared" si="25"/>
        <v>1.4145321230850746E-4</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4.1495219934611506E-5</v>
      </c>
      <c r="J89" s="87">
        <f t="shared" si="18"/>
        <v>3.0087429282023858E-6</v>
      </c>
      <c r="K89" s="120">
        <f t="shared" si="20"/>
        <v>2.0058286188015902E-6</v>
      </c>
      <c r="O89" s="116">
        <f>Amnt_Deposited!B84</f>
        <v>2070</v>
      </c>
      <c r="P89" s="119">
        <f>Amnt_Deposited!H84</f>
        <v>0</v>
      </c>
      <c r="Q89" s="319">
        <f>MCF!R88</f>
        <v>0.8</v>
      </c>
      <c r="R89" s="87">
        <f t="shared" si="19"/>
        <v>0</v>
      </c>
      <c r="S89" s="87">
        <f t="shared" si="21"/>
        <v>0</v>
      </c>
      <c r="T89" s="87">
        <f t="shared" si="22"/>
        <v>0</v>
      </c>
      <c r="U89" s="87">
        <f t="shared" si="23"/>
        <v>2.7284528176182909E-3</v>
      </c>
      <c r="V89" s="87">
        <f t="shared" si="24"/>
        <v>1.9783515144344456E-4</v>
      </c>
      <c r="W89" s="120">
        <f t="shared" si="25"/>
        <v>1.3189010096229637E-4</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3.8689886622669876E-5</v>
      </c>
      <c r="J90" s="87">
        <f t="shared" si="18"/>
        <v>2.8053333119416307E-6</v>
      </c>
      <c r="K90" s="120">
        <f t="shared" si="20"/>
        <v>1.8702222079610871E-6</v>
      </c>
      <c r="O90" s="116">
        <f>Amnt_Deposited!B85</f>
        <v>2071</v>
      </c>
      <c r="P90" s="119">
        <f>Amnt_Deposited!H85</f>
        <v>0</v>
      </c>
      <c r="Q90" s="319">
        <f>MCF!R89</f>
        <v>0.8</v>
      </c>
      <c r="R90" s="87">
        <f t="shared" si="19"/>
        <v>0</v>
      </c>
      <c r="S90" s="87">
        <f t="shared" si="21"/>
        <v>0</v>
      </c>
      <c r="T90" s="87">
        <f t="shared" si="22"/>
        <v>0</v>
      </c>
      <c r="U90" s="87">
        <f t="shared" si="23"/>
        <v>2.543992545052266E-3</v>
      </c>
      <c r="V90" s="87">
        <f t="shared" si="24"/>
        <v>1.8446027256602504E-4</v>
      </c>
      <c r="W90" s="120">
        <f t="shared" si="25"/>
        <v>1.2297351504401668E-4</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3.6074211179839214E-5</v>
      </c>
      <c r="J91" s="87">
        <f t="shared" si="18"/>
        <v>2.6156754428306622E-6</v>
      </c>
      <c r="K91" s="120">
        <f t="shared" si="20"/>
        <v>1.7437836285537747E-6</v>
      </c>
      <c r="O91" s="116">
        <f>Amnt_Deposited!B86</f>
        <v>2072</v>
      </c>
      <c r="P91" s="119">
        <f>Amnt_Deposited!H86</f>
        <v>0</v>
      </c>
      <c r="Q91" s="319">
        <f>MCF!R90</f>
        <v>0.8</v>
      </c>
      <c r="R91" s="87">
        <f t="shared" si="19"/>
        <v>0</v>
      </c>
      <c r="S91" s="87">
        <f t="shared" si="21"/>
        <v>0</v>
      </c>
      <c r="T91" s="87">
        <f t="shared" si="22"/>
        <v>0</v>
      </c>
      <c r="U91" s="87">
        <f t="shared" si="23"/>
        <v>2.3720029268935374E-3</v>
      </c>
      <c r="V91" s="87">
        <f t="shared" si="24"/>
        <v>1.7198961815872849E-4</v>
      </c>
      <c r="W91" s="120">
        <f t="shared" si="25"/>
        <v>1.1465974543915233E-4</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3.3635371562064149E-5</v>
      </c>
      <c r="J92" s="87">
        <f t="shared" si="18"/>
        <v>2.4388396177750642E-6</v>
      </c>
      <c r="K92" s="120">
        <f t="shared" si="20"/>
        <v>1.6258930785167094E-6</v>
      </c>
      <c r="O92" s="116">
        <f>Amnt_Deposited!B87</f>
        <v>2073</v>
      </c>
      <c r="P92" s="119">
        <f>Amnt_Deposited!H87</f>
        <v>0</v>
      </c>
      <c r="Q92" s="319">
        <f>MCF!R91</f>
        <v>0.8</v>
      </c>
      <c r="R92" s="87">
        <f t="shared" si="19"/>
        <v>0</v>
      </c>
      <c r="S92" s="87">
        <f t="shared" si="21"/>
        <v>0</v>
      </c>
      <c r="T92" s="87">
        <f t="shared" si="22"/>
        <v>0</v>
      </c>
      <c r="U92" s="87">
        <f t="shared" si="23"/>
        <v>2.2116408698343551E-3</v>
      </c>
      <c r="V92" s="87">
        <f t="shared" si="24"/>
        <v>1.603620570591823E-4</v>
      </c>
      <c r="W92" s="120">
        <f t="shared" si="25"/>
        <v>1.0690803803945486E-4</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3.1361412574708894E-5</v>
      </c>
      <c r="J93" s="87">
        <f t="shared" si="18"/>
        <v>2.2739589873552547E-6</v>
      </c>
      <c r="K93" s="120">
        <f t="shared" si="20"/>
        <v>1.5159726582368364E-6</v>
      </c>
      <c r="O93" s="116">
        <f>Amnt_Deposited!B88</f>
        <v>2074</v>
      </c>
      <c r="P93" s="119">
        <f>Amnt_Deposited!H88</f>
        <v>0</v>
      </c>
      <c r="Q93" s="319">
        <f>MCF!R92</f>
        <v>0.8</v>
      </c>
      <c r="R93" s="87">
        <f t="shared" si="19"/>
        <v>0</v>
      </c>
      <c r="S93" s="87">
        <f t="shared" si="21"/>
        <v>0</v>
      </c>
      <c r="T93" s="87">
        <f t="shared" si="22"/>
        <v>0</v>
      </c>
      <c r="U93" s="87">
        <f t="shared" si="23"/>
        <v>2.0621202788849687E-3</v>
      </c>
      <c r="V93" s="87">
        <f t="shared" si="24"/>
        <v>1.4952059094938661E-4</v>
      </c>
      <c r="W93" s="120">
        <f t="shared" si="25"/>
        <v>9.9680393966257737E-5</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2.9241187268179266E-5</v>
      </c>
      <c r="J94" s="87">
        <f t="shared" si="18"/>
        <v>2.1202253065296278E-6</v>
      </c>
      <c r="K94" s="120">
        <f t="shared" si="20"/>
        <v>1.4134835376864186E-6</v>
      </c>
      <c r="O94" s="116">
        <f>Amnt_Deposited!B89</f>
        <v>2075</v>
      </c>
      <c r="P94" s="119">
        <f>Amnt_Deposited!H89</f>
        <v>0</v>
      </c>
      <c r="Q94" s="319">
        <f>MCF!R93</f>
        <v>0.8</v>
      </c>
      <c r="R94" s="87">
        <f t="shared" si="19"/>
        <v>0</v>
      </c>
      <c r="S94" s="87">
        <f t="shared" si="21"/>
        <v>0</v>
      </c>
      <c r="T94" s="87">
        <f t="shared" si="22"/>
        <v>0</v>
      </c>
      <c r="U94" s="87">
        <f t="shared" si="23"/>
        <v>1.9227082039350754E-3</v>
      </c>
      <c r="V94" s="87">
        <f t="shared" si="24"/>
        <v>1.3941207494989338E-4</v>
      </c>
      <c r="W94" s="120">
        <f t="shared" si="25"/>
        <v>9.2941383299928909E-5</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2.7264302295562844E-5</v>
      </c>
      <c r="J95" s="87">
        <f t="shared" si="18"/>
        <v>1.97688497261642E-6</v>
      </c>
      <c r="K95" s="120">
        <f t="shared" si="20"/>
        <v>1.3179233150776133E-6</v>
      </c>
      <c r="O95" s="116">
        <f>Amnt_Deposited!B90</f>
        <v>2076</v>
      </c>
      <c r="P95" s="119">
        <f>Amnt_Deposited!H90</f>
        <v>0</v>
      </c>
      <c r="Q95" s="319">
        <f>MCF!R94</f>
        <v>0.8</v>
      </c>
      <c r="R95" s="87">
        <f t="shared" si="19"/>
        <v>0</v>
      </c>
      <c r="S95" s="87">
        <f t="shared" si="21"/>
        <v>0</v>
      </c>
      <c r="T95" s="87">
        <f t="shared" si="22"/>
        <v>0</v>
      </c>
      <c r="U95" s="87">
        <f t="shared" si="23"/>
        <v>1.79272124683153E-3</v>
      </c>
      <c r="V95" s="87">
        <f t="shared" si="24"/>
        <v>1.2998695710354544E-4</v>
      </c>
      <c r="W95" s="120">
        <f t="shared" si="25"/>
        <v>8.6657971402363625E-5</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2.5421066964430355E-5</v>
      </c>
      <c r="J96" s="87">
        <f t="shared" si="18"/>
        <v>1.8432353311324896E-6</v>
      </c>
      <c r="K96" s="120">
        <f t="shared" si="20"/>
        <v>1.2288235540883264E-6</v>
      </c>
      <c r="O96" s="116">
        <f>Amnt_Deposited!B91</f>
        <v>2077</v>
      </c>
      <c r="P96" s="119">
        <f>Amnt_Deposited!H91</f>
        <v>0</v>
      </c>
      <c r="Q96" s="319">
        <f>MCF!R95</f>
        <v>0.8</v>
      </c>
      <c r="R96" s="87">
        <f t="shared" si="19"/>
        <v>0</v>
      </c>
      <c r="S96" s="87">
        <f t="shared" si="21"/>
        <v>0</v>
      </c>
      <c r="T96" s="87">
        <f t="shared" si="22"/>
        <v>0</v>
      </c>
      <c r="U96" s="87">
        <f t="shared" si="23"/>
        <v>1.6715222113598046E-3</v>
      </c>
      <c r="V96" s="87">
        <f t="shared" si="24"/>
        <v>1.2119903547172537E-4</v>
      </c>
      <c r="W96" s="120">
        <f t="shared" si="25"/>
        <v>8.0799356981150244E-5</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2.3702445733050127E-5</v>
      </c>
      <c r="J97" s="87">
        <f t="shared" si="18"/>
        <v>1.7186212313802274E-6</v>
      </c>
      <c r="K97" s="120">
        <f t="shared" si="20"/>
        <v>1.1457474875868182E-6</v>
      </c>
      <c r="O97" s="116">
        <f>Amnt_Deposited!B92</f>
        <v>2078</v>
      </c>
      <c r="P97" s="119">
        <f>Amnt_Deposited!H92</f>
        <v>0</v>
      </c>
      <c r="Q97" s="319">
        <f>MCF!R96</f>
        <v>0.8</v>
      </c>
      <c r="R97" s="87">
        <f t="shared" si="19"/>
        <v>0</v>
      </c>
      <c r="S97" s="87">
        <f t="shared" si="21"/>
        <v>0</v>
      </c>
      <c r="T97" s="87">
        <f t="shared" si="22"/>
        <v>0</v>
      </c>
      <c r="U97" s="87">
        <f t="shared" si="23"/>
        <v>1.5585169797074062E-3</v>
      </c>
      <c r="V97" s="87">
        <f t="shared" si="24"/>
        <v>1.1300523165239855E-4</v>
      </c>
      <c r="W97" s="120">
        <f t="shared" si="25"/>
        <v>7.5336821101599025E-5</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2.2100013918152053E-5</v>
      </c>
      <c r="J98" s="87">
        <f t="shared" si="18"/>
        <v>1.6024318148980748E-6</v>
      </c>
      <c r="K98" s="120">
        <f t="shared" si="20"/>
        <v>1.0682878765987164E-6</v>
      </c>
      <c r="O98" s="116">
        <f>Amnt_Deposited!B93</f>
        <v>2079</v>
      </c>
      <c r="P98" s="119">
        <f>Amnt_Deposited!H93</f>
        <v>0</v>
      </c>
      <c r="Q98" s="319">
        <f>MCF!R97</f>
        <v>0.8</v>
      </c>
      <c r="R98" s="87">
        <f t="shared" si="19"/>
        <v>0</v>
      </c>
      <c r="S98" s="87">
        <f t="shared" si="21"/>
        <v>0</v>
      </c>
      <c r="T98" s="87">
        <f t="shared" si="22"/>
        <v>0</v>
      </c>
      <c r="U98" s="87">
        <f t="shared" si="23"/>
        <v>1.4531516000976697E-3</v>
      </c>
      <c r="V98" s="87">
        <f t="shared" si="24"/>
        <v>1.0536537960973646E-4</v>
      </c>
      <c r="W98" s="120">
        <f t="shared" si="25"/>
        <v>7.0243586406490964E-5</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2.0605916397120415E-5</v>
      </c>
      <c r="J99" s="88">
        <f t="shared" si="18"/>
        <v>1.4940975210316376E-6</v>
      </c>
      <c r="K99" s="122">
        <f t="shared" si="20"/>
        <v>9.9606501402109156E-7</v>
      </c>
      <c r="O99" s="117">
        <f>Amnt_Deposited!B94</f>
        <v>2080</v>
      </c>
      <c r="P99" s="121">
        <f>Amnt_Deposited!H94</f>
        <v>0</v>
      </c>
      <c r="Q99" s="320">
        <f>MCF!R98</f>
        <v>0.8</v>
      </c>
      <c r="R99" s="88">
        <f t="shared" si="19"/>
        <v>0</v>
      </c>
      <c r="S99" s="88">
        <f>R99*$W$12</f>
        <v>0</v>
      </c>
      <c r="T99" s="88">
        <f>R99*(1-$W$12)</f>
        <v>0</v>
      </c>
      <c r="U99" s="88">
        <f>S99+U98*$W$10</f>
        <v>1.3549095713175073E-3</v>
      </c>
      <c r="V99" s="88">
        <f>U98*(1-$W$10)+T99</f>
        <v>9.8242028780162483E-5</v>
      </c>
      <c r="W99" s="122">
        <f t="shared" si="25"/>
        <v>6.5494685853441647E-5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1"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70" t="s">
        <v>342</v>
      </c>
      <c r="E2" s="771"/>
      <c r="F2" s="772"/>
    </row>
    <row r="3" spans="1:18" ht="16.5" thickBot="1">
      <c r="B3" s="12"/>
      <c r="C3" s="5" t="s">
        <v>276</v>
      </c>
      <c r="D3" s="770" t="s">
        <v>337</v>
      </c>
      <c r="E3" s="771"/>
      <c r="F3" s="772"/>
    </row>
    <row r="4" spans="1:18" ht="16.5" thickBot="1">
      <c r="B4" s="12"/>
      <c r="C4" s="5" t="s">
        <v>30</v>
      </c>
      <c r="D4" s="770" t="s">
        <v>266</v>
      </c>
      <c r="E4" s="771"/>
      <c r="F4" s="772"/>
    </row>
    <row r="5" spans="1:18" ht="16.5" thickBot="1">
      <c r="B5" s="12"/>
      <c r="C5" s="5" t="s">
        <v>117</v>
      </c>
      <c r="D5" s="773"/>
      <c r="E5" s="774"/>
      <c r="F5" s="775"/>
    </row>
    <row r="6" spans="1:18">
      <c r="B6" s="13" t="s">
        <v>201</v>
      </c>
    </row>
    <row r="7" spans="1:18">
      <c r="B7" s="35" t="s">
        <v>31</v>
      </c>
    </row>
    <row r="8" spans="1:18" ht="13.5" thickBot="1">
      <c r="B8" s="35"/>
    </row>
    <row r="9" spans="1:18" ht="12.75" customHeight="1">
      <c r="A9" s="1"/>
      <c r="C9" s="768" t="s">
        <v>18</v>
      </c>
      <c r="D9" s="769"/>
      <c r="E9" s="766" t="s">
        <v>100</v>
      </c>
      <c r="F9" s="767"/>
      <c r="H9" s="768" t="s">
        <v>18</v>
      </c>
      <c r="I9" s="769"/>
      <c r="J9" s="766" t="s">
        <v>100</v>
      </c>
      <c r="K9" s="767"/>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4" t="s">
        <v>250</v>
      </c>
      <c r="D12" s="765"/>
      <c r="E12" s="764" t="s">
        <v>250</v>
      </c>
      <c r="F12" s="765"/>
      <c r="H12" s="764" t="s">
        <v>251</v>
      </c>
      <c r="I12" s="765"/>
      <c r="J12" s="764" t="s">
        <v>251</v>
      </c>
      <c r="K12" s="765"/>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v>0.123</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0.123</v>
      </c>
      <c r="Q15" s="55" t="s">
        <v>6</v>
      </c>
      <c r="R15" s="423">
        <f>IF(Select2=1,J15,0)</f>
        <v>0.15</v>
      </c>
    </row>
    <row r="16" spans="1:18">
      <c r="B16" s="8" t="str">
        <f>IF(Select2=1,"Paper/cardboard","Sewage sludge")</f>
        <v>Paper/cardboard</v>
      </c>
      <c r="C16" s="185" t="str">
        <f>INDEX(DOC_table,IF(Select2=1,2,13),2)</f>
        <v>0.40-0.50</v>
      </c>
      <c r="D16" s="47">
        <f>INDEX(DOC_table,IF(Select2=1,2,13),1)</f>
        <v>0.44</v>
      </c>
      <c r="E16" s="291">
        <v>2.8000000000000001E-2</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2.8000000000000001E-2</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v>2.5000000000000001E-2</v>
      </c>
      <c r="F17" s="271"/>
      <c r="H17" s="185" t="str">
        <f>INDEX(DOC_table,IF(Select2=1,3,15),4)</f>
        <v>0.18-0.22</v>
      </c>
      <c r="I17" s="47">
        <f>INDEX(DOC_table,IF(Select2=1,3,15),3)</f>
        <v>0.2</v>
      </c>
      <c r="J17" s="291">
        <f>I17</f>
        <v>0.2</v>
      </c>
      <c r="K17" s="271"/>
      <c r="L17" s="6"/>
      <c r="N17" s="445" t="s">
        <v>261</v>
      </c>
      <c r="O17" s="2">
        <f>IF(Select2=1,E17,E62)</f>
        <v>2.5000000000000001E-2</v>
      </c>
      <c r="Q17" s="445" t="s">
        <v>261</v>
      </c>
      <c r="R17" s="424">
        <f>IF(Select2=1,J17,J62)</f>
        <v>0.2</v>
      </c>
    </row>
    <row r="18" spans="2:18">
      <c r="B18" s="2" t="str">
        <f>IF(Select2=1,"Textiles","")</f>
        <v>Textiles</v>
      </c>
      <c r="C18" s="186" t="str">
        <f>IF(Select2=1,INDEX(DOC_table,4,2),"")</f>
        <v>0.25-0.50</v>
      </c>
      <c r="D18" s="19">
        <f>IF(Select2=1,INDEX(DOC_table,4,1),"")</f>
        <v>0.3</v>
      </c>
      <c r="E18" s="291">
        <v>5.0000000000000001E-3</v>
      </c>
      <c r="F18" s="271"/>
      <c r="H18" s="186" t="str">
        <f>IF(Select2=1,INDEX(DOC_table,4,4),"")</f>
        <v>0.20-0.40</v>
      </c>
      <c r="I18" s="19">
        <f>IF(Select2=1,INDEX(DOC_table,4,3),"")</f>
        <v>0.24</v>
      </c>
      <c r="J18" s="291">
        <f>I18</f>
        <v>0.24</v>
      </c>
      <c r="K18" s="271"/>
      <c r="L18" s="6"/>
      <c r="N18" s="2" t="s">
        <v>16</v>
      </c>
      <c r="O18" s="2">
        <f>IF(Select2=1,E18,0)</f>
        <v>5.0000000000000001E-3</v>
      </c>
      <c r="Q18" s="2" t="s">
        <v>16</v>
      </c>
      <c r="R18" s="424">
        <f>IF(Select2=1,J18,0)</f>
        <v>0.24</v>
      </c>
    </row>
    <row r="19" spans="2:18">
      <c r="B19" s="2" t="str">
        <f>IF(Select2=1,"Rubber and Leather","")</f>
        <v>Rubber and Leather</v>
      </c>
      <c r="C19" s="186" t="str">
        <f>IF(Select2=1,INDEX(DOC_table,5,2),"")</f>
        <v>0.47</v>
      </c>
      <c r="D19" s="19">
        <f>IF(Select2=1,INDEX(DOC_table,5,1),"")</f>
        <v>0.47</v>
      </c>
      <c r="E19" s="291">
        <v>1E-3</v>
      </c>
      <c r="F19" s="271"/>
      <c r="H19" s="186" t="str">
        <f>IF(Select2=1,INDEX(DOC_table,5,4),"")</f>
        <v>0.39</v>
      </c>
      <c r="I19" s="19">
        <f>IF(Select2=1,INDEX(DOC_table,5,3),"")</f>
        <v>0.39</v>
      </c>
      <c r="J19" s="291">
        <f t="shared" ref="J19:J25" si="0">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1E-3</v>
      </c>
      <c r="Q19" s="2" t="s">
        <v>229</v>
      </c>
      <c r="R19" s="424">
        <f>IF(Select2=1,J19,0)</f>
        <v>0.39</v>
      </c>
    </row>
    <row r="20" spans="2:18">
      <c r="B20" s="2" t="str">
        <f>IF(Select2=1,"Wood","")</f>
        <v>Wood</v>
      </c>
      <c r="C20" s="186" t="str">
        <f>IF(Select2=1,INDEX(DOC_table,6,2),"")</f>
        <v>0.46-0.54</v>
      </c>
      <c r="D20" s="19">
        <f>IF(Select2=1,INDEX(DOC_table,6,1),"")</f>
        <v>0.5</v>
      </c>
      <c r="E20" s="291">
        <v>2.5000000000000001E-2</v>
      </c>
      <c r="F20" s="271"/>
      <c r="H20" s="186" t="str">
        <f>IF(Select2=1,INDEX(DOC_table,6,4),"")</f>
        <v>0.39-0.46</v>
      </c>
      <c r="I20" s="19">
        <f>IF(Select2=1,INDEX(DOC_table,6,3),"")</f>
        <v>0.43</v>
      </c>
      <c r="J20" s="291">
        <f t="shared" si="0"/>
        <v>0.43</v>
      </c>
      <c r="K20" s="271"/>
      <c r="L20" s="581"/>
      <c r="N20" s="444" t="s">
        <v>2</v>
      </c>
      <c r="O20" s="2">
        <f>IF(Select2=1,E20,E64)</f>
        <v>2.5000000000000001E-2</v>
      </c>
      <c r="Q20" s="444" t="s">
        <v>2</v>
      </c>
      <c r="R20" s="424">
        <f>IF(Select2=1,J20,J64)</f>
        <v>0.43</v>
      </c>
    </row>
    <row r="21" spans="2:18">
      <c r="B21" s="2" t="str">
        <f>IF(Select2=1,"Nappies","")</f>
        <v>Nappies</v>
      </c>
      <c r="C21" s="186" t="str">
        <f>IF(Select2=1,INDEX(DOC_table,7,2),"")</f>
        <v>0.44-0.80</v>
      </c>
      <c r="D21" s="19">
        <f>IF(Select2=1,INDEX(DOC_table,7,1),"")</f>
        <v>0.6</v>
      </c>
      <c r="E21" s="291">
        <v>2.8000000000000001E-2</v>
      </c>
      <c r="F21" s="271"/>
      <c r="H21" s="186" t="str">
        <f>IF(Select2=1,INDEX(DOC_table,7,4),"")</f>
        <v>0.18-0.32</v>
      </c>
      <c r="I21" s="19">
        <f>IF(Select2=1,INDEX(DOC_table,7,3),"")</f>
        <v>0.24</v>
      </c>
      <c r="J21" s="291">
        <f t="shared" si="0"/>
        <v>0.24</v>
      </c>
      <c r="K21" s="271"/>
      <c r="L21" s="581"/>
      <c r="N21" s="444" t="s">
        <v>267</v>
      </c>
      <c r="O21" s="2">
        <f>IF(Select2=1,E21,0)</f>
        <v>2.8000000000000001E-2</v>
      </c>
      <c r="Q21" s="444" t="s">
        <v>267</v>
      </c>
      <c r="R21" s="424">
        <f>IF(Select2=1,J21,0)</f>
        <v>0.24</v>
      </c>
    </row>
    <row r="22" spans="2:18">
      <c r="B22" s="166" t="str">
        <f>IF(Select2=1,"Plastics","")</f>
        <v>Plastics</v>
      </c>
      <c r="C22" s="187">
        <f>IF(Select2=1,INDEX(DOC_table,9,2),"")</f>
        <v>0</v>
      </c>
      <c r="D22" s="220">
        <f>IF(Select2=1,INDEX(DOC_table,9,1),"")</f>
        <v>0</v>
      </c>
      <c r="E22" s="291">
        <f t="shared" ref="E22:E28" si="1">D22</f>
        <v>0</v>
      </c>
      <c r="F22" s="271"/>
      <c r="H22" s="187">
        <f>IF(Select2=1,INDEX(DOC_table,9,4),"")</f>
        <v>0</v>
      </c>
      <c r="I22" s="220">
        <f>IF(Select2=1,INDEX(DOC_table,9,3),"")</f>
        <v>0</v>
      </c>
      <c r="J22" s="291">
        <f t="shared" si="0"/>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1"/>
        <v>0</v>
      </c>
      <c r="F23" s="271"/>
      <c r="H23" s="187">
        <f>IF(Select2=1,INDEX(DOC_table,10,4),"")</f>
        <v>0</v>
      </c>
      <c r="I23" s="220">
        <f>IF(Select2=1,INDEX(DOC_table,10,3),"")</f>
        <v>0</v>
      </c>
      <c r="J23" s="291">
        <f t="shared" si="0"/>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1"/>
        <v>0</v>
      </c>
      <c r="F24" s="271"/>
      <c r="H24" s="187">
        <f>IF(Select2=1,INDEX(DOC_table,11,4),"")</f>
        <v>0</v>
      </c>
      <c r="I24" s="220">
        <f>IF(Select2=1,INDEX(DOC_table,11,3),"")</f>
        <v>0</v>
      </c>
      <c r="J24" s="291">
        <f t="shared" si="0"/>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1"/>
        <v>0</v>
      </c>
      <c r="F25" s="271"/>
      <c r="H25" s="187">
        <f>IF(Select2=1,INDEX(DOC_table,12,4),"")</f>
        <v>0</v>
      </c>
      <c r="I25" s="220">
        <f>IF(Select2=1,INDEX(DOC_table,12,3),"")</f>
        <v>0</v>
      </c>
      <c r="J25" s="291">
        <f t="shared" si="0"/>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si="1"/>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1"/>
        <v>0</v>
      </c>
      <c r="F28" s="579"/>
      <c r="H28" s="577" t="str">
        <f>IF(Select2=1,INDEX(DOC_table,15,4),"")</f>
        <v>0-0.54</v>
      </c>
      <c r="I28" s="578">
        <f>IF(Select2=1,INDEX(DOC_table,15,3),"")</f>
        <v>0.15</v>
      </c>
      <c r="J28" s="292">
        <f t="shared" ref="J28" si="2">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3">D34</f>
        <v>0.4</v>
      </c>
      <c r="F34" s="152"/>
      <c r="L34" s="384" t="str">
        <f>IF(Select2=1,"May include garden waste provided that a suitable value of DOC is used","")</f>
        <v>May include garden waste provided that a suitable value of DOC is used</v>
      </c>
      <c r="N34" s="55" t="s">
        <v>6</v>
      </c>
      <c r="O34" s="55">
        <f t="shared" ref="O34:O44" si="4">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3"/>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4"/>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3"/>
        <v>0.17</v>
      </c>
      <c r="F36" s="58"/>
      <c r="L36" s="6"/>
      <c r="N36" s="445" t="s">
        <v>261</v>
      </c>
      <c r="O36" s="2">
        <f t="shared" si="4"/>
        <v>0.17</v>
      </c>
    </row>
    <row r="37" spans="2:15">
      <c r="B37" s="2" t="str">
        <f>IF(Select2=1,"Textiles","")</f>
        <v>Textiles</v>
      </c>
      <c r="C37" s="186" t="str">
        <f>IF(Select2=1,INDEX(half_life,1,selected*2),"")</f>
        <v>0.06–0.085</v>
      </c>
      <c r="D37" s="90">
        <f>IF(Select2=1,INDEX(half_life,1,selected*2-1),"")</f>
        <v>7.0000000000000007E-2</v>
      </c>
      <c r="E37" s="630">
        <f t="shared" si="3"/>
        <v>7.0000000000000007E-2</v>
      </c>
      <c r="F37" s="58"/>
      <c r="L37" s="6"/>
      <c r="N37" s="2" t="s">
        <v>16</v>
      </c>
      <c r="O37" s="2">
        <f t="shared" si="4"/>
        <v>7.0000000000000007E-2</v>
      </c>
    </row>
    <row r="38" spans="2:15">
      <c r="B38" s="2" t="str">
        <f>IF(Select2=1,"Rubber and Leather","")</f>
        <v>Rubber and Leather</v>
      </c>
      <c r="C38" s="186" t="str">
        <f>IF(Select2=1,INDEX(half_life,2,selected*2),"")</f>
        <v>0.03–0.05</v>
      </c>
      <c r="D38" s="90">
        <f>IF(Select2=1,INDEX(half_life,2,selected*2-1),"")</f>
        <v>3.5000000000000003E-2</v>
      </c>
      <c r="E38" s="631">
        <f t="shared" si="3"/>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4"/>
        <v>3.5000000000000003E-2</v>
      </c>
    </row>
    <row r="39" spans="2:15">
      <c r="B39" s="2" t="str">
        <f>IF(Select2=1,"Wood","")</f>
        <v>Wood</v>
      </c>
      <c r="C39" s="186" t="str">
        <f>IF(Select2=1,INDEX(half_life,2,selected*2),"")</f>
        <v>0.03–0.05</v>
      </c>
      <c r="D39" s="90">
        <f>IF(Select2=1,INDEX(half_life,2,selected*2-1),"")</f>
        <v>3.5000000000000003E-2</v>
      </c>
      <c r="E39" s="631">
        <f t="shared" si="3"/>
        <v>3.5000000000000003E-2</v>
      </c>
      <c r="F39" s="271"/>
      <c r="N39" s="444" t="s">
        <v>2</v>
      </c>
      <c r="O39" s="2">
        <f t="shared" si="4"/>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4"/>
        <v>0.17</v>
      </c>
    </row>
    <row r="41" spans="2:15">
      <c r="B41" s="166" t="str">
        <f>IF(Select2=1,"Plastics","")</f>
        <v>Plastics</v>
      </c>
      <c r="C41" s="186">
        <f t="shared" ref="C41:D44" si="5">IF(Select2=1,0,"")</f>
        <v>0</v>
      </c>
      <c r="D41" s="464">
        <f t="shared" si="5"/>
        <v>0</v>
      </c>
      <c r="E41" s="631">
        <f>D41</f>
        <v>0</v>
      </c>
      <c r="F41" s="271"/>
      <c r="N41" s="166" t="s">
        <v>230</v>
      </c>
      <c r="O41" s="2">
        <f t="shared" si="4"/>
        <v>0</v>
      </c>
    </row>
    <row r="42" spans="2:15">
      <c r="B42" s="166" t="str">
        <f>IF(Select2=1,"Metal","")</f>
        <v>Metal</v>
      </c>
      <c r="C42" s="186">
        <f t="shared" si="5"/>
        <v>0</v>
      </c>
      <c r="D42" s="464">
        <f t="shared" si="5"/>
        <v>0</v>
      </c>
      <c r="E42" s="631">
        <f>D42</f>
        <v>0</v>
      </c>
      <c r="F42" s="271"/>
      <c r="N42" s="166" t="s">
        <v>231</v>
      </c>
      <c r="O42" s="2">
        <f t="shared" si="4"/>
        <v>0</v>
      </c>
    </row>
    <row r="43" spans="2:15">
      <c r="B43" s="166" t="str">
        <f>IF(Select2=1,"Glass","")</f>
        <v>Glass</v>
      </c>
      <c r="C43" s="186">
        <f t="shared" si="5"/>
        <v>0</v>
      </c>
      <c r="D43" s="464">
        <f t="shared" si="5"/>
        <v>0</v>
      </c>
      <c r="E43" s="631">
        <f>D43</f>
        <v>0</v>
      </c>
      <c r="F43" s="271"/>
      <c r="N43" s="166" t="s">
        <v>232</v>
      </c>
      <c r="O43" s="2">
        <f t="shared" si="4"/>
        <v>0</v>
      </c>
    </row>
    <row r="44" spans="2:15">
      <c r="B44" s="166" t="str">
        <f>IF(Select2=1,"Other","")</f>
        <v>Other</v>
      </c>
      <c r="C44" s="186">
        <f t="shared" si="5"/>
        <v>0</v>
      </c>
      <c r="D44" s="464">
        <f t="shared" si="5"/>
        <v>0</v>
      </c>
      <c r="E44" s="631">
        <f>D44</f>
        <v>0</v>
      </c>
      <c r="F44" s="271"/>
      <c r="N44" s="166" t="s">
        <v>233</v>
      </c>
      <c r="O44" s="2">
        <f t="shared" si="4"/>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6">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1" t="s">
        <v>250</v>
      </c>
      <c r="E61" s="762"/>
      <c r="F61" s="763"/>
      <c r="H61" s="53"/>
      <c r="I61" s="761" t="s">
        <v>251</v>
      </c>
      <c r="J61" s="762"/>
      <c r="K61" s="763"/>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6" t="s">
        <v>317</v>
      </c>
      <c r="C71" s="776"/>
      <c r="D71" s="777" t="s">
        <v>318</v>
      </c>
      <c r="E71" s="777"/>
      <c r="F71" s="777"/>
      <c r="G71" s="777"/>
      <c r="H71" s="777"/>
    </row>
    <row r="72" spans="2:8">
      <c r="B72" s="776" t="s">
        <v>319</v>
      </c>
      <c r="C72" s="776"/>
      <c r="D72" s="777" t="s">
        <v>320</v>
      </c>
      <c r="E72" s="777"/>
      <c r="F72" s="777"/>
      <c r="G72" s="777"/>
      <c r="H72" s="777"/>
    </row>
    <row r="73" spans="2:8">
      <c r="B73" s="776" t="s">
        <v>321</v>
      </c>
      <c r="C73" s="776"/>
      <c r="D73" s="777" t="s">
        <v>322</v>
      </c>
      <c r="E73" s="777"/>
      <c r="F73" s="777"/>
      <c r="G73" s="777"/>
      <c r="H73" s="777"/>
    </row>
    <row r="74" spans="2:8">
      <c r="B74" s="776" t="s">
        <v>323</v>
      </c>
      <c r="C74" s="776"/>
      <c r="D74" s="777" t="s">
        <v>324</v>
      </c>
      <c r="E74" s="777"/>
      <c r="F74" s="777"/>
      <c r="G74" s="777"/>
      <c r="H74" s="777"/>
    </row>
    <row r="75" spans="2:8">
      <c r="B75" s="611"/>
      <c r="C75" s="612"/>
      <c r="D75" s="612"/>
      <c r="E75" s="612"/>
      <c r="F75" s="612"/>
      <c r="G75" s="612"/>
      <c r="H75" s="612"/>
    </row>
    <row r="76" spans="2:8">
      <c r="B76" s="614"/>
      <c r="C76" s="615" t="s">
        <v>325</v>
      </c>
      <c r="D76" s="616" t="s">
        <v>87</v>
      </c>
      <c r="E76" s="616" t="s">
        <v>88</v>
      </c>
    </row>
    <row r="77" spans="2:8">
      <c r="B77" s="782" t="s">
        <v>133</v>
      </c>
      <c r="C77" s="617" t="s">
        <v>326</v>
      </c>
      <c r="D77" s="618" t="s">
        <v>327</v>
      </c>
      <c r="E77" s="618" t="s">
        <v>9</v>
      </c>
      <c r="F77" s="525"/>
      <c r="G77" s="597"/>
      <c r="H77" s="6"/>
    </row>
    <row r="78" spans="2:8">
      <c r="B78" s="783"/>
      <c r="C78" s="619"/>
      <c r="D78" s="620"/>
      <c r="E78" s="621"/>
      <c r="F78" s="6"/>
      <c r="G78" s="525"/>
      <c r="H78" s="6"/>
    </row>
    <row r="79" spans="2:8">
      <c r="B79" s="783"/>
      <c r="C79" s="619"/>
      <c r="D79" s="620"/>
      <c r="E79" s="621"/>
      <c r="F79" s="6"/>
      <c r="G79" s="525"/>
      <c r="H79" s="6"/>
    </row>
    <row r="80" spans="2:8">
      <c r="B80" s="783"/>
      <c r="C80" s="619"/>
      <c r="D80" s="620"/>
      <c r="E80" s="621"/>
      <c r="F80" s="6"/>
      <c r="G80" s="525"/>
      <c r="H80" s="6"/>
    </row>
    <row r="81" spans="2:8">
      <c r="B81" s="783"/>
      <c r="C81" s="619"/>
      <c r="D81" s="620"/>
      <c r="E81" s="621"/>
      <c r="F81" s="6"/>
      <c r="G81" s="525"/>
      <c r="H81" s="6"/>
    </row>
    <row r="82" spans="2:8">
      <c r="B82" s="783"/>
      <c r="C82" s="619"/>
      <c r="D82" s="620" t="s">
        <v>328</v>
      </c>
      <c r="E82" s="621"/>
      <c r="F82" s="6"/>
      <c r="G82" s="525"/>
      <c r="H82" s="6"/>
    </row>
    <row r="83" spans="2:8" ht="13.5" thickBot="1">
      <c r="B83" s="784"/>
      <c r="C83" s="622"/>
      <c r="D83" s="622"/>
      <c r="E83" s="623" t="s">
        <v>329</v>
      </c>
      <c r="F83" s="6"/>
      <c r="G83" s="6"/>
      <c r="H83" s="6"/>
    </row>
    <row r="84" spans="2:8" ht="13.5" thickTop="1">
      <c r="B84" s="614"/>
      <c r="C84" s="621"/>
      <c r="D84" s="614"/>
      <c r="E84" s="624"/>
      <c r="F84" s="6"/>
      <c r="G84" s="6"/>
      <c r="H84" s="6"/>
    </row>
    <row r="85" spans="2:8">
      <c r="B85" s="778" t="s">
        <v>330</v>
      </c>
      <c r="C85" s="779"/>
      <c r="D85" s="779"/>
      <c r="E85" s="780"/>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7">C87*D87</f>
        <v>4.1680000000000002E-2</v>
      </c>
      <c r="F87" s="6"/>
      <c r="G87" s="6"/>
      <c r="H87" s="6"/>
    </row>
    <row r="88" spans="2:8">
      <c r="B88" s="625" t="s">
        <v>2</v>
      </c>
      <c r="C88" s="626">
        <v>0</v>
      </c>
      <c r="D88" s="627">
        <v>0.43</v>
      </c>
      <c r="E88" s="627">
        <f t="shared" si="7"/>
        <v>0</v>
      </c>
      <c r="F88" s="6"/>
      <c r="G88" s="6"/>
      <c r="H88" s="6"/>
    </row>
    <row r="89" spans="2:8">
      <c r="B89" s="625" t="s">
        <v>16</v>
      </c>
      <c r="C89" s="626">
        <v>0</v>
      </c>
      <c r="D89" s="627">
        <v>0.24</v>
      </c>
      <c r="E89" s="627">
        <f t="shared" si="7"/>
        <v>0</v>
      </c>
      <c r="F89" s="6"/>
      <c r="G89" s="6"/>
      <c r="H89" s="6"/>
    </row>
    <row r="90" spans="2:8">
      <c r="B90" s="625" t="s">
        <v>331</v>
      </c>
      <c r="C90" s="626">
        <v>0</v>
      </c>
      <c r="D90" s="627">
        <v>0.39</v>
      </c>
      <c r="E90" s="627">
        <f t="shared" si="7"/>
        <v>0</v>
      </c>
    </row>
    <row r="91" spans="2:8">
      <c r="B91" s="625" t="s">
        <v>332</v>
      </c>
      <c r="C91" s="626">
        <v>1.4500000000000001E-2</v>
      </c>
      <c r="D91" s="627">
        <v>0</v>
      </c>
      <c r="E91" s="627">
        <f t="shared" si="7"/>
        <v>0</v>
      </c>
    </row>
    <row r="92" spans="2:8">
      <c r="B92" s="625" t="s">
        <v>231</v>
      </c>
      <c r="C92" s="626">
        <v>9.7600000000000006E-2</v>
      </c>
      <c r="D92" s="627">
        <v>0</v>
      </c>
      <c r="E92" s="627">
        <f t="shared" si="7"/>
        <v>0</v>
      </c>
    </row>
    <row r="93" spans="2:8">
      <c r="B93" s="625" t="s">
        <v>232</v>
      </c>
      <c r="C93" s="626">
        <v>1.7000000000000001E-2</v>
      </c>
      <c r="D93" s="627">
        <v>0</v>
      </c>
      <c r="E93" s="627">
        <f t="shared" si="7"/>
        <v>0</v>
      </c>
    </row>
    <row r="94" spans="2:8">
      <c r="B94" s="625" t="s">
        <v>233</v>
      </c>
      <c r="C94" s="626">
        <f>(0.95+12.16)/100</f>
        <v>0.13109999999999999</v>
      </c>
      <c r="D94" s="627">
        <v>0</v>
      </c>
      <c r="E94" s="627">
        <f t="shared" si="7"/>
        <v>0</v>
      </c>
    </row>
    <row r="95" spans="2:8">
      <c r="B95" s="781" t="s">
        <v>333</v>
      </c>
      <c r="C95" s="781"/>
      <c r="D95" s="781"/>
      <c r="E95" s="628">
        <f>SUM(E86:E94)</f>
        <v>0.13702</v>
      </c>
    </row>
    <row r="96" spans="2:8">
      <c r="B96" s="778" t="s">
        <v>334</v>
      </c>
      <c r="C96" s="779"/>
      <c r="D96" s="779"/>
      <c r="E96" s="780"/>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8">C98*D98</f>
        <v>3.4279999999999998E-2</v>
      </c>
    </row>
    <row r="99" spans="2:5">
      <c r="B99" s="625" t="s">
        <v>2</v>
      </c>
      <c r="C99" s="626">
        <f>0.75/100</f>
        <v>7.4999999999999997E-3</v>
      </c>
      <c r="D99" s="627">
        <v>0.43</v>
      </c>
      <c r="E99" s="627">
        <f t="shared" si="8"/>
        <v>3.225E-3</v>
      </c>
    </row>
    <row r="100" spans="2:5">
      <c r="B100" s="625" t="s">
        <v>16</v>
      </c>
      <c r="C100" s="626">
        <f>0.79/100</f>
        <v>7.9000000000000008E-3</v>
      </c>
      <c r="D100" s="627">
        <v>0.24</v>
      </c>
      <c r="E100" s="627">
        <f t="shared" si="8"/>
        <v>1.8960000000000001E-3</v>
      </c>
    </row>
    <row r="101" spans="2:5">
      <c r="B101" s="625" t="s">
        <v>331</v>
      </c>
      <c r="C101" s="626">
        <f>0.35/100</f>
        <v>3.4999999999999996E-3</v>
      </c>
      <c r="D101" s="627">
        <v>0.39</v>
      </c>
      <c r="E101" s="627">
        <f t="shared" si="8"/>
        <v>1.3649999999999999E-3</v>
      </c>
    </row>
    <row r="102" spans="2:5">
      <c r="B102" s="625" t="s">
        <v>332</v>
      </c>
      <c r="C102" s="626">
        <f>6.51/100</f>
        <v>6.5099999999999991E-2</v>
      </c>
      <c r="D102" s="627">
        <v>0</v>
      </c>
      <c r="E102" s="627">
        <f t="shared" si="8"/>
        <v>0</v>
      </c>
    </row>
    <row r="103" spans="2:5">
      <c r="B103" s="625" t="s">
        <v>231</v>
      </c>
      <c r="C103" s="626">
        <f>1.45/100</f>
        <v>1.4499999999999999E-2</v>
      </c>
      <c r="D103" s="627">
        <v>0</v>
      </c>
      <c r="E103" s="627">
        <f t="shared" si="8"/>
        <v>0</v>
      </c>
    </row>
    <row r="104" spans="2:5">
      <c r="B104" s="625" t="s">
        <v>232</v>
      </c>
      <c r="C104" s="626">
        <f>1.54/100</f>
        <v>1.54E-2</v>
      </c>
      <c r="D104" s="627">
        <v>0</v>
      </c>
      <c r="E104" s="627">
        <f t="shared" si="8"/>
        <v>0</v>
      </c>
    </row>
    <row r="105" spans="2:5">
      <c r="B105" s="625" t="s">
        <v>233</v>
      </c>
      <c r="C105" s="626">
        <f>0.67/100</f>
        <v>6.7000000000000002E-3</v>
      </c>
      <c r="D105" s="627">
        <v>0</v>
      </c>
      <c r="E105" s="627">
        <f t="shared" si="8"/>
        <v>0</v>
      </c>
    </row>
    <row r="106" spans="2:5">
      <c r="B106" s="781" t="s">
        <v>333</v>
      </c>
      <c r="C106" s="781"/>
      <c r="D106" s="781"/>
      <c r="E106" s="628">
        <f>SUM(E97:E105)</f>
        <v>0.15982100000000002</v>
      </c>
    </row>
    <row r="107" spans="2:5">
      <c r="B107" s="778" t="s">
        <v>335</v>
      </c>
      <c r="C107" s="779"/>
      <c r="D107" s="779"/>
      <c r="E107" s="780"/>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9">C109*D109</f>
        <v>5.1400000000000001E-2</v>
      </c>
    </row>
    <row r="110" spans="2:5">
      <c r="B110" s="625" t="s">
        <v>2</v>
      </c>
      <c r="C110" s="626">
        <v>0</v>
      </c>
      <c r="D110" s="627">
        <v>0.43</v>
      </c>
      <c r="E110" s="627">
        <f t="shared" si="9"/>
        <v>0</v>
      </c>
    </row>
    <row r="111" spans="2:5">
      <c r="B111" s="625" t="s">
        <v>16</v>
      </c>
      <c r="C111" s="626">
        <f>0.81/100</f>
        <v>8.1000000000000013E-3</v>
      </c>
      <c r="D111" s="627">
        <v>0.24</v>
      </c>
      <c r="E111" s="627">
        <f t="shared" si="9"/>
        <v>1.9440000000000002E-3</v>
      </c>
    </row>
    <row r="112" spans="2:5">
      <c r="B112" s="625" t="s">
        <v>331</v>
      </c>
      <c r="C112" s="626">
        <v>0</v>
      </c>
      <c r="D112" s="627">
        <v>0.39</v>
      </c>
      <c r="E112" s="627">
        <f t="shared" si="9"/>
        <v>0</v>
      </c>
    </row>
    <row r="113" spans="2:5">
      <c r="B113" s="625" t="s">
        <v>332</v>
      </c>
      <c r="C113" s="626">
        <f>10.71/100</f>
        <v>0.10710000000000001</v>
      </c>
      <c r="D113" s="627">
        <v>0</v>
      </c>
      <c r="E113" s="627">
        <f t="shared" si="9"/>
        <v>0</v>
      </c>
    </row>
    <row r="114" spans="2:5">
      <c r="B114" s="625" t="s">
        <v>231</v>
      </c>
      <c r="C114" s="626">
        <f>1.77/100</f>
        <v>1.77E-2</v>
      </c>
      <c r="D114" s="627">
        <v>0</v>
      </c>
      <c r="E114" s="627">
        <f t="shared" si="9"/>
        <v>0</v>
      </c>
    </row>
    <row r="115" spans="2:5">
      <c r="B115" s="625" t="s">
        <v>232</v>
      </c>
      <c r="C115" s="626">
        <f>1.33/100</f>
        <v>1.3300000000000001E-2</v>
      </c>
      <c r="D115" s="627">
        <v>0</v>
      </c>
      <c r="E115" s="627">
        <f t="shared" si="9"/>
        <v>0</v>
      </c>
    </row>
    <row r="116" spans="2:5">
      <c r="B116" s="625" t="s">
        <v>233</v>
      </c>
      <c r="C116" s="626">
        <f>6.21/100</f>
        <v>6.2100000000000002E-2</v>
      </c>
      <c r="D116" s="627">
        <v>0</v>
      </c>
      <c r="E116" s="627">
        <f t="shared" si="9"/>
        <v>0</v>
      </c>
    </row>
    <row r="117" spans="2:5">
      <c r="B117" s="781" t="s">
        <v>333</v>
      </c>
      <c r="C117" s="781"/>
      <c r="D117" s="781"/>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E15:E28 J15:J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25.078813451999999</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25.078813451999999</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25.400101979999999</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25.400101979999999</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25.972466520000001</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25.972466520000001</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26.434118436000002</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26.434118436000002</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26.575529771999999</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26.575529771999999</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29.43685932</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29.43685932</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30.042388332000002</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30.042388332000002</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30.647424192000003</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30.647424192000003</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31.24826826</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31.24826826</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31.840482168000001</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31.840482168000001</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34.371399876000005</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34.371399876000005</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0</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0</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0</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0</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0</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0</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0</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0</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0</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0</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0</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0</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0</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0</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0</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0</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0</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0</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0</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0</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8" t="s">
        <v>107</v>
      </c>
      <c r="R2" s="788"/>
      <c r="S2" s="788"/>
      <c r="T2" s="788"/>
    </row>
    <row r="4" spans="2:20">
      <c r="C4" t="s">
        <v>26</v>
      </c>
    </row>
    <row r="5" spans="2:20">
      <c r="C5" t="s">
        <v>281</v>
      </c>
    </row>
    <row r="6" spans="2:20">
      <c r="C6" t="s">
        <v>29</v>
      </c>
    </row>
    <row r="7" spans="2:20">
      <c r="C7" t="s">
        <v>109</v>
      </c>
    </row>
    <row r="8" spans="2:20" ht="13.5" thickBot="1"/>
    <row r="9" spans="2:20" ht="13.5" thickBot="1">
      <c r="C9" s="789" t="s">
        <v>95</v>
      </c>
      <c r="D9" s="790"/>
      <c r="E9" s="790"/>
      <c r="F9" s="790"/>
      <c r="G9" s="790"/>
      <c r="H9" s="791"/>
      <c r="I9" s="797" t="s">
        <v>308</v>
      </c>
      <c r="J9" s="798"/>
      <c r="K9" s="798"/>
      <c r="L9" s="798"/>
      <c r="M9" s="798"/>
      <c r="N9" s="799"/>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2" t="s">
        <v>147</v>
      </c>
      <c r="S10" s="792"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3"/>
      <c r="S11" s="793"/>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3"/>
      <c r="S12" s="793"/>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3"/>
      <c r="S13" s="793"/>
    </row>
    <row r="14" spans="2:20" s="3" customFormat="1" ht="13.5" thickBot="1">
      <c r="B14" s="32"/>
      <c r="C14" s="32"/>
      <c r="D14" s="21"/>
      <c r="E14" s="21"/>
      <c r="F14" s="21"/>
      <c r="G14" s="21"/>
      <c r="H14" s="169"/>
      <c r="I14" s="32"/>
      <c r="J14" s="21"/>
      <c r="K14" s="21"/>
      <c r="L14" s="21"/>
      <c r="M14" s="21"/>
      <c r="N14" s="169"/>
      <c r="O14" s="590"/>
      <c r="R14" s="793"/>
      <c r="S14" s="793"/>
    </row>
    <row r="15" spans="2:20" s="3" customFormat="1" ht="12.75" customHeight="1" thickBot="1">
      <c r="B15" s="266"/>
      <c r="C15" s="785" t="s">
        <v>158</v>
      </c>
      <c r="D15" s="786"/>
      <c r="E15" s="786"/>
      <c r="F15" s="786"/>
      <c r="G15" s="786"/>
      <c r="H15" s="787"/>
      <c r="I15" s="785" t="s">
        <v>158</v>
      </c>
      <c r="J15" s="786"/>
      <c r="K15" s="786"/>
      <c r="L15" s="786"/>
      <c r="M15" s="786"/>
      <c r="N15" s="787"/>
      <c r="O15" s="591"/>
      <c r="R15" s="793"/>
      <c r="S15" s="793"/>
    </row>
    <row r="16" spans="2:20" s="3" customFormat="1" ht="26.25" thickBot="1">
      <c r="B16" s="172" t="s">
        <v>160</v>
      </c>
      <c r="C16" s="269">
        <v>0</v>
      </c>
      <c r="D16" s="270">
        <v>1</v>
      </c>
      <c r="E16" s="270">
        <v>0</v>
      </c>
      <c r="F16" s="270">
        <v>0</v>
      </c>
      <c r="G16" s="270">
        <v>0</v>
      </c>
      <c r="H16" s="795" t="s">
        <v>36</v>
      </c>
      <c r="I16" s="592">
        <v>0.2</v>
      </c>
      <c r="J16" s="593">
        <v>0.3</v>
      </c>
      <c r="K16" s="593">
        <v>0.25</v>
      </c>
      <c r="L16" s="593">
        <v>0.05</v>
      </c>
      <c r="M16" s="593">
        <v>0.2</v>
      </c>
      <c r="N16" s="795" t="s">
        <v>36</v>
      </c>
      <c r="O16" s="594"/>
      <c r="R16" s="794"/>
      <c r="S16" s="794"/>
    </row>
    <row r="17" spans="2:19" s="3" customFormat="1" ht="13.5" thickBot="1">
      <c r="B17" s="15" t="s">
        <v>1</v>
      </c>
      <c r="C17" s="15" t="s">
        <v>24</v>
      </c>
      <c r="D17" s="16" t="s">
        <v>24</v>
      </c>
      <c r="E17" s="16" t="s">
        <v>24</v>
      </c>
      <c r="F17" s="16" t="s">
        <v>24</v>
      </c>
      <c r="G17" s="16" t="s">
        <v>24</v>
      </c>
      <c r="H17" s="796"/>
      <c r="I17" s="15" t="s">
        <v>24</v>
      </c>
      <c r="J17" s="16" t="s">
        <v>24</v>
      </c>
      <c r="K17" s="16" t="s">
        <v>24</v>
      </c>
      <c r="L17" s="16" t="s">
        <v>24</v>
      </c>
      <c r="M17" s="16" t="s">
        <v>24</v>
      </c>
      <c r="N17" s="796"/>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AB19" sqref="AB19"/>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640">
        <v>0.66390000000000005</v>
      </c>
    </row>
    <row r="3" spans="2:30">
      <c r="B3" s="641"/>
      <c r="C3" s="641"/>
      <c r="S3" s="641"/>
      <c r="AC3" s="638" t="s">
        <v>256</v>
      </c>
      <c r="AD3" s="640">
        <v>0.1285</v>
      </c>
    </row>
    <row r="4" spans="2:30">
      <c r="B4" s="641"/>
      <c r="C4" s="641" t="s">
        <v>38</v>
      </c>
      <c r="S4" s="641" t="s">
        <v>301</v>
      </c>
      <c r="AC4" s="638" t="s">
        <v>2</v>
      </c>
      <c r="AD4" s="640">
        <v>0</v>
      </c>
    </row>
    <row r="5" spans="2:30">
      <c r="B5" s="641"/>
      <c r="C5" s="641"/>
      <c r="S5" s="641" t="s">
        <v>38</v>
      </c>
      <c r="AC5" s="638" t="s">
        <v>16</v>
      </c>
      <c r="AD5" s="640">
        <v>8.1000000000000013E-3</v>
      </c>
    </row>
    <row r="6" spans="2:30">
      <c r="B6" s="641"/>
      <c r="S6" s="641"/>
      <c r="AC6" s="638" t="s">
        <v>331</v>
      </c>
      <c r="AD6" s="640">
        <v>0</v>
      </c>
    </row>
    <row r="7" spans="2:30" ht="13.5" thickBot="1">
      <c r="B7" s="641"/>
      <c r="C7" s="642"/>
      <c r="S7" s="641"/>
      <c r="AC7" s="638" t="s">
        <v>332</v>
      </c>
      <c r="AD7" s="640">
        <v>0.10710000000000001</v>
      </c>
    </row>
    <row r="8" spans="2:30" ht="13.5" thickBot="1">
      <c r="B8" s="641"/>
      <c r="D8" s="643">
        <v>6.2100000000000002E-2</v>
      </c>
      <c r="E8" s="644">
        <v>0.66390000000000005</v>
      </c>
      <c r="F8" s="645">
        <v>0.1285</v>
      </c>
      <c r="G8" s="646">
        <v>0</v>
      </c>
      <c r="H8" s="645">
        <v>0</v>
      </c>
      <c r="I8" s="645">
        <v>0</v>
      </c>
      <c r="J8" s="645">
        <v>8.0999999999999996E-3</v>
      </c>
      <c r="K8" s="645">
        <v>0</v>
      </c>
      <c r="L8" s="645">
        <v>0.1071</v>
      </c>
      <c r="M8" s="645">
        <v>1.77E-2</v>
      </c>
      <c r="N8" s="645">
        <v>1.3299999999999999E-2</v>
      </c>
      <c r="O8" s="645">
        <v>6.2100000000000002E-2</v>
      </c>
      <c r="P8" s="647">
        <f>SUM(E8:O8)</f>
        <v>1.0006999999999999</v>
      </c>
      <c r="S8" s="641"/>
      <c r="T8" s="641"/>
      <c r="AC8" s="638" t="s">
        <v>231</v>
      </c>
      <c r="AD8" s="640">
        <v>1.77E-2</v>
      </c>
    </row>
    <row r="9" spans="2:30" ht="13.5" thickBot="1">
      <c r="B9" s="648"/>
      <c r="C9" s="649"/>
      <c r="D9" s="650"/>
      <c r="E9" s="800" t="s">
        <v>41</v>
      </c>
      <c r="F9" s="801"/>
      <c r="G9" s="801"/>
      <c r="H9" s="801"/>
      <c r="I9" s="801"/>
      <c r="J9" s="801"/>
      <c r="K9" s="801"/>
      <c r="L9" s="801"/>
      <c r="M9" s="801"/>
      <c r="N9" s="801"/>
      <c r="O9" s="801"/>
      <c r="P9" s="651"/>
      <c r="AC9" s="638" t="s">
        <v>232</v>
      </c>
      <c r="AD9" s="640">
        <v>1.3300000000000001E-2</v>
      </c>
    </row>
    <row r="10" spans="2:30" ht="21.75" customHeight="1" thickBot="1">
      <c r="B10" s="802" t="s">
        <v>1</v>
      </c>
      <c r="C10" s="802" t="s">
        <v>33</v>
      </c>
      <c r="D10" s="802" t="s">
        <v>40</v>
      </c>
      <c r="E10" s="802" t="s">
        <v>228</v>
      </c>
      <c r="F10" s="802" t="s">
        <v>271</v>
      </c>
      <c r="G10" s="792" t="s">
        <v>267</v>
      </c>
      <c r="H10" s="802" t="s">
        <v>270</v>
      </c>
      <c r="I10" s="792" t="s">
        <v>2</v>
      </c>
      <c r="J10" s="802" t="s">
        <v>16</v>
      </c>
      <c r="K10" s="792" t="s">
        <v>229</v>
      </c>
      <c r="L10" s="804" t="s">
        <v>273</v>
      </c>
      <c r="M10" s="805"/>
      <c r="N10" s="805"/>
      <c r="O10" s="806"/>
      <c r="P10" s="802" t="s">
        <v>27</v>
      </c>
      <c r="AC10" s="638" t="s">
        <v>233</v>
      </c>
      <c r="AD10" s="640">
        <v>6.2100000000000002E-2</v>
      </c>
    </row>
    <row r="11" spans="2:30" s="653" customFormat="1" ht="42" customHeight="1" thickBot="1">
      <c r="B11" s="803"/>
      <c r="C11" s="803"/>
      <c r="D11" s="803"/>
      <c r="E11" s="803"/>
      <c r="F11" s="803"/>
      <c r="G11" s="794"/>
      <c r="H11" s="803"/>
      <c r="I11" s="794"/>
      <c r="J11" s="803"/>
      <c r="K11" s="794"/>
      <c r="L11" s="652" t="s">
        <v>230</v>
      </c>
      <c r="M11" s="652" t="s">
        <v>231</v>
      </c>
      <c r="N11" s="652" t="s">
        <v>232</v>
      </c>
      <c r="O11" s="652" t="s">
        <v>233</v>
      </c>
      <c r="P11" s="803"/>
      <c r="S11" s="400" t="s">
        <v>1</v>
      </c>
      <c r="T11" s="404" t="s">
        <v>302</v>
      </c>
      <c r="U11" s="400" t="s">
        <v>303</v>
      </c>
      <c r="V11" s="404" t="s">
        <v>304</v>
      </c>
      <c r="W11" s="400" t="s">
        <v>40</v>
      </c>
      <c r="X11" s="404" t="s">
        <v>305</v>
      </c>
    </row>
    <row r="12" spans="2:30" s="660" customFormat="1" ht="26.25" thickBot="1">
      <c r="B12" s="654"/>
      <c r="C12" s="655" t="s">
        <v>15</v>
      </c>
      <c r="D12" s="655" t="s">
        <v>24</v>
      </c>
      <c r="E12" s="656" t="s">
        <v>24</v>
      </c>
      <c r="F12" s="657" t="s">
        <v>24</v>
      </c>
      <c r="G12" s="657" t="s">
        <v>24</v>
      </c>
      <c r="H12" s="657" t="s">
        <v>24</v>
      </c>
      <c r="I12" s="657" t="s">
        <v>24</v>
      </c>
      <c r="J12" s="657" t="s">
        <v>24</v>
      </c>
      <c r="K12" s="657" t="s">
        <v>24</v>
      </c>
      <c r="L12" s="657" t="s">
        <v>24</v>
      </c>
      <c r="M12" s="657" t="s">
        <v>24</v>
      </c>
      <c r="N12" s="657" t="s">
        <v>24</v>
      </c>
      <c r="O12" s="658" t="s">
        <v>24</v>
      </c>
      <c r="P12" s="659" t="s">
        <v>39</v>
      </c>
      <c r="S12" s="661"/>
      <c r="T12" s="662" t="s">
        <v>306</v>
      </c>
      <c r="U12" s="661" t="s">
        <v>307</v>
      </c>
      <c r="V12" s="662" t="s">
        <v>15</v>
      </c>
      <c r="W12" s="663" t="s">
        <v>24</v>
      </c>
      <c r="X12" s="662" t="s">
        <v>15</v>
      </c>
    </row>
    <row r="13" spans="2:30">
      <c r="B13" s="664">
        <f>year</f>
        <v>2000</v>
      </c>
      <c r="C13" s="665">
        <f>'[2]Fraksi pengelolaan sampah BaU'!C30</f>
        <v>25.078813451999999</v>
      </c>
      <c r="D13" s="666">
        <v>1</v>
      </c>
      <c r="E13" s="667">
        <f t="shared" ref="E13:O28" si="0">E$8</f>
        <v>0.66390000000000005</v>
      </c>
      <c r="F13" s="667">
        <f t="shared" si="0"/>
        <v>0.1285</v>
      </c>
      <c r="G13" s="667">
        <f t="shared" si="0"/>
        <v>0</v>
      </c>
      <c r="H13" s="667">
        <f t="shared" si="0"/>
        <v>0</v>
      </c>
      <c r="I13" s="667">
        <f t="shared" si="0"/>
        <v>0</v>
      </c>
      <c r="J13" s="667">
        <f t="shared" si="0"/>
        <v>8.0999999999999996E-3</v>
      </c>
      <c r="K13" s="667">
        <f t="shared" si="0"/>
        <v>0</v>
      </c>
      <c r="L13" s="667">
        <f t="shared" si="0"/>
        <v>0.1071</v>
      </c>
      <c r="M13" s="667">
        <f t="shared" si="0"/>
        <v>1.77E-2</v>
      </c>
      <c r="N13" s="667">
        <f t="shared" si="0"/>
        <v>1.3299999999999999E-2</v>
      </c>
      <c r="O13" s="667">
        <f t="shared" si="0"/>
        <v>6.2100000000000002E-2</v>
      </c>
      <c r="P13" s="668">
        <f t="shared" ref="P13:P44" si="1">SUM(E13:O13)</f>
        <v>1.0006999999999999</v>
      </c>
      <c r="S13" s="664">
        <f>year</f>
        <v>2000</v>
      </c>
      <c r="T13" s="669">
        <v>0</v>
      </c>
      <c r="U13" s="669">
        <v>5</v>
      </c>
      <c r="V13" s="670">
        <f>T13*U13</f>
        <v>0</v>
      </c>
      <c r="W13" s="671">
        <v>1</v>
      </c>
      <c r="X13" s="672">
        <f t="shared" ref="X13:X44" si="2">V13*W13</f>
        <v>0</v>
      </c>
    </row>
    <row r="14" spans="2:30">
      <c r="B14" s="673">
        <f t="shared" ref="B14:B45" si="3">B13+1</f>
        <v>2001</v>
      </c>
      <c r="C14" s="665">
        <f>'[2]Fraksi pengelolaan sampah BaU'!C31</f>
        <v>25.400101979999999</v>
      </c>
      <c r="D14" s="666">
        <v>1</v>
      </c>
      <c r="E14" s="667">
        <f t="shared" si="0"/>
        <v>0.66390000000000005</v>
      </c>
      <c r="F14" s="667">
        <f t="shared" si="0"/>
        <v>0.1285</v>
      </c>
      <c r="G14" s="667">
        <f t="shared" si="0"/>
        <v>0</v>
      </c>
      <c r="H14" s="667">
        <f t="shared" si="0"/>
        <v>0</v>
      </c>
      <c r="I14" s="667">
        <f t="shared" si="0"/>
        <v>0</v>
      </c>
      <c r="J14" s="667">
        <f t="shared" si="0"/>
        <v>8.0999999999999996E-3</v>
      </c>
      <c r="K14" s="667">
        <f t="shared" si="0"/>
        <v>0</v>
      </c>
      <c r="L14" s="667">
        <f t="shared" si="0"/>
        <v>0.1071</v>
      </c>
      <c r="M14" s="667">
        <f t="shared" si="0"/>
        <v>1.77E-2</v>
      </c>
      <c r="N14" s="667">
        <f t="shared" si="0"/>
        <v>1.3299999999999999E-2</v>
      </c>
      <c r="O14" s="667">
        <f t="shared" si="0"/>
        <v>6.2100000000000002E-2</v>
      </c>
      <c r="P14" s="674">
        <f t="shared" si="1"/>
        <v>1.0006999999999999</v>
      </c>
      <c r="S14" s="673">
        <f t="shared" ref="S14:S77" si="4">S13+1</f>
        <v>2001</v>
      </c>
      <c r="T14" s="675">
        <v>0</v>
      </c>
      <c r="U14" s="675">
        <v>5</v>
      </c>
      <c r="V14" s="676">
        <f>T14*U14</f>
        <v>0</v>
      </c>
      <c r="W14" s="677">
        <v>1</v>
      </c>
      <c r="X14" s="678">
        <f t="shared" si="2"/>
        <v>0</v>
      </c>
    </row>
    <row r="15" spans="2:30">
      <c r="B15" s="673">
        <f t="shared" si="3"/>
        <v>2002</v>
      </c>
      <c r="C15" s="665">
        <f>'[2]Fraksi pengelolaan sampah BaU'!C32</f>
        <v>25.972466520000001</v>
      </c>
      <c r="D15" s="666">
        <v>1</v>
      </c>
      <c r="E15" s="667">
        <f t="shared" si="0"/>
        <v>0.66390000000000005</v>
      </c>
      <c r="F15" s="667">
        <f t="shared" si="0"/>
        <v>0.1285</v>
      </c>
      <c r="G15" s="667">
        <f t="shared" si="0"/>
        <v>0</v>
      </c>
      <c r="H15" s="667">
        <f t="shared" si="0"/>
        <v>0</v>
      </c>
      <c r="I15" s="667">
        <f t="shared" si="0"/>
        <v>0</v>
      </c>
      <c r="J15" s="667">
        <f t="shared" si="0"/>
        <v>8.0999999999999996E-3</v>
      </c>
      <c r="K15" s="667">
        <f t="shared" si="0"/>
        <v>0</v>
      </c>
      <c r="L15" s="667">
        <f t="shared" si="0"/>
        <v>0.1071</v>
      </c>
      <c r="M15" s="667">
        <f t="shared" si="0"/>
        <v>1.77E-2</v>
      </c>
      <c r="N15" s="667">
        <f t="shared" si="0"/>
        <v>1.3299999999999999E-2</v>
      </c>
      <c r="O15" s="667">
        <f t="shared" si="0"/>
        <v>6.2100000000000002E-2</v>
      </c>
      <c r="P15" s="674">
        <f t="shared" si="1"/>
        <v>1.0006999999999999</v>
      </c>
      <c r="S15" s="673">
        <f t="shared" si="4"/>
        <v>2002</v>
      </c>
      <c r="T15" s="675">
        <v>0</v>
      </c>
      <c r="U15" s="675">
        <v>5</v>
      </c>
      <c r="V15" s="676">
        <f t="shared" ref="V15:V78" si="5">T15*U15</f>
        <v>0</v>
      </c>
      <c r="W15" s="677">
        <v>1</v>
      </c>
      <c r="X15" s="678">
        <f t="shared" si="2"/>
        <v>0</v>
      </c>
    </row>
    <row r="16" spans="2:30">
      <c r="B16" s="673">
        <f t="shared" si="3"/>
        <v>2003</v>
      </c>
      <c r="C16" s="665">
        <f>'[2]Fraksi pengelolaan sampah BaU'!C33</f>
        <v>26.434118436000002</v>
      </c>
      <c r="D16" s="666">
        <v>1</v>
      </c>
      <c r="E16" s="667">
        <f t="shared" si="0"/>
        <v>0.66390000000000005</v>
      </c>
      <c r="F16" s="667">
        <f t="shared" si="0"/>
        <v>0.1285</v>
      </c>
      <c r="G16" s="667">
        <f t="shared" si="0"/>
        <v>0</v>
      </c>
      <c r="H16" s="667">
        <f t="shared" si="0"/>
        <v>0</v>
      </c>
      <c r="I16" s="667">
        <f t="shared" si="0"/>
        <v>0</v>
      </c>
      <c r="J16" s="667">
        <f t="shared" si="0"/>
        <v>8.0999999999999996E-3</v>
      </c>
      <c r="K16" s="667">
        <f t="shared" si="0"/>
        <v>0</v>
      </c>
      <c r="L16" s="667">
        <f t="shared" si="0"/>
        <v>0.1071</v>
      </c>
      <c r="M16" s="667">
        <f t="shared" si="0"/>
        <v>1.77E-2</v>
      </c>
      <c r="N16" s="667">
        <f t="shared" si="0"/>
        <v>1.3299999999999999E-2</v>
      </c>
      <c r="O16" s="667">
        <f t="shared" si="0"/>
        <v>6.2100000000000002E-2</v>
      </c>
      <c r="P16" s="674">
        <f t="shared" si="1"/>
        <v>1.0006999999999999</v>
      </c>
      <c r="S16" s="673">
        <f t="shared" si="4"/>
        <v>2003</v>
      </c>
      <c r="T16" s="675">
        <v>0</v>
      </c>
      <c r="U16" s="675">
        <v>5</v>
      </c>
      <c r="V16" s="676">
        <f t="shared" si="5"/>
        <v>0</v>
      </c>
      <c r="W16" s="677">
        <v>1</v>
      </c>
      <c r="X16" s="678">
        <f t="shared" si="2"/>
        <v>0</v>
      </c>
    </row>
    <row r="17" spans="2:24">
      <c r="B17" s="673">
        <f t="shared" si="3"/>
        <v>2004</v>
      </c>
      <c r="C17" s="665">
        <f>'[2]Fraksi pengelolaan sampah BaU'!C34</f>
        <v>26.575529771999999</v>
      </c>
      <c r="D17" s="666">
        <v>1</v>
      </c>
      <c r="E17" s="667">
        <f t="shared" si="0"/>
        <v>0.66390000000000005</v>
      </c>
      <c r="F17" s="667">
        <f t="shared" si="0"/>
        <v>0.1285</v>
      </c>
      <c r="G17" s="667">
        <f t="shared" si="0"/>
        <v>0</v>
      </c>
      <c r="H17" s="667">
        <f t="shared" si="0"/>
        <v>0</v>
      </c>
      <c r="I17" s="667">
        <f t="shared" si="0"/>
        <v>0</v>
      </c>
      <c r="J17" s="667">
        <f t="shared" si="0"/>
        <v>8.0999999999999996E-3</v>
      </c>
      <c r="K17" s="667">
        <f t="shared" si="0"/>
        <v>0</v>
      </c>
      <c r="L17" s="667">
        <f t="shared" si="0"/>
        <v>0.1071</v>
      </c>
      <c r="M17" s="667">
        <f t="shared" si="0"/>
        <v>1.77E-2</v>
      </c>
      <c r="N17" s="667">
        <f t="shared" si="0"/>
        <v>1.3299999999999999E-2</v>
      </c>
      <c r="O17" s="667">
        <f t="shared" si="0"/>
        <v>6.2100000000000002E-2</v>
      </c>
      <c r="P17" s="674">
        <f t="shared" si="1"/>
        <v>1.0006999999999999</v>
      </c>
      <c r="S17" s="673">
        <f t="shared" si="4"/>
        <v>2004</v>
      </c>
      <c r="T17" s="675">
        <v>0</v>
      </c>
      <c r="U17" s="675">
        <v>5</v>
      </c>
      <c r="V17" s="676">
        <f t="shared" si="5"/>
        <v>0</v>
      </c>
      <c r="W17" s="677">
        <v>1</v>
      </c>
      <c r="X17" s="678">
        <f t="shared" si="2"/>
        <v>0</v>
      </c>
    </row>
    <row r="18" spans="2:24">
      <c r="B18" s="673">
        <f t="shared" si="3"/>
        <v>2005</v>
      </c>
      <c r="C18" s="665">
        <f>'[2]Fraksi pengelolaan sampah BaU'!C35</f>
        <v>29.43685932</v>
      </c>
      <c r="D18" s="666">
        <v>1</v>
      </c>
      <c r="E18" s="667">
        <f t="shared" si="0"/>
        <v>0.66390000000000005</v>
      </c>
      <c r="F18" s="667">
        <f t="shared" si="0"/>
        <v>0.1285</v>
      </c>
      <c r="G18" s="667">
        <f t="shared" si="0"/>
        <v>0</v>
      </c>
      <c r="H18" s="667">
        <f t="shared" si="0"/>
        <v>0</v>
      </c>
      <c r="I18" s="667">
        <f t="shared" si="0"/>
        <v>0</v>
      </c>
      <c r="J18" s="667">
        <f t="shared" si="0"/>
        <v>8.0999999999999996E-3</v>
      </c>
      <c r="K18" s="667">
        <f t="shared" si="0"/>
        <v>0</v>
      </c>
      <c r="L18" s="667">
        <f t="shared" si="0"/>
        <v>0.1071</v>
      </c>
      <c r="M18" s="667">
        <f t="shared" si="0"/>
        <v>1.77E-2</v>
      </c>
      <c r="N18" s="667">
        <f t="shared" si="0"/>
        <v>1.3299999999999999E-2</v>
      </c>
      <c r="O18" s="667">
        <f t="shared" si="0"/>
        <v>6.2100000000000002E-2</v>
      </c>
      <c r="P18" s="674">
        <f t="shared" si="1"/>
        <v>1.0006999999999999</v>
      </c>
      <c r="S18" s="673">
        <f t="shared" si="4"/>
        <v>2005</v>
      </c>
      <c r="T18" s="675">
        <v>0</v>
      </c>
      <c r="U18" s="675">
        <v>5</v>
      </c>
      <c r="V18" s="676">
        <f t="shared" si="5"/>
        <v>0</v>
      </c>
      <c r="W18" s="677">
        <v>1</v>
      </c>
      <c r="X18" s="678">
        <f t="shared" si="2"/>
        <v>0</v>
      </c>
    </row>
    <row r="19" spans="2:24">
      <c r="B19" s="673">
        <f t="shared" si="3"/>
        <v>2006</v>
      </c>
      <c r="C19" s="665">
        <f>'[2]Fraksi pengelolaan sampah BaU'!C36</f>
        <v>30.042388332000002</v>
      </c>
      <c r="D19" s="666">
        <v>1</v>
      </c>
      <c r="E19" s="667">
        <f t="shared" si="0"/>
        <v>0.66390000000000005</v>
      </c>
      <c r="F19" s="667">
        <f t="shared" si="0"/>
        <v>0.1285</v>
      </c>
      <c r="G19" s="667">
        <f t="shared" si="0"/>
        <v>0</v>
      </c>
      <c r="H19" s="667">
        <f t="shared" si="0"/>
        <v>0</v>
      </c>
      <c r="I19" s="667">
        <f t="shared" si="0"/>
        <v>0</v>
      </c>
      <c r="J19" s="667">
        <f t="shared" si="0"/>
        <v>8.0999999999999996E-3</v>
      </c>
      <c r="K19" s="667">
        <f t="shared" si="0"/>
        <v>0</v>
      </c>
      <c r="L19" s="667">
        <f t="shared" si="0"/>
        <v>0.1071</v>
      </c>
      <c r="M19" s="667">
        <f t="shared" si="0"/>
        <v>1.77E-2</v>
      </c>
      <c r="N19" s="667">
        <f t="shared" si="0"/>
        <v>1.3299999999999999E-2</v>
      </c>
      <c r="O19" s="667">
        <f t="shared" si="0"/>
        <v>6.2100000000000002E-2</v>
      </c>
      <c r="P19" s="674">
        <f t="shared" si="1"/>
        <v>1.0006999999999999</v>
      </c>
      <c r="S19" s="673">
        <f t="shared" si="4"/>
        <v>2006</v>
      </c>
      <c r="T19" s="675">
        <v>0</v>
      </c>
      <c r="U19" s="675">
        <v>5</v>
      </c>
      <c r="V19" s="676">
        <f t="shared" si="5"/>
        <v>0</v>
      </c>
      <c r="W19" s="677">
        <v>1</v>
      </c>
      <c r="X19" s="678">
        <f t="shared" si="2"/>
        <v>0</v>
      </c>
    </row>
    <row r="20" spans="2:24">
      <c r="B20" s="673">
        <f t="shared" si="3"/>
        <v>2007</v>
      </c>
      <c r="C20" s="665">
        <f>'[2]Fraksi pengelolaan sampah BaU'!C37</f>
        <v>30.647424192000003</v>
      </c>
      <c r="D20" s="666">
        <v>1</v>
      </c>
      <c r="E20" s="667">
        <f t="shared" si="0"/>
        <v>0.66390000000000005</v>
      </c>
      <c r="F20" s="667">
        <f t="shared" si="0"/>
        <v>0.1285</v>
      </c>
      <c r="G20" s="667">
        <f t="shared" si="0"/>
        <v>0</v>
      </c>
      <c r="H20" s="667">
        <f t="shared" si="0"/>
        <v>0</v>
      </c>
      <c r="I20" s="667">
        <f t="shared" si="0"/>
        <v>0</v>
      </c>
      <c r="J20" s="667">
        <f t="shared" si="0"/>
        <v>8.0999999999999996E-3</v>
      </c>
      <c r="K20" s="667">
        <f t="shared" si="0"/>
        <v>0</v>
      </c>
      <c r="L20" s="667">
        <f t="shared" si="0"/>
        <v>0.1071</v>
      </c>
      <c r="M20" s="667">
        <f t="shared" si="0"/>
        <v>1.77E-2</v>
      </c>
      <c r="N20" s="667">
        <f t="shared" si="0"/>
        <v>1.3299999999999999E-2</v>
      </c>
      <c r="O20" s="667">
        <f t="shared" si="0"/>
        <v>6.2100000000000002E-2</v>
      </c>
      <c r="P20" s="674">
        <f t="shared" si="1"/>
        <v>1.0006999999999999</v>
      </c>
      <c r="S20" s="673">
        <f t="shared" si="4"/>
        <v>2007</v>
      </c>
      <c r="T20" s="675">
        <v>0</v>
      </c>
      <c r="U20" s="675">
        <v>5</v>
      </c>
      <c r="V20" s="676">
        <f t="shared" si="5"/>
        <v>0</v>
      </c>
      <c r="W20" s="677">
        <v>1</v>
      </c>
      <c r="X20" s="678">
        <f t="shared" si="2"/>
        <v>0</v>
      </c>
    </row>
    <row r="21" spans="2:24">
      <c r="B21" s="673">
        <f t="shared" si="3"/>
        <v>2008</v>
      </c>
      <c r="C21" s="665">
        <f>'[2]Fraksi pengelolaan sampah BaU'!C38</f>
        <v>31.24826826</v>
      </c>
      <c r="D21" s="666">
        <v>1</v>
      </c>
      <c r="E21" s="667">
        <f t="shared" si="0"/>
        <v>0.66390000000000005</v>
      </c>
      <c r="F21" s="667">
        <f t="shared" si="0"/>
        <v>0.1285</v>
      </c>
      <c r="G21" s="667">
        <f t="shared" si="0"/>
        <v>0</v>
      </c>
      <c r="H21" s="667">
        <f t="shared" si="0"/>
        <v>0</v>
      </c>
      <c r="I21" s="667">
        <f t="shared" si="0"/>
        <v>0</v>
      </c>
      <c r="J21" s="667">
        <f t="shared" si="0"/>
        <v>8.0999999999999996E-3</v>
      </c>
      <c r="K21" s="667">
        <f t="shared" si="0"/>
        <v>0</v>
      </c>
      <c r="L21" s="667">
        <f t="shared" si="0"/>
        <v>0.1071</v>
      </c>
      <c r="M21" s="667">
        <f t="shared" si="0"/>
        <v>1.77E-2</v>
      </c>
      <c r="N21" s="667">
        <f t="shared" si="0"/>
        <v>1.3299999999999999E-2</v>
      </c>
      <c r="O21" s="667">
        <f t="shared" si="0"/>
        <v>6.2100000000000002E-2</v>
      </c>
      <c r="P21" s="674">
        <f t="shared" si="1"/>
        <v>1.0006999999999999</v>
      </c>
      <c r="S21" s="673">
        <f t="shared" si="4"/>
        <v>2008</v>
      </c>
      <c r="T21" s="675">
        <v>0</v>
      </c>
      <c r="U21" s="675">
        <v>5</v>
      </c>
      <c r="V21" s="676">
        <f t="shared" si="5"/>
        <v>0</v>
      </c>
      <c r="W21" s="677">
        <v>1</v>
      </c>
      <c r="X21" s="678">
        <f t="shared" si="2"/>
        <v>0</v>
      </c>
    </row>
    <row r="22" spans="2:24">
      <c r="B22" s="673">
        <f t="shared" si="3"/>
        <v>2009</v>
      </c>
      <c r="C22" s="665">
        <f>'[2]Fraksi pengelolaan sampah BaU'!C39</f>
        <v>31.840482168000001</v>
      </c>
      <c r="D22" s="666">
        <v>1</v>
      </c>
      <c r="E22" s="667">
        <f t="shared" si="0"/>
        <v>0.66390000000000005</v>
      </c>
      <c r="F22" s="667">
        <f t="shared" si="0"/>
        <v>0.1285</v>
      </c>
      <c r="G22" s="667">
        <f t="shared" si="0"/>
        <v>0</v>
      </c>
      <c r="H22" s="667">
        <f t="shared" si="0"/>
        <v>0</v>
      </c>
      <c r="I22" s="667">
        <f t="shared" si="0"/>
        <v>0</v>
      </c>
      <c r="J22" s="667">
        <f t="shared" si="0"/>
        <v>8.0999999999999996E-3</v>
      </c>
      <c r="K22" s="667">
        <f t="shared" si="0"/>
        <v>0</v>
      </c>
      <c r="L22" s="667">
        <f t="shared" si="0"/>
        <v>0.1071</v>
      </c>
      <c r="M22" s="667">
        <f t="shared" si="0"/>
        <v>1.77E-2</v>
      </c>
      <c r="N22" s="667">
        <f t="shared" si="0"/>
        <v>1.3299999999999999E-2</v>
      </c>
      <c r="O22" s="667">
        <f t="shared" si="0"/>
        <v>6.2100000000000002E-2</v>
      </c>
      <c r="P22" s="674">
        <f t="shared" si="1"/>
        <v>1.0006999999999999</v>
      </c>
      <c r="S22" s="673">
        <f t="shared" si="4"/>
        <v>2009</v>
      </c>
      <c r="T22" s="675">
        <v>0</v>
      </c>
      <c r="U22" s="675">
        <v>5</v>
      </c>
      <c r="V22" s="676">
        <f t="shared" si="5"/>
        <v>0</v>
      </c>
      <c r="W22" s="677">
        <v>1</v>
      </c>
      <c r="X22" s="678">
        <f t="shared" si="2"/>
        <v>0</v>
      </c>
    </row>
    <row r="23" spans="2:24">
      <c r="B23" s="673">
        <f t="shared" si="3"/>
        <v>2010</v>
      </c>
      <c r="C23" s="665">
        <f>'[2]Fraksi pengelolaan sampah BaU'!C40</f>
        <v>34.371399876000005</v>
      </c>
      <c r="D23" s="666">
        <v>1</v>
      </c>
      <c r="E23" s="667">
        <f t="shared" ref="E23:O38" si="6">E$8</f>
        <v>0.66390000000000005</v>
      </c>
      <c r="F23" s="667">
        <f t="shared" si="6"/>
        <v>0.1285</v>
      </c>
      <c r="G23" s="667">
        <f t="shared" si="0"/>
        <v>0</v>
      </c>
      <c r="H23" s="667">
        <f t="shared" si="6"/>
        <v>0</v>
      </c>
      <c r="I23" s="667">
        <f t="shared" si="0"/>
        <v>0</v>
      </c>
      <c r="J23" s="667">
        <f t="shared" si="6"/>
        <v>8.0999999999999996E-3</v>
      </c>
      <c r="K23" s="667">
        <f t="shared" si="6"/>
        <v>0</v>
      </c>
      <c r="L23" s="667">
        <f t="shared" si="6"/>
        <v>0.1071</v>
      </c>
      <c r="M23" s="667">
        <f t="shared" si="6"/>
        <v>1.77E-2</v>
      </c>
      <c r="N23" s="667">
        <f t="shared" si="6"/>
        <v>1.3299999999999999E-2</v>
      </c>
      <c r="O23" s="667">
        <f t="shared" si="6"/>
        <v>6.2100000000000002E-2</v>
      </c>
      <c r="P23" s="674">
        <f t="shared" si="1"/>
        <v>1.0006999999999999</v>
      </c>
      <c r="S23" s="673">
        <f t="shared" si="4"/>
        <v>2010</v>
      </c>
      <c r="T23" s="675">
        <v>0</v>
      </c>
      <c r="U23" s="675">
        <v>5</v>
      </c>
      <c r="V23" s="676">
        <f t="shared" si="5"/>
        <v>0</v>
      </c>
      <c r="W23" s="677">
        <v>1</v>
      </c>
      <c r="X23" s="678">
        <f t="shared" si="2"/>
        <v>0</v>
      </c>
    </row>
    <row r="24" spans="2:24">
      <c r="B24" s="673">
        <f t="shared" si="3"/>
        <v>2011</v>
      </c>
      <c r="C24" s="679"/>
      <c r="D24" s="666">
        <v>1</v>
      </c>
      <c r="E24" s="667">
        <f t="shared" si="6"/>
        <v>0.66390000000000005</v>
      </c>
      <c r="F24" s="667">
        <f t="shared" si="6"/>
        <v>0.1285</v>
      </c>
      <c r="G24" s="667">
        <f t="shared" si="0"/>
        <v>0</v>
      </c>
      <c r="H24" s="667">
        <f t="shared" si="6"/>
        <v>0</v>
      </c>
      <c r="I24" s="667">
        <f t="shared" si="0"/>
        <v>0</v>
      </c>
      <c r="J24" s="667">
        <f t="shared" si="6"/>
        <v>8.0999999999999996E-3</v>
      </c>
      <c r="K24" s="667">
        <f t="shared" si="6"/>
        <v>0</v>
      </c>
      <c r="L24" s="667">
        <f t="shared" si="6"/>
        <v>0.1071</v>
      </c>
      <c r="M24" s="667">
        <f t="shared" si="6"/>
        <v>1.77E-2</v>
      </c>
      <c r="N24" s="667">
        <f t="shared" si="6"/>
        <v>1.3299999999999999E-2</v>
      </c>
      <c r="O24" s="667">
        <f t="shared" si="6"/>
        <v>6.2100000000000002E-2</v>
      </c>
      <c r="P24" s="674">
        <f t="shared" si="1"/>
        <v>1.0006999999999999</v>
      </c>
      <c r="S24" s="673">
        <f t="shared" si="4"/>
        <v>2011</v>
      </c>
      <c r="T24" s="675">
        <v>0</v>
      </c>
      <c r="U24" s="675">
        <v>5</v>
      </c>
      <c r="V24" s="676">
        <f t="shared" si="5"/>
        <v>0</v>
      </c>
      <c r="W24" s="677">
        <v>1</v>
      </c>
      <c r="X24" s="678">
        <f t="shared" si="2"/>
        <v>0</v>
      </c>
    </row>
    <row r="25" spans="2:24">
      <c r="B25" s="673">
        <f t="shared" si="3"/>
        <v>2012</v>
      </c>
      <c r="C25" s="679"/>
      <c r="D25" s="666">
        <v>1</v>
      </c>
      <c r="E25" s="667">
        <f t="shared" si="6"/>
        <v>0.66390000000000005</v>
      </c>
      <c r="F25" s="667">
        <f t="shared" si="6"/>
        <v>0.1285</v>
      </c>
      <c r="G25" s="667">
        <f t="shared" si="0"/>
        <v>0</v>
      </c>
      <c r="H25" s="667">
        <f t="shared" si="6"/>
        <v>0</v>
      </c>
      <c r="I25" s="667">
        <f t="shared" si="0"/>
        <v>0</v>
      </c>
      <c r="J25" s="667">
        <f t="shared" si="6"/>
        <v>8.0999999999999996E-3</v>
      </c>
      <c r="K25" s="667">
        <f t="shared" si="6"/>
        <v>0</v>
      </c>
      <c r="L25" s="667">
        <f t="shared" si="6"/>
        <v>0.1071</v>
      </c>
      <c r="M25" s="667">
        <f t="shared" si="6"/>
        <v>1.77E-2</v>
      </c>
      <c r="N25" s="667">
        <f t="shared" si="6"/>
        <v>1.3299999999999999E-2</v>
      </c>
      <c r="O25" s="667">
        <f t="shared" si="6"/>
        <v>6.2100000000000002E-2</v>
      </c>
      <c r="P25" s="674">
        <f t="shared" si="1"/>
        <v>1.0006999999999999</v>
      </c>
      <c r="S25" s="673">
        <f t="shared" si="4"/>
        <v>2012</v>
      </c>
      <c r="T25" s="675">
        <v>0</v>
      </c>
      <c r="U25" s="675">
        <v>5</v>
      </c>
      <c r="V25" s="676">
        <f t="shared" si="5"/>
        <v>0</v>
      </c>
      <c r="W25" s="677">
        <v>1</v>
      </c>
      <c r="X25" s="678">
        <f t="shared" si="2"/>
        <v>0</v>
      </c>
    </row>
    <row r="26" spans="2:24">
      <c r="B26" s="673">
        <f t="shared" si="3"/>
        <v>2013</v>
      </c>
      <c r="C26" s="679"/>
      <c r="D26" s="666">
        <v>1</v>
      </c>
      <c r="E26" s="667">
        <f t="shared" si="6"/>
        <v>0.66390000000000005</v>
      </c>
      <c r="F26" s="667">
        <f t="shared" si="6"/>
        <v>0.1285</v>
      </c>
      <c r="G26" s="667">
        <f t="shared" si="0"/>
        <v>0</v>
      </c>
      <c r="H26" s="667">
        <f t="shared" si="6"/>
        <v>0</v>
      </c>
      <c r="I26" s="667">
        <f t="shared" si="0"/>
        <v>0</v>
      </c>
      <c r="J26" s="667">
        <f t="shared" si="6"/>
        <v>8.0999999999999996E-3</v>
      </c>
      <c r="K26" s="667">
        <f t="shared" si="6"/>
        <v>0</v>
      </c>
      <c r="L26" s="667">
        <f t="shared" si="6"/>
        <v>0.1071</v>
      </c>
      <c r="M26" s="667">
        <f t="shared" si="6"/>
        <v>1.77E-2</v>
      </c>
      <c r="N26" s="667">
        <f t="shared" si="6"/>
        <v>1.3299999999999999E-2</v>
      </c>
      <c r="O26" s="667">
        <f t="shared" si="6"/>
        <v>6.2100000000000002E-2</v>
      </c>
      <c r="P26" s="674">
        <f t="shared" si="1"/>
        <v>1.0006999999999999</v>
      </c>
      <c r="S26" s="673">
        <f t="shared" si="4"/>
        <v>2013</v>
      </c>
      <c r="T26" s="675">
        <v>0</v>
      </c>
      <c r="U26" s="675">
        <v>5</v>
      </c>
      <c r="V26" s="676">
        <f t="shared" si="5"/>
        <v>0</v>
      </c>
      <c r="W26" s="677">
        <v>1</v>
      </c>
      <c r="X26" s="678">
        <f t="shared" si="2"/>
        <v>0</v>
      </c>
    </row>
    <row r="27" spans="2:24">
      <c r="B27" s="673">
        <f t="shared" si="3"/>
        <v>2014</v>
      </c>
      <c r="C27" s="679"/>
      <c r="D27" s="666">
        <v>1</v>
      </c>
      <c r="E27" s="667">
        <f t="shared" si="6"/>
        <v>0.66390000000000005</v>
      </c>
      <c r="F27" s="667">
        <f t="shared" si="6"/>
        <v>0.1285</v>
      </c>
      <c r="G27" s="667">
        <f t="shared" si="0"/>
        <v>0</v>
      </c>
      <c r="H27" s="667">
        <f t="shared" si="6"/>
        <v>0</v>
      </c>
      <c r="I27" s="667">
        <f t="shared" si="0"/>
        <v>0</v>
      </c>
      <c r="J27" s="667">
        <f t="shared" si="6"/>
        <v>8.0999999999999996E-3</v>
      </c>
      <c r="K27" s="667">
        <f t="shared" si="6"/>
        <v>0</v>
      </c>
      <c r="L27" s="667">
        <f t="shared" si="6"/>
        <v>0.1071</v>
      </c>
      <c r="M27" s="667">
        <f t="shared" si="6"/>
        <v>1.77E-2</v>
      </c>
      <c r="N27" s="667">
        <f t="shared" si="6"/>
        <v>1.3299999999999999E-2</v>
      </c>
      <c r="O27" s="667">
        <f t="shared" si="6"/>
        <v>6.2100000000000002E-2</v>
      </c>
      <c r="P27" s="674">
        <f t="shared" si="1"/>
        <v>1.0006999999999999</v>
      </c>
      <c r="S27" s="673">
        <f t="shared" si="4"/>
        <v>2014</v>
      </c>
      <c r="T27" s="675">
        <v>0</v>
      </c>
      <c r="U27" s="675">
        <v>5</v>
      </c>
      <c r="V27" s="676">
        <f t="shared" si="5"/>
        <v>0</v>
      </c>
      <c r="W27" s="677">
        <v>1</v>
      </c>
      <c r="X27" s="678">
        <f t="shared" si="2"/>
        <v>0</v>
      </c>
    </row>
    <row r="28" spans="2:24">
      <c r="B28" s="673">
        <f t="shared" si="3"/>
        <v>2015</v>
      </c>
      <c r="C28" s="679"/>
      <c r="D28" s="666">
        <v>1</v>
      </c>
      <c r="E28" s="667">
        <f t="shared" si="6"/>
        <v>0.66390000000000005</v>
      </c>
      <c r="F28" s="667">
        <f t="shared" si="6"/>
        <v>0.1285</v>
      </c>
      <c r="G28" s="667">
        <f t="shared" si="0"/>
        <v>0</v>
      </c>
      <c r="H28" s="667">
        <f t="shared" si="6"/>
        <v>0</v>
      </c>
      <c r="I28" s="667">
        <f t="shared" si="0"/>
        <v>0</v>
      </c>
      <c r="J28" s="667">
        <f t="shared" si="6"/>
        <v>8.0999999999999996E-3</v>
      </c>
      <c r="K28" s="667">
        <f t="shared" si="6"/>
        <v>0</v>
      </c>
      <c r="L28" s="667">
        <f t="shared" si="6"/>
        <v>0.1071</v>
      </c>
      <c r="M28" s="667">
        <f t="shared" si="6"/>
        <v>1.77E-2</v>
      </c>
      <c r="N28" s="667">
        <f t="shared" si="6"/>
        <v>1.3299999999999999E-2</v>
      </c>
      <c r="O28" s="667">
        <f t="shared" si="6"/>
        <v>6.2100000000000002E-2</v>
      </c>
      <c r="P28" s="674">
        <f t="shared" si="1"/>
        <v>1.0006999999999999</v>
      </c>
      <c r="S28" s="673">
        <f t="shared" si="4"/>
        <v>2015</v>
      </c>
      <c r="T28" s="675">
        <v>0</v>
      </c>
      <c r="U28" s="675">
        <v>5</v>
      </c>
      <c r="V28" s="676">
        <f t="shared" si="5"/>
        <v>0</v>
      </c>
      <c r="W28" s="677">
        <v>1</v>
      </c>
      <c r="X28" s="678">
        <f t="shared" si="2"/>
        <v>0</v>
      </c>
    </row>
    <row r="29" spans="2:24">
      <c r="B29" s="673">
        <f t="shared" si="3"/>
        <v>2016</v>
      </c>
      <c r="C29" s="679"/>
      <c r="D29" s="666">
        <v>1</v>
      </c>
      <c r="E29" s="667">
        <f t="shared" si="6"/>
        <v>0.66390000000000005</v>
      </c>
      <c r="F29" s="667">
        <f t="shared" si="6"/>
        <v>0.1285</v>
      </c>
      <c r="G29" s="667">
        <f t="shared" si="6"/>
        <v>0</v>
      </c>
      <c r="H29" s="667">
        <f t="shared" si="6"/>
        <v>0</v>
      </c>
      <c r="I29" s="667">
        <f t="shared" si="6"/>
        <v>0</v>
      </c>
      <c r="J29" s="667">
        <f t="shared" si="6"/>
        <v>8.0999999999999996E-3</v>
      </c>
      <c r="K29" s="667">
        <f t="shared" si="6"/>
        <v>0</v>
      </c>
      <c r="L29" s="667">
        <f t="shared" si="6"/>
        <v>0.1071</v>
      </c>
      <c r="M29" s="667">
        <f t="shared" si="6"/>
        <v>1.77E-2</v>
      </c>
      <c r="N29" s="667">
        <f t="shared" si="6"/>
        <v>1.3299999999999999E-2</v>
      </c>
      <c r="O29" s="667">
        <f t="shared" si="6"/>
        <v>6.2100000000000002E-2</v>
      </c>
      <c r="P29" s="674">
        <f t="shared" si="1"/>
        <v>1.0006999999999999</v>
      </c>
      <c r="S29" s="673">
        <f t="shared" si="4"/>
        <v>2016</v>
      </c>
      <c r="T29" s="675">
        <v>0</v>
      </c>
      <c r="U29" s="675">
        <v>5</v>
      </c>
      <c r="V29" s="676">
        <f t="shared" si="5"/>
        <v>0</v>
      </c>
      <c r="W29" s="677">
        <v>1</v>
      </c>
      <c r="X29" s="678">
        <f t="shared" si="2"/>
        <v>0</v>
      </c>
    </row>
    <row r="30" spans="2:24">
      <c r="B30" s="673">
        <f t="shared" si="3"/>
        <v>2017</v>
      </c>
      <c r="C30" s="679"/>
      <c r="D30" s="666">
        <v>1</v>
      </c>
      <c r="E30" s="667">
        <f t="shared" si="6"/>
        <v>0.66390000000000005</v>
      </c>
      <c r="F30" s="667">
        <f t="shared" si="6"/>
        <v>0.1285</v>
      </c>
      <c r="G30" s="667">
        <f t="shared" si="6"/>
        <v>0</v>
      </c>
      <c r="H30" s="667">
        <f t="shared" si="6"/>
        <v>0</v>
      </c>
      <c r="I30" s="667">
        <f t="shared" si="6"/>
        <v>0</v>
      </c>
      <c r="J30" s="667">
        <f t="shared" si="6"/>
        <v>8.0999999999999996E-3</v>
      </c>
      <c r="K30" s="667">
        <f t="shared" si="6"/>
        <v>0</v>
      </c>
      <c r="L30" s="667">
        <f t="shared" si="6"/>
        <v>0.1071</v>
      </c>
      <c r="M30" s="667">
        <f t="shared" si="6"/>
        <v>1.77E-2</v>
      </c>
      <c r="N30" s="667">
        <f t="shared" si="6"/>
        <v>1.3299999999999999E-2</v>
      </c>
      <c r="O30" s="667">
        <f t="shared" si="6"/>
        <v>6.2100000000000002E-2</v>
      </c>
      <c r="P30" s="674">
        <f t="shared" si="1"/>
        <v>1.0006999999999999</v>
      </c>
      <c r="S30" s="673">
        <f t="shared" si="4"/>
        <v>2017</v>
      </c>
      <c r="T30" s="675">
        <v>0</v>
      </c>
      <c r="U30" s="675">
        <v>5</v>
      </c>
      <c r="V30" s="676">
        <f t="shared" si="5"/>
        <v>0</v>
      </c>
      <c r="W30" s="677">
        <v>1</v>
      </c>
      <c r="X30" s="678">
        <f t="shared" si="2"/>
        <v>0</v>
      </c>
    </row>
    <row r="31" spans="2:24">
      <c r="B31" s="673">
        <f t="shared" si="3"/>
        <v>2018</v>
      </c>
      <c r="C31" s="679"/>
      <c r="D31" s="666">
        <v>1</v>
      </c>
      <c r="E31" s="667">
        <f t="shared" si="6"/>
        <v>0.66390000000000005</v>
      </c>
      <c r="F31" s="667">
        <f t="shared" si="6"/>
        <v>0.1285</v>
      </c>
      <c r="G31" s="667">
        <f t="shared" si="6"/>
        <v>0</v>
      </c>
      <c r="H31" s="667">
        <f t="shared" si="6"/>
        <v>0</v>
      </c>
      <c r="I31" s="667">
        <f t="shared" si="6"/>
        <v>0</v>
      </c>
      <c r="J31" s="667">
        <f t="shared" si="6"/>
        <v>8.0999999999999996E-3</v>
      </c>
      <c r="K31" s="667">
        <f t="shared" si="6"/>
        <v>0</v>
      </c>
      <c r="L31" s="667">
        <f t="shared" si="6"/>
        <v>0.1071</v>
      </c>
      <c r="M31" s="667">
        <f t="shared" si="6"/>
        <v>1.77E-2</v>
      </c>
      <c r="N31" s="667">
        <f t="shared" si="6"/>
        <v>1.3299999999999999E-2</v>
      </c>
      <c r="O31" s="667">
        <f t="shared" si="6"/>
        <v>6.2100000000000002E-2</v>
      </c>
      <c r="P31" s="674">
        <f t="shared" si="1"/>
        <v>1.0006999999999999</v>
      </c>
      <c r="S31" s="673">
        <f t="shared" si="4"/>
        <v>2018</v>
      </c>
      <c r="T31" s="675">
        <v>0</v>
      </c>
      <c r="U31" s="675">
        <v>5</v>
      </c>
      <c r="V31" s="676">
        <f t="shared" si="5"/>
        <v>0</v>
      </c>
      <c r="W31" s="677">
        <v>1</v>
      </c>
      <c r="X31" s="678">
        <f t="shared" si="2"/>
        <v>0</v>
      </c>
    </row>
    <row r="32" spans="2:24">
      <c r="B32" s="673">
        <f t="shared" si="3"/>
        <v>2019</v>
      </c>
      <c r="C32" s="679"/>
      <c r="D32" s="666">
        <v>1</v>
      </c>
      <c r="E32" s="667">
        <f t="shared" si="6"/>
        <v>0.66390000000000005</v>
      </c>
      <c r="F32" s="667">
        <f t="shared" si="6"/>
        <v>0.1285</v>
      </c>
      <c r="G32" s="667">
        <f t="shared" si="6"/>
        <v>0</v>
      </c>
      <c r="H32" s="667">
        <f t="shared" si="6"/>
        <v>0</v>
      </c>
      <c r="I32" s="667">
        <f t="shared" si="6"/>
        <v>0</v>
      </c>
      <c r="J32" s="667">
        <f t="shared" si="6"/>
        <v>8.0999999999999996E-3</v>
      </c>
      <c r="K32" s="667">
        <f t="shared" si="6"/>
        <v>0</v>
      </c>
      <c r="L32" s="667">
        <f t="shared" si="6"/>
        <v>0.1071</v>
      </c>
      <c r="M32" s="667">
        <f t="shared" si="6"/>
        <v>1.77E-2</v>
      </c>
      <c r="N32" s="667">
        <f t="shared" si="6"/>
        <v>1.3299999999999999E-2</v>
      </c>
      <c r="O32" s="667">
        <f t="shared" si="6"/>
        <v>6.2100000000000002E-2</v>
      </c>
      <c r="P32" s="674">
        <f t="shared" si="1"/>
        <v>1.0006999999999999</v>
      </c>
      <c r="S32" s="673">
        <f t="shared" si="4"/>
        <v>2019</v>
      </c>
      <c r="T32" s="675">
        <v>0</v>
      </c>
      <c r="U32" s="675">
        <v>5</v>
      </c>
      <c r="V32" s="676">
        <f t="shared" si="5"/>
        <v>0</v>
      </c>
      <c r="W32" s="677">
        <v>1</v>
      </c>
      <c r="X32" s="678">
        <f t="shared" si="2"/>
        <v>0</v>
      </c>
    </row>
    <row r="33" spans="2:24">
      <c r="B33" s="673">
        <f t="shared" si="3"/>
        <v>2020</v>
      </c>
      <c r="C33" s="679"/>
      <c r="D33" s="666">
        <v>1</v>
      </c>
      <c r="E33" s="667">
        <f t="shared" ref="E33:O48" si="7">E$8</f>
        <v>0.66390000000000005</v>
      </c>
      <c r="F33" s="667">
        <f t="shared" si="7"/>
        <v>0.1285</v>
      </c>
      <c r="G33" s="667">
        <f t="shared" si="6"/>
        <v>0</v>
      </c>
      <c r="H33" s="667">
        <f t="shared" si="7"/>
        <v>0</v>
      </c>
      <c r="I33" s="667">
        <f t="shared" si="6"/>
        <v>0</v>
      </c>
      <c r="J33" s="667">
        <f t="shared" si="7"/>
        <v>8.0999999999999996E-3</v>
      </c>
      <c r="K33" s="667">
        <f t="shared" si="7"/>
        <v>0</v>
      </c>
      <c r="L33" s="667">
        <f t="shared" si="7"/>
        <v>0.1071</v>
      </c>
      <c r="M33" s="667">
        <f t="shared" si="7"/>
        <v>1.77E-2</v>
      </c>
      <c r="N33" s="667">
        <f t="shared" si="7"/>
        <v>1.3299999999999999E-2</v>
      </c>
      <c r="O33" s="667">
        <f t="shared" si="7"/>
        <v>6.2100000000000002E-2</v>
      </c>
      <c r="P33" s="674">
        <f t="shared" si="1"/>
        <v>1.0006999999999999</v>
      </c>
      <c r="S33" s="673">
        <f t="shared" si="4"/>
        <v>2020</v>
      </c>
      <c r="T33" s="675">
        <v>0</v>
      </c>
      <c r="U33" s="675">
        <v>5</v>
      </c>
      <c r="V33" s="676">
        <f t="shared" si="5"/>
        <v>0</v>
      </c>
      <c r="W33" s="677">
        <v>1</v>
      </c>
      <c r="X33" s="678">
        <f t="shared" si="2"/>
        <v>0</v>
      </c>
    </row>
    <row r="34" spans="2:24">
      <c r="B34" s="673">
        <f t="shared" si="3"/>
        <v>2021</v>
      </c>
      <c r="C34" s="679"/>
      <c r="D34" s="666">
        <v>1</v>
      </c>
      <c r="E34" s="667">
        <f t="shared" si="7"/>
        <v>0.66390000000000005</v>
      </c>
      <c r="F34" s="667">
        <f t="shared" si="7"/>
        <v>0.1285</v>
      </c>
      <c r="G34" s="667">
        <f t="shared" si="6"/>
        <v>0</v>
      </c>
      <c r="H34" s="667">
        <f t="shared" si="7"/>
        <v>0</v>
      </c>
      <c r="I34" s="667">
        <f t="shared" si="6"/>
        <v>0</v>
      </c>
      <c r="J34" s="667">
        <f t="shared" si="7"/>
        <v>8.0999999999999996E-3</v>
      </c>
      <c r="K34" s="667">
        <f t="shared" si="7"/>
        <v>0</v>
      </c>
      <c r="L34" s="667">
        <f t="shared" si="7"/>
        <v>0.1071</v>
      </c>
      <c r="M34" s="667">
        <f t="shared" si="7"/>
        <v>1.77E-2</v>
      </c>
      <c r="N34" s="667">
        <f t="shared" si="7"/>
        <v>1.3299999999999999E-2</v>
      </c>
      <c r="O34" s="667">
        <f t="shared" si="7"/>
        <v>6.2100000000000002E-2</v>
      </c>
      <c r="P34" s="674">
        <f t="shared" si="1"/>
        <v>1.0006999999999999</v>
      </c>
      <c r="S34" s="673">
        <f t="shared" si="4"/>
        <v>2021</v>
      </c>
      <c r="T34" s="675">
        <v>0</v>
      </c>
      <c r="U34" s="675">
        <v>5</v>
      </c>
      <c r="V34" s="676">
        <f t="shared" si="5"/>
        <v>0</v>
      </c>
      <c r="W34" s="677">
        <v>1</v>
      </c>
      <c r="X34" s="678">
        <f t="shared" si="2"/>
        <v>0</v>
      </c>
    </row>
    <row r="35" spans="2:24">
      <c r="B35" s="673">
        <f t="shared" si="3"/>
        <v>2022</v>
      </c>
      <c r="C35" s="679"/>
      <c r="D35" s="666">
        <v>1</v>
      </c>
      <c r="E35" s="667">
        <f t="shared" si="7"/>
        <v>0.66390000000000005</v>
      </c>
      <c r="F35" s="667">
        <f t="shared" si="7"/>
        <v>0.1285</v>
      </c>
      <c r="G35" s="667">
        <f t="shared" si="6"/>
        <v>0</v>
      </c>
      <c r="H35" s="667">
        <f t="shared" si="7"/>
        <v>0</v>
      </c>
      <c r="I35" s="667">
        <f t="shared" si="6"/>
        <v>0</v>
      </c>
      <c r="J35" s="667">
        <f t="shared" si="7"/>
        <v>8.0999999999999996E-3</v>
      </c>
      <c r="K35" s="667">
        <f t="shared" si="7"/>
        <v>0</v>
      </c>
      <c r="L35" s="667">
        <f t="shared" si="7"/>
        <v>0.1071</v>
      </c>
      <c r="M35" s="667">
        <f t="shared" si="7"/>
        <v>1.77E-2</v>
      </c>
      <c r="N35" s="667">
        <f t="shared" si="7"/>
        <v>1.3299999999999999E-2</v>
      </c>
      <c r="O35" s="667">
        <f t="shared" si="7"/>
        <v>6.2100000000000002E-2</v>
      </c>
      <c r="P35" s="674">
        <f t="shared" si="1"/>
        <v>1.0006999999999999</v>
      </c>
      <c r="S35" s="673">
        <f t="shared" si="4"/>
        <v>2022</v>
      </c>
      <c r="T35" s="675">
        <v>0</v>
      </c>
      <c r="U35" s="675">
        <v>5</v>
      </c>
      <c r="V35" s="676">
        <f t="shared" si="5"/>
        <v>0</v>
      </c>
      <c r="W35" s="677">
        <v>1</v>
      </c>
      <c r="X35" s="678">
        <f t="shared" si="2"/>
        <v>0</v>
      </c>
    </row>
    <row r="36" spans="2:24">
      <c r="B36" s="673">
        <f t="shared" si="3"/>
        <v>2023</v>
      </c>
      <c r="C36" s="679"/>
      <c r="D36" s="666">
        <v>1</v>
      </c>
      <c r="E36" s="667">
        <f t="shared" si="7"/>
        <v>0.66390000000000005</v>
      </c>
      <c r="F36" s="667">
        <f t="shared" si="7"/>
        <v>0.1285</v>
      </c>
      <c r="G36" s="667">
        <f t="shared" si="6"/>
        <v>0</v>
      </c>
      <c r="H36" s="667">
        <f t="shared" si="7"/>
        <v>0</v>
      </c>
      <c r="I36" s="667">
        <f t="shared" si="6"/>
        <v>0</v>
      </c>
      <c r="J36" s="667">
        <f t="shared" si="7"/>
        <v>8.0999999999999996E-3</v>
      </c>
      <c r="K36" s="667">
        <f t="shared" si="7"/>
        <v>0</v>
      </c>
      <c r="L36" s="667">
        <f t="shared" si="7"/>
        <v>0.1071</v>
      </c>
      <c r="M36" s="667">
        <f t="shared" si="7"/>
        <v>1.77E-2</v>
      </c>
      <c r="N36" s="667">
        <f t="shared" si="7"/>
        <v>1.3299999999999999E-2</v>
      </c>
      <c r="O36" s="667">
        <f t="shared" si="7"/>
        <v>6.2100000000000002E-2</v>
      </c>
      <c r="P36" s="674">
        <f t="shared" si="1"/>
        <v>1.0006999999999999</v>
      </c>
      <c r="S36" s="673">
        <f t="shared" si="4"/>
        <v>2023</v>
      </c>
      <c r="T36" s="675">
        <v>0</v>
      </c>
      <c r="U36" s="675">
        <v>5</v>
      </c>
      <c r="V36" s="676">
        <f t="shared" si="5"/>
        <v>0</v>
      </c>
      <c r="W36" s="677">
        <v>1</v>
      </c>
      <c r="X36" s="678">
        <f t="shared" si="2"/>
        <v>0</v>
      </c>
    </row>
    <row r="37" spans="2:24">
      <c r="B37" s="673">
        <f t="shared" si="3"/>
        <v>2024</v>
      </c>
      <c r="C37" s="679"/>
      <c r="D37" s="666">
        <v>1</v>
      </c>
      <c r="E37" s="667">
        <f t="shared" si="7"/>
        <v>0.66390000000000005</v>
      </c>
      <c r="F37" s="667">
        <f t="shared" si="7"/>
        <v>0.1285</v>
      </c>
      <c r="G37" s="667">
        <f t="shared" si="6"/>
        <v>0</v>
      </c>
      <c r="H37" s="667">
        <f t="shared" si="7"/>
        <v>0</v>
      </c>
      <c r="I37" s="667">
        <f t="shared" si="6"/>
        <v>0</v>
      </c>
      <c r="J37" s="667">
        <f t="shared" si="7"/>
        <v>8.0999999999999996E-3</v>
      </c>
      <c r="K37" s="667">
        <f t="shared" si="7"/>
        <v>0</v>
      </c>
      <c r="L37" s="667">
        <f t="shared" si="7"/>
        <v>0.1071</v>
      </c>
      <c r="M37" s="667">
        <f t="shared" si="7"/>
        <v>1.77E-2</v>
      </c>
      <c r="N37" s="667">
        <f t="shared" si="7"/>
        <v>1.3299999999999999E-2</v>
      </c>
      <c r="O37" s="667">
        <f t="shared" si="7"/>
        <v>6.2100000000000002E-2</v>
      </c>
      <c r="P37" s="674">
        <f t="shared" si="1"/>
        <v>1.0006999999999999</v>
      </c>
      <c r="S37" s="673">
        <f t="shared" si="4"/>
        <v>2024</v>
      </c>
      <c r="T37" s="675">
        <v>0</v>
      </c>
      <c r="U37" s="675">
        <v>5</v>
      </c>
      <c r="V37" s="676">
        <f t="shared" si="5"/>
        <v>0</v>
      </c>
      <c r="W37" s="677">
        <v>1</v>
      </c>
      <c r="X37" s="678">
        <f t="shared" si="2"/>
        <v>0</v>
      </c>
    </row>
    <row r="38" spans="2:24">
      <c r="B38" s="673">
        <f t="shared" si="3"/>
        <v>2025</v>
      </c>
      <c r="C38" s="679"/>
      <c r="D38" s="666">
        <v>1</v>
      </c>
      <c r="E38" s="667">
        <f t="shared" si="7"/>
        <v>0.66390000000000005</v>
      </c>
      <c r="F38" s="667">
        <f t="shared" si="7"/>
        <v>0.1285</v>
      </c>
      <c r="G38" s="667">
        <f t="shared" si="6"/>
        <v>0</v>
      </c>
      <c r="H38" s="667">
        <f t="shared" si="7"/>
        <v>0</v>
      </c>
      <c r="I38" s="667">
        <f t="shared" si="6"/>
        <v>0</v>
      </c>
      <c r="J38" s="667">
        <f t="shared" si="7"/>
        <v>8.0999999999999996E-3</v>
      </c>
      <c r="K38" s="667">
        <f t="shared" si="7"/>
        <v>0</v>
      </c>
      <c r="L38" s="667">
        <f t="shared" si="7"/>
        <v>0.1071</v>
      </c>
      <c r="M38" s="667">
        <f t="shared" si="7"/>
        <v>1.77E-2</v>
      </c>
      <c r="N38" s="667">
        <f t="shared" si="7"/>
        <v>1.3299999999999999E-2</v>
      </c>
      <c r="O38" s="667">
        <f t="shared" si="7"/>
        <v>6.2100000000000002E-2</v>
      </c>
      <c r="P38" s="674">
        <f t="shared" si="1"/>
        <v>1.0006999999999999</v>
      </c>
      <c r="S38" s="673">
        <f t="shared" si="4"/>
        <v>2025</v>
      </c>
      <c r="T38" s="675">
        <v>0</v>
      </c>
      <c r="U38" s="675">
        <v>5</v>
      </c>
      <c r="V38" s="676">
        <f t="shared" si="5"/>
        <v>0</v>
      </c>
      <c r="W38" s="677">
        <v>1</v>
      </c>
      <c r="X38" s="678">
        <f t="shared" si="2"/>
        <v>0</v>
      </c>
    </row>
    <row r="39" spans="2:24">
      <c r="B39" s="673">
        <f t="shared" si="3"/>
        <v>2026</v>
      </c>
      <c r="C39" s="679"/>
      <c r="D39" s="666">
        <v>1</v>
      </c>
      <c r="E39" s="667">
        <f t="shared" si="7"/>
        <v>0.66390000000000005</v>
      </c>
      <c r="F39" s="667">
        <f t="shared" si="7"/>
        <v>0.1285</v>
      </c>
      <c r="G39" s="667">
        <f t="shared" si="7"/>
        <v>0</v>
      </c>
      <c r="H39" s="667">
        <f t="shared" si="7"/>
        <v>0</v>
      </c>
      <c r="I39" s="667">
        <f t="shared" si="7"/>
        <v>0</v>
      </c>
      <c r="J39" s="667">
        <f t="shared" si="7"/>
        <v>8.0999999999999996E-3</v>
      </c>
      <c r="K39" s="667">
        <f t="shared" si="7"/>
        <v>0</v>
      </c>
      <c r="L39" s="667">
        <f t="shared" si="7"/>
        <v>0.1071</v>
      </c>
      <c r="M39" s="667">
        <f t="shared" si="7"/>
        <v>1.77E-2</v>
      </c>
      <c r="N39" s="667">
        <f t="shared" si="7"/>
        <v>1.3299999999999999E-2</v>
      </c>
      <c r="O39" s="667">
        <f t="shared" si="7"/>
        <v>6.2100000000000002E-2</v>
      </c>
      <c r="P39" s="674">
        <f t="shared" si="1"/>
        <v>1.0006999999999999</v>
      </c>
      <c r="S39" s="673">
        <f t="shared" si="4"/>
        <v>2026</v>
      </c>
      <c r="T39" s="675">
        <v>0</v>
      </c>
      <c r="U39" s="675">
        <v>5</v>
      </c>
      <c r="V39" s="676">
        <f t="shared" si="5"/>
        <v>0</v>
      </c>
      <c r="W39" s="677">
        <v>1</v>
      </c>
      <c r="X39" s="678">
        <f t="shared" si="2"/>
        <v>0</v>
      </c>
    </row>
    <row r="40" spans="2:24">
      <c r="B40" s="673">
        <f t="shared" si="3"/>
        <v>2027</v>
      </c>
      <c r="C40" s="679"/>
      <c r="D40" s="666">
        <v>1</v>
      </c>
      <c r="E40" s="667">
        <f t="shared" si="7"/>
        <v>0.66390000000000005</v>
      </c>
      <c r="F40" s="667">
        <f t="shared" si="7"/>
        <v>0.1285</v>
      </c>
      <c r="G40" s="667">
        <f t="shared" si="7"/>
        <v>0</v>
      </c>
      <c r="H40" s="667">
        <f t="shared" si="7"/>
        <v>0</v>
      </c>
      <c r="I40" s="667">
        <f t="shared" si="7"/>
        <v>0</v>
      </c>
      <c r="J40" s="667">
        <f t="shared" si="7"/>
        <v>8.0999999999999996E-3</v>
      </c>
      <c r="K40" s="667">
        <f t="shared" si="7"/>
        <v>0</v>
      </c>
      <c r="L40" s="667">
        <f t="shared" si="7"/>
        <v>0.1071</v>
      </c>
      <c r="M40" s="667">
        <f t="shared" si="7"/>
        <v>1.77E-2</v>
      </c>
      <c r="N40" s="667">
        <f t="shared" si="7"/>
        <v>1.3299999999999999E-2</v>
      </c>
      <c r="O40" s="667">
        <f t="shared" si="7"/>
        <v>6.2100000000000002E-2</v>
      </c>
      <c r="P40" s="674">
        <f t="shared" si="1"/>
        <v>1.0006999999999999</v>
      </c>
      <c r="S40" s="673">
        <f t="shared" si="4"/>
        <v>2027</v>
      </c>
      <c r="T40" s="675">
        <v>0</v>
      </c>
      <c r="U40" s="675">
        <v>5</v>
      </c>
      <c r="V40" s="676">
        <f t="shared" si="5"/>
        <v>0</v>
      </c>
      <c r="W40" s="677">
        <v>1</v>
      </c>
      <c r="X40" s="678">
        <f t="shared" si="2"/>
        <v>0</v>
      </c>
    </row>
    <row r="41" spans="2:24">
      <c r="B41" s="673">
        <f t="shared" si="3"/>
        <v>2028</v>
      </c>
      <c r="C41" s="679"/>
      <c r="D41" s="666">
        <v>1</v>
      </c>
      <c r="E41" s="667">
        <f t="shared" si="7"/>
        <v>0.66390000000000005</v>
      </c>
      <c r="F41" s="667">
        <f t="shared" si="7"/>
        <v>0.1285</v>
      </c>
      <c r="G41" s="667">
        <f t="shared" si="7"/>
        <v>0</v>
      </c>
      <c r="H41" s="667">
        <f t="shared" si="7"/>
        <v>0</v>
      </c>
      <c r="I41" s="667">
        <f t="shared" si="7"/>
        <v>0</v>
      </c>
      <c r="J41" s="667">
        <f t="shared" si="7"/>
        <v>8.0999999999999996E-3</v>
      </c>
      <c r="K41" s="667">
        <f t="shared" si="7"/>
        <v>0</v>
      </c>
      <c r="L41" s="667">
        <f t="shared" si="7"/>
        <v>0.1071</v>
      </c>
      <c r="M41" s="667">
        <f t="shared" si="7"/>
        <v>1.77E-2</v>
      </c>
      <c r="N41" s="667">
        <f t="shared" si="7"/>
        <v>1.3299999999999999E-2</v>
      </c>
      <c r="O41" s="667">
        <f t="shared" si="7"/>
        <v>6.2100000000000002E-2</v>
      </c>
      <c r="P41" s="674">
        <f t="shared" si="1"/>
        <v>1.0006999999999999</v>
      </c>
      <c r="S41" s="673">
        <f t="shared" si="4"/>
        <v>2028</v>
      </c>
      <c r="T41" s="675">
        <v>0</v>
      </c>
      <c r="U41" s="675">
        <v>5</v>
      </c>
      <c r="V41" s="676">
        <f t="shared" si="5"/>
        <v>0</v>
      </c>
      <c r="W41" s="677">
        <v>1</v>
      </c>
      <c r="X41" s="678">
        <f t="shared" si="2"/>
        <v>0</v>
      </c>
    </row>
    <row r="42" spans="2:24">
      <c r="B42" s="673">
        <f t="shared" si="3"/>
        <v>2029</v>
      </c>
      <c r="C42" s="679"/>
      <c r="D42" s="666">
        <v>1</v>
      </c>
      <c r="E42" s="667">
        <f t="shared" si="7"/>
        <v>0.66390000000000005</v>
      </c>
      <c r="F42" s="667">
        <f t="shared" si="7"/>
        <v>0.1285</v>
      </c>
      <c r="G42" s="667">
        <f t="shared" si="7"/>
        <v>0</v>
      </c>
      <c r="H42" s="667">
        <f t="shared" si="7"/>
        <v>0</v>
      </c>
      <c r="I42" s="667">
        <f t="shared" si="7"/>
        <v>0</v>
      </c>
      <c r="J42" s="667">
        <f t="shared" si="7"/>
        <v>8.0999999999999996E-3</v>
      </c>
      <c r="K42" s="667">
        <f t="shared" si="7"/>
        <v>0</v>
      </c>
      <c r="L42" s="667">
        <f t="shared" si="7"/>
        <v>0.1071</v>
      </c>
      <c r="M42" s="667">
        <f t="shared" si="7"/>
        <v>1.77E-2</v>
      </c>
      <c r="N42" s="667">
        <f t="shared" si="7"/>
        <v>1.3299999999999999E-2</v>
      </c>
      <c r="O42" s="667">
        <f t="shared" si="7"/>
        <v>6.2100000000000002E-2</v>
      </c>
      <c r="P42" s="674">
        <f t="shared" si="1"/>
        <v>1.0006999999999999</v>
      </c>
      <c r="S42" s="673">
        <f t="shared" si="4"/>
        <v>2029</v>
      </c>
      <c r="T42" s="675">
        <v>0</v>
      </c>
      <c r="U42" s="675">
        <v>5</v>
      </c>
      <c r="V42" s="676">
        <f t="shared" si="5"/>
        <v>0</v>
      </c>
      <c r="W42" s="677">
        <v>1</v>
      </c>
      <c r="X42" s="678">
        <f t="shared" si="2"/>
        <v>0</v>
      </c>
    </row>
    <row r="43" spans="2:24">
      <c r="B43" s="673">
        <f t="shared" si="3"/>
        <v>2030</v>
      </c>
      <c r="C43" s="679"/>
      <c r="D43" s="666">
        <v>1</v>
      </c>
      <c r="E43" s="667">
        <f t="shared" ref="E43:O58" si="8">E$8</f>
        <v>0.66390000000000005</v>
      </c>
      <c r="F43" s="667">
        <f t="shared" si="8"/>
        <v>0.1285</v>
      </c>
      <c r="G43" s="667">
        <f t="shared" si="7"/>
        <v>0</v>
      </c>
      <c r="H43" s="667">
        <f t="shared" si="8"/>
        <v>0</v>
      </c>
      <c r="I43" s="667">
        <f t="shared" si="7"/>
        <v>0</v>
      </c>
      <c r="J43" s="667">
        <f t="shared" si="8"/>
        <v>8.0999999999999996E-3</v>
      </c>
      <c r="K43" s="667">
        <f t="shared" si="8"/>
        <v>0</v>
      </c>
      <c r="L43" s="667">
        <f t="shared" si="8"/>
        <v>0.1071</v>
      </c>
      <c r="M43" s="667">
        <f t="shared" si="8"/>
        <v>1.77E-2</v>
      </c>
      <c r="N43" s="667">
        <f t="shared" si="8"/>
        <v>1.3299999999999999E-2</v>
      </c>
      <c r="O43" s="667">
        <f t="shared" si="8"/>
        <v>6.2100000000000002E-2</v>
      </c>
      <c r="P43" s="674">
        <f t="shared" si="1"/>
        <v>1.0006999999999999</v>
      </c>
      <c r="S43" s="673">
        <f t="shared" si="4"/>
        <v>2030</v>
      </c>
      <c r="T43" s="675">
        <v>0</v>
      </c>
      <c r="U43" s="675">
        <v>5</v>
      </c>
      <c r="V43" s="676">
        <f t="shared" si="5"/>
        <v>0</v>
      </c>
      <c r="W43" s="677">
        <v>1</v>
      </c>
      <c r="X43" s="678">
        <f t="shared" si="2"/>
        <v>0</v>
      </c>
    </row>
    <row r="44" spans="2:24">
      <c r="B44" s="673">
        <f t="shared" si="3"/>
        <v>2031</v>
      </c>
      <c r="C44" s="679"/>
      <c r="D44" s="666">
        <v>1</v>
      </c>
      <c r="E44" s="667">
        <f t="shared" si="8"/>
        <v>0.66390000000000005</v>
      </c>
      <c r="F44" s="667">
        <f t="shared" si="8"/>
        <v>0.1285</v>
      </c>
      <c r="G44" s="667">
        <f t="shared" si="7"/>
        <v>0</v>
      </c>
      <c r="H44" s="667">
        <f t="shared" si="8"/>
        <v>0</v>
      </c>
      <c r="I44" s="667">
        <f t="shared" si="7"/>
        <v>0</v>
      </c>
      <c r="J44" s="667">
        <f t="shared" si="8"/>
        <v>8.0999999999999996E-3</v>
      </c>
      <c r="K44" s="667">
        <f t="shared" si="8"/>
        <v>0</v>
      </c>
      <c r="L44" s="667">
        <f t="shared" si="8"/>
        <v>0.1071</v>
      </c>
      <c r="M44" s="667">
        <f t="shared" si="8"/>
        <v>1.77E-2</v>
      </c>
      <c r="N44" s="667">
        <f t="shared" si="8"/>
        <v>1.3299999999999999E-2</v>
      </c>
      <c r="O44" s="667">
        <f t="shared" si="8"/>
        <v>6.2100000000000002E-2</v>
      </c>
      <c r="P44" s="674">
        <f t="shared" si="1"/>
        <v>1.0006999999999999</v>
      </c>
      <c r="S44" s="673">
        <f t="shared" si="4"/>
        <v>2031</v>
      </c>
      <c r="T44" s="675">
        <v>0</v>
      </c>
      <c r="U44" s="675">
        <v>5</v>
      </c>
      <c r="V44" s="676">
        <f t="shared" si="5"/>
        <v>0</v>
      </c>
      <c r="W44" s="677">
        <v>1</v>
      </c>
      <c r="X44" s="678">
        <f t="shared" si="2"/>
        <v>0</v>
      </c>
    </row>
    <row r="45" spans="2:24">
      <c r="B45" s="673">
        <f t="shared" si="3"/>
        <v>2032</v>
      </c>
      <c r="C45" s="679"/>
      <c r="D45" s="666">
        <v>1</v>
      </c>
      <c r="E45" s="667">
        <f t="shared" si="8"/>
        <v>0.66390000000000005</v>
      </c>
      <c r="F45" s="667">
        <f t="shared" si="8"/>
        <v>0.1285</v>
      </c>
      <c r="G45" s="667">
        <f t="shared" si="7"/>
        <v>0</v>
      </c>
      <c r="H45" s="667">
        <f t="shared" si="8"/>
        <v>0</v>
      </c>
      <c r="I45" s="667">
        <f t="shared" si="7"/>
        <v>0</v>
      </c>
      <c r="J45" s="667">
        <f t="shared" si="8"/>
        <v>8.0999999999999996E-3</v>
      </c>
      <c r="K45" s="667">
        <f t="shared" si="8"/>
        <v>0</v>
      </c>
      <c r="L45" s="667">
        <f t="shared" si="8"/>
        <v>0.1071</v>
      </c>
      <c r="M45" s="667">
        <f t="shared" si="8"/>
        <v>1.77E-2</v>
      </c>
      <c r="N45" s="667">
        <f t="shared" si="8"/>
        <v>1.3299999999999999E-2</v>
      </c>
      <c r="O45" s="667">
        <f t="shared" si="8"/>
        <v>6.2100000000000002E-2</v>
      </c>
      <c r="P45" s="674">
        <f t="shared" ref="P45:P76" si="9">SUM(E45:O45)</f>
        <v>1.0006999999999999</v>
      </c>
      <c r="S45" s="673">
        <f t="shared" si="4"/>
        <v>2032</v>
      </c>
      <c r="T45" s="675">
        <v>0</v>
      </c>
      <c r="U45" s="675">
        <v>5</v>
      </c>
      <c r="V45" s="676">
        <f t="shared" si="5"/>
        <v>0</v>
      </c>
      <c r="W45" s="677">
        <v>1</v>
      </c>
      <c r="X45" s="678">
        <f t="shared" ref="X45:X76" si="10">V45*W45</f>
        <v>0</v>
      </c>
    </row>
    <row r="46" spans="2:24">
      <c r="B46" s="673">
        <f t="shared" ref="B46:B77" si="11">B45+1</f>
        <v>2033</v>
      </c>
      <c r="C46" s="679"/>
      <c r="D46" s="666">
        <v>1</v>
      </c>
      <c r="E46" s="667">
        <f t="shared" si="8"/>
        <v>0.66390000000000005</v>
      </c>
      <c r="F46" s="667">
        <f t="shared" si="8"/>
        <v>0.1285</v>
      </c>
      <c r="G46" s="667">
        <f t="shared" si="7"/>
        <v>0</v>
      </c>
      <c r="H46" s="667">
        <f t="shared" si="8"/>
        <v>0</v>
      </c>
      <c r="I46" s="667">
        <f t="shared" si="7"/>
        <v>0</v>
      </c>
      <c r="J46" s="667">
        <f t="shared" si="8"/>
        <v>8.0999999999999996E-3</v>
      </c>
      <c r="K46" s="667">
        <f t="shared" si="8"/>
        <v>0</v>
      </c>
      <c r="L46" s="667">
        <f t="shared" si="8"/>
        <v>0.1071</v>
      </c>
      <c r="M46" s="667">
        <f t="shared" si="8"/>
        <v>1.77E-2</v>
      </c>
      <c r="N46" s="667">
        <f t="shared" si="8"/>
        <v>1.3299999999999999E-2</v>
      </c>
      <c r="O46" s="667">
        <f t="shared" si="8"/>
        <v>6.2100000000000002E-2</v>
      </c>
      <c r="P46" s="674">
        <f t="shared" si="9"/>
        <v>1.0006999999999999</v>
      </c>
      <c r="S46" s="673">
        <f t="shared" si="4"/>
        <v>2033</v>
      </c>
      <c r="T46" s="675">
        <v>0</v>
      </c>
      <c r="U46" s="675">
        <v>5</v>
      </c>
      <c r="V46" s="676">
        <f t="shared" si="5"/>
        <v>0</v>
      </c>
      <c r="W46" s="677">
        <v>1</v>
      </c>
      <c r="X46" s="678">
        <f t="shared" si="10"/>
        <v>0</v>
      </c>
    </row>
    <row r="47" spans="2:24">
      <c r="B47" s="673">
        <f t="shared" si="11"/>
        <v>2034</v>
      </c>
      <c r="C47" s="679"/>
      <c r="D47" s="666">
        <v>1</v>
      </c>
      <c r="E47" s="667">
        <f t="shared" si="8"/>
        <v>0.66390000000000005</v>
      </c>
      <c r="F47" s="667">
        <f t="shared" si="8"/>
        <v>0.1285</v>
      </c>
      <c r="G47" s="667">
        <f t="shared" si="7"/>
        <v>0</v>
      </c>
      <c r="H47" s="667">
        <f t="shared" si="8"/>
        <v>0</v>
      </c>
      <c r="I47" s="667">
        <f t="shared" si="7"/>
        <v>0</v>
      </c>
      <c r="J47" s="667">
        <f t="shared" si="8"/>
        <v>8.0999999999999996E-3</v>
      </c>
      <c r="K47" s="667">
        <f t="shared" si="8"/>
        <v>0</v>
      </c>
      <c r="L47" s="667">
        <f t="shared" si="8"/>
        <v>0.1071</v>
      </c>
      <c r="M47" s="667">
        <f t="shared" si="8"/>
        <v>1.77E-2</v>
      </c>
      <c r="N47" s="667">
        <f t="shared" si="8"/>
        <v>1.3299999999999999E-2</v>
      </c>
      <c r="O47" s="667">
        <f t="shared" si="8"/>
        <v>6.2100000000000002E-2</v>
      </c>
      <c r="P47" s="674">
        <f t="shared" si="9"/>
        <v>1.0006999999999999</v>
      </c>
      <c r="S47" s="673">
        <f t="shared" si="4"/>
        <v>2034</v>
      </c>
      <c r="T47" s="675">
        <v>0</v>
      </c>
      <c r="U47" s="675">
        <v>5</v>
      </c>
      <c r="V47" s="676">
        <f t="shared" si="5"/>
        <v>0</v>
      </c>
      <c r="W47" s="677">
        <v>1</v>
      </c>
      <c r="X47" s="678">
        <f t="shared" si="10"/>
        <v>0</v>
      </c>
    </row>
    <row r="48" spans="2:24">
      <c r="B48" s="673">
        <f t="shared" si="11"/>
        <v>2035</v>
      </c>
      <c r="C48" s="679"/>
      <c r="D48" s="666">
        <v>1</v>
      </c>
      <c r="E48" s="667">
        <f t="shared" si="8"/>
        <v>0.66390000000000005</v>
      </c>
      <c r="F48" s="667">
        <f t="shared" si="8"/>
        <v>0.1285</v>
      </c>
      <c r="G48" s="667">
        <f t="shared" si="7"/>
        <v>0</v>
      </c>
      <c r="H48" s="667">
        <f t="shared" si="8"/>
        <v>0</v>
      </c>
      <c r="I48" s="667">
        <f t="shared" si="7"/>
        <v>0</v>
      </c>
      <c r="J48" s="667">
        <f t="shared" si="8"/>
        <v>8.0999999999999996E-3</v>
      </c>
      <c r="K48" s="667">
        <f t="shared" si="8"/>
        <v>0</v>
      </c>
      <c r="L48" s="667">
        <f t="shared" si="8"/>
        <v>0.1071</v>
      </c>
      <c r="M48" s="667">
        <f t="shared" si="8"/>
        <v>1.77E-2</v>
      </c>
      <c r="N48" s="667">
        <f t="shared" si="8"/>
        <v>1.3299999999999999E-2</v>
      </c>
      <c r="O48" s="667">
        <f t="shared" si="8"/>
        <v>6.2100000000000002E-2</v>
      </c>
      <c r="P48" s="674">
        <f t="shared" si="9"/>
        <v>1.0006999999999999</v>
      </c>
      <c r="S48" s="673">
        <f t="shared" si="4"/>
        <v>2035</v>
      </c>
      <c r="T48" s="675">
        <v>0</v>
      </c>
      <c r="U48" s="675">
        <v>5</v>
      </c>
      <c r="V48" s="676">
        <f t="shared" si="5"/>
        <v>0</v>
      </c>
      <c r="W48" s="677">
        <v>1</v>
      </c>
      <c r="X48" s="678">
        <f t="shared" si="10"/>
        <v>0</v>
      </c>
    </row>
    <row r="49" spans="2:24">
      <c r="B49" s="673">
        <f t="shared" si="11"/>
        <v>2036</v>
      </c>
      <c r="C49" s="679"/>
      <c r="D49" s="666">
        <v>1</v>
      </c>
      <c r="E49" s="667">
        <f t="shared" si="8"/>
        <v>0.66390000000000005</v>
      </c>
      <c r="F49" s="667">
        <f t="shared" si="8"/>
        <v>0.1285</v>
      </c>
      <c r="G49" s="667">
        <f t="shared" si="8"/>
        <v>0</v>
      </c>
      <c r="H49" s="667">
        <f t="shared" si="8"/>
        <v>0</v>
      </c>
      <c r="I49" s="667">
        <f t="shared" si="8"/>
        <v>0</v>
      </c>
      <c r="J49" s="667">
        <f t="shared" si="8"/>
        <v>8.0999999999999996E-3</v>
      </c>
      <c r="K49" s="667">
        <f t="shared" si="8"/>
        <v>0</v>
      </c>
      <c r="L49" s="667">
        <f t="shared" si="8"/>
        <v>0.1071</v>
      </c>
      <c r="M49" s="667">
        <f t="shared" si="8"/>
        <v>1.77E-2</v>
      </c>
      <c r="N49" s="667">
        <f t="shared" si="8"/>
        <v>1.3299999999999999E-2</v>
      </c>
      <c r="O49" s="667">
        <f t="shared" si="8"/>
        <v>6.2100000000000002E-2</v>
      </c>
      <c r="P49" s="674">
        <f t="shared" si="9"/>
        <v>1.0006999999999999</v>
      </c>
      <c r="S49" s="673">
        <f t="shared" si="4"/>
        <v>2036</v>
      </c>
      <c r="T49" s="675">
        <v>0</v>
      </c>
      <c r="U49" s="675">
        <v>5</v>
      </c>
      <c r="V49" s="676">
        <f t="shared" si="5"/>
        <v>0</v>
      </c>
      <c r="W49" s="677">
        <v>1</v>
      </c>
      <c r="X49" s="678">
        <f t="shared" si="10"/>
        <v>0</v>
      </c>
    </row>
    <row r="50" spans="2:24">
      <c r="B50" s="673">
        <f t="shared" si="11"/>
        <v>2037</v>
      </c>
      <c r="C50" s="679"/>
      <c r="D50" s="666">
        <v>1</v>
      </c>
      <c r="E50" s="667">
        <f t="shared" si="8"/>
        <v>0.66390000000000005</v>
      </c>
      <c r="F50" s="667">
        <f t="shared" si="8"/>
        <v>0.1285</v>
      </c>
      <c r="G50" s="667">
        <f t="shared" si="8"/>
        <v>0</v>
      </c>
      <c r="H50" s="667">
        <f t="shared" si="8"/>
        <v>0</v>
      </c>
      <c r="I50" s="667">
        <f t="shared" si="8"/>
        <v>0</v>
      </c>
      <c r="J50" s="667">
        <f t="shared" si="8"/>
        <v>8.0999999999999996E-3</v>
      </c>
      <c r="K50" s="667">
        <f t="shared" si="8"/>
        <v>0</v>
      </c>
      <c r="L50" s="667">
        <f t="shared" si="8"/>
        <v>0.1071</v>
      </c>
      <c r="M50" s="667">
        <f t="shared" si="8"/>
        <v>1.77E-2</v>
      </c>
      <c r="N50" s="667">
        <f t="shared" si="8"/>
        <v>1.3299999999999999E-2</v>
      </c>
      <c r="O50" s="667">
        <f t="shared" si="8"/>
        <v>6.2100000000000002E-2</v>
      </c>
      <c r="P50" s="674">
        <f t="shared" si="9"/>
        <v>1.0006999999999999</v>
      </c>
      <c r="S50" s="673">
        <f t="shared" si="4"/>
        <v>2037</v>
      </c>
      <c r="T50" s="675">
        <v>0</v>
      </c>
      <c r="U50" s="675">
        <v>5</v>
      </c>
      <c r="V50" s="676">
        <f t="shared" si="5"/>
        <v>0</v>
      </c>
      <c r="W50" s="677">
        <v>1</v>
      </c>
      <c r="X50" s="678">
        <f t="shared" si="10"/>
        <v>0</v>
      </c>
    </row>
    <row r="51" spans="2:24">
      <c r="B51" s="673">
        <f t="shared" si="11"/>
        <v>2038</v>
      </c>
      <c r="C51" s="679"/>
      <c r="D51" s="666">
        <v>1</v>
      </c>
      <c r="E51" s="667">
        <f t="shared" si="8"/>
        <v>0.66390000000000005</v>
      </c>
      <c r="F51" s="667">
        <f t="shared" si="8"/>
        <v>0.1285</v>
      </c>
      <c r="G51" s="667">
        <f t="shared" si="8"/>
        <v>0</v>
      </c>
      <c r="H51" s="667">
        <f t="shared" si="8"/>
        <v>0</v>
      </c>
      <c r="I51" s="667">
        <f t="shared" si="8"/>
        <v>0</v>
      </c>
      <c r="J51" s="667">
        <f t="shared" si="8"/>
        <v>8.0999999999999996E-3</v>
      </c>
      <c r="K51" s="667">
        <f t="shared" si="8"/>
        <v>0</v>
      </c>
      <c r="L51" s="667">
        <f t="shared" si="8"/>
        <v>0.1071</v>
      </c>
      <c r="M51" s="667">
        <f t="shared" si="8"/>
        <v>1.77E-2</v>
      </c>
      <c r="N51" s="667">
        <f t="shared" si="8"/>
        <v>1.3299999999999999E-2</v>
      </c>
      <c r="O51" s="667">
        <f t="shared" si="8"/>
        <v>6.2100000000000002E-2</v>
      </c>
      <c r="P51" s="674">
        <f t="shared" si="9"/>
        <v>1.0006999999999999</v>
      </c>
      <c r="S51" s="673">
        <f t="shared" si="4"/>
        <v>2038</v>
      </c>
      <c r="T51" s="675">
        <v>0</v>
      </c>
      <c r="U51" s="675">
        <v>5</v>
      </c>
      <c r="V51" s="676">
        <f t="shared" si="5"/>
        <v>0</v>
      </c>
      <c r="W51" s="677">
        <v>1</v>
      </c>
      <c r="X51" s="678">
        <f t="shared" si="10"/>
        <v>0</v>
      </c>
    </row>
    <row r="52" spans="2:24">
      <c r="B52" s="673">
        <f t="shared" si="11"/>
        <v>2039</v>
      </c>
      <c r="C52" s="679"/>
      <c r="D52" s="666">
        <v>1</v>
      </c>
      <c r="E52" s="667">
        <f t="shared" si="8"/>
        <v>0.66390000000000005</v>
      </c>
      <c r="F52" s="667">
        <f t="shared" si="8"/>
        <v>0.1285</v>
      </c>
      <c r="G52" s="667">
        <f t="shared" si="8"/>
        <v>0</v>
      </c>
      <c r="H52" s="667">
        <f t="shared" si="8"/>
        <v>0</v>
      </c>
      <c r="I52" s="667">
        <f t="shared" si="8"/>
        <v>0</v>
      </c>
      <c r="J52" s="667">
        <f t="shared" si="8"/>
        <v>8.0999999999999996E-3</v>
      </c>
      <c r="K52" s="667">
        <f t="shared" si="8"/>
        <v>0</v>
      </c>
      <c r="L52" s="667">
        <f t="shared" si="8"/>
        <v>0.1071</v>
      </c>
      <c r="M52" s="667">
        <f t="shared" si="8"/>
        <v>1.77E-2</v>
      </c>
      <c r="N52" s="667">
        <f t="shared" si="8"/>
        <v>1.3299999999999999E-2</v>
      </c>
      <c r="O52" s="667">
        <f t="shared" si="8"/>
        <v>6.2100000000000002E-2</v>
      </c>
      <c r="P52" s="674">
        <f t="shared" si="9"/>
        <v>1.0006999999999999</v>
      </c>
      <c r="S52" s="673">
        <f t="shared" si="4"/>
        <v>2039</v>
      </c>
      <c r="T52" s="675">
        <v>0</v>
      </c>
      <c r="U52" s="675">
        <v>5</v>
      </c>
      <c r="V52" s="676">
        <f t="shared" si="5"/>
        <v>0</v>
      </c>
      <c r="W52" s="677">
        <v>1</v>
      </c>
      <c r="X52" s="678">
        <f t="shared" si="10"/>
        <v>0</v>
      </c>
    </row>
    <row r="53" spans="2:24">
      <c r="B53" s="673">
        <f t="shared" si="11"/>
        <v>2040</v>
      </c>
      <c r="C53" s="679"/>
      <c r="D53" s="666">
        <v>1</v>
      </c>
      <c r="E53" s="667">
        <f t="shared" ref="E53:O68" si="12">E$8</f>
        <v>0.66390000000000005</v>
      </c>
      <c r="F53" s="667">
        <f t="shared" si="12"/>
        <v>0.1285</v>
      </c>
      <c r="G53" s="667">
        <f t="shared" si="8"/>
        <v>0</v>
      </c>
      <c r="H53" s="667">
        <f t="shared" si="12"/>
        <v>0</v>
      </c>
      <c r="I53" s="667">
        <f t="shared" si="8"/>
        <v>0</v>
      </c>
      <c r="J53" s="667">
        <f t="shared" si="12"/>
        <v>8.0999999999999996E-3</v>
      </c>
      <c r="K53" s="667">
        <f t="shared" si="12"/>
        <v>0</v>
      </c>
      <c r="L53" s="667">
        <f t="shared" si="12"/>
        <v>0.1071</v>
      </c>
      <c r="M53" s="667">
        <f t="shared" si="12"/>
        <v>1.77E-2</v>
      </c>
      <c r="N53" s="667">
        <f t="shared" si="12"/>
        <v>1.3299999999999999E-2</v>
      </c>
      <c r="O53" s="667">
        <f t="shared" si="12"/>
        <v>6.2100000000000002E-2</v>
      </c>
      <c r="P53" s="674">
        <f t="shared" si="9"/>
        <v>1.0006999999999999</v>
      </c>
      <c r="S53" s="673">
        <f t="shared" si="4"/>
        <v>2040</v>
      </c>
      <c r="T53" s="675">
        <v>0</v>
      </c>
      <c r="U53" s="675">
        <v>5</v>
      </c>
      <c r="V53" s="676">
        <f t="shared" si="5"/>
        <v>0</v>
      </c>
      <c r="W53" s="677">
        <v>1</v>
      </c>
      <c r="X53" s="678">
        <f t="shared" si="10"/>
        <v>0</v>
      </c>
    </row>
    <row r="54" spans="2:24">
      <c r="B54" s="673">
        <f t="shared" si="11"/>
        <v>2041</v>
      </c>
      <c r="C54" s="679"/>
      <c r="D54" s="666">
        <v>1</v>
      </c>
      <c r="E54" s="667">
        <f t="shared" si="12"/>
        <v>0.66390000000000005</v>
      </c>
      <c r="F54" s="667">
        <f t="shared" si="12"/>
        <v>0.1285</v>
      </c>
      <c r="G54" s="667">
        <f t="shared" si="8"/>
        <v>0</v>
      </c>
      <c r="H54" s="667">
        <f t="shared" si="12"/>
        <v>0</v>
      </c>
      <c r="I54" s="667">
        <f t="shared" si="8"/>
        <v>0</v>
      </c>
      <c r="J54" s="667">
        <f t="shared" si="12"/>
        <v>8.0999999999999996E-3</v>
      </c>
      <c r="K54" s="667">
        <f t="shared" si="12"/>
        <v>0</v>
      </c>
      <c r="L54" s="667">
        <f t="shared" si="12"/>
        <v>0.1071</v>
      </c>
      <c r="M54" s="667">
        <f t="shared" si="12"/>
        <v>1.77E-2</v>
      </c>
      <c r="N54" s="667">
        <f t="shared" si="12"/>
        <v>1.3299999999999999E-2</v>
      </c>
      <c r="O54" s="667">
        <f t="shared" si="12"/>
        <v>6.2100000000000002E-2</v>
      </c>
      <c r="P54" s="674">
        <f t="shared" si="9"/>
        <v>1.0006999999999999</v>
      </c>
      <c r="S54" s="673">
        <f t="shared" si="4"/>
        <v>2041</v>
      </c>
      <c r="T54" s="675">
        <v>0</v>
      </c>
      <c r="U54" s="675">
        <v>5</v>
      </c>
      <c r="V54" s="676">
        <f t="shared" si="5"/>
        <v>0</v>
      </c>
      <c r="W54" s="677">
        <v>1</v>
      </c>
      <c r="X54" s="678">
        <f t="shared" si="10"/>
        <v>0</v>
      </c>
    </row>
    <row r="55" spans="2:24">
      <c r="B55" s="673">
        <f t="shared" si="11"/>
        <v>2042</v>
      </c>
      <c r="C55" s="679"/>
      <c r="D55" s="666">
        <v>1</v>
      </c>
      <c r="E55" s="667">
        <f t="shared" si="12"/>
        <v>0.66390000000000005</v>
      </c>
      <c r="F55" s="667">
        <f t="shared" si="12"/>
        <v>0.1285</v>
      </c>
      <c r="G55" s="667">
        <f t="shared" si="8"/>
        <v>0</v>
      </c>
      <c r="H55" s="667">
        <f t="shared" si="12"/>
        <v>0</v>
      </c>
      <c r="I55" s="667">
        <f t="shared" si="8"/>
        <v>0</v>
      </c>
      <c r="J55" s="667">
        <f t="shared" si="12"/>
        <v>8.0999999999999996E-3</v>
      </c>
      <c r="K55" s="667">
        <f t="shared" si="12"/>
        <v>0</v>
      </c>
      <c r="L55" s="667">
        <f t="shared" si="12"/>
        <v>0.1071</v>
      </c>
      <c r="M55" s="667">
        <f t="shared" si="12"/>
        <v>1.77E-2</v>
      </c>
      <c r="N55" s="667">
        <f t="shared" si="12"/>
        <v>1.3299999999999999E-2</v>
      </c>
      <c r="O55" s="667">
        <f t="shared" si="12"/>
        <v>6.2100000000000002E-2</v>
      </c>
      <c r="P55" s="674">
        <f t="shared" si="9"/>
        <v>1.0006999999999999</v>
      </c>
      <c r="S55" s="673">
        <f t="shared" si="4"/>
        <v>2042</v>
      </c>
      <c r="T55" s="675">
        <v>0</v>
      </c>
      <c r="U55" s="675">
        <v>5</v>
      </c>
      <c r="V55" s="676">
        <f t="shared" si="5"/>
        <v>0</v>
      </c>
      <c r="W55" s="677">
        <v>1</v>
      </c>
      <c r="X55" s="678">
        <f t="shared" si="10"/>
        <v>0</v>
      </c>
    </row>
    <row r="56" spans="2:24">
      <c r="B56" s="673">
        <f t="shared" si="11"/>
        <v>2043</v>
      </c>
      <c r="C56" s="679"/>
      <c r="D56" s="666">
        <v>1</v>
      </c>
      <c r="E56" s="667">
        <f t="shared" si="12"/>
        <v>0.66390000000000005</v>
      </c>
      <c r="F56" s="667">
        <f t="shared" si="12"/>
        <v>0.1285</v>
      </c>
      <c r="G56" s="667">
        <f t="shared" si="8"/>
        <v>0</v>
      </c>
      <c r="H56" s="667">
        <f t="shared" si="12"/>
        <v>0</v>
      </c>
      <c r="I56" s="667">
        <f t="shared" si="8"/>
        <v>0</v>
      </c>
      <c r="J56" s="667">
        <f t="shared" si="12"/>
        <v>8.0999999999999996E-3</v>
      </c>
      <c r="K56" s="667">
        <f t="shared" si="12"/>
        <v>0</v>
      </c>
      <c r="L56" s="667">
        <f t="shared" si="12"/>
        <v>0.1071</v>
      </c>
      <c r="M56" s="667">
        <f t="shared" si="12"/>
        <v>1.77E-2</v>
      </c>
      <c r="N56" s="667">
        <f t="shared" si="12"/>
        <v>1.3299999999999999E-2</v>
      </c>
      <c r="O56" s="667">
        <f t="shared" si="12"/>
        <v>6.2100000000000002E-2</v>
      </c>
      <c r="P56" s="674">
        <f t="shared" si="9"/>
        <v>1.0006999999999999</v>
      </c>
      <c r="S56" s="673">
        <f t="shared" si="4"/>
        <v>2043</v>
      </c>
      <c r="T56" s="675">
        <v>0</v>
      </c>
      <c r="U56" s="675">
        <v>5</v>
      </c>
      <c r="V56" s="676">
        <f t="shared" si="5"/>
        <v>0</v>
      </c>
      <c r="W56" s="677">
        <v>1</v>
      </c>
      <c r="X56" s="678">
        <f t="shared" si="10"/>
        <v>0</v>
      </c>
    </row>
    <row r="57" spans="2:24">
      <c r="B57" s="673">
        <f t="shared" si="11"/>
        <v>2044</v>
      </c>
      <c r="C57" s="679"/>
      <c r="D57" s="666">
        <v>1</v>
      </c>
      <c r="E57" s="667">
        <f t="shared" si="12"/>
        <v>0.66390000000000005</v>
      </c>
      <c r="F57" s="667">
        <f t="shared" si="12"/>
        <v>0.1285</v>
      </c>
      <c r="G57" s="667">
        <f t="shared" si="8"/>
        <v>0</v>
      </c>
      <c r="H57" s="667">
        <f t="shared" si="12"/>
        <v>0</v>
      </c>
      <c r="I57" s="667">
        <f t="shared" si="8"/>
        <v>0</v>
      </c>
      <c r="J57" s="667">
        <f t="shared" si="12"/>
        <v>8.0999999999999996E-3</v>
      </c>
      <c r="K57" s="667">
        <f t="shared" si="12"/>
        <v>0</v>
      </c>
      <c r="L57" s="667">
        <f t="shared" si="12"/>
        <v>0.1071</v>
      </c>
      <c r="M57" s="667">
        <f t="shared" si="12"/>
        <v>1.77E-2</v>
      </c>
      <c r="N57" s="667">
        <f t="shared" si="12"/>
        <v>1.3299999999999999E-2</v>
      </c>
      <c r="O57" s="667">
        <f t="shared" si="12"/>
        <v>6.2100000000000002E-2</v>
      </c>
      <c r="P57" s="674">
        <f t="shared" si="9"/>
        <v>1.0006999999999999</v>
      </c>
      <c r="S57" s="673">
        <f t="shared" si="4"/>
        <v>2044</v>
      </c>
      <c r="T57" s="675">
        <v>0</v>
      </c>
      <c r="U57" s="675">
        <v>5</v>
      </c>
      <c r="V57" s="676">
        <f t="shared" si="5"/>
        <v>0</v>
      </c>
      <c r="W57" s="677">
        <v>1</v>
      </c>
      <c r="X57" s="678">
        <f t="shared" si="10"/>
        <v>0</v>
      </c>
    </row>
    <row r="58" spans="2:24">
      <c r="B58" s="673">
        <f t="shared" si="11"/>
        <v>2045</v>
      </c>
      <c r="C58" s="679"/>
      <c r="D58" s="666">
        <v>1</v>
      </c>
      <c r="E58" s="667">
        <f t="shared" si="12"/>
        <v>0.66390000000000005</v>
      </c>
      <c r="F58" s="667">
        <f t="shared" si="12"/>
        <v>0.1285</v>
      </c>
      <c r="G58" s="667">
        <f t="shared" si="8"/>
        <v>0</v>
      </c>
      <c r="H58" s="667">
        <f t="shared" si="12"/>
        <v>0</v>
      </c>
      <c r="I58" s="667">
        <f t="shared" si="8"/>
        <v>0</v>
      </c>
      <c r="J58" s="667">
        <f t="shared" si="12"/>
        <v>8.0999999999999996E-3</v>
      </c>
      <c r="K58" s="667">
        <f t="shared" si="12"/>
        <v>0</v>
      </c>
      <c r="L58" s="667">
        <f t="shared" si="12"/>
        <v>0.1071</v>
      </c>
      <c r="M58" s="667">
        <f t="shared" si="12"/>
        <v>1.77E-2</v>
      </c>
      <c r="N58" s="667">
        <f t="shared" si="12"/>
        <v>1.3299999999999999E-2</v>
      </c>
      <c r="O58" s="667">
        <f t="shared" si="12"/>
        <v>6.2100000000000002E-2</v>
      </c>
      <c r="P58" s="674">
        <f t="shared" si="9"/>
        <v>1.0006999999999999</v>
      </c>
      <c r="S58" s="673">
        <f t="shared" si="4"/>
        <v>2045</v>
      </c>
      <c r="T58" s="675">
        <v>0</v>
      </c>
      <c r="U58" s="675">
        <v>5</v>
      </c>
      <c r="V58" s="676">
        <f t="shared" si="5"/>
        <v>0</v>
      </c>
      <c r="W58" s="677">
        <v>1</v>
      </c>
      <c r="X58" s="678">
        <f t="shared" si="10"/>
        <v>0</v>
      </c>
    </row>
    <row r="59" spans="2:24">
      <c r="B59" s="673">
        <f t="shared" si="11"/>
        <v>2046</v>
      </c>
      <c r="C59" s="679"/>
      <c r="D59" s="666">
        <v>1</v>
      </c>
      <c r="E59" s="667">
        <f t="shared" si="12"/>
        <v>0.66390000000000005</v>
      </c>
      <c r="F59" s="667">
        <f t="shared" si="12"/>
        <v>0.1285</v>
      </c>
      <c r="G59" s="667">
        <f t="shared" si="12"/>
        <v>0</v>
      </c>
      <c r="H59" s="667">
        <f t="shared" si="12"/>
        <v>0</v>
      </c>
      <c r="I59" s="667">
        <f t="shared" si="12"/>
        <v>0</v>
      </c>
      <c r="J59" s="667">
        <f t="shared" si="12"/>
        <v>8.0999999999999996E-3</v>
      </c>
      <c r="K59" s="667">
        <f t="shared" si="12"/>
        <v>0</v>
      </c>
      <c r="L59" s="667">
        <f t="shared" si="12"/>
        <v>0.1071</v>
      </c>
      <c r="M59" s="667">
        <f t="shared" si="12"/>
        <v>1.77E-2</v>
      </c>
      <c r="N59" s="667">
        <f t="shared" si="12"/>
        <v>1.3299999999999999E-2</v>
      </c>
      <c r="O59" s="667">
        <f t="shared" si="12"/>
        <v>6.2100000000000002E-2</v>
      </c>
      <c r="P59" s="674">
        <f t="shared" si="9"/>
        <v>1.0006999999999999</v>
      </c>
      <c r="S59" s="673">
        <f t="shared" si="4"/>
        <v>2046</v>
      </c>
      <c r="T59" s="675">
        <v>0</v>
      </c>
      <c r="U59" s="675">
        <v>5</v>
      </c>
      <c r="V59" s="676">
        <f t="shared" si="5"/>
        <v>0</v>
      </c>
      <c r="W59" s="677">
        <v>1</v>
      </c>
      <c r="X59" s="678">
        <f t="shared" si="10"/>
        <v>0</v>
      </c>
    </row>
    <row r="60" spans="2:24">
      <c r="B60" s="673">
        <f t="shared" si="11"/>
        <v>2047</v>
      </c>
      <c r="C60" s="679"/>
      <c r="D60" s="666">
        <v>1</v>
      </c>
      <c r="E60" s="667">
        <f t="shared" si="12"/>
        <v>0.66390000000000005</v>
      </c>
      <c r="F60" s="667">
        <f t="shared" si="12"/>
        <v>0.1285</v>
      </c>
      <c r="G60" s="667">
        <f t="shared" si="12"/>
        <v>0</v>
      </c>
      <c r="H60" s="667">
        <f t="shared" si="12"/>
        <v>0</v>
      </c>
      <c r="I60" s="667">
        <f t="shared" si="12"/>
        <v>0</v>
      </c>
      <c r="J60" s="667">
        <f t="shared" si="12"/>
        <v>8.0999999999999996E-3</v>
      </c>
      <c r="K60" s="667">
        <f t="shared" si="12"/>
        <v>0</v>
      </c>
      <c r="L60" s="667">
        <f t="shared" si="12"/>
        <v>0.1071</v>
      </c>
      <c r="M60" s="667">
        <f t="shared" si="12"/>
        <v>1.77E-2</v>
      </c>
      <c r="N60" s="667">
        <f t="shared" si="12"/>
        <v>1.3299999999999999E-2</v>
      </c>
      <c r="O60" s="667">
        <f t="shared" si="12"/>
        <v>6.2100000000000002E-2</v>
      </c>
      <c r="P60" s="674">
        <f t="shared" si="9"/>
        <v>1.0006999999999999</v>
      </c>
      <c r="S60" s="673">
        <f t="shared" si="4"/>
        <v>2047</v>
      </c>
      <c r="T60" s="675">
        <v>0</v>
      </c>
      <c r="U60" s="675">
        <v>5</v>
      </c>
      <c r="V60" s="676">
        <f t="shared" si="5"/>
        <v>0</v>
      </c>
      <c r="W60" s="677">
        <v>1</v>
      </c>
      <c r="X60" s="678">
        <f t="shared" si="10"/>
        <v>0</v>
      </c>
    </row>
    <row r="61" spans="2:24">
      <c r="B61" s="673">
        <f t="shared" si="11"/>
        <v>2048</v>
      </c>
      <c r="C61" s="679"/>
      <c r="D61" s="666">
        <v>1</v>
      </c>
      <c r="E61" s="667">
        <f t="shared" si="12"/>
        <v>0.66390000000000005</v>
      </c>
      <c r="F61" s="667">
        <f t="shared" si="12"/>
        <v>0.1285</v>
      </c>
      <c r="G61" s="667">
        <f t="shared" si="12"/>
        <v>0</v>
      </c>
      <c r="H61" s="667">
        <f t="shared" si="12"/>
        <v>0</v>
      </c>
      <c r="I61" s="667">
        <f t="shared" si="12"/>
        <v>0</v>
      </c>
      <c r="J61" s="667">
        <f t="shared" si="12"/>
        <v>8.0999999999999996E-3</v>
      </c>
      <c r="K61" s="667">
        <f t="shared" si="12"/>
        <v>0</v>
      </c>
      <c r="L61" s="667">
        <f t="shared" si="12"/>
        <v>0.1071</v>
      </c>
      <c r="M61" s="667">
        <f t="shared" si="12"/>
        <v>1.77E-2</v>
      </c>
      <c r="N61" s="667">
        <f t="shared" si="12"/>
        <v>1.3299999999999999E-2</v>
      </c>
      <c r="O61" s="667">
        <f t="shared" si="12"/>
        <v>6.2100000000000002E-2</v>
      </c>
      <c r="P61" s="674">
        <f t="shared" si="9"/>
        <v>1.0006999999999999</v>
      </c>
      <c r="S61" s="673">
        <f t="shared" si="4"/>
        <v>2048</v>
      </c>
      <c r="T61" s="675">
        <v>0</v>
      </c>
      <c r="U61" s="675">
        <v>5</v>
      </c>
      <c r="V61" s="676">
        <f t="shared" si="5"/>
        <v>0</v>
      </c>
      <c r="W61" s="677">
        <v>1</v>
      </c>
      <c r="X61" s="678">
        <f t="shared" si="10"/>
        <v>0</v>
      </c>
    </row>
    <row r="62" spans="2:24">
      <c r="B62" s="673">
        <f t="shared" si="11"/>
        <v>2049</v>
      </c>
      <c r="C62" s="679"/>
      <c r="D62" s="666">
        <v>1</v>
      </c>
      <c r="E62" s="667">
        <f t="shared" si="12"/>
        <v>0.66390000000000005</v>
      </c>
      <c r="F62" s="667">
        <f t="shared" si="12"/>
        <v>0.1285</v>
      </c>
      <c r="G62" s="667">
        <f t="shared" si="12"/>
        <v>0</v>
      </c>
      <c r="H62" s="667">
        <f t="shared" si="12"/>
        <v>0</v>
      </c>
      <c r="I62" s="667">
        <f t="shared" si="12"/>
        <v>0</v>
      </c>
      <c r="J62" s="667">
        <f t="shared" si="12"/>
        <v>8.0999999999999996E-3</v>
      </c>
      <c r="K62" s="667">
        <f t="shared" si="12"/>
        <v>0</v>
      </c>
      <c r="L62" s="667">
        <f t="shared" si="12"/>
        <v>0.1071</v>
      </c>
      <c r="M62" s="667">
        <f t="shared" si="12"/>
        <v>1.77E-2</v>
      </c>
      <c r="N62" s="667">
        <f t="shared" si="12"/>
        <v>1.3299999999999999E-2</v>
      </c>
      <c r="O62" s="667">
        <f t="shared" si="12"/>
        <v>6.2100000000000002E-2</v>
      </c>
      <c r="P62" s="674">
        <f t="shared" si="9"/>
        <v>1.0006999999999999</v>
      </c>
      <c r="S62" s="673">
        <f t="shared" si="4"/>
        <v>2049</v>
      </c>
      <c r="T62" s="675">
        <v>0</v>
      </c>
      <c r="U62" s="675">
        <v>5</v>
      </c>
      <c r="V62" s="676">
        <f t="shared" si="5"/>
        <v>0</v>
      </c>
      <c r="W62" s="677">
        <v>1</v>
      </c>
      <c r="X62" s="678">
        <f t="shared" si="10"/>
        <v>0</v>
      </c>
    </row>
    <row r="63" spans="2:24">
      <c r="B63" s="673">
        <f t="shared" si="11"/>
        <v>2050</v>
      </c>
      <c r="C63" s="679"/>
      <c r="D63" s="666">
        <v>1</v>
      </c>
      <c r="E63" s="667">
        <f t="shared" ref="E63:O78" si="13">E$8</f>
        <v>0.66390000000000005</v>
      </c>
      <c r="F63" s="667">
        <f t="shared" si="13"/>
        <v>0.1285</v>
      </c>
      <c r="G63" s="667">
        <f t="shared" si="12"/>
        <v>0</v>
      </c>
      <c r="H63" s="667">
        <f t="shared" si="13"/>
        <v>0</v>
      </c>
      <c r="I63" s="667">
        <f t="shared" si="12"/>
        <v>0</v>
      </c>
      <c r="J63" s="667">
        <f t="shared" si="13"/>
        <v>8.0999999999999996E-3</v>
      </c>
      <c r="K63" s="667">
        <f t="shared" si="13"/>
        <v>0</v>
      </c>
      <c r="L63" s="667">
        <f t="shared" si="13"/>
        <v>0.1071</v>
      </c>
      <c r="M63" s="667">
        <f t="shared" si="13"/>
        <v>1.77E-2</v>
      </c>
      <c r="N63" s="667">
        <f t="shared" si="13"/>
        <v>1.3299999999999999E-2</v>
      </c>
      <c r="O63" s="667">
        <f t="shared" si="13"/>
        <v>6.2100000000000002E-2</v>
      </c>
      <c r="P63" s="674">
        <f t="shared" si="9"/>
        <v>1.0006999999999999</v>
      </c>
      <c r="S63" s="673">
        <f t="shared" si="4"/>
        <v>2050</v>
      </c>
      <c r="T63" s="675">
        <v>0</v>
      </c>
      <c r="U63" s="675">
        <v>5</v>
      </c>
      <c r="V63" s="676">
        <f t="shared" si="5"/>
        <v>0</v>
      </c>
      <c r="W63" s="677">
        <v>1</v>
      </c>
      <c r="X63" s="678">
        <f t="shared" si="10"/>
        <v>0</v>
      </c>
    </row>
    <row r="64" spans="2:24">
      <c r="B64" s="673">
        <f t="shared" si="11"/>
        <v>2051</v>
      </c>
      <c r="C64" s="679"/>
      <c r="D64" s="666">
        <v>1</v>
      </c>
      <c r="E64" s="667">
        <f t="shared" si="13"/>
        <v>0.66390000000000005</v>
      </c>
      <c r="F64" s="667">
        <f t="shared" si="13"/>
        <v>0.1285</v>
      </c>
      <c r="G64" s="667">
        <f t="shared" si="12"/>
        <v>0</v>
      </c>
      <c r="H64" s="667">
        <f t="shared" si="13"/>
        <v>0</v>
      </c>
      <c r="I64" s="667">
        <f t="shared" si="12"/>
        <v>0</v>
      </c>
      <c r="J64" s="667">
        <f t="shared" si="13"/>
        <v>8.0999999999999996E-3</v>
      </c>
      <c r="K64" s="667">
        <f t="shared" si="13"/>
        <v>0</v>
      </c>
      <c r="L64" s="667">
        <f t="shared" si="13"/>
        <v>0.1071</v>
      </c>
      <c r="M64" s="667">
        <f t="shared" si="13"/>
        <v>1.77E-2</v>
      </c>
      <c r="N64" s="667">
        <f t="shared" si="13"/>
        <v>1.3299999999999999E-2</v>
      </c>
      <c r="O64" s="667">
        <f t="shared" si="13"/>
        <v>6.2100000000000002E-2</v>
      </c>
      <c r="P64" s="674">
        <f t="shared" si="9"/>
        <v>1.0006999999999999</v>
      </c>
      <c r="S64" s="673">
        <f t="shared" si="4"/>
        <v>2051</v>
      </c>
      <c r="T64" s="675">
        <v>0</v>
      </c>
      <c r="U64" s="675">
        <v>5</v>
      </c>
      <c r="V64" s="676">
        <f t="shared" si="5"/>
        <v>0</v>
      </c>
      <c r="W64" s="677">
        <v>1</v>
      </c>
      <c r="X64" s="678">
        <f t="shared" si="10"/>
        <v>0</v>
      </c>
    </row>
    <row r="65" spans="2:24">
      <c r="B65" s="673">
        <f t="shared" si="11"/>
        <v>2052</v>
      </c>
      <c r="C65" s="679"/>
      <c r="D65" s="666">
        <v>1</v>
      </c>
      <c r="E65" s="667">
        <f t="shared" si="13"/>
        <v>0.66390000000000005</v>
      </c>
      <c r="F65" s="667">
        <f t="shared" si="13"/>
        <v>0.1285</v>
      </c>
      <c r="G65" s="667">
        <f t="shared" si="12"/>
        <v>0</v>
      </c>
      <c r="H65" s="667">
        <f t="shared" si="13"/>
        <v>0</v>
      </c>
      <c r="I65" s="667">
        <f t="shared" si="12"/>
        <v>0</v>
      </c>
      <c r="J65" s="667">
        <f t="shared" si="13"/>
        <v>8.0999999999999996E-3</v>
      </c>
      <c r="K65" s="667">
        <f t="shared" si="13"/>
        <v>0</v>
      </c>
      <c r="L65" s="667">
        <f t="shared" si="13"/>
        <v>0.1071</v>
      </c>
      <c r="M65" s="667">
        <f t="shared" si="13"/>
        <v>1.77E-2</v>
      </c>
      <c r="N65" s="667">
        <f t="shared" si="13"/>
        <v>1.3299999999999999E-2</v>
      </c>
      <c r="O65" s="667">
        <f t="shared" si="13"/>
        <v>6.2100000000000002E-2</v>
      </c>
      <c r="P65" s="674">
        <f t="shared" si="9"/>
        <v>1.0006999999999999</v>
      </c>
      <c r="S65" s="673">
        <f t="shared" si="4"/>
        <v>2052</v>
      </c>
      <c r="T65" s="675">
        <v>0</v>
      </c>
      <c r="U65" s="675">
        <v>5</v>
      </c>
      <c r="V65" s="676">
        <f t="shared" si="5"/>
        <v>0</v>
      </c>
      <c r="W65" s="677">
        <v>1</v>
      </c>
      <c r="X65" s="678">
        <f t="shared" si="10"/>
        <v>0</v>
      </c>
    </row>
    <row r="66" spans="2:24">
      <c r="B66" s="673">
        <f t="shared" si="11"/>
        <v>2053</v>
      </c>
      <c r="C66" s="679"/>
      <c r="D66" s="666">
        <v>1</v>
      </c>
      <c r="E66" s="667">
        <f t="shared" si="13"/>
        <v>0.66390000000000005</v>
      </c>
      <c r="F66" s="667">
        <f t="shared" si="13"/>
        <v>0.1285</v>
      </c>
      <c r="G66" s="667">
        <f t="shared" si="12"/>
        <v>0</v>
      </c>
      <c r="H66" s="667">
        <f t="shared" si="13"/>
        <v>0</v>
      </c>
      <c r="I66" s="667">
        <f t="shared" si="12"/>
        <v>0</v>
      </c>
      <c r="J66" s="667">
        <f t="shared" si="13"/>
        <v>8.0999999999999996E-3</v>
      </c>
      <c r="K66" s="667">
        <f t="shared" si="13"/>
        <v>0</v>
      </c>
      <c r="L66" s="667">
        <f t="shared" si="13"/>
        <v>0.1071</v>
      </c>
      <c r="M66" s="667">
        <f t="shared" si="13"/>
        <v>1.77E-2</v>
      </c>
      <c r="N66" s="667">
        <f t="shared" si="13"/>
        <v>1.3299999999999999E-2</v>
      </c>
      <c r="O66" s="667">
        <f t="shared" si="13"/>
        <v>6.2100000000000002E-2</v>
      </c>
      <c r="P66" s="674">
        <f t="shared" si="9"/>
        <v>1.0006999999999999</v>
      </c>
      <c r="S66" s="673">
        <f t="shared" si="4"/>
        <v>2053</v>
      </c>
      <c r="T66" s="675">
        <v>0</v>
      </c>
      <c r="U66" s="675">
        <v>5</v>
      </c>
      <c r="V66" s="676">
        <f t="shared" si="5"/>
        <v>0</v>
      </c>
      <c r="W66" s="677">
        <v>1</v>
      </c>
      <c r="X66" s="678">
        <f t="shared" si="10"/>
        <v>0</v>
      </c>
    </row>
    <row r="67" spans="2:24">
      <c r="B67" s="673">
        <f t="shared" si="11"/>
        <v>2054</v>
      </c>
      <c r="C67" s="679"/>
      <c r="D67" s="666">
        <v>1</v>
      </c>
      <c r="E67" s="667">
        <f t="shared" si="13"/>
        <v>0.66390000000000005</v>
      </c>
      <c r="F67" s="667">
        <f t="shared" si="13"/>
        <v>0.1285</v>
      </c>
      <c r="G67" s="667">
        <f t="shared" si="12"/>
        <v>0</v>
      </c>
      <c r="H67" s="667">
        <f t="shared" si="13"/>
        <v>0</v>
      </c>
      <c r="I67" s="667">
        <f t="shared" si="12"/>
        <v>0</v>
      </c>
      <c r="J67" s="667">
        <f t="shared" si="13"/>
        <v>8.0999999999999996E-3</v>
      </c>
      <c r="K67" s="667">
        <f t="shared" si="13"/>
        <v>0</v>
      </c>
      <c r="L67" s="667">
        <f t="shared" si="13"/>
        <v>0.1071</v>
      </c>
      <c r="M67" s="667">
        <f t="shared" si="13"/>
        <v>1.77E-2</v>
      </c>
      <c r="N67" s="667">
        <f t="shared" si="13"/>
        <v>1.3299999999999999E-2</v>
      </c>
      <c r="O67" s="667">
        <f t="shared" si="13"/>
        <v>6.2100000000000002E-2</v>
      </c>
      <c r="P67" s="674">
        <f t="shared" si="9"/>
        <v>1.0006999999999999</v>
      </c>
      <c r="S67" s="673">
        <f t="shared" si="4"/>
        <v>2054</v>
      </c>
      <c r="T67" s="675">
        <v>0</v>
      </c>
      <c r="U67" s="675">
        <v>5</v>
      </c>
      <c r="V67" s="676">
        <f t="shared" si="5"/>
        <v>0</v>
      </c>
      <c r="W67" s="677">
        <v>1</v>
      </c>
      <c r="X67" s="678">
        <f t="shared" si="10"/>
        <v>0</v>
      </c>
    </row>
    <row r="68" spans="2:24">
      <c r="B68" s="673">
        <f t="shared" si="11"/>
        <v>2055</v>
      </c>
      <c r="C68" s="679"/>
      <c r="D68" s="666">
        <v>1</v>
      </c>
      <c r="E68" s="667">
        <f t="shared" si="13"/>
        <v>0.66390000000000005</v>
      </c>
      <c r="F68" s="667">
        <f t="shared" si="13"/>
        <v>0.1285</v>
      </c>
      <c r="G68" s="667">
        <f t="shared" si="12"/>
        <v>0</v>
      </c>
      <c r="H68" s="667">
        <f t="shared" si="13"/>
        <v>0</v>
      </c>
      <c r="I68" s="667">
        <f t="shared" si="12"/>
        <v>0</v>
      </c>
      <c r="J68" s="667">
        <f t="shared" si="13"/>
        <v>8.0999999999999996E-3</v>
      </c>
      <c r="K68" s="667">
        <f t="shared" si="13"/>
        <v>0</v>
      </c>
      <c r="L68" s="667">
        <f t="shared" si="13"/>
        <v>0.1071</v>
      </c>
      <c r="M68" s="667">
        <f t="shared" si="13"/>
        <v>1.77E-2</v>
      </c>
      <c r="N68" s="667">
        <f t="shared" si="13"/>
        <v>1.3299999999999999E-2</v>
      </c>
      <c r="O68" s="667">
        <f t="shared" si="13"/>
        <v>6.2100000000000002E-2</v>
      </c>
      <c r="P68" s="674">
        <f t="shared" si="9"/>
        <v>1.0006999999999999</v>
      </c>
      <c r="S68" s="673">
        <f t="shared" si="4"/>
        <v>2055</v>
      </c>
      <c r="T68" s="675">
        <v>0</v>
      </c>
      <c r="U68" s="675">
        <v>5</v>
      </c>
      <c r="V68" s="676">
        <f t="shared" si="5"/>
        <v>0</v>
      </c>
      <c r="W68" s="677">
        <v>1</v>
      </c>
      <c r="X68" s="678">
        <f t="shared" si="10"/>
        <v>0</v>
      </c>
    </row>
    <row r="69" spans="2:24">
      <c r="B69" s="673">
        <f t="shared" si="11"/>
        <v>2056</v>
      </c>
      <c r="C69" s="679"/>
      <c r="D69" s="666">
        <v>1</v>
      </c>
      <c r="E69" s="667">
        <f t="shared" si="13"/>
        <v>0.66390000000000005</v>
      </c>
      <c r="F69" s="667">
        <f t="shared" si="13"/>
        <v>0.1285</v>
      </c>
      <c r="G69" s="667">
        <f t="shared" si="13"/>
        <v>0</v>
      </c>
      <c r="H69" s="667">
        <f t="shared" si="13"/>
        <v>0</v>
      </c>
      <c r="I69" s="667">
        <f t="shared" si="13"/>
        <v>0</v>
      </c>
      <c r="J69" s="667">
        <f t="shared" si="13"/>
        <v>8.0999999999999996E-3</v>
      </c>
      <c r="K69" s="667">
        <f t="shared" si="13"/>
        <v>0</v>
      </c>
      <c r="L69" s="667">
        <f t="shared" si="13"/>
        <v>0.1071</v>
      </c>
      <c r="M69" s="667">
        <f t="shared" si="13"/>
        <v>1.77E-2</v>
      </c>
      <c r="N69" s="667">
        <f t="shared" si="13"/>
        <v>1.3299999999999999E-2</v>
      </c>
      <c r="O69" s="667">
        <f t="shared" si="13"/>
        <v>6.2100000000000002E-2</v>
      </c>
      <c r="P69" s="674">
        <f t="shared" si="9"/>
        <v>1.0006999999999999</v>
      </c>
      <c r="S69" s="673">
        <f t="shared" si="4"/>
        <v>2056</v>
      </c>
      <c r="T69" s="675">
        <v>0</v>
      </c>
      <c r="U69" s="675">
        <v>5</v>
      </c>
      <c r="V69" s="676">
        <f t="shared" si="5"/>
        <v>0</v>
      </c>
      <c r="W69" s="677">
        <v>1</v>
      </c>
      <c r="X69" s="678">
        <f t="shared" si="10"/>
        <v>0</v>
      </c>
    </row>
    <row r="70" spans="2:24">
      <c r="B70" s="673">
        <f t="shared" si="11"/>
        <v>2057</v>
      </c>
      <c r="C70" s="679"/>
      <c r="D70" s="666">
        <v>1</v>
      </c>
      <c r="E70" s="667">
        <f t="shared" si="13"/>
        <v>0.66390000000000005</v>
      </c>
      <c r="F70" s="667">
        <f t="shared" si="13"/>
        <v>0.1285</v>
      </c>
      <c r="G70" s="667">
        <f t="shared" si="13"/>
        <v>0</v>
      </c>
      <c r="H70" s="667">
        <f t="shared" si="13"/>
        <v>0</v>
      </c>
      <c r="I70" s="667">
        <f t="shared" si="13"/>
        <v>0</v>
      </c>
      <c r="J70" s="667">
        <f t="shared" si="13"/>
        <v>8.0999999999999996E-3</v>
      </c>
      <c r="K70" s="667">
        <f t="shared" si="13"/>
        <v>0</v>
      </c>
      <c r="L70" s="667">
        <f t="shared" si="13"/>
        <v>0.1071</v>
      </c>
      <c r="M70" s="667">
        <f t="shared" si="13"/>
        <v>1.77E-2</v>
      </c>
      <c r="N70" s="667">
        <f t="shared" si="13"/>
        <v>1.3299999999999999E-2</v>
      </c>
      <c r="O70" s="667">
        <f t="shared" si="13"/>
        <v>6.2100000000000002E-2</v>
      </c>
      <c r="P70" s="674">
        <f t="shared" si="9"/>
        <v>1.0006999999999999</v>
      </c>
      <c r="S70" s="673">
        <f t="shared" si="4"/>
        <v>2057</v>
      </c>
      <c r="T70" s="675">
        <v>0</v>
      </c>
      <c r="U70" s="675">
        <v>5</v>
      </c>
      <c r="V70" s="676">
        <f t="shared" si="5"/>
        <v>0</v>
      </c>
      <c r="W70" s="677">
        <v>1</v>
      </c>
      <c r="X70" s="678">
        <f t="shared" si="10"/>
        <v>0</v>
      </c>
    </row>
    <row r="71" spans="2:24">
      <c r="B71" s="673">
        <f t="shared" si="11"/>
        <v>2058</v>
      </c>
      <c r="C71" s="679"/>
      <c r="D71" s="666">
        <v>1</v>
      </c>
      <c r="E71" s="667">
        <f t="shared" si="13"/>
        <v>0.66390000000000005</v>
      </c>
      <c r="F71" s="667">
        <f t="shared" si="13"/>
        <v>0.1285</v>
      </c>
      <c r="G71" s="667">
        <f t="shared" si="13"/>
        <v>0</v>
      </c>
      <c r="H71" s="667">
        <f t="shared" si="13"/>
        <v>0</v>
      </c>
      <c r="I71" s="667">
        <f t="shared" si="13"/>
        <v>0</v>
      </c>
      <c r="J71" s="667">
        <f t="shared" si="13"/>
        <v>8.0999999999999996E-3</v>
      </c>
      <c r="K71" s="667">
        <f t="shared" si="13"/>
        <v>0</v>
      </c>
      <c r="L71" s="667">
        <f t="shared" si="13"/>
        <v>0.1071</v>
      </c>
      <c r="M71" s="667">
        <f t="shared" si="13"/>
        <v>1.77E-2</v>
      </c>
      <c r="N71" s="667">
        <f t="shared" si="13"/>
        <v>1.3299999999999999E-2</v>
      </c>
      <c r="O71" s="667">
        <f t="shared" si="13"/>
        <v>6.2100000000000002E-2</v>
      </c>
      <c r="P71" s="674">
        <f t="shared" si="9"/>
        <v>1.0006999999999999</v>
      </c>
      <c r="S71" s="673">
        <f t="shared" si="4"/>
        <v>2058</v>
      </c>
      <c r="T71" s="675">
        <v>0</v>
      </c>
      <c r="U71" s="675">
        <v>5</v>
      </c>
      <c r="V71" s="676">
        <f t="shared" si="5"/>
        <v>0</v>
      </c>
      <c r="W71" s="677">
        <v>1</v>
      </c>
      <c r="X71" s="678">
        <f t="shared" si="10"/>
        <v>0</v>
      </c>
    </row>
    <row r="72" spans="2:24">
      <c r="B72" s="673">
        <f t="shared" si="11"/>
        <v>2059</v>
      </c>
      <c r="C72" s="679"/>
      <c r="D72" s="666">
        <v>1</v>
      </c>
      <c r="E72" s="667">
        <f t="shared" si="13"/>
        <v>0.66390000000000005</v>
      </c>
      <c r="F72" s="667">
        <f t="shared" si="13"/>
        <v>0.1285</v>
      </c>
      <c r="G72" s="667">
        <f t="shared" si="13"/>
        <v>0</v>
      </c>
      <c r="H72" s="667">
        <f t="shared" si="13"/>
        <v>0</v>
      </c>
      <c r="I72" s="667">
        <f t="shared" si="13"/>
        <v>0</v>
      </c>
      <c r="J72" s="667">
        <f t="shared" si="13"/>
        <v>8.0999999999999996E-3</v>
      </c>
      <c r="K72" s="667">
        <f t="shared" si="13"/>
        <v>0</v>
      </c>
      <c r="L72" s="667">
        <f t="shared" si="13"/>
        <v>0.1071</v>
      </c>
      <c r="M72" s="667">
        <f t="shared" si="13"/>
        <v>1.77E-2</v>
      </c>
      <c r="N72" s="667">
        <f t="shared" si="13"/>
        <v>1.3299999999999999E-2</v>
      </c>
      <c r="O72" s="667">
        <f t="shared" si="13"/>
        <v>6.2100000000000002E-2</v>
      </c>
      <c r="P72" s="674">
        <f t="shared" si="9"/>
        <v>1.0006999999999999</v>
      </c>
      <c r="S72" s="673">
        <f t="shared" si="4"/>
        <v>2059</v>
      </c>
      <c r="T72" s="675">
        <v>0</v>
      </c>
      <c r="U72" s="675">
        <v>5</v>
      </c>
      <c r="V72" s="676">
        <f t="shared" si="5"/>
        <v>0</v>
      </c>
      <c r="W72" s="677">
        <v>1</v>
      </c>
      <c r="X72" s="678">
        <f t="shared" si="10"/>
        <v>0</v>
      </c>
    </row>
    <row r="73" spans="2:24">
      <c r="B73" s="673">
        <f t="shared" si="11"/>
        <v>2060</v>
      </c>
      <c r="C73" s="679"/>
      <c r="D73" s="666">
        <v>1</v>
      </c>
      <c r="E73" s="667">
        <f t="shared" ref="E73:O88" si="14">E$8</f>
        <v>0.66390000000000005</v>
      </c>
      <c r="F73" s="667">
        <f t="shared" si="14"/>
        <v>0.1285</v>
      </c>
      <c r="G73" s="667">
        <f t="shared" si="13"/>
        <v>0</v>
      </c>
      <c r="H73" s="667">
        <f t="shared" si="14"/>
        <v>0</v>
      </c>
      <c r="I73" s="667">
        <f t="shared" si="13"/>
        <v>0</v>
      </c>
      <c r="J73" s="667">
        <f t="shared" si="14"/>
        <v>8.0999999999999996E-3</v>
      </c>
      <c r="K73" s="667">
        <f t="shared" si="14"/>
        <v>0</v>
      </c>
      <c r="L73" s="667">
        <f t="shared" si="14"/>
        <v>0.1071</v>
      </c>
      <c r="M73" s="667">
        <f t="shared" si="14"/>
        <v>1.77E-2</v>
      </c>
      <c r="N73" s="667">
        <f t="shared" si="14"/>
        <v>1.3299999999999999E-2</v>
      </c>
      <c r="O73" s="667">
        <f t="shared" si="14"/>
        <v>6.2100000000000002E-2</v>
      </c>
      <c r="P73" s="674">
        <f t="shared" si="9"/>
        <v>1.0006999999999999</v>
      </c>
      <c r="S73" s="673">
        <f t="shared" si="4"/>
        <v>2060</v>
      </c>
      <c r="T73" s="675">
        <v>0</v>
      </c>
      <c r="U73" s="675">
        <v>5</v>
      </c>
      <c r="V73" s="676">
        <f t="shared" si="5"/>
        <v>0</v>
      </c>
      <c r="W73" s="677">
        <v>1</v>
      </c>
      <c r="X73" s="678">
        <f t="shared" si="10"/>
        <v>0</v>
      </c>
    </row>
    <row r="74" spans="2:24">
      <c r="B74" s="673">
        <f t="shared" si="11"/>
        <v>2061</v>
      </c>
      <c r="C74" s="679"/>
      <c r="D74" s="666">
        <v>1</v>
      </c>
      <c r="E74" s="667">
        <f t="shared" si="14"/>
        <v>0.66390000000000005</v>
      </c>
      <c r="F74" s="667">
        <f t="shared" si="14"/>
        <v>0.1285</v>
      </c>
      <c r="G74" s="667">
        <f t="shared" si="13"/>
        <v>0</v>
      </c>
      <c r="H74" s="667">
        <f t="shared" si="14"/>
        <v>0</v>
      </c>
      <c r="I74" s="667">
        <f t="shared" si="13"/>
        <v>0</v>
      </c>
      <c r="J74" s="667">
        <f t="shared" si="14"/>
        <v>8.0999999999999996E-3</v>
      </c>
      <c r="K74" s="667">
        <f t="shared" si="14"/>
        <v>0</v>
      </c>
      <c r="L74" s="667">
        <f t="shared" si="14"/>
        <v>0.1071</v>
      </c>
      <c r="M74" s="667">
        <f t="shared" si="14"/>
        <v>1.77E-2</v>
      </c>
      <c r="N74" s="667">
        <f t="shared" si="14"/>
        <v>1.3299999999999999E-2</v>
      </c>
      <c r="O74" s="667">
        <f t="shared" si="14"/>
        <v>6.2100000000000002E-2</v>
      </c>
      <c r="P74" s="674">
        <f t="shared" si="9"/>
        <v>1.0006999999999999</v>
      </c>
      <c r="S74" s="673">
        <f t="shared" si="4"/>
        <v>2061</v>
      </c>
      <c r="T74" s="675">
        <v>0</v>
      </c>
      <c r="U74" s="675">
        <v>5</v>
      </c>
      <c r="V74" s="676">
        <f t="shared" si="5"/>
        <v>0</v>
      </c>
      <c r="W74" s="677">
        <v>1</v>
      </c>
      <c r="X74" s="678">
        <f t="shared" si="10"/>
        <v>0</v>
      </c>
    </row>
    <row r="75" spans="2:24">
      <c r="B75" s="673">
        <f t="shared" si="11"/>
        <v>2062</v>
      </c>
      <c r="C75" s="679"/>
      <c r="D75" s="666">
        <v>1</v>
      </c>
      <c r="E75" s="667">
        <f t="shared" si="14"/>
        <v>0.66390000000000005</v>
      </c>
      <c r="F75" s="667">
        <f t="shared" si="14"/>
        <v>0.1285</v>
      </c>
      <c r="G75" s="667">
        <f t="shared" si="13"/>
        <v>0</v>
      </c>
      <c r="H75" s="667">
        <f t="shared" si="14"/>
        <v>0</v>
      </c>
      <c r="I75" s="667">
        <f t="shared" si="13"/>
        <v>0</v>
      </c>
      <c r="J75" s="667">
        <f t="shared" si="14"/>
        <v>8.0999999999999996E-3</v>
      </c>
      <c r="K75" s="667">
        <f t="shared" si="14"/>
        <v>0</v>
      </c>
      <c r="L75" s="667">
        <f t="shared" si="14"/>
        <v>0.1071</v>
      </c>
      <c r="M75" s="667">
        <f t="shared" si="14"/>
        <v>1.77E-2</v>
      </c>
      <c r="N75" s="667">
        <f t="shared" si="14"/>
        <v>1.3299999999999999E-2</v>
      </c>
      <c r="O75" s="667">
        <f t="shared" si="14"/>
        <v>6.2100000000000002E-2</v>
      </c>
      <c r="P75" s="674">
        <f t="shared" si="9"/>
        <v>1.0006999999999999</v>
      </c>
      <c r="S75" s="673">
        <f t="shared" si="4"/>
        <v>2062</v>
      </c>
      <c r="T75" s="675">
        <v>0</v>
      </c>
      <c r="U75" s="675">
        <v>5</v>
      </c>
      <c r="V75" s="676">
        <f t="shared" si="5"/>
        <v>0</v>
      </c>
      <c r="W75" s="677">
        <v>1</v>
      </c>
      <c r="X75" s="678">
        <f t="shared" si="10"/>
        <v>0</v>
      </c>
    </row>
    <row r="76" spans="2:24">
      <c r="B76" s="673">
        <f t="shared" si="11"/>
        <v>2063</v>
      </c>
      <c r="C76" s="679"/>
      <c r="D76" s="666">
        <v>1</v>
      </c>
      <c r="E76" s="667">
        <f t="shared" si="14"/>
        <v>0.66390000000000005</v>
      </c>
      <c r="F76" s="667">
        <f t="shared" si="14"/>
        <v>0.1285</v>
      </c>
      <c r="G76" s="667">
        <f t="shared" si="13"/>
        <v>0</v>
      </c>
      <c r="H76" s="667">
        <f t="shared" si="14"/>
        <v>0</v>
      </c>
      <c r="I76" s="667">
        <f t="shared" si="13"/>
        <v>0</v>
      </c>
      <c r="J76" s="667">
        <f t="shared" si="14"/>
        <v>8.0999999999999996E-3</v>
      </c>
      <c r="K76" s="667">
        <f t="shared" si="14"/>
        <v>0</v>
      </c>
      <c r="L76" s="667">
        <f t="shared" si="14"/>
        <v>0.1071</v>
      </c>
      <c r="M76" s="667">
        <f t="shared" si="14"/>
        <v>1.77E-2</v>
      </c>
      <c r="N76" s="667">
        <f t="shared" si="14"/>
        <v>1.3299999999999999E-2</v>
      </c>
      <c r="O76" s="667">
        <f t="shared" si="14"/>
        <v>6.2100000000000002E-2</v>
      </c>
      <c r="P76" s="674">
        <f t="shared" si="9"/>
        <v>1.0006999999999999</v>
      </c>
      <c r="S76" s="673">
        <f t="shared" si="4"/>
        <v>2063</v>
      </c>
      <c r="T76" s="675">
        <v>0</v>
      </c>
      <c r="U76" s="675">
        <v>5</v>
      </c>
      <c r="V76" s="676">
        <f t="shared" si="5"/>
        <v>0</v>
      </c>
      <c r="W76" s="677">
        <v>1</v>
      </c>
      <c r="X76" s="678">
        <f t="shared" si="10"/>
        <v>0</v>
      </c>
    </row>
    <row r="77" spans="2:24">
      <c r="B77" s="673">
        <f t="shared" si="11"/>
        <v>2064</v>
      </c>
      <c r="C77" s="679"/>
      <c r="D77" s="666">
        <v>1</v>
      </c>
      <c r="E77" s="667">
        <f t="shared" si="14"/>
        <v>0.66390000000000005</v>
      </c>
      <c r="F77" s="667">
        <f t="shared" si="14"/>
        <v>0.1285</v>
      </c>
      <c r="G77" s="667">
        <f t="shared" si="13"/>
        <v>0</v>
      </c>
      <c r="H77" s="667">
        <f t="shared" si="14"/>
        <v>0</v>
      </c>
      <c r="I77" s="667">
        <f t="shared" si="13"/>
        <v>0</v>
      </c>
      <c r="J77" s="667">
        <f t="shared" si="14"/>
        <v>8.0999999999999996E-3</v>
      </c>
      <c r="K77" s="667">
        <f t="shared" si="14"/>
        <v>0</v>
      </c>
      <c r="L77" s="667">
        <f t="shared" si="14"/>
        <v>0.1071</v>
      </c>
      <c r="M77" s="667">
        <f t="shared" si="14"/>
        <v>1.77E-2</v>
      </c>
      <c r="N77" s="667">
        <f t="shared" si="14"/>
        <v>1.3299999999999999E-2</v>
      </c>
      <c r="O77" s="667">
        <f t="shared" si="14"/>
        <v>6.2100000000000002E-2</v>
      </c>
      <c r="P77" s="674">
        <f t="shared" ref="P77:P93" si="15">SUM(E77:O77)</f>
        <v>1.0006999999999999</v>
      </c>
      <c r="S77" s="673">
        <f t="shared" si="4"/>
        <v>2064</v>
      </c>
      <c r="T77" s="675">
        <v>0</v>
      </c>
      <c r="U77" s="675">
        <v>5</v>
      </c>
      <c r="V77" s="676">
        <f t="shared" si="5"/>
        <v>0</v>
      </c>
      <c r="W77" s="677">
        <v>1</v>
      </c>
      <c r="X77" s="678">
        <f t="shared" ref="X77:X93" si="16">V77*W77</f>
        <v>0</v>
      </c>
    </row>
    <row r="78" spans="2:24">
      <c r="B78" s="673">
        <f t="shared" ref="B78:B93" si="17">B77+1</f>
        <v>2065</v>
      </c>
      <c r="C78" s="679"/>
      <c r="D78" s="666">
        <v>1</v>
      </c>
      <c r="E78" s="667">
        <f t="shared" si="14"/>
        <v>0.66390000000000005</v>
      </c>
      <c r="F78" s="667">
        <f t="shared" si="14"/>
        <v>0.1285</v>
      </c>
      <c r="G78" s="667">
        <f t="shared" si="13"/>
        <v>0</v>
      </c>
      <c r="H78" s="667">
        <f t="shared" si="14"/>
        <v>0</v>
      </c>
      <c r="I78" s="667">
        <f t="shared" si="13"/>
        <v>0</v>
      </c>
      <c r="J78" s="667">
        <f t="shared" si="14"/>
        <v>8.0999999999999996E-3</v>
      </c>
      <c r="K78" s="667">
        <f t="shared" si="14"/>
        <v>0</v>
      </c>
      <c r="L78" s="667">
        <f t="shared" si="14"/>
        <v>0.1071</v>
      </c>
      <c r="M78" s="667">
        <f t="shared" si="14"/>
        <v>1.77E-2</v>
      </c>
      <c r="N78" s="667">
        <f t="shared" si="14"/>
        <v>1.3299999999999999E-2</v>
      </c>
      <c r="O78" s="667">
        <f t="shared" si="14"/>
        <v>6.2100000000000002E-2</v>
      </c>
      <c r="P78" s="674">
        <f t="shared" si="15"/>
        <v>1.0006999999999999</v>
      </c>
      <c r="S78" s="673">
        <f t="shared" ref="S78:S93" si="18">S77+1</f>
        <v>2065</v>
      </c>
      <c r="T78" s="675">
        <v>0</v>
      </c>
      <c r="U78" s="675">
        <v>5</v>
      </c>
      <c r="V78" s="676">
        <f t="shared" si="5"/>
        <v>0</v>
      </c>
      <c r="W78" s="677">
        <v>1</v>
      </c>
      <c r="X78" s="678">
        <f t="shared" si="16"/>
        <v>0</v>
      </c>
    </row>
    <row r="79" spans="2:24">
      <c r="B79" s="673">
        <f t="shared" si="17"/>
        <v>2066</v>
      </c>
      <c r="C79" s="679"/>
      <c r="D79" s="666">
        <v>1</v>
      </c>
      <c r="E79" s="667">
        <f t="shared" si="14"/>
        <v>0.66390000000000005</v>
      </c>
      <c r="F79" s="667">
        <f t="shared" si="14"/>
        <v>0.1285</v>
      </c>
      <c r="G79" s="667">
        <f t="shared" si="14"/>
        <v>0</v>
      </c>
      <c r="H79" s="667">
        <f t="shared" si="14"/>
        <v>0</v>
      </c>
      <c r="I79" s="667">
        <f t="shared" si="14"/>
        <v>0</v>
      </c>
      <c r="J79" s="667">
        <f t="shared" si="14"/>
        <v>8.0999999999999996E-3</v>
      </c>
      <c r="K79" s="667">
        <f t="shared" si="14"/>
        <v>0</v>
      </c>
      <c r="L79" s="667">
        <f t="shared" si="14"/>
        <v>0.1071</v>
      </c>
      <c r="M79" s="667">
        <f t="shared" si="14"/>
        <v>1.77E-2</v>
      </c>
      <c r="N79" s="667">
        <f t="shared" si="14"/>
        <v>1.3299999999999999E-2</v>
      </c>
      <c r="O79" s="667">
        <f t="shared" si="14"/>
        <v>6.2100000000000002E-2</v>
      </c>
      <c r="P79" s="674">
        <f t="shared" si="15"/>
        <v>1.0006999999999999</v>
      </c>
      <c r="S79" s="673">
        <f t="shared" si="18"/>
        <v>2066</v>
      </c>
      <c r="T79" s="675">
        <v>0</v>
      </c>
      <c r="U79" s="675">
        <v>5</v>
      </c>
      <c r="V79" s="676">
        <f t="shared" ref="V79:V93" si="19">T79*U79</f>
        <v>0</v>
      </c>
      <c r="W79" s="677">
        <v>1</v>
      </c>
      <c r="X79" s="678">
        <f t="shared" si="16"/>
        <v>0</v>
      </c>
    </row>
    <row r="80" spans="2:24">
      <c r="B80" s="673">
        <f t="shared" si="17"/>
        <v>2067</v>
      </c>
      <c r="C80" s="679"/>
      <c r="D80" s="666">
        <v>1</v>
      </c>
      <c r="E80" s="667">
        <f t="shared" si="14"/>
        <v>0.66390000000000005</v>
      </c>
      <c r="F80" s="667">
        <f t="shared" si="14"/>
        <v>0.1285</v>
      </c>
      <c r="G80" s="667">
        <f t="shared" si="14"/>
        <v>0</v>
      </c>
      <c r="H80" s="667">
        <f t="shared" si="14"/>
        <v>0</v>
      </c>
      <c r="I80" s="667">
        <f t="shared" si="14"/>
        <v>0</v>
      </c>
      <c r="J80" s="667">
        <f t="shared" si="14"/>
        <v>8.0999999999999996E-3</v>
      </c>
      <c r="K80" s="667">
        <f t="shared" si="14"/>
        <v>0</v>
      </c>
      <c r="L80" s="667">
        <f t="shared" si="14"/>
        <v>0.1071</v>
      </c>
      <c r="M80" s="667">
        <f t="shared" si="14"/>
        <v>1.77E-2</v>
      </c>
      <c r="N80" s="667">
        <f t="shared" si="14"/>
        <v>1.3299999999999999E-2</v>
      </c>
      <c r="O80" s="667">
        <f t="shared" si="14"/>
        <v>6.2100000000000002E-2</v>
      </c>
      <c r="P80" s="674">
        <f t="shared" si="15"/>
        <v>1.0006999999999999</v>
      </c>
      <c r="S80" s="673">
        <f t="shared" si="18"/>
        <v>2067</v>
      </c>
      <c r="T80" s="675">
        <v>0</v>
      </c>
      <c r="U80" s="675">
        <v>5</v>
      </c>
      <c r="V80" s="676">
        <f t="shared" si="19"/>
        <v>0</v>
      </c>
      <c r="W80" s="677">
        <v>1</v>
      </c>
      <c r="X80" s="678">
        <f t="shared" si="16"/>
        <v>0</v>
      </c>
    </row>
    <row r="81" spans="2:24">
      <c r="B81" s="673">
        <f t="shared" si="17"/>
        <v>2068</v>
      </c>
      <c r="C81" s="679"/>
      <c r="D81" s="666">
        <v>1</v>
      </c>
      <c r="E81" s="667">
        <f t="shared" si="14"/>
        <v>0.66390000000000005</v>
      </c>
      <c r="F81" s="667">
        <f t="shared" si="14"/>
        <v>0.1285</v>
      </c>
      <c r="G81" s="667">
        <f t="shared" si="14"/>
        <v>0</v>
      </c>
      <c r="H81" s="667">
        <f t="shared" si="14"/>
        <v>0</v>
      </c>
      <c r="I81" s="667">
        <f t="shared" si="14"/>
        <v>0</v>
      </c>
      <c r="J81" s="667">
        <f t="shared" si="14"/>
        <v>8.0999999999999996E-3</v>
      </c>
      <c r="K81" s="667">
        <f t="shared" si="14"/>
        <v>0</v>
      </c>
      <c r="L81" s="667">
        <f t="shared" si="14"/>
        <v>0.1071</v>
      </c>
      <c r="M81" s="667">
        <f t="shared" si="14"/>
        <v>1.77E-2</v>
      </c>
      <c r="N81" s="667">
        <f t="shared" si="14"/>
        <v>1.3299999999999999E-2</v>
      </c>
      <c r="O81" s="667">
        <f t="shared" si="14"/>
        <v>6.2100000000000002E-2</v>
      </c>
      <c r="P81" s="674">
        <f t="shared" si="15"/>
        <v>1.0006999999999999</v>
      </c>
      <c r="S81" s="673">
        <f t="shared" si="18"/>
        <v>2068</v>
      </c>
      <c r="T81" s="675">
        <v>0</v>
      </c>
      <c r="U81" s="675">
        <v>5</v>
      </c>
      <c r="V81" s="676">
        <f t="shared" si="19"/>
        <v>0</v>
      </c>
      <c r="W81" s="677">
        <v>1</v>
      </c>
      <c r="X81" s="678">
        <f t="shared" si="16"/>
        <v>0</v>
      </c>
    </row>
    <row r="82" spans="2:24">
      <c r="B82" s="673">
        <f t="shared" si="17"/>
        <v>2069</v>
      </c>
      <c r="C82" s="679"/>
      <c r="D82" s="666">
        <v>1</v>
      </c>
      <c r="E82" s="667">
        <f t="shared" si="14"/>
        <v>0.66390000000000005</v>
      </c>
      <c r="F82" s="667">
        <f t="shared" si="14"/>
        <v>0.1285</v>
      </c>
      <c r="G82" s="667">
        <f t="shared" si="14"/>
        <v>0</v>
      </c>
      <c r="H82" s="667">
        <f t="shared" si="14"/>
        <v>0</v>
      </c>
      <c r="I82" s="667">
        <f t="shared" si="14"/>
        <v>0</v>
      </c>
      <c r="J82" s="667">
        <f t="shared" si="14"/>
        <v>8.0999999999999996E-3</v>
      </c>
      <c r="K82" s="667">
        <f t="shared" si="14"/>
        <v>0</v>
      </c>
      <c r="L82" s="667">
        <f t="shared" si="14"/>
        <v>0.1071</v>
      </c>
      <c r="M82" s="667">
        <f t="shared" si="14"/>
        <v>1.77E-2</v>
      </c>
      <c r="N82" s="667">
        <f t="shared" si="14"/>
        <v>1.3299999999999999E-2</v>
      </c>
      <c r="O82" s="667">
        <f t="shared" si="14"/>
        <v>6.2100000000000002E-2</v>
      </c>
      <c r="P82" s="674">
        <f t="shared" si="15"/>
        <v>1.0006999999999999</v>
      </c>
      <c r="S82" s="673">
        <f t="shared" si="18"/>
        <v>2069</v>
      </c>
      <c r="T82" s="675">
        <v>0</v>
      </c>
      <c r="U82" s="675">
        <v>5</v>
      </c>
      <c r="V82" s="676">
        <f t="shared" si="19"/>
        <v>0</v>
      </c>
      <c r="W82" s="677">
        <v>1</v>
      </c>
      <c r="X82" s="678">
        <f t="shared" si="16"/>
        <v>0</v>
      </c>
    </row>
    <row r="83" spans="2:24">
      <c r="B83" s="673">
        <f t="shared" si="17"/>
        <v>2070</v>
      </c>
      <c r="C83" s="679"/>
      <c r="D83" s="666">
        <v>1</v>
      </c>
      <c r="E83" s="667">
        <f t="shared" ref="E83:O93" si="20">E$8</f>
        <v>0.66390000000000005</v>
      </c>
      <c r="F83" s="667">
        <f t="shared" si="20"/>
        <v>0.1285</v>
      </c>
      <c r="G83" s="667">
        <f t="shared" si="14"/>
        <v>0</v>
      </c>
      <c r="H83" s="667">
        <f t="shared" si="20"/>
        <v>0</v>
      </c>
      <c r="I83" s="667">
        <f t="shared" si="14"/>
        <v>0</v>
      </c>
      <c r="J83" s="667">
        <f t="shared" si="20"/>
        <v>8.0999999999999996E-3</v>
      </c>
      <c r="K83" s="667">
        <f t="shared" si="20"/>
        <v>0</v>
      </c>
      <c r="L83" s="667">
        <f t="shared" si="20"/>
        <v>0.1071</v>
      </c>
      <c r="M83" s="667">
        <f t="shared" si="20"/>
        <v>1.77E-2</v>
      </c>
      <c r="N83" s="667">
        <f t="shared" si="20"/>
        <v>1.3299999999999999E-2</v>
      </c>
      <c r="O83" s="667">
        <f t="shared" si="20"/>
        <v>6.2100000000000002E-2</v>
      </c>
      <c r="P83" s="674">
        <f t="shared" si="15"/>
        <v>1.0006999999999999</v>
      </c>
      <c r="S83" s="673">
        <f t="shared" si="18"/>
        <v>2070</v>
      </c>
      <c r="T83" s="675">
        <v>0</v>
      </c>
      <c r="U83" s="675">
        <v>5</v>
      </c>
      <c r="V83" s="676">
        <f t="shared" si="19"/>
        <v>0</v>
      </c>
      <c r="W83" s="677">
        <v>1</v>
      </c>
      <c r="X83" s="678">
        <f t="shared" si="16"/>
        <v>0</v>
      </c>
    </row>
    <row r="84" spans="2:24">
      <c r="B84" s="673">
        <f t="shared" si="17"/>
        <v>2071</v>
      </c>
      <c r="C84" s="679"/>
      <c r="D84" s="666">
        <v>1</v>
      </c>
      <c r="E84" s="667">
        <f t="shared" si="20"/>
        <v>0.66390000000000005</v>
      </c>
      <c r="F84" s="667">
        <f t="shared" si="20"/>
        <v>0.1285</v>
      </c>
      <c r="G84" s="667">
        <f t="shared" si="14"/>
        <v>0</v>
      </c>
      <c r="H84" s="667">
        <f t="shared" si="20"/>
        <v>0</v>
      </c>
      <c r="I84" s="667">
        <f t="shared" si="14"/>
        <v>0</v>
      </c>
      <c r="J84" s="667">
        <f t="shared" si="20"/>
        <v>8.0999999999999996E-3</v>
      </c>
      <c r="K84" s="667">
        <f t="shared" si="20"/>
        <v>0</v>
      </c>
      <c r="L84" s="667">
        <f t="shared" si="20"/>
        <v>0.1071</v>
      </c>
      <c r="M84" s="667">
        <f t="shared" si="20"/>
        <v>1.77E-2</v>
      </c>
      <c r="N84" s="667">
        <f t="shared" si="20"/>
        <v>1.3299999999999999E-2</v>
      </c>
      <c r="O84" s="667">
        <f t="shared" si="20"/>
        <v>6.2100000000000002E-2</v>
      </c>
      <c r="P84" s="674">
        <f t="shared" si="15"/>
        <v>1.0006999999999999</v>
      </c>
      <c r="S84" s="673">
        <f t="shared" si="18"/>
        <v>2071</v>
      </c>
      <c r="T84" s="675">
        <v>0</v>
      </c>
      <c r="U84" s="675">
        <v>5</v>
      </c>
      <c r="V84" s="676">
        <f t="shared" si="19"/>
        <v>0</v>
      </c>
      <c r="W84" s="677">
        <v>1</v>
      </c>
      <c r="X84" s="678">
        <f t="shared" si="16"/>
        <v>0</v>
      </c>
    </row>
    <row r="85" spans="2:24">
      <c r="B85" s="673">
        <f t="shared" si="17"/>
        <v>2072</v>
      </c>
      <c r="C85" s="679"/>
      <c r="D85" s="666">
        <v>1</v>
      </c>
      <c r="E85" s="667">
        <f t="shared" si="20"/>
        <v>0.66390000000000005</v>
      </c>
      <c r="F85" s="667">
        <f t="shared" si="20"/>
        <v>0.1285</v>
      </c>
      <c r="G85" s="667">
        <f t="shared" si="14"/>
        <v>0</v>
      </c>
      <c r="H85" s="667">
        <f t="shared" si="20"/>
        <v>0</v>
      </c>
      <c r="I85" s="667">
        <f t="shared" si="14"/>
        <v>0</v>
      </c>
      <c r="J85" s="667">
        <f t="shared" si="20"/>
        <v>8.0999999999999996E-3</v>
      </c>
      <c r="K85" s="667">
        <f t="shared" si="20"/>
        <v>0</v>
      </c>
      <c r="L85" s="667">
        <f t="shared" si="20"/>
        <v>0.1071</v>
      </c>
      <c r="M85" s="667">
        <f t="shared" si="20"/>
        <v>1.77E-2</v>
      </c>
      <c r="N85" s="667">
        <f t="shared" si="20"/>
        <v>1.3299999999999999E-2</v>
      </c>
      <c r="O85" s="667">
        <f t="shared" si="20"/>
        <v>6.2100000000000002E-2</v>
      </c>
      <c r="P85" s="674">
        <f t="shared" si="15"/>
        <v>1.0006999999999999</v>
      </c>
      <c r="S85" s="673">
        <f t="shared" si="18"/>
        <v>2072</v>
      </c>
      <c r="T85" s="675">
        <v>0</v>
      </c>
      <c r="U85" s="675">
        <v>5</v>
      </c>
      <c r="V85" s="676">
        <f t="shared" si="19"/>
        <v>0</v>
      </c>
      <c r="W85" s="677">
        <v>1</v>
      </c>
      <c r="X85" s="678">
        <f t="shared" si="16"/>
        <v>0</v>
      </c>
    </row>
    <row r="86" spans="2:24">
      <c r="B86" s="673">
        <f t="shared" si="17"/>
        <v>2073</v>
      </c>
      <c r="C86" s="679"/>
      <c r="D86" s="666">
        <v>1</v>
      </c>
      <c r="E86" s="667">
        <f t="shared" si="20"/>
        <v>0.66390000000000005</v>
      </c>
      <c r="F86" s="667">
        <f t="shared" si="20"/>
        <v>0.1285</v>
      </c>
      <c r="G86" s="667">
        <f t="shared" si="14"/>
        <v>0</v>
      </c>
      <c r="H86" s="667">
        <f t="shared" si="20"/>
        <v>0</v>
      </c>
      <c r="I86" s="667">
        <f t="shared" si="14"/>
        <v>0</v>
      </c>
      <c r="J86" s="667">
        <f t="shared" si="20"/>
        <v>8.0999999999999996E-3</v>
      </c>
      <c r="K86" s="667">
        <f t="shared" si="20"/>
        <v>0</v>
      </c>
      <c r="L86" s="667">
        <f t="shared" si="20"/>
        <v>0.1071</v>
      </c>
      <c r="M86" s="667">
        <f t="shared" si="20"/>
        <v>1.77E-2</v>
      </c>
      <c r="N86" s="667">
        <f t="shared" si="20"/>
        <v>1.3299999999999999E-2</v>
      </c>
      <c r="O86" s="667">
        <f t="shared" si="20"/>
        <v>6.2100000000000002E-2</v>
      </c>
      <c r="P86" s="674">
        <f t="shared" si="15"/>
        <v>1.0006999999999999</v>
      </c>
      <c r="S86" s="673">
        <f t="shared" si="18"/>
        <v>2073</v>
      </c>
      <c r="T86" s="675">
        <v>0</v>
      </c>
      <c r="U86" s="675">
        <v>5</v>
      </c>
      <c r="V86" s="676">
        <f t="shared" si="19"/>
        <v>0</v>
      </c>
      <c r="W86" s="677">
        <v>1</v>
      </c>
      <c r="X86" s="678">
        <f t="shared" si="16"/>
        <v>0</v>
      </c>
    </row>
    <row r="87" spans="2:24">
      <c r="B87" s="673">
        <f t="shared" si="17"/>
        <v>2074</v>
      </c>
      <c r="C87" s="679"/>
      <c r="D87" s="666">
        <v>1</v>
      </c>
      <c r="E87" s="667">
        <f t="shared" si="20"/>
        <v>0.66390000000000005</v>
      </c>
      <c r="F87" s="667">
        <f t="shared" si="20"/>
        <v>0.1285</v>
      </c>
      <c r="G87" s="667">
        <f t="shared" si="14"/>
        <v>0</v>
      </c>
      <c r="H87" s="667">
        <f t="shared" si="20"/>
        <v>0</v>
      </c>
      <c r="I87" s="667">
        <f t="shared" si="14"/>
        <v>0</v>
      </c>
      <c r="J87" s="667">
        <f t="shared" si="20"/>
        <v>8.0999999999999996E-3</v>
      </c>
      <c r="K87" s="667">
        <f t="shared" si="20"/>
        <v>0</v>
      </c>
      <c r="L87" s="667">
        <f t="shared" si="20"/>
        <v>0.1071</v>
      </c>
      <c r="M87" s="667">
        <f t="shared" si="20"/>
        <v>1.77E-2</v>
      </c>
      <c r="N87" s="667">
        <f t="shared" si="20"/>
        <v>1.3299999999999999E-2</v>
      </c>
      <c r="O87" s="667">
        <f t="shared" si="20"/>
        <v>6.2100000000000002E-2</v>
      </c>
      <c r="P87" s="674">
        <f t="shared" si="15"/>
        <v>1.0006999999999999</v>
      </c>
      <c r="S87" s="673">
        <f t="shared" si="18"/>
        <v>2074</v>
      </c>
      <c r="T87" s="675">
        <v>0</v>
      </c>
      <c r="U87" s="675">
        <v>5</v>
      </c>
      <c r="V87" s="676">
        <f t="shared" si="19"/>
        <v>0</v>
      </c>
      <c r="W87" s="677">
        <v>1</v>
      </c>
      <c r="X87" s="678">
        <f t="shared" si="16"/>
        <v>0</v>
      </c>
    </row>
    <row r="88" spans="2:24">
      <c r="B88" s="673">
        <f t="shared" si="17"/>
        <v>2075</v>
      </c>
      <c r="C88" s="679"/>
      <c r="D88" s="666">
        <v>1</v>
      </c>
      <c r="E88" s="667">
        <f t="shared" si="20"/>
        <v>0.66390000000000005</v>
      </c>
      <c r="F88" s="667">
        <f t="shared" si="20"/>
        <v>0.1285</v>
      </c>
      <c r="G88" s="667">
        <f t="shared" si="14"/>
        <v>0</v>
      </c>
      <c r="H88" s="667">
        <f t="shared" si="20"/>
        <v>0</v>
      </c>
      <c r="I88" s="667">
        <f t="shared" si="14"/>
        <v>0</v>
      </c>
      <c r="J88" s="667">
        <f t="shared" si="20"/>
        <v>8.0999999999999996E-3</v>
      </c>
      <c r="K88" s="667">
        <f t="shared" si="20"/>
        <v>0</v>
      </c>
      <c r="L88" s="667">
        <f t="shared" si="20"/>
        <v>0.1071</v>
      </c>
      <c r="M88" s="667">
        <f t="shared" si="20"/>
        <v>1.77E-2</v>
      </c>
      <c r="N88" s="667">
        <f t="shared" si="20"/>
        <v>1.3299999999999999E-2</v>
      </c>
      <c r="O88" s="667">
        <f t="shared" si="20"/>
        <v>6.2100000000000002E-2</v>
      </c>
      <c r="P88" s="674">
        <f t="shared" si="15"/>
        <v>1.0006999999999999</v>
      </c>
      <c r="S88" s="673">
        <f t="shared" si="18"/>
        <v>2075</v>
      </c>
      <c r="T88" s="675">
        <v>0</v>
      </c>
      <c r="U88" s="675">
        <v>5</v>
      </c>
      <c r="V88" s="676">
        <f t="shared" si="19"/>
        <v>0</v>
      </c>
      <c r="W88" s="677">
        <v>1</v>
      </c>
      <c r="X88" s="678">
        <f t="shared" si="16"/>
        <v>0</v>
      </c>
    </row>
    <row r="89" spans="2:24">
      <c r="B89" s="673">
        <f t="shared" si="17"/>
        <v>2076</v>
      </c>
      <c r="C89" s="679"/>
      <c r="D89" s="666">
        <v>1</v>
      </c>
      <c r="E89" s="667">
        <f t="shared" si="20"/>
        <v>0.66390000000000005</v>
      </c>
      <c r="F89" s="667">
        <f t="shared" si="20"/>
        <v>0.1285</v>
      </c>
      <c r="G89" s="667">
        <f t="shared" si="20"/>
        <v>0</v>
      </c>
      <c r="H89" s="667">
        <f t="shared" si="20"/>
        <v>0</v>
      </c>
      <c r="I89" s="667">
        <f t="shared" si="20"/>
        <v>0</v>
      </c>
      <c r="J89" s="667">
        <f t="shared" si="20"/>
        <v>8.0999999999999996E-3</v>
      </c>
      <c r="K89" s="667">
        <f t="shared" si="20"/>
        <v>0</v>
      </c>
      <c r="L89" s="667">
        <f t="shared" si="20"/>
        <v>0.1071</v>
      </c>
      <c r="M89" s="667">
        <f t="shared" si="20"/>
        <v>1.77E-2</v>
      </c>
      <c r="N89" s="667">
        <f t="shared" si="20"/>
        <v>1.3299999999999999E-2</v>
      </c>
      <c r="O89" s="667">
        <f t="shared" si="20"/>
        <v>6.2100000000000002E-2</v>
      </c>
      <c r="P89" s="674">
        <f t="shared" si="15"/>
        <v>1.0006999999999999</v>
      </c>
      <c r="S89" s="673">
        <f t="shared" si="18"/>
        <v>2076</v>
      </c>
      <c r="T89" s="675">
        <v>0</v>
      </c>
      <c r="U89" s="675">
        <v>5</v>
      </c>
      <c r="V89" s="676">
        <f t="shared" si="19"/>
        <v>0</v>
      </c>
      <c r="W89" s="677">
        <v>1</v>
      </c>
      <c r="X89" s="678">
        <f t="shared" si="16"/>
        <v>0</v>
      </c>
    </row>
    <row r="90" spans="2:24">
      <c r="B90" s="673">
        <f t="shared" si="17"/>
        <v>2077</v>
      </c>
      <c r="C90" s="679"/>
      <c r="D90" s="666">
        <v>1</v>
      </c>
      <c r="E90" s="667">
        <f t="shared" si="20"/>
        <v>0.66390000000000005</v>
      </c>
      <c r="F90" s="667">
        <f t="shared" si="20"/>
        <v>0.1285</v>
      </c>
      <c r="G90" s="667">
        <f t="shared" si="20"/>
        <v>0</v>
      </c>
      <c r="H90" s="667">
        <f t="shared" si="20"/>
        <v>0</v>
      </c>
      <c r="I90" s="667">
        <f t="shared" si="20"/>
        <v>0</v>
      </c>
      <c r="J90" s="667">
        <f t="shared" si="20"/>
        <v>8.0999999999999996E-3</v>
      </c>
      <c r="K90" s="667">
        <f t="shared" si="20"/>
        <v>0</v>
      </c>
      <c r="L90" s="667">
        <f t="shared" si="20"/>
        <v>0.1071</v>
      </c>
      <c r="M90" s="667">
        <f t="shared" si="20"/>
        <v>1.77E-2</v>
      </c>
      <c r="N90" s="667">
        <f t="shared" si="20"/>
        <v>1.3299999999999999E-2</v>
      </c>
      <c r="O90" s="667">
        <f t="shared" si="20"/>
        <v>6.2100000000000002E-2</v>
      </c>
      <c r="P90" s="674">
        <f t="shared" si="15"/>
        <v>1.0006999999999999</v>
      </c>
      <c r="S90" s="673">
        <f t="shared" si="18"/>
        <v>2077</v>
      </c>
      <c r="T90" s="675">
        <v>0</v>
      </c>
      <c r="U90" s="675">
        <v>5</v>
      </c>
      <c r="V90" s="676">
        <f t="shared" si="19"/>
        <v>0</v>
      </c>
      <c r="W90" s="677">
        <v>1</v>
      </c>
      <c r="X90" s="678">
        <f t="shared" si="16"/>
        <v>0</v>
      </c>
    </row>
    <row r="91" spans="2:24">
      <c r="B91" s="673">
        <f t="shared" si="17"/>
        <v>2078</v>
      </c>
      <c r="C91" s="679"/>
      <c r="D91" s="666">
        <v>1</v>
      </c>
      <c r="E91" s="667">
        <f t="shared" si="20"/>
        <v>0.66390000000000005</v>
      </c>
      <c r="F91" s="667">
        <f t="shared" si="20"/>
        <v>0.1285</v>
      </c>
      <c r="G91" s="667">
        <f t="shared" si="20"/>
        <v>0</v>
      </c>
      <c r="H91" s="667">
        <f t="shared" si="20"/>
        <v>0</v>
      </c>
      <c r="I91" s="667">
        <f t="shared" si="20"/>
        <v>0</v>
      </c>
      <c r="J91" s="667">
        <f t="shared" si="20"/>
        <v>8.0999999999999996E-3</v>
      </c>
      <c r="K91" s="667">
        <f t="shared" si="20"/>
        <v>0</v>
      </c>
      <c r="L91" s="667">
        <f t="shared" si="20"/>
        <v>0.1071</v>
      </c>
      <c r="M91" s="667">
        <f t="shared" si="20"/>
        <v>1.77E-2</v>
      </c>
      <c r="N91" s="667">
        <f t="shared" si="20"/>
        <v>1.3299999999999999E-2</v>
      </c>
      <c r="O91" s="667">
        <f t="shared" si="20"/>
        <v>6.2100000000000002E-2</v>
      </c>
      <c r="P91" s="674">
        <f t="shared" si="15"/>
        <v>1.0006999999999999</v>
      </c>
      <c r="S91" s="673">
        <f t="shared" si="18"/>
        <v>2078</v>
      </c>
      <c r="T91" s="675">
        <v>0</v>
      </c>
      <c r="U91" s="675">
        <v>5</v>
      </c>
      <c r="V91" s="676">
        <f t="shared" si="19"/>
        <v>0</v>
      </c>
      <c r="W91" s="677">
        <v>1</v>
      </c>
      <c r="X91" s="678">
        <f t="shared" si="16"/>
        <v>0</v>
      </c>
    </row>
    <row r="92" spans="2:24">
      <c r="B92" s="673">
        <f t="shared" si="17"/>
        <v>2079</v>
      </c>
      <c r="C92" s="679"/>
      <c r="D92" s="666">
        <v>1</v>
      </c>
      <c r="E92" s="667">
        <f t="shared" si="20"/>
        <v>0.66390000000000005</v>
      </c>
      <c r="F92" s="667">
        <f t="shared" si="20"/>
        <v>0.1285</v>
      </c>
      <c r="G92" s="667">
        <f t="shared" si="20"/>
        <v>0</v>
      </c>
      <c r="H92" s="667">
        <f t="shared" si="20"/>
        <v>0</v>
      </c>
      <c r="I92" s="667">
        <f t="shared" si="20"/>
        <v>0</v>
      </c>
      <c r="J92" s="667">
        <f t="shared" si="20"/>
        <v>8.0999999999999996E-3</v>
      </c>
      <c r="K92" s="667">
        <f t="shared" si="20"/>
        <v>0</v>
      </c>
      <c r="L92" s="667">
        <f t="shared" si="20"/>
        <v>0.1071</v>
      </c>
      <c r="M92" s="667">
        <f t="shared" si="20"/>
        <v>1.77E-2</v>
      </c>
      <c r="N92" s="667">
        <f t="shared" si="20"/>
        <v>1.3299999999999999E-2</v>
      </c>
      <c r="O92" s="667">
        <f t="shared" si="20"/>
        <v>6.2100000000000002E-2</v>
      </c>
      <c r="P92" s="674">
        <f t="shared" si="15"/>
        <v>1.0006999999999999</v>
      </c>
      <c r="S92" s="673">
        <f t="shared" si="18"/>
        <v>2079</v>
      </c>
      <c r="T92" s="675">
        <v>0</v>
      </c>
      <c r="U92" s="675">
        <v>5</v>
      </c>
      <c r="V92" s="676">
        <f t="shared" si="19"/>
        <v>0</v>
      </c>
      <c r="W92" s="677">
        <v>1</v>
      </c>
      <c r="X92" s="678">
        <f t="shared" si="16"/>
        <v>0</v>
      </c>
    </row>
    <row r="93" spans="2:24" ht="13.5" thickBot="1">
      <c r="B93" s="680">
        <f t="shared" si="17"/>
        <v>2080</v>
      </c>
      <c r="C93" s="681"/>
      <c r="D93" s="666">
        <v>1</v>
      </c>
      <c r="E93" s="682">
        <f t="shared" si="20"/>
        <v>0.66390000000000005</v>
      </c>
      <c r="F93" s="682">
        <f t="shared" si="20"/>
        <v>0.1285</v>
      </c>
      <c r="G93" s="682">
        <f t="shared" si="20"/>
        <v>0</v>
      </c>
      <c r="H93" s="682">
        <f t="shared" si="20"/>
        <v>0</v>
      </c>
      <c r="I93" s="682">
        <f t="shared" si="20"/>
        <v>0</v>
      </c>
      <c r="J93" s="682">
        <f t="shared" si="20"/>
        <v>8.0999999999999996E-3</v>
      </c>
      <c r="K93" s="682">
        <f t="shared" si="20"/>
        <v>0</v>
      </c>
      <c r="L93" s="682">
        <f t="shared" si="20"/>
        <v>0.1071</v>
      </c>
      <c r="M93" s="682">
        <f t="shared" si="20"/>
        <v>1.77E-2</v>
      </c>
      <c r="N93" s="682">
        <f t="shared" si="20"/>
        <v>1.3299999999999999E-2</v>
      </c>
      <c r="O93" s="683">
        <f t="shared" si="20"/>
        <v>6.2100000000000002E-2</v>
      </c>
      <c r="P93" s="684">
        <f t="shared" si="15"/>
        <v>1.0006999999999999</v>
      </c>
      <c r="S93" s="680">
        <f t="shared" si="18"/>
        <v>2080</v>
      </c>
      <c r="T93" s="685">
        <v>0</v>
      </c>
      <c r="U93" s="686">
        <v>5</v>
      </c>
      <c r="V93" s="687">
        <f t="shared" si="19"/>
        <v>0</v>
      </c>
      <c r="W93" s="688">
        <v>1</v>
      </c>
      <c r="X93" s="689">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7" t="str">
        <f>city</f>
        <v>Balikpapan</v>
      </c>
      <c r="J2" s="808"/>
      <c r="K2" s="808"/>
      <c r="L2" s="808"/>
      <c r="M2" s="808"/>
      <c r="N2" s="808"/>
      <c r="O2" s="808"/>
    </row>
    <row r="3" spans="2:16" ht="16.5" thickBot="1">
      <c r="C3" s="4"/>
      <c r="H3" s="5" t="s">
        <v>276</v>
      </c>
      <c r="I3" s="807" t="str">
        <f>province</f>
        <v>Kalimantan Timur</v>
      </c>
      <c r="J3" s="808"/>
      <c r="K3" s="808"/>
      <c r="L3" s="808"/>
      <c r="M3" s="808"/>
      <c r="N3" s="808"/>
      <c r="O3" s="808"/>
    </row>
    <row r="4" spans="2:16" ht="16.5" thickBot="1">
      <c r="D4" s="4"/>
      <c r="E4" s="4"/>
      <c r="H4" s="5" t="s">
        <v>30</v>
      </c>
      <c r="I4" s="807" t="str">
        <f>country</f>
        <v>Indonesia</v>
      </c>
      <c r="J4" s="808"/>
      <c r="K4" s="808"/>
      <c r="L4" s="808"/>
      <c r="M4" s="808"/>
      <c r="N4" s="808"/>
      <c r="O4" s="808"/>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9" t="s">
        <v>32</v>
      </c>
      <c r="D10" s="790"/>
      <c r="E10" s="790"/>
      <c r="F10" s="790"/>
      <c r="G10" s="790"/>
      <c r="H10" s="790"/>
      <c r="I10" s="790"/>
      <c r="J10" s="790"/>
      <c r="K10" s="790"/>
      <c r="L10" s="790"/>
      <c r="M10" s="790"/>
      <c r="N10" s="790"/>
      <c r="O10" s="790"/>
      <c r="P10" s="791"/>
    </row>
    <row r="11" spans="2:16" ht="13.5" customHeight="1" thickBot="1">
      <c r="C11" s="793" t="s">
        <v>228</v>
      </c>
      <c r="D11" s="793" t="s">
        <v>262</v>
      </c>
      <c r="E11" s="793" t="s">
        <v>267</v>
      </c>
      <c r="F11" s="793" t="s">
        <v>261</v>
      </c>
      <c r="G11" s="793" t="s">
        <v>2</v>
      </c>
      <c r="H11" s="793" t="s">
        <v>16</v>
      </c>
      <c r="I11" s="793" t="s">
        <v>229</v>
      </c>
      <c r="J11" s="809" t="s">
        <v>273</v>
      </c>
      <c r="K11" s="810"/>
      <c r="L11" s="810"/>
      <c r="M11" s="811"/>
      <c r="N11" s="793" t="s">
        <v>146</v>
      </c>
      <c r="O11" s="793" t="s">
        <v>210</v>
      </c>
      <c r="P11" s="792" t="s">
        <v>308</v>
      </c>
    </row>
    <row r="12" spans="2:16" s="1" customFormat="1">
      <c r="B12" s="400" t="s">
        <v>1</v>
      </c>
      <c r="C12" s="812"/>
      <c r="D12" s="812"/>
      <c r="E12" s="812"/>
      <c r="F12" s="812"/>
      <c r="G12" s="812"/>
      <c r="H12" s="812"/>
      <c r="I12" s="812"/>
      <c r="J12" s="404" t="s">
        <v>230</v>
      </c>
      <c r="K12" s="404" t="s">
        <v>231</v>
      </c>
      <c r="L12" s="404" t="s">
        <v>232</v>
      </c>
      <c r="M12" s="400" t="s">
        <v>233</v>
      </c>
      <c r="N12" s="812"/>
      <c r="O12" s="812"/>
      <c r="P12" s="812"/>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16.6498242507828</v>
      </c>
      <c r="D14" s="599">
        <f>Activity!$C13*Activity!$D13*Activity!F13</f>
        <v>3.2226275285820001</v>
      </c>
      <c r="E14" s="599">
        <f>Activity!$C13*Activity!$D13*Activity!G13</f>
        <v>0</v>
      </c>
      <c r="F14" s="599">
        <f>Activity!$C13*Activity!$D13*Activity!H13</f>
        <v>0</v>
      </c>
      <c r="G14" s="599">
        <f>Activity!$C13*Activity!$D13*Activity!I13</f>
        <v>0</v>
      </c>
      <c r="H14" s="599">
        <f>Activity!$C13*Activity!$D13*Activity!J13</f>
        <v>0.20313838896119998</v>
      </c>
      <c r="I14" s="599">
        <f>Activity!$C13*Activity!$D13*Activity!K13</f>
        <v>0</v>
      </c>
      <c r="J14" s="599">
        <f>Activity!$C13*Activity!$D13*Activity!L13</f>
        <v>2.6859409207092</v>
      </c>
      <c r="K14" s="600">
        <f>Activity!$C13*Activity!$D13*Activity!M13</f>
        <v>0.44389499810040001</v>
      </c>
      <c r="L14" s="600">
        <f>Activity!$C13*Activity!$D13*Activity!N13</f>
        <v>0.33354821891159997</v>
      </c>
      <c r="M14" s="599">
        <f>Activity!$C13*Activity!$D13*Activity!O13</f>
        <v>1.5573943153692</v>
      </c>
      <c r="N14" s="447">
        <v>0</v>
      </c>
      <c r="O14" s="607">
        <f>Activity!C13*Activity!D13</f>
        <v>25.078813451999999</v>
      </c>
      <c r="P14" s="608">
        <f>Activity!X13</f>
        <v>0</v>
      </c>
    </row>
    <row r="15" spans="2:16">
      <c r="B15" s="49">
        <f>B14+1</f>
        <v>2001</v>
      </c>
      <c r="C15" s="601">
        <f>Activity!$C14*Activity!$D14*Activity!E14</f>
        <v>16.863127704522</v>
      </c>
      <c r="D15" s="602">
        <f>Activity!$C14*Activity!$D14*Activity!F14</f>
        <v>3.2639131044299998</v>
      </c>
      <c r="E15" s="600">
        <f>Activity!$C14*Activity!$D14*Activity!G14</f>
        <v>0</v>
      </c>
      <c r="F15" s="602">
        <f>Activity!$C14*Activity!$D14*Activity!H14</f>
        <v>0</v>
      </c>
      <c r="G15" s="602">
        <f>Activity!$C14*Activity!$D14*Activity!I14</f>
        <v>0</v>
      </c>
      <c r="H15" s="602">
        <f>Activity!$C14*Activity!$D14*Activity!J14</f>
        <v>0.20574082603799998</v>
      </c>
      <c r="I15" s="602">
        <f>Activity!$C14*Activity!$D14*Activity!K14</f>
        <v>0</v>
      </c>
      <c r="J15" s="603">
        <f>Activity!$C14*Activity!$D14*Activity!L14</f>
        <v>2.720350922058</v>
      </c>
      <c r="K15" s="602">
        <f>Activity!$C14*Activity!$D14*Activity!M14</f>
        <v>0.44958180504599998</v>
      </c>
      <c r="L15" s="602">
        <f>Activity!$C14*Activity!$D14*Activity!N14</f>
        <v>0.33782135633399996</v>
      </c>
      <c r="M15" s="600">
        <f>Activity!$C14*Activity!$D14*Activity!O14</f>
        <v>1.577346332958</v>
      </c>
      <c r="N15" s="448">
        <v>0</v>
      </c>
      <c r="O15" s="602">
        <f>Activity!C14*Activity!D14</f>
        <v>25.400101979999999</v>
      </c>
      <c r="P15" s="609">
        <f>Activity!X14</f>
        <v>0</v>
      </c>
    </row>
    <row r="16" spans="2:16">
      <c r="B16" s="7">
        <f t="shared" ref="B16:B21" si="0">B15+1</f>
        <v>2002</v>
      </c>
      <c r="C16" s="601">
        <f>Activity!$C15*Activity!$D15*Activity!E15</f>
        <v>17.243120522628001</v>
      </c>
      <c r="D16" s="602">
        <f>Activity!$C15*Activity!$D15*Activity!F15</f>
        <v>3.3374619478200001</v>
      </c>
      <c r="E16" s="600">
        <f>Activity!$C15*Activity!$D15*Activity!G15</f>
        <v>0</v>
      </c>
      <c r="F16" s="602">
        <f>Activity!$C15*Activity!$D15*Activity!H15</f>
        <v>0</v>
      </c>
      <c r="G16" s="602">
        <f>Activity!$C15*Activity!$D15*Activity!I15</f>
        <v>0</v>
      </c>
      <c r="H16" s="602">
        <f>Activity!$C15*Activity!$D15*Activity!J15</f>
        <v>0.21037697881199999</v>
      </c>
      <c r="I16" s="602">
        <f>Activity!$C15*Activity!$D15*Activity!K15</f>
        <v>0</v>
      </c>
      <c r="J16" s="603">
        <f>Activity!$C15*Activity!$D15*Activity!L15</f>
        <v>2.7816511642920001</v>
      </c>
      <c r="K16" s="602">
        <f>Activity!$C15*Activity!$D15*Activity!M15</f>
        <v>0.45971265740400002</v>
      </c>
      <c r="L16" s="602">
        <f>Activity!$C15*Activity!$D15*Activity!N15</f>
        <v>0.34543380471599999</v>
      </c>
      <c r="M16" s="600">
        <f>Activity!$C15*Activity!$D15*Activity!O15</f>
        <v>1.612890170892</v>
      </c>
      <c r="N16" s="448">
        <v>0</v>
      </c>
      <c r="O16" s="602">
        <f>Activity!C15*Activity!D15</f>
        <v>25.972466520000001</v>
      </c>
      <c r="P16" s="609">
        <f>Activity!X15</f>
        <v>0</v>
      </c>
    </row>
    <row r="17" spans="2:16">
      <c r="B17" s="7">
        <f t="shared" si="0"/>
        <v>2003</v>
      </c>
      <c r="C17" s="601">
        <f>Activity!$C16*Activity!$D16*Activity!E16</f>
        <v>17.549611229660403</v>
      </c>
      <c r="D17" s="602">
        <f>Activity!$C16*Activity!$D16*Activity!F16</f>
        <v>3.3967842190260003</v>
      </c>
      <c r="E17" s="600">
        <f>Activity!$C16*Activity!$D16*Activity!G16</f>
        <v>0</v>
      </c>
      <c r="F17" s="602">
        <f>Activity!$C16*Activity!$D16*Activity!H16</f>
        <v>0</v>
      </c>
      <c r="G17" s="602">
        <f>Activity!$C16*Activity!$D16*Activity!I16</f>
        <v>0</v>
      </c>
      <c r="H17" s="602">
        <f>Activity!$C16*Activity!$D16*Activity!J16</f>
        <v>0.2141163593316</v>
      </c>
      <c r="I17" s="602">
        <f>Activity!$C16*Activity!$D16*Activity!K16</f>
        <v>0</v>
      </c>
      <c r="J17" s="603">
        <f>Activity!$C16*Activity!$D16*Activity!L16</f>
        <v>2.8310940844956001</v>
      </c>
      <c r="K17" s="602">
        <f>Activity!$C16*Activity!$D16*Activity!M16</f>
        <v>0.46788389631720007</v>
      </c>
      <c r="L17" s="602">
        <f>Activity!$C16*Activity!$D16*Activity!N16</f>
        <v>0.35157377519880001</v>
      </c>
      <c r="M17" s="600">
        <f>Activity!$C16*Activity!$D16*Activity!O16</f>
        <v>1.6415587548756001</v>
      </c>
      <c r="N17" s="448">
        <v>0</v>
      </c>
      <c r="O17" s="602">
        <f>Activity!C16*Activity!D16</f>
        <v>26.434118436000002</v>
      </c>
      <c r="P17" s="609">
        <f>Activity!X16</f>
        <v>0</v>
      </c>
    </row>
    <row r="18" spans="2:16">
      <c r="B18" s="7">
        <f t="shared" si="0"/>
        <v>2004</v>
      </c>
      <c r="C18" s="601">
        <f>Activity!$C17*Activity!$D17*Activity!E17</f>
        <v>17.643494215630803</v>
      </c>
      <c r="D18" s="602">
        <f>Activity!$C17*Activity!$D17*Activity!F17</f>
        <v>3.4149555757019998</v>
      </c>
      <c r="E18" s="600">
        <f>Activity!$C17*Activity!$D17*Activity!G17</f>
        <v>0</v>
      </c>
      <c r="F18" s="602">
        <f>Activity!$C17*Activity!$D17*Activity!H17</f>
        <v>0</v>
      </c>
      <c r="G18" s="602">
        <f>Activity!$C17*Activity!$D17*Activity!I17</f>
        <v>0</v>
      </c>
      <c r="H18" s="602">
        <f>Activity!$C17*Activity!$D17*Activity!J17</f>
        <v>0.21526179115319999</v>
      </c>
      <c r="I18" s="602">
        <f>Activity!$C17*Activity!$D17*Activity!K17</f>
        <v>0</v>
      </c>
      <c r="J18" s="603">
        <f>Activity!$C17*Activity!$D17*Activity!L17</f>
        <v>2.8462392385811999</v>
      </c>
      <c r="K18" s="602">
        <f>Activity!$C17*Activity!$D17*Activity!M17</f>
        <v>0.47038687696440001</v>
      </c>
      <c r="L18" s="602">
        <f>Activity!$C17*Activity!$D17*Activity!N17</f>
        <v>0.35345454596759995</v>
      </c>
      <c r="M18" s="600">
        <f>Activity!$C17*Activity!$D17*Activity!O17</f>
        <v>1.6503403988412</v>
      </c>
      <c r="N18" s="448">
        <v>0</v>
      </c>
      <c r="O18" s="602">
        <f>Activity!C17*Activity!D17</f>
        <v>26.575529771999999</v>
      </c>
      <c r="P18" s="609">
        <f>Activity!X17</f>
        <v>0</v>
      </c>
    </row>
    <row r="19" spans="2:16">
      <c r="B19" s="7">
        <f t="shared" si="0"/>
        <v>2005</v>
      </c>
      <c r="C19" s="601">
        <f>Activity!$C18*Activity!$D18*Activity!E18</f>
        <v>19.543130902548</v>
      </c>
      <c r="D19" s="602">
        <f>Activity!$C18*Activity!$D18*Activity!F18</f>
        <v>3.78263642262</v>
      </c>
      <c r="E19" s="600">
        <f>Activity!$C18*Activity!$D18*Activity!G18</f>
        <v>0</v>
      </c>
      <c r="F19" s="602">
        <f>Activity!$C18*Activity!$D18*Activity!H18</f>
        <v>0</v>
      </c>
      <c r="G19" s="602">
        <f>Activity!$C18*Activity!$D18*Activity!I18</f>
        <v>0</v>
      </c>
      <c r="H19" s="602">
        <f>Activity!$C18*Activity!$D18*Activity!J18</f>
        <v>0.23843856049199999</v>
      </c>
      <c r="I19" s="602">
        <f>Activity!$C18*Activity!$D18*Activity!K18</f>
        <v>0</v>
      </c>
      <c r="J19" s="603">
        <f>Activity!$C18*Activity!$D18*Activity!L18</f>
        <v>3.152687633172</v>
      </c>
      <c r="K19" s="602">
        <f>Activity!$C18*Activity!$D18*Activity!M18</f>
        <v>0.52103240996400002</v>
      </c>
      <c r="L19" s="602">
        <f>Activity!$C18*Activity!$D18*Activity!N18</f>
        <v>0.39151022895599996</v>
      </c>
      <c r="M19" s="600">
        <f>Activity!$C18*Activity!$D18*Activity!O18</f>
        <v>1.828028963772</v>
      </c>
      <c r="N19" s="448">
        <v>0</v>
      </c>
      <c r="O19" s="602">
        <f>Activity!C18*Activity!D18</f>
        <v>29.43685932</v>
      </c>
      <c r="P19" s="609">
        <f>Activity!X18</f>
        <v>0</v>
      </c>
    </row>
    <row r="20" spans="2:16">
      <c r="B20" s="7">
        <f t="shared" si="0"/>
        <v>2006</v>
      </c>
      <c r="C20" s="601">
        <f>Activity!$C19*Activity!$D19*Activity!E19</f>
        <v>19.945141613614801</v>
      </c>
      <c r="D20" s="602">
        <f>Activity!$C19*Activity!$D19*Activity!F19</f>
        <v>3.8604469006620001</v>
      </c>
      <c r="E20" s="600">
        <f>Activity!$C19*Activity!$D19*Activity!G19</f>
        <v>0</v>
      </c>
      <c r="F20" s="602">
        <f>Activity!$C19*Activity!$D19*Activity!H19</f>
        <v>0</v>
      </c>
      <c r="G20" s="602">
        <f>Activity!$C19*Activity!$D19*Activity!I19</f>
        <v>0</v>
      </c>
      <c r="H20" s="602">
        <f>Activity!$C19*Activity!$D19*Activity!J19</f>
        <v>0.2433433454892</v>
      </c>
      <c r="I20" s="602">
        <f>Activity!$C19*Activity!$D19*Activity!K19</f>
        <v>0</v>
      </c>
      <c r="J20" s="603">
        <f>Activity!$C19*Activity!$D19*Activity!L19</f>
        <v>3.2175397903572001</v>
      </c>
      <c r="K20" s="602">
        <f>Activity!$C19*Activity!$D19*Activity!M19</f>
        <v>0.53175027347640003</v>
      </c>
      <c r="L20" s="602">
        <f>Activity!$C19*Activity!$D19*Activity!N19</f>
        <v>0.39956376481560002</v>
      </c>
      <c r="M20" s="600">
        <f>Activity!$C19*Activity!$D19*Activity!O19</f>
        <v>1.8656323154172001</v>
      </c>
      <c r="N20" s="448">
        <v>0</v>
      </c>
      <c r="O20" s="602">
        <f>Activity!C19*Activity!D19</f>
        <v>30.042388332000002</v>
      </c>
      <c r="P20" s="609">
        <f>Activity!X19</f>
        <v>0</v>
      </c>
    </row>
    <row r="21" spans="2:16">
      <c r="B21" s="7">
        <f t="shared" si="0"/>
        <v>2007</v>
      </c>
      <c r="C21" s="601">
        <f>Activity!$C20*Activity!$D20*Activity!E20</f>
        <v>20.346824921068801</v>
      </c>
      <c r="D21" s="602">
        <f>Activity!$C20*Activity!$D20*Activity!F20</f>
        <v>3.9381940086720006</v>
      </c>
      <c r="E21" s="600">
        <f>Activity!$C20*Activity!$D20*Activity!G20</f>
        <v>0</v>
      </c>
      <c r="F21" s="602">
        <f>Activity!$C20*Activity!$D20*Activity!H20</f>
        <v>0</v>
      </c>
      <c r="G21" s="602">
        <f>Activity!$C20*Activity!$D20*Activity!I20</f>
        <v>0</v>
      </c>
      <c r="H21" s="602">
        <f>Activity!$C20*Activity!$D20*Activity!J20</f>
        <v>0.24824413595520001</v>
      </c>
      <c r="I21" s="602">
        <f>Activity!$C20*Activity!$D20*Activity!K20</f>
        <v>0</v>
      </c>
      <c r="J21" s="603">
        <f>Activity!$C20*Activity!$D20*Activity!L20</f>
        <v>3.2823391309632002</v>
      </c>
      <c r="K21" s="602">
        <f>Activity!$C20*Activity!$D20*Activity!M20</f>
        <v>0.54245940819840011</v>
      </c>
      <c r="L21" s="602">
        <f>Activity!$C20*Activity!$D20*Activity!N20</f>
        <v>0.40761074175360001</v>
      </c>
      <c r="M21" s="600">
        <f>Activity!$C20*Activity!$D20*Activity!O20</f>
        <v>1.9032050423232003</v>
      </c>
      <c r="N21" s="448">
        <v>0</v>
      </c>
      <c r="O21" s="602">
        <f>Activity!C20*Activity!D20</f>
        <v>30.647424192000003</v>
      </c>
      <c r="P21" s="609">
        <f>Activity!X20</f>
        <v>0</v>
      </c>
    </row>
    <row r="22" spans="2:16">
      <c r="B22" s="7">
        <f t="shared" ref="B22:B85" si="1">B21+1</f>
        <v>2008</v>
      </c>
      <c r="C22" s="601">
        <f>Activity!$C21*Activity!$D21*Activity!E21</f>
        <v>20.745725297814001</v>
      </c>
      <c r="D22" s="602">
        <f>Activity!$C21*Activity!$D21*Activity!F21</f>
        <v>4.0154024714099998</v>
      </c>
      <c r="E22" s="600">
        <f>Activity!$C21*Activity!$D21*Activity!G21</f>
        <v>0</v>
      </c>
      <c r="F22" s="602">
        <f>Activity!$C21*Activity!$D21*Activity!H21</f>
        <v>0</v>
      </c>
      <c r="G22" s="602">
        <f>Activity!$C21*Activity!$D21*Activity!I21</f>
        <v>0</v>
      </c>
      <c r="H22" s="602">
        <f>Activity!$C21*Activity!$D21*Activity!J21</f>
        <v>0.25311097290599999</v>
      </c>
      <c r="I22" s="602">
        <f>Activity!$C21*Activity!$D21*Activity!K21</f>
        <v>0</v>
      </c>
      <c r="J22" s="603">
        <f>Activity!$C21*Activity!$D21*Activity!L21</f>
        <v>3.3466895306460001</v>
      </c>
      <c r="K22" s="602">
        <f>Activity!$C21*Activity!$D21*Activity!M21</f>
        <v>0.55309434820199999</v>
      </c>
      <c r="L22" s="602">
        <f>Activity!$C21*Activity!$D21*Activity!N21</f>
        <v>0.41560196785799997</v>
      </c>
      <c r="M22" s="600">
        <f>Activity!$C21*Activity!$D21*Activity!O21</f>
        <v>1.9405174589460001</v>
      </c>
      <c r="N22" s="448">
        <v>0</v>
      </c>
      <c r="O22" s="602">
        <f>Activity!C21*Activity!D21</f>
        <v>31.24826826</v>
      </c>
      <c r="P22" s="609">
        <f>Activity!X21</f>
        <v>0</v>
      </c>
    </row>
    <row r="23" spans="2:16">
      <c r="B23" s="7">
        <f t="shared" si="1"/>
        <v>2009</v>
      </c>
      <c r="C23" s="601">
        <f>Activity!$C22*Activity!$D22*Activity!E22</f>
        <v>21.138896111335203</v>
      </c>
      <c r="D23" s="602">
        <f>Activity!$C22*Activity!$D22*Activity!F22</f>
        <v>4.0915019585880001</v>
      </c>
      <c r="E23" s="600">
        <f>Activity!$C22*Activity!$D22*Activity!G22</f>
        <v>0</v>
      </c>
      <c r="F23" s="602">
        <f>Activity!$C22*Activity!$D22*Activity!H22</f>
        <v>0</v>
      </c>
      <c r="G23" s="602">
        <f>Activity!$C22*Activity!$D22*Activity!I22</f>
        <v>0</v>
      </c>
      <c r="H23" s="602">
        <f>Activity!$C22*Activity!$D22*Activity!J22</f>
        <v>0.25790790556080001</v>
      </c>
      <c r="I23" s="602">
        <f>Activity!$C22*Activity!$D22*Activity!K22</f>
        <v>0</v>
      </c>
      <c r="J23" s="603">
        <f>Activity!$C22*Activity!$D22*Activity!L22</f>
        <v>3.4101156401928003</v>
      </c>
      <c r="K23" s="602">
        <f>Activity!$C22*Activity!$D22*Activity!M22</f>
        <v>0.5635765343736</v>
      </c>
      <c r="L23" s="602">
        <f>Activity!$C22*Activity!$D22*Activity!N22</f>
        <v>0.42347841283440002</v>
      </c>
      <c r="M23" s="600">
        <f>Activity!$C22*Activity!$D22*Activity!O22</f>
        <v>1.9772939426328002</v>
      </c>
      <c r="N23" s="448">
        <v>0</v>
      </c>
      <c r="O23" s="602">
        <f>Activity!C22*Activity!D22</f>
        <v>31.840482168000001</v>
      </c>
      <c r="P23" s="609">
        <f>Activity!X22</f>
        <v>0</v>
      </c>
    </row>
    <row r="24" spans="2:16">
      <c r="B24" s="7">
        <f t="shared" si="1"/>
        <v>2010</v>
      </c>
      <c r="C24" s="601">
        <f>Activity!$C23*Activity!$D23*Activity!E23</f>
        <v>22.819172377676406</v>
      </c>
      <c r="D24" s="602">
        <f>Activity!$C23*Activity!$D23*Activity!F23</f>
        <v>4.4167248840660012</v>
      </c>
      <c r="E24" s="600">
        <f>Activity!$C23*Activity!$D23*Activity!G23</f>
        <v>0</v>
      </c>
      <c r="F24" s="602">
        <f>Activity!$C23*Activity!$D23*Activity!H23</f>
        <v>0</v>
      </c>
      <c r="G24" s="602">
        <f>Activity!$C23*Activity!$D23*Activity!I23</f>
        <v>0</v>
      </c>
      <c r="H24" s="602">
        <f>Activity!$C23*Activity!$D23*Activity!J23</f>
        <v>0.27840833899560002</v>
      </c>
      <c r="I24" s="602">
        <f>Activity!$C23*Activity!$D23*Activity!K23</f>
        <v>0</v>
      </c>
      <c r="J24" s="603">
        <f>Activity!$C23*Activity!$D23*Activity!L23</f>
        <v>3.6811769267196004</v>
      </c>
      <c r="K24" s="602">
        <f>Activity!$C23*Activity!$D23*Activity!M23</f>
        <v>0.60837377780520008</v>
      </c>
      <c r="L24" s="602">
        <f>Activity!$C23*Activity!$D23*Activity!N23</f>
        <v>0.45713961835080003</v>
      </c>
      <c r="M24" s="600">
        <f>Activity!$C23*Activity!$D23*Activity!O23</f>
        <v>2.1344639322996004</v>
      </c>
      <c r="N24" s="448">
        <v>0</v>
      </c>
      <c r="O24" s="602">
        <f>Activity!C23*Activity!D23</f>
        <v>34.371399876000005</v>
      </c>
      <c r="P24" s="609">
        <f>Activity!X23</f>
        <v>0</v>
      </c>
    </row>
    <row r="25" spans="2:16">
      <c r="B25" s="7">
        <f t="shared" si="1"/>
        <v>2011</v>
      </c>
      <c r="C25" s="601">
        <f>Activity!$C24*Activity!$D24*Activity!E24</f>
        <v>0</v>
      </c>
      <c r="D25" s="602">
        <f>Activity!$C24*Activity!$D24*Activity!F24</f>
        <v>0</v>
      </c>
      <c r="E25" s="600">
        <f>Activity!$C24*Activity!$D24*Activity!G24</f>
        <v>0</v>
      </c>
      <c r="F25" s="602">
        <f>Activity!$C24*Activity!$D24*Activity!H24</f>
        <v>0</v>
      </c>
      <c r="G25" s="602">
        <f>Activity!$C24*Activity!$D24*Activity!I24</f>
        <v>0</v>
      </c>
      <c r="H25" s="602">
        <f>Activity!$C24*Activity!$D24*Activity!J24</f>
        <v>0</v>
      </c>
      <c r="I25" s="602">
        <f>Activity!$C24*Activity!$D24*Activity!K24</f>
        <v>0</v>
      </c>
      <c r="J25" s="603">
        <f>Activity!$C24*Activity!$D24*Activity!L24</f>
        <v>0</v>
      </c>
      <c r="K25" s="602">
        <f>Activity!$C24*Activity!$D24*Activity!M24</f>
        <v>0</v>
      </c>
      <c r="L25" s="602">
        <f>Activity!$C24*Activity!$D24*Activity!N24</f>
        <v>0</v>
      </c>
      <c r="M25" s="600">
        <f>Activity!$C24*Activity!$D24*Activity!O24</f>
        <v>0</v>
      </c>
      <c r="N25" s="448">
        <v>0</v>
      </c>
      <c r="O25" s="602">
        <f>Activity!C24*Activity!D24</f>
        <v>0</v>
      </c>
      <c r="P25" s="609">
        <f>Activity!X24</f>
        <v>0</v>
      </c>
    </row>
    <row r="26" spans="2:16">
      <c r="B26" s="7">
        <f t="shared" si="1"/>
        <v>2012</v>
      </c>
      <c r="C26" s="601">
        <f>Activity!$C25*Activity!$D25*Activity!E25</f>
        <v>0</v>
      </c>
      <c r="D26" s="602">
        <f>Activity!$C25*Activity!$D25*Activity!F25</f>
        <v>0</v>
      </c>
      <c r="E26" s="600">
        <f>Activity!$C25*Activity!$D25*Activity!G25</f>
        <v>0</v>
      </c>
      <c r="F26" s="602">
        <f>Activity!$C25*Activity!$D25*Activity!H25</f>
        <v>0</v>
      </c>
      <c r="G26" s="602">
        <f>Activity!$C25*Activity!$D25*Activity!I25</f>
        <v>0</v>
      </c>
      <c r="H26" s="602">
        <f>Activity!$C25*Activity!$D25*Activity!J25</f>
        <v>0</v>
      </c>
      <c r="I26" s="602">
        <f>Activity!$C25*Activity!$D25*Activity!K25</f>
        <v>0</v>
      </c>
      <c r="J26" s="603">
        <f>Activity!$C25*Activity!$D25*Activity!L25</f>
        <v>0</v>
      </c>
      <c r="K26" s="602">
        <f>Activity!$C25*Activity!$D25*Activity!M25</f>
        <v>0</v>
      </c>
      <c r="L26" s="602">
        <f>Activity!$C25*Activity!$D25*Activity!N25</f>
        <v>0</v>
      </c>
      <c r="M26" s="600">
        <f>Activity!$C25*Activity!$D25*Activity!O25</f>
        <v>0</v>
      </c>
      <c r="N26" s="448">
        <v>0</v>
      </c>
      <c r="O26" s="602">
        <f>Activity!C25*Activity!D25</f>
        <v>0</v>
      </c>
      <c r="P26" s="609">
        <f>Activity!X25</f>
        <v>0</v>
      </c>
    </row>
    <row r="27" spans="2:16">
      <c r="B27" s="7">
        <f t="shared" si="1"/>
        <v>2013</v>
      </c>
      <c r="C27" s="601">
        <f>Activity!$C26*Activity!$D26*Activity!E26</f>
        <v>0</v>
      </c>
      <c r="D27" s="602">
        <f>Activity!$C26*Activity!$D26*Activity!F26</f>
        <v>0</v>
      </c>
      <c r="E27" s="600">
        <f>Activity!$C26*Activity!$D26*Activity!G26</f>
        <v>0</v>
      </c>
      <c r="F27" s="602">
        <f>Activity!$C26*Activity!$D26*Activity!H26</f>
        <v>0</v>
      </c>
      <c r="G27" s="602">
        <f>Activity!$C26*Activity!$D26*Activity!I26</f>
        <v>0</v>
      </c>
      <c r="H27" s="602">
        <f>Activity!$C26*Activity!$D26*Activity!J26</f>
        <v>0</v>
      </c>
      <c r="I27" s="602">
        <f>Activity!$C26*Activity!$D26*Activity!K26</f>
        <v>0</v>
      </c>
      <c r="J27" s="603">
        <f>Activity!$C26*Activity!$D26*Activity!L26</f>
        <v>0</v>
      </c>
      <c r="K27" s="602">
        <f>Activity!$C26*Activity!$D26*Activity!M26</f>
        <v>0</v>
      </c>
      <c r="L27" s="602">
        <f>Activity!$C26*Activity!$D26*Activity!N26</f>
        <v>0</v>
      </c>
      <c r="M27" s="600">
        <f>Activity!$C26*Activity!$D26*Activity!O26</f>
        <v>0</v>
      </c>
      <c r="N27" s="448">
        <v>0</v>
      </c>
      <c r="O27" s="602">
        <f>Activity!C26*Activity!D26</f>
        <v>0</v>
      </c>
      <c r="P27" s="609">
        <f>Activity!X26</f>
        <v>0</v>
      </c>
    </row>
    <row r="28" spans="2:16">
      <c r="B28" s="7">
        <f t="shared" si="1"/>
        <v>2014</v>
      </c>
      <c r="C28" s="601">
        <f>Activity!$C27*Activity!$D27*Activity!E27</f>
        <v>0</v>
      </c>
      <c r="D28" s="602">
        <f>Activity!$C27*Activity!$D27*Activity!F27</f>
        <v>0</v>
      </c>
      <c r="E28" s="600">
        <f>Activity!$C27*Activity!$D27*Activity!G27</f>
        <v>0</v>
      </c>
      <c r="F28" s="602">
        <f>Activity!$C27*Activity!$D27*Activity!H27</f>
        <v>0</v>
      </c>
      <c r="G28" s="602">
        <f>Activity!$C27*Activity!$D27*Activity!I27</f>
        <v>0</v>
      </c>
      <c r="H28" s="602">
        <f>Activity!$C27*Activity!$D27*Activity!J27</f>
        <v>0</v>
      </c>
      <c r="I28" s="602">
        <f>Activity!$C27*Activity!$D27*Activity!K27</f>
        <v>0</v>
      </c>
      <c r="J28" s="603">
        <f>Activity!$C27*Activity!$D27*Activity!L27</f>
        <v>0</v>
      </c>
      <c r="K28" s="602">
        <f>Activity!$C27*Activity!$D27*Activity!M27</f>
        <v>0</v>
      </c>
      <c r="L28" s="602">
        <f>Activity!$C27*Activity!$D27*Activity!N27</f>
        <v>0</v>
      </c>
      <c r="M28" s="600">
        <f>Activity!$C27*Activity!$D27*Activity!O27</f>
        <v>0</v>
      </c>
      <c r="N28" s="448">
        <v>0</v>
      </c>
      <c r="O28" s="602">
        <f>Activity!C27*Activity!D27</f>
        <v>0</v>
      </c>
      <c r="P28" s="609">
        <f>Activity!X27</f>
        <v>0</v>
      </c>
    </row>
    <row r="29" spans="2:16">
      <c r="B29" s="7">
        <f t="shared" si="1"/>
        <v>2015</v>
      </c>
      <c r="C29" s="601">
        <f>Activity!$C28*Activity!$D28*Activity!E28</f>
        <v>0</v>
      </c>
      <c r="D29" s="602">
        <f>Activity!$C28*Activity!$D28*Activity!F28</f>
        <v>0</v>
      </c>
      <c r="E29" s="600">
        <f>Activity!$C28*Activity!$D28*Activity!G28</f>
        <v>0</v>
      </c>
      <c r="F29" s="602">
        <f>Activity!$C28*Activity!$D28*Activity!H28</f>
        <v>0</v>
      </c>
      <c r="G29" s="602">
        <f>Activity!$C28*Activity!$D28*Activity!I28</f>
        <v>0</v>
      </c>
      <c r="H29" s="602">
        <f>Activity!$C28*Activity!$D28*Activity!J28</f>
        <v>0</v>
      </c>
      <c r="I29" s="602">
        <f>Activity!$C28*Activity!$D28*Activity!K28</f>
        <v>0</v>
      </c>
      <c r="J29" s="603">
        <f>Activity!$C28*Activity!$D28*Activity!L28</f>
        <v>0</v>
      </c>
      <c r="K29" s="602">
        <f>Activity!$C28*Activity!$D28*Activity!M28</f>
        <v>0</v>
      </c>
      <c r="L29" s="602">
        <f>Activity!$C28*Activity!$D28*Activity!N28</f>
        <v>0</v>
      </c>
      <c r="M29" s="600">
        <f>Activity!$C28*Activity!$D28*Activity!O28</f>
        <v>0</v>
      </c>
      <c r="N29" s="448">
        <v>0</v>
      </c>
      <c r="O29" s="602">
        <f>Activity!C28*Activity!D28</f>
        <v>0</v>
      </c>
      <c r="P29" s="609">
        <f>Activity!X28</f>
        <v>0</v>
      </c>
    </row>
    <row r="30" spans="2:16">
      <c r="B30" s="7">
        <f t="shared" si="1"/>
        <v>2016</v>
      </c>
      <c r="C30" s="601">
        <f>Activity!$C29*Activity!$D29*Activity!E29</f>
        <v>0</v>
      </c>
      <c r="D30" s="602">
        <f>Activity!$C29*Activity!$D29*Activity!F29</f>
        <v>0</v>
      </c>
      <c r="E30" s="600">
        <f>Activity!$C29*Activity!$D29*Activity!G29</f>
        <v>0</v>
      </c>
      <c r="F30" s="602">
        <f>Activity!$C29*Activity!$D29*Activity!H29</f>
        <v>0</v>
      </c>
      <c r="G30" s="602">
        <f>Activity!$C29*Activity!$D29*Activity!I29</f>
        <v>0</v>
      </c>
      <c r="H30" s="602">
        <f>Activity!$C29*Activity!$D29*Activity!J29</f>
        <v>0</v>
      </c>
      <c r="I30" s="602">
        <f>Activity!$C29*Activity!$D29*Activity!K29</f>
        <v>0</v>
      </c>
      <c r="J30" s="603">
        <f>Activity!$C29*Activity!$D29*Activity!L29</f>
        <v>0</v>
      </c>
      <c r="K30" s="602">
        <f>Activity!$C29*Activity!$D29*Activity!M29</f>
        <v>0</v>
      </c>
      <c r="L30" s="602">
        <f>Activity!$C29*Activity!$D29*Activity!N29</f>
        <v>0</v>
      </c>
      <c r="M30" s="600">
        <f>Activity!$C29*Activity!$D29*Activity!O29</f>
        <v>0</v>
      </c>
      <c r="N30" s="448">
        <v>0</v>
      </c>
      <c r="O30" s="602">
        <f>Activity!C29*Activity!D29</f>
        <v>0</v>
      </c>
      <c r="P30" s="609">
        <f>Activity!X29</f>
        <v>0</v>
      </c>
    </row>
    <row r="31" spans="2:16">
      <c r="B31" s="7">
        <f t="shared" si="1"/>
        <v>2017</v>
      </c>
      <c r="C31" s="601">
        <f>Activity!$C30*Activity!$D30*Activity!E30</f>
        <v>0</v>
      </c>
      <c r="D31" s="602">
        <f>Activity!$C30*Activity!$D30*Activity!F30</f>
        <v>0</v>
      </c>
      <c r="E31" s="600">
        <f>Activity!$C30*Activity!$D30*Activity!G30</f>
        <v>0</v>
      </c>
      <c r="F31" s="602">
        <f>Activity!$C30*Activity!$D30*Activity!H30</f>
        <v>0</v>
      </c>
      <c r="G31" s="602">
        <f>Activity!$C30*Activity!$D30*Activity!I30</f>
        <v>0</v>
      </c>
      <c r="H31" s="602">
        <f>Activity!$C30*Activity!$D30*Activity!J30</f>
        <v>0</v>
      </c>
      <c r="I31" s="602">
        <f>Activity!$C30*Activity!$D30*Activity!K30</f>
        <v>0</v>
      </c>
      <c r="J31" s="603">
        <f>Activity!$C30*Activity!$D30*Activity!L30</f>
        <v>0</v>
      </c>
      <c r="K31" s="602">
        <f>Activity!$C30*Activity!$D30*Activity!M30</f>
        <v>0</v>
      </c>
      <c r="L31" s="602">
        <f>Activity!$C30*Activity!$D30*Activity!N30</f>
        <v>0</v>
      </c>
      <c r="M31" s="600">
        <f>Activity!$C30*Activity!$D30*Activity!O30</f>
        <v>0</v>
      </c>
      <c r="N31" s="448">
        <v>0</v>
      </c>
      <c r="O31" s="602">
        <f>Activity!C30*Activity!D30</f>
        <v>0</v>
      </c>
      <c r="P31" s="609">
        <f>Activity!X30</f>
        <v>0</v>
      </c>
    </row>
    <row r="32" spans="2:16">
      <c r="B32" s="7">
        <f t="shared" si="1"/>
        <v>2018</v>
      </c>
      <c r="C32" s="601">
        <f>Activity!$C31*Activity!$D31*Activity!E31</f>
        <v>0</v>
      </c>
      <c r="D32" s="602">
        <f>Activity!$C31*Activity!$D31*Activity!F31</f>
        <v>0</v>
      </c>
      <c r="E32" s="600">
        <f>Activity!$C31*Activity!$D31*Activity!G31</f>
        <v>0</v>
      </c>
      <c r="F32" s="602">
        <f>Activity!$C31*Activity!$D31*Activity!H31</f>
        <v>0</v>
      </c>
      <c r="G32" s="602">
        <f>Activity!$C31*Activity!$D31*Activity!I31</f>
        <v>0</v>
      </c>
      <c r="H32" s="602">
        <f>Activity!$C31*Activity!$D31*Activity!J31</f>
        <v>0</v>
      </c>
      <c r="I32" s="602">
        <f>Activity!$C31*Activity!$D31*Activity!K31</f>
        <v>0</v>
      </c>
      <c r="J32" s="603">
        <f>Activity!$C31*Activity!$D31*Activity!L31</f>
        <v>0</v>
      </c>
      <c r="K32" s="602">
        <f>Activity!$C31*Activity!$D31*Activity!M31</f>
        <v>0</v>
      </c>
      <c r="L32" s="602">
        <f>Activity!$C31*Activity!$D31*Activity!N31</f>
        <v>0</v>
      </c>
      <c r="M32" s="600">
        <f>Activity!$C31*Activity!$D31*Activity!O31</f>
        <v>0</v>
      </c>
      <c r="N32" s="448">
        <v>0</v>
      </c>
      <c r="O32" s="602">
        <f>Activity!C31*Activity!D31</f>
        <v>0</v>
      </c>
      <c r="P32" s="609">
        <f>Activity!X31</f>
        <v>0</v>
      </c>
    </row>
    <row r="33" spans="2:16">
      <c r="B33" s="7">
        <f t="shared" si="1"/>
        <v>2019</v>
      </c>
      <c r="C33" s="601">
        <f>Activity!$C32*Activity!$D32*Activity!E32</f>
        <v>0</v>
      </c>
      <c r="D33" s="602">
        <f>Activity!$C32*Activity!$D32*Activity!F32</f>
        <v>0</v>
      </c>
      <c r="E33" s="600">
        <f>Activity!$C32*Activity!$D32*Activity!G32</f>
        <v>0</v>
      </c>
      <c r="F33" s="602">
        <f>Activity!$C32*Activity!$D32*Activity!H32</f>
        <v>0</v>
      </c>
      <c r="G33" s="602">
        <f>Activity!$C32*Activity!$D32*Activity!I32</f>
        <v>0</v>
      </c>
      <c r="H33" s="602">
        <f>Activity!$C32*Activity!$D32*Activity!J32</f>
        <v>0</v>
      </c>
      <c r="I33" s="602">
        <f>Activity!$C32*Activity!$D32*Activity!K32</f>
        <v>0</v>
      </c>
      <c r="J33" s="603">
        <f>Activity!$C32*Activity!$D32*Activity!L32</f>
        <v>0</v>
      </c>
      <c r="K33" s="602">
        <f>Activity!$C32*Activity!$D32*Activity!M32</f>
        <v>0</v>
      </c>
      <c r="L33" s="602">
        <f>Activity!$C32*Activity!$D32*Activity!N32</f>
        <v>0</v>
      </c>
      <c r="M33" s="600">
        <f>Activity!$C32*Activity!$D32*Activity!O32</f>
        <v>0</v>
      </c>
      <c r="N33" s="448">
        <v>0</v>
      </c>
      <c r="O33" s="602">
        <f>Activity!C32*Activity!D32</f>
        <v>0</v>
      </c>
      <c r="P33" s="609">
        <f>Activity!X32</f>
        <v>0</v>
      </c>
    </row>
    <row r="34" spans="2:16">
      <c r="B34" s="7">
        <f t="shared" si="1"/>
        <v>2020</v>
      </c>
      <c r="C34" s="601">
        <f>Activity!$C33*Activity!$D33*Activity!E33</f>
        <v>0</v>
      </c>
      <c r="D34" s="602">
        <f>Activity!$C33*Activity!$D33*Activity!F33</f>
        <v>0</v>
      </c>
      <c r="E34" s="600">
        <f>Activity!$C33*Activity!$D33*Activity!G33</f>
        <v>0</v>
      </c>
      <c r="F34" s="602">
        <f>Activity!$C33*Activity!$D33*Activity!H33</f>
        <v>0</v>
      </c>
      <c r="G34" s="602">
        <f>Activity!$C33*Activity!$D33*Activity!I33</f>
        <v>0</v>
      </c>
      <c r="H34" s="602">
        <f>Activity!$C33*Activity!$D33*Activity!J33</f>
        <v>0</v>
      </c>
      <c r="I34" s="602">
        <f>Activity!$C33*Activity!$D33*Activity!K33</f>
        <v>0</v>
      </c>
      <c r="J34" s="603">
        <f>Activity!$C33*Activity!$D33*Activity!L33</f>
        <v>0</v>
      </c>
      <c r="K34" s="602">
        <f>Activity!$C33*Activity!$D33*Activity!M33</f>
        <v>0</v>
      </c>
      <c r="L34" s="602">
        <f>Activity!$C33*Activity!$D33*Activity!N33</f>
        <v>0</v>
      </c>
      <c r="M34" s="600">
        <f>Activity!$C33*Activity!$D33*Activity!O33</f>
        <v>0</v>
      </c>
      <c r="N34" s="448">
        <v>0</v>
      </c>
      <c r="O34" s="602">
        <f>Activity!C33*Activity!D33</f>
        <v>0</v>
      </c>
      <c r="P34" s="609">
        <f>Activity!X33</f>
        <v>0</v>
      </c>
    </row>
    <row r="35" spans="2:16">
      <c r="B35" s="7">
        <f t="shared" si="1"/>
        <v>2021</v>
      </c>
      <c r="C35" s="601">
        <f>Activity!$C34*Activity!$D34*Activity!E34</f>
        <v>0</v>
      </c>
      <c r="D35" s="602">
        <f>Activity!$C34*Activity!$D34*Activity!F34</f>
        <v>0</v>
      </c>
      <c r="E35" s="600">
        <f>Activity!$C34*Activity!$D34*Activity!G34</f>
        <v>0</v>
      </c>
      <c r="F35" s="602">
        <f>Activity!$C34*Activity!$D34*Activity!H34</f>
        <v>0</v>
      </c>
      <c r="G35" s="602">
        <f>Activity!$C34*Activity!$D34*Activity!I34</f>
        <v>0</v>
      </c>
      <c r="H35" s="602">
        <f>Activity!$C34*Activity!$D34*Activity!J34</f>
        <v>0</v>
      </c>
      <c r="I35" s="602">
        <f>Activity!$C34*Activity!$D34*Activity!K34</f>
        <v>0</v>
      </c>
      <c r="J35" s="603">
        <f>Activity!$C34*Activity!$D34*Activity!L34</f>
        <v>0</v>
      </c>
      <c r="K35" s="602">
        <f>Activity!$C34*Activity!$D34*Activity!M34</f>
        <v>0</v>
      </c>
      <c r="L35" s="602">
        <f>Activity!$C34*Activity!$D34*Activity!N34</f>
        <v>0</v>
      </c>
      <c r="M35" s="600">
        <f>Activity!$C34*Activity!$D34*Activity!O34</f>
        <v>0</v>
      </c>
      <c r="N35" s="448">
        <v>0</v>
      </c>
      <c r="O35" s="602">
        <f>Activity!C34*Activity!D34</f>
        <v>0</v>
      </c>
      <c r="P35" s="609">
        <f>Activity!X34</f>
        <v>0</v>
      </c>
    </row>
    <row r="36" spans="2:16">
      <c r="B36" s="7">
        <f t="shared" si="1"/>
        <v>2022</v>
      </c>
      <c r="C36" s="601">
        <f>Activity!$C35*Activity!$D35*Activity!E35</f>
        <v>0</v>
      </c>
      <c r="D36" s="602">
        <f>Activity!$C35*Activity!$D35*Activity!F35</f>
        <v>0</v>
      </c>
      <c r="E36" s="600">
        <f>Activity!$C35*Activity!$D35*Activity!G35</f>
        <v>0</v>
      </c>
      <c r="F36" s="602">
        <f>Activity!$C35*Activity!$D35*Activity!H35</f>
        <v>0</v>
      </c>
      <c r="G36" s="602">
        <f>Activity!$C35*Activity!$D35*Activity!I35</f>
        <v>0</v>
      </c>
      <c r="H36" s="602">
        <f>Activity!$C35*Activity!$D35*Activity!J35</f>
        <v>0</v>
      </c>
      <c r="I36" s="602">
        <f>Activity!$C35*Activity!$D35*Activity!K35</f>
        <v>0</v>
      </c>
      <c r="J36" s="603">
        <f>Activity!$C35*Activity!$D35*Activity!L35</f>
        <v>0</v>
      </c>
      <c r="K36" s="602">
        <f>Activity!$C35*Activity!$D35*Activity!M35</f>
        <v>0</v>
      </c>
      <c r="L36" s="602">
        <f>Activity!$C35*Activity!$D35*Activity!N35</f>
        <v>0</v>
      </c>
      <c r="M36" s="600">
        <f>Activity!$C35*Activity!$D35*Activity!O35</f>
        <v>0</v>
      </c>
      <c r="N36" s="448">
        <v>0</v>
      </c>
      <c r="O36" s="602">
        <f>Activity!C35*Activity!D35</f>
        <v>0</v>
      </c>
      <c r="P36" s="609">
        <f>Activity!X35</f>
        <v>0</v>
      </c>
    </row>
    <row r="37" spans="2:16">
      <c r="B37" s="7">
        <f t="shared" si="1"/>
        <v>2023</v>
      </c>
      <c r="C37" s="601">
        <f>Activity!$C36*Activity!$D36*Activity!E36</f>
        <v>0</v>
      </c>
      <c r="D37" s="602">
        <f>Activity!$C36*Activity!$D36*Activity!F36</f>
        <v>0</v>
      </c>
      <c r="E37" s="600">
        <f>Activity!$C36*Activity!$D36*Activity!G36</f>
        <v>0</v>
      </c>
      <c r="F37" s="602">
        <f>Activity!$C36*Activity!$D36*Activity!H36</f>
        <v>0</v>
      </c>
      <c r="G37" s="602">
        <f>Activity!$C36*Activity!$D36*Activity!I36</f>
        <v>0</v>
      </c>
      <c r="H37" s="602">
        <f>Activity!$C36*Activity!$D36*Activity!J36</f>
        <v>0</v>
      </c>
      <c r="I37" s="602">
        <f>Activity!$C36*Activity!$D36*Activity!K36</f>
        <v>0</v>
      </c>
      <c r="J37" s="603">
        <f>Activity!$C36*Activity!$D36*Activity!L36</f>
        <v>0</v>
      </c>
      <c r="K37" s="602">
        <f>Activity!$C36*Activity!$D36*Activity!M36</f>
        <v>0</v>
      </c>
      <c r="L37" s="602">
        <f>Activity!$C36*Activity!$D36*Activity!N36</f>
        <v>0</v>
      </c>
      <c r="M37" s="600">
        <f>Activity!$C36*Activity!$D36*Activity!O36</f>
        <v>0</v>
      </c>
      <c r="N37" s="448">
        <v>0</v>
      </c>
      <c r="O37" s="602">
        <f>Activity!C36*Activity!D36</f>
        <v>0</v>
      </c>
      <c r="P37" s="609">
        <f>Activity!X36</f>
        <v>0</v>
      </c>
    </row>
    <row r="38" spans="2:16">
      <c r="B38" s="7">
        <f t="shared" si="1"/>
        <v>2024</v>
      </c>
      <c r="C38" s="601">
        <f>Activity!$C37*Activity!$D37*Activity!E37</f>
        <v>0</v>
      </c>
      <c r="D38" s="602">
        <f>Activity!$C37*Activity!$D37*Activity!F37</f>
        <v>0</v>
      </c>
      <c r="E38" s="600">
        <f>Activity!$C37*Activity!$D37*Activity!G37</f>
        <v>0</v>
      </c>
      <c r="F38" s="602">
        <f>Activity!$C37*Activity!$D37*Activity!H37</f>
        <v>0</v>
      </c>
      <c r="G38" s="602">
        <f>Activity!$C37*Activity!$D37*Activity!I37</f>
        <v>0</v>
      </c>
      <c r="H38" s="602">
        <f>Activity!$C37*Activity!$D37*Activity!J37</f>
        <v>0</v>
      </c>
      <c r="I38" s="602">
        <f>Activity!$C37*Activity!$D37*Activity!K37</f>
        <v>0</v>
      </c>
      <c r="J38" s="603">
        <f>Activity!$C37*Activity!$D37*Activity!L37</f>
        <v>0</v>
      </c>
      <c r="K38" s="602">
        <f>Activity!$C37*Activity!$D37*Activity!M37</f>
        <v>0</v>
      </c>
      <c r="L38" s="602">
        <f>Activity!$C37*Activity!$D37*Activity!N37</f>
        <v>0</v>
      </c>
      <c r="M38" s="600">
        <f>Activity!$C37*Activity!$D37*Activity!O37</f>
        <v>0</v>
      </c>
      <c r="N38" s="448">
        <v>0</v>
      </c>
      <c r="O38" s="602">
        <f>Activity!C37*Activity!D37</f>
        <v>0</v>
      </c>
      <c r="P38" s="609">
        <f>Activity!X37</f>
        <v>0</v>
      </c>
    </row>
    <row r="39" spans="2:16">
      <c r="B39" s="7">
        <f t="shared" si="1"/>
        <v>2025</v>
      </c>
      <c r="C39" s="601">
        <f>Activity!$C38*Activity!$D38*Activity!E38</f>
        <v>0</v>
      </c>
      <c r="D39" s="602">
        <f>Activity!$C38*Activity!$D38*Activity!F38</f>
        <v>0</v>
      </c>
      <c r="E39" s="600">
        <f>Activity!$C38*Activity!$D38*Activity!G38</f>
        <v>0</v>
      </c>
      <c r="F39" s="602">
        <f>Activity!$C38*Activity!$D38*Activity!H38</f>
        <v>0</v>
      </c>
      <c r="G39" s="602">
        <f>Activity!$C38*Activity!$D38*Activity!I38</f>
        <v>0</v>
      </c>
      <c r="H39" s="602">
        <f>Activity!$C38*Activity!$D38*Activity!J38</f>
        <v>0</v>
      </c>
      <c r="I39" s="602">
        <f>Activity!$C38*Activity!$D38*Activity!K38</f>
        <v>0</v>
      </c>
      <c r="J39" s="603">
        <f>Activity!$C38*Activity!$D38*Activity!L38</f>
        <v>0</v>
      </c>
      <c r="K39" s="602">
        <f>Activity!$C38*Activity!$D38*Activity!M38</f>
        <v>0</v>
      </c>
      <c r="L39" s="602">
        <f>Activity!$C38*Activity!$D38*Activity!N38</f>
        <v>0</v>
      </c>
      <c r="M39" s="600">
        <f>Activity!$C38*Activity!$D38*Activity!O38</f>
        <v>0</v>
      </c>
      <c r="N39" s="448">
        <v>0</v>
      </c>
      <c r="O39" s="602">
        <f>Activity!C38*Activity!D38</f>
        <v>0</v>
      </c>
      <c r="P39" s="609">
        <f>Activity!X38</f>
        <v>0</v>
      </c>
    </row>
    <row r="40" spans="2:16">
      <c r="B40" s="7">
        <f t="shared" si="1"/>
        <v>2026</v>
      </c>
      <c r="C40" s="601">
        <f>Activity!$C39*Activity!$D39*Activity!E39</f>
        <v>0</v>
      </c>
      <c r="D40" s="602">
        <f>Activity!$C39*Activity!$D39*Activity!F39</f>
        <v>0</v>
      </c>
      <c r="E40" s="600">
        <f>Activity!$C39*Activity!$D39*Activity!G39</f>
        <v>0</v>
      </c>
      <c r="F40" s="602">
        <f>Activity!$C39*Activity!$D39*Activity!H39</f>
        <v>0</v>
      </c>
      <c r="G40" s="602">
        <f>Activity!$C39*Activity!$D39*Activity!I39</f>
        <v>0</v>
      </c>
      <c r="H40" s="602">
        <f>Activity!$C39*Activity!$D39*Activity!J39</f>
        <v>0</v>
      </c>
      <c r="I40" s="602">
        <f>Activity!$C39*Activity!$D39*Activity!K39</f>
        <v>0</v>
      </c>
      <c r="J40" s="603">
        <f>Activity!$C39*Activity!$D39*Activity!L39</f>
        <v>0</v>
      </c>
      <c r="K40" s="602">
        <f>Activity!$C39*Activity!$D39*Activity!M39</f>
        <v>0</v>
      </c>
      <c r="L40" s="602">
        <f>Activity!$C39*Activity!$D39*Activity!N39</f>
        <v>0</v>
      </c>
      <c r="M40" s="600">
        <f>Activity!$C39*Activity!$D39*Activity!O39</f>
        <v>0</v>
      </c>
      <c r="N40" s="448">
        <v>0</v>
      </c>
      <c r="O40" s="602">
        <f>Activity!C39*Activity!D39</f>
        <v>0</v>
      </c>
      <c r="P40" s="609">
        <f>Activity!X39</f>
        <v>0</v>
      </c>
    </row>
    <row r="41" spans="2:16">
      <c r="B41" s="7">
        <f t="shared" si="1"/>
        <v>2027</v>
      </c>
      <c r="C41" s="601">
        <f>Activity!$C40*Activity!$D40*Activity!E40</f>
        <v>0</v>
      </c>
      <c r="D41" s="602">
        <f>Activity!$C40*Activity!$D40*Activity!F40</f>
        <v>0</v>
      </c>
      <c r="E41" s="600">
        <f>Activity!$C40*Activity!$D40*Activity!G40</f>
        <v>0</v>
      </c>
      <c r="F41" s="602">
        <f>Activity!$C40*Activity!$D40*Activity!H40</f>
        <v>0</v>
      </c>
      <c r="G41" s="602">
        <f>Activity!$C40*Activity!$D40*Activity!I40</f>
        <v>0</v>
      </c>
      <c r="H41" s="602">
        <f>Activity!$C40*Activity!$D40*Activity!J40</f>
        <v>0</v>
      </c>
      <c r="I41" s="602">
        <f>Activity!$C40*Activity!$D40*Activity!K40</f>
        <v>0</v>
      </c>
      <c r="J41" s="603">
        <f>Activity!$C40*Activity!$D40*Activity!L40</f>
        <v>0</v>
      </c>
      <c r="K41" s="602">
        <f>Activity!$C40*Activity!$D40*Activity!M40</f>
        <v>0</v>
      </c>
      <c r="L41" s="602">
        <f>Activity!$C40*Activity!$D40*Activity!N40</f>
        <v>0</v>
      </c>
      <c r="M41" s="600">
        <f>Activity!$C40*Activity!$D40*Activity!O40</f>
        <v>0</v>
      </c>
      <c r="N41" s="448">
        <v>0</v>
      </c>
      <c r="O41" s="602">
        <f>Activity!C40*Activity!D40</f>
        <v>0</v>
      </c>
      <c r="P41" s="609">
        <f>Activity!X40</f>
        <v>0</v>
      </c>
    </row>
    <row r="42" spans="2:16">
      <c r="B42" s="7">
        <f t="shared" si="1"/>
        <v>2028</v>
      </c>
      <c r="C42" s="601">
        <f>Activity!$C41*Activity!$D41*Activity!E41</f>
        <v>0</v>
      </c>
      <c r="D42" s="602">
        <f>Activity!$C41*Activity!$D41*Activity!F41</f>
        <v>0</v>
      </c>
      <c r="E42" s="600">
        <f>Activity!$C41*Activity!$D41*Activity!G41</f>
        <v>0</v>
      </c>
      <c r="F42" s="602">
        <f>Activity!$C41*Activity!$D41*Activity!H41</f>
        <v>0</v>
      </c>
      <c r="G42" s="602">
        <f>Activity!$C41*Activity!$D41*Activity!I41</f>
        <v>0</v>
      </c>
      <c r="H42" s="602">
        <f>Activity!$C41*Activity!$D41*Activity!J41</f>
        <v>0</v>
      </c>
      <c r="I42" s="602">
        <f>Activity!$C41*Activity!$D41*Activity!K41</f>
        <v>0</v>
      </c>
      <c r="J42" s="603">
        <f>Activity!$C41*Activity!$D41*Activity!L41</f>
        <v>0</v>
      </c>
      <c r="K42" s="602">
        <f>Activity!$C41*Activity!$D41*Activity!M41</f>
        <v>0</v>
      </c>
      <c r="L42" s="602">
        <f>Activity!$C41*Activity!$D41*Activity!N41</f>
        <v>0</v>
      </c>
      <c r="M42" s="600">
        <f>Activity!$C41*Activity!$D41*Activity!O41</f>
        <v>0</v>
      </c>
      <c r="N42" s="448">
        <v>0</v>
      </c>
      <c r="O42" s="602">
        <f>Activity!C41*Activity!D41</f>
        <v>0</v>
      </c>
      <c r="P42" s="609">
        <f>Activity!X41</f>
        <v>0</v>
      </c>
    </row>
    <row r="43" spans="2:16">
      <c r="B43" s="7">
        <f t="shared" si="1"/>
        <v>2029</v>
      </c>
      <c r="C43" s="601">
        <f>Activity!$C42*Activity!$D42*Activity!E42</f>
        <v>0</v>
      </c>
      <c r="D43" s="602">
        <f>Activity!$C42*Activity!$D42*Activity!F42</f>
        <v>0</v>
      </c>
      <c r="E43" s="600">
        <f>Activity!$C42*Activity!$D42*Activity!G42</f>
        <v>0</v>
      </c>
      <c r="F43" s="602">
        <f>Activity!$C42*Activity!$D42*Activity!H42</f>
        <v>0</v>
      </c>
      <c r="G43" s="602">
        <f>Activity!$C42*Activity!$D42*Activity!I42</f>
        <v>0</v>
      </c>
      <c r="H43" s="602">
        <f>Activity!$C42*Activity!$D42*Activity!J42</f>
        <v>0</v>
      </c>
      <c r="I43" s="602">
        <f>Activity!$C42*Activity!$D42*Activity!K42</f>
        <v>0</v>
      </c>
      <c r="J43" s="603">
        <f>Activity!$C42*Activity!$D42*Activity!L42</f>
        <v>0</v>
      </c>
      <c r="K43" s="602">
        <f>Activity!$C42*Activity!$D42*Activity!M42</f>
        <v>0</v>
      </c>
      <c r="L43" s="602">
        <f>Activity!$C42*Activity!$D42*Activity!N42</f>
        <v>0</v>
      </c>
      <c r="M43" s="600">
        <f>Activity!$C42*Activity!$D42*Activity!O42</f>
        <v>0</v>
      </c>
      <c r="N43" s="448">
        <v>0</v>
      </c>
      <c r="O43" s="602">
        <f>Activity!C42*Activity!D42</f>
        <v>0</v>
      </c>
      <c r="P43" s="609">
        <f>Activity!X42</f>
        <v>0</v>
      </c>
    </row>
    <row r="44" spans="2:16">
      <c r="B44" s="7">
        <f t="shared" si="1"/>
        <v>2030</v>
      </c>
      <c r="C44" s="601">
        <f>Activity!$C43*Activity!$D43*Activity!E43</f>
        <v>0</v>
      </c>
      <c r="D44" s="602">
        <f>Activity!$C43*Activity!$D43*Activity!F43</f>
        <v>0</v>
      </c>
      <c r="E44" s="600">
        <f>Activity!$C43*Activity!$D43*Activity!G43</f>
        <v>0</v>
      </c>
      <c r="F44" s="602">
        <f>Activity!$C43*Activity!$D43*Activity!H43</f>
        <v>0</v>
      </c>
      <c r="G44" s="602">
        <f>Activity!$C43*Activity!$D43*Activity!I43</f>
        <v>0</v>
      </c>
      <c r="H44" s="602">
        <f>Activity!$C43*Activity!$D43*Activity!J43</f>
        <v>0</v>
      </c>
      <c r="I44" s="602">
        <f>Activity!$C43*Activity!$D43*Activity!K43</f>
        <v>0</v>
      </c>
      <c r="J44" s="603">
        <f>Activity!$C43*Activity!$D43*Activity!L43</f>
        <v>0</v>
      </c>
      <c r="K44" s="602">
        <f>Activity!$C43*Activity!$D43*Activity!M43</f>
        <v>0</v>
      </c>
      <c r="L44" s="602">
        <f>Activity!$C43*Activity!$D43*Activity!N43</f>
        <v>0</v>
      </c>
      <c r="M44" s="600">
        <f>Activity!$C43*Activity!$D43*Activity!O43</f>
        <v>0</v>
      </c>
      <c r="N44" s="448">
        <v>0</v>
      </c>
      <c r="O44" s="602">
        <f>Activity!C43*Activity!D43</f>
        <v>0</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3"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O17" sqref="O17"/>
    </sheetView>
  </sheetViews>
  <sheetFormatPr defaultColWidth="8.85546875" defaultRowHeight="12.75"/>
  <cols>
    <col min="1" max="1" width="8.85546875" style="695"/>
    <col min="2" max="2" width="7" style="691" customWidth="1"/>
    <col min="3" max="3" width="8.85546875" style="691"/>
    <col min="4" max="4" width="13" style="691" bestFit="1" customWidth="1"/>
    <col min="5" max="5" width="12" style="691" customWidth="1"/>
    <col min="6" max="6" width="9.140625" style="691" bestFit="1" customWidth="1"/>
    <col min="7" max="10" width="8.85546875" style="691"/>
    <col min="11" max="11" width="11.42578125" style="691" bestFit="1" customWidth="1"/>
    <col min="12" max="12" width="8.85546875" style="691"/>
    <col min="13" max="13" width="10.7109375" style="691" bestFit="1" customWidth="1"/>
    <col min="14" max="14" width="3" style="691" customWidth="1"/>
    <col min="15" max="15" width="17.140625" style="692" customWidth="1"/>
    <col min="16" max="16" width="4.7109375" style="691" customWidth="1"/>
    <col min="17" max="17" width="2" style="694" customWidth="1"/>
    <col min="18" max="20" width="8.85546875" style="695"/>
    <col min="21" max="21" width="10.7109375" style="695" customWidth="1"/>
    <col min="22" max="27" width="8.85546875" style="695"/>
    <col min="28" max="28" width="8.85546875" style="691"/>
    <col min="29" max="30" width="8.85546875" style="695"/>
    <col min="31" max="31" width="2.7109375" style="695" customWidth="1"/>
    <col min="32" max="32" width="11.7109375" style="695" bestFit="1" customWidth="1"/>
    <col min="33" max="16384" width="8.85546875" style="695"/>
  </cols>
  <sheetData>
    <row r="1" spans="1:32">
      <c r="A1" s="690"/>
      <c r="P1" s="693"/>
    </row>
    <row r="2" spans="1:32">
      <c r="A2" s="690"/>
      <c r="B2" s="696" t="s">
        <v>94</v>
      </c>
      <c r="D2" s="696"/>
      <c r="E2" s="696"/>
    </row>
    <row r="3" spans="1:32">
      <c r="A3" s="690"/>
      <c r="B3" s="696"/>
      <c r="D3" s="696"/>
      <c r="E3" s="696"/>
      <c r="I3" s="696"/>
      <c r="J3" s="697"/>
      <c r="K3" s="697"/>
      <c r="L3" s="697"/>
      <c r="M3" s="697"/>
      <c r="N3" s="697"/>
      <c r="O3" s="698"/>
      <c r="AB3" s="697"/>
    </row>
    <row r="4" spans="1:32" ht="13.5" thickBot="1">
      <c r="A4" s="690"/>
      <c r="B4" s="696" t="s">
        <v>265</v>
      </c>
      <c r="D4" s="696"/>
      <c r="E4" s="696" t="s">
        <v>276</v>
      </c>
      <c r="H4" s="696" t="s">
        <v>30</v>
      </c>
      <c r="I4" s="696"/>
      <c r="J4" s="697"/>
      <c r="K4" s="697"/>
      <c r="L4" s="697"/>
      <c r="M4" s="697"/>
      <c r="N4" s="697"/>
      <c r="O4" s="698"/>
      <c r="AB4" s="697"/>
    </row>
    <row r="5" spans="1:32" ht="13.5" thickBot="1">
      <c r="A5" s="690"/>
      <c r="B5" s="699" t="str">
        <f>city</f>
        <v>Balikpapan</v>
      </c>
      <c r="C5" s="700"/>
      <c r="D5" s="700"/>
      <c r="E5" s="699" t="str">
        <f>province</f>
        <v>Kalimantan Timur</v>
      </c>
      <c r="F5" s="700"/>
      <c r="G5" s="700"/>
      <c r="H5" s="699" t="str">
        <f>country</f>
        <v>Indonesia</v>
      </c>
      <c r="I5" s="700"/>
      <c r="J5" s="701"/>
      <c r="K5" s="697"/>
      <c r="L5" s="697"/>
      <c r="M5" s="697"/>
      <c r="N5" s="697"/>
      <c r="O5" s="698"/>
      <c r="AB5" s="697"/>
    </row>
    <row r="6" spans="1:32">
      <c r="A6" s="690"/>
      <c r="C6" s="696"/>
      <c r="D6" s="696"/>
      <c r="E6" s="696"/>
    </row>
    <row r="7" spans="1:32">
      <c r="A7" s="690"/>
      <c r="B7" s="691" t="s">
        <v>35</v>
      </c>
      <c r="P7" s="693"/>
    </row>
    <row r="8" spans="1:32">
      <c r="A8" s="690"/>
      <c r="B8" s="691" t="s">
        <v>37</v>
      </c>
      <c r="P8" s="693"/>
    </row>
    <row r="9" spans="1:32">
      <c r="B9" s="702"/>
      <c r="P9" s="693"/>
    </row>
    <row r="10" spans="1:32">
      <c r="P10" s="703"/>
    </row>
    <row r="11" spans="1:32" ht="13.5" thickBot="1">
      <c r="A11" s="704"/>
      <c r="P11" s="704"/>
      <c r="Q11" s="705"/>
    </row>
    <row r="12" spans="1:32" ht="13.5" thickBot="1">
      <c r="A12" s="706"/>
      <c r="B12" s="707"/>
      <c r="C12" s="813" t="s">
        <v>91</v>
      </c>
      <c r="D12" s="814"/>
      <c r="E12" s="814"/>
      <c r="F12" s="814"/>
      <c r="G12" s="814"/>
      <c r="H12" s="814"/>
      <c r="I12" s="814"/>
      <c r="J12" s="814"/>
      <c r="K12" s="814"/>
      <c r="L12" s="814"/>
      <c r="M12" s="815"/>
      <c r="N12" s="708"/>
      <c r="O12" s="709"/>
      <c r="P12" s="706"/>
      <c r="Q12" s="705"/>
      <c r="S12" s="707"/>
      <c r="T12" s="813" t="s">
        <v>91</v>
      </c>
      <c r="U12" s="814"/>
      <c r="V12" s="814"/>
      <c r="W12" s="814"/>
      <c r="X12" s="814"/>
      <c r="Y12" s="814"/>
      <c r="Z12" s="814"/>
      <c r="AA12" s="814"/>
      <c r="AB12" s="814"/>
      <c r="AC12" s="814"/>
      <c r="AD12" s="815"/>
      <c r="AE12" s="708"/>
      <c r="AF12" s="710"/>
    </row>
    <row r="13" spans="1:32" ht="39" thickBot="1">
      <c r="A13" s="706"/>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6"/>
      <c r="Q13" s="705"/>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6"/>
      <c r="B14" s="711"/>
      <c r="C14" s="712" t="s">
        <v>81</v>
      </c>
      <c r="D14" s="713" t="s">
        <v>87</v>
      </c>
      <c r="E14" s="713" t="s">
        <v>88</v>
      </c>
      <c r="F14" s="713" t="s">
        <v>275</v>
      </c>
      <c r="G14" s="713" t="s">
        <v>89</v>
      </c>
      <c r="H14" s="713" t="s">
        <v>82</v>
      </c>
      <c r="I14" s="714" t="s">
        <v>92</v>
      </c>
      <c r="J14" s="715" t="s">
        <v>93</v>
      </c>
      <c r="K14" s="715" t="s">
        <v>316</v>
      </c>
      <c r="L14" s="716" t="s">
        <v>194</v>
      </c>
      <c r="M14" s="715" t="s">
        <v>162</v>
      </c>
      <c r="N14" s="717"/>
      <c r="O14" s="718" t="s">
        <v>163</v>
      </c>
      <c r="P14" s="706"/>
      <c r="Q14" s="705"/>
      <c r="S14" s="711"/>
      <c r="T14" s="712" t="s">
        <v>81</v>
      </c>
      <c r="U14" s="713" t="s">
        <v>87</v>
      </c>
      <c r="V14" s="713" t="s">
        <v>88</v>
      </c>
      <c r="W14" s="713" t="s">
        <v>275</v>
      </c>
      <c r="X14" s="713" t="s">
        <v>89</v>
      </c>
      <c r="Y14" s="713" t="s">
        <v>82</v>
      </c>
      <c r="Z14" s="714" t="s">
        <v>92</v>
      </c>
      <c r="AA14" s="715" t="s">
        <v>93</v>
      </c>
      <c r="AB14" s="715" t="s">
        <v>316</v>
      </c>
      <c r="AC14" s="716" t="s">
        <v>194</v>
      </c>
      <c r="AD14" s="715" t="s">
        <v>162</v>
      </c>
      <c r="AE14" s="717"/>
      <c r="AF14" s="719" t="s">
        <v>163</v>
      </c>
    </row>
    <row r="15" spans="1:32" ht="13.5" thickBot="1">
      <c r="B15" s="720"/>
      <c r="C15" s="721" t="s">
        <v>15</v>
      </c>
      <c r="D15" s="722" t="s">
        <v>15</v>
      </c>
      <c r="E15" s="722" t="s">
        <v>15</v>
      </c>
      <c r="F15" s="722" t="s">
        <v>15</v>
      </c>
      <c r="G15" s="722" t="s">
        <v>15</v>
      </c>
      <c r="H15" s="722" t="s">
        <v>15</v>
      </c>
      <c r="I15" s="723" t="s">
        <v>15</v>
      </c>
      <c r="J15" s="723" t="s">
        <v>15</v>
      </c>
      <c r="K15" s="723" t="s">
        <v>15</v>
      </c>
      <c r="L15" s="724" t="s">
        <v>15</v>
      </c>
      <c r="M15" s="723" t="s">
        <v>15</v>
      </c>
      <c r="N15" s="717"/>
      <c r="O15" s="718" t="s">
        <v>15</v>
      </c>
      <c r="P15" s="695"/>
      <c r="Q15" s="705"/>
      <c r="S15" s="720"/>
      <c r="T15" s="721" t="s">
        <v>15</v>
      </c>
      <c r="U15" s="722" t="s">
        <v>15</v>
      </c>
      <c r="V15" s="722" t="s">
        <v>15</v>
      </c>
      <c r="W15" s="722" t="s">
        <v>15</v>
      </c>
      <c r="X15" s="722" t="s">
        <v>15</v>
      </c>
      <c r="Y15" s="722" t="s">
        <v>15</v>
      </c>
      <c r="Z15" s="723" t="s">
        <v>15</v>
      </c>
      <c r="AA15" s="723" t="s">
        <v>15</v>
      </c>
      <c r="AB15" s="723" t="s">
        <v>15</v>
      </c>
      <c r="AC15" s="724" t="s">
        <v>15</v>
      </c>
      <c r="AD15" s="723" t="s">
        <v>15</v>
      </c>
      <c r="AE15" s="717"/>
      <c r="AF15" s="719" t="s">
        <v>15</v>
      </c>
    </row>
    <row r="16" spans="1:32" ht="13.5" thickBot="1">
      <c r="B16" s="725"/>
      <c r="C16" s="726"/>
      <c r="D16" s="727"/>
      <c r="E16" s="727"/>
      <c r="F16" s="727"/>
      <c r="G16" s="727"/>
      <c r="H16" s="727"/>
      <c r="I16" s="728"/>
      <c r="J16" s="728"/>
      <c r="K16" s="729"/>
      <c r="L16" s="730"/>
      <c r="M16" s="729"/>
      <c r="N16" s="731"/>
      <c r="O16" s="732"/>
      <c r="P16" s="695"/>
      <c r="Q16" s="705"/>
      <c r="S16" s="725"/>
      <c r="T16" s="726"/>
      <c r="U16" s="727"/>
      <c r="V16" s="727"/>
      <c r="W16" s="727"/>
      <c r="X16" s="727"/>
      <c r="Y16" s="727"/>
      <c r="Z16" s="728"/>
      <c r="AA16" s="728"/>
      <c r="AB16" s="729"/>
      <c r="AC16" s="730"/>
      <c r="AD16" s="729"/>
      <c r="AE16" s="731"/>
      <c r="AF16" s="733"/>
    </row>
    <row r="17" spans="2:32">
      <c r="B17" s="734">
        <f>year</f>
        <v>2000</v>
      </c>
      <c r="C17" s="735">
        <f>IF(Select2=1,Food!$K19,"")</f>
        <v>0</v>
      </c>
      <c r="D17" s="736">
        <f>IF(Select2=1,Paper!$K19,"")</f>
        <v>0</v>
      </c>
      <c r="E17" s="736">
        <f>IF(Select2=1,Nappies!$K19,"")</f>
        <v>0</v>
      </c>
      <c r="F17" s="736">
        <f>IF(Select2=1,Garden!$K19,"")</f>
        <v>0</v>
      </c>
      <c r="G17" s="736">
        <f>IF(Select2=1,Wood!$K19,"")</f>
        <v>0</v>
      </c>
      <c r="H17" s="736">
        <f>IF(Select2=1,Textiles!$K19,"")</f>
        <v>0</v>
      </c>
      <c r="I17" s="737">
        <f>Sludge!K19</f>
        <v>0</v>
      </c>
      <c r="J17" s="738" t="str">
        <f>IF(Select2=2,MSW!$K19,"")</f>
        <v/>
      </c>
      <c r="K17" s="737">
        <f>Industry!$K19</f>
        <v>0</v>
      </c>
      <c r="L17" s="739">
        <f>SUM(C17:K17)</f>
        <v>0</v>
      </c>
      <c r="M17" s="740">
        <f>Recovery_OX!C12</f>
        <v>0</v>
      </c>
      <c r="N17" s="703"/>
      <c r="O17" s="741">
        <f>(L17-M17)*(1-Recovery_OX!F12)</f>
        <v>0</v>
      </c>
      <c r="P17" s="695"/>
      <c r="Q17" s="705"/>
      <c r="S17" s="734">
        <f>year</f>
        <v>2000</v>
      </c>
      <c r="T17" s="735">
        <f>IF(Select2=1,Food!$W19,"")</f>
        <v>0</v>
      </c>
      <c r="U17" s="736">
        <f>IF(Select2=1,Paper!$W19,"")</f>
        <v>0</v>
      </c>
      <c r="V17" s="736">
        <f>IF(Select2=1,Nappies!$W19,"")</f>
        <v>0</v>
      </c>
      <c r="W17" s="736">
        <f>IF(Select2=1,Garden!$W19,"")</f>
        <v>0</v>
      </c>
      <c r="X17" s="736">
        <f>IF(Select2=1,Wood!$W19,"")</f>
        <v>0</v>
      </c>
      <c r="Y17" s="736">
        <f>IF(Select2=1,Textiles!$W19,"")</f>
        <v>0</v>
      </c>
      <c r="Z17" s="737">
        <f>Sludge!W19</f>
        <v>0</v>
      </c>
      <c r="AA17" s="738" t="str">
        <f>IF(Select2=2,MSW!$W19,"")</f>
        <v/>
      </c>
      <c r="AB17" s="737">
        <f>Industry!$W19</f>
        <v>0</v>
      </c>
      <c r="AC17" s="739">
        <f t="shared" ref="AC17:AC48" si="0">SUM(T17:AA17)</f>
        <v>0</v>
      </c>
      <c r="AD17" s="740">
        <f>Recovery_OX!R12</f>
        <v>0</v>
      </c>
      <c r="AE17" s="703"/>
      <c r="AF17" s="742">
        <f>(AC17-AD17)*(1-Recovery_OX!U12)</f>
        <v>0</v>
      </c>
    </row>
    <row r="18" spans="2:32">
      <c r="B18" s="743">
        <f t="shared" ref="B18:B81" si="1">B17+1</f>
        <v>2001</v>
      </c>
      <c r="C18" s="744">
        <f>IF(Select2=1,Food!$K20,"")</f>
        <v>0.1062253204367071</v>
      </c>
      <c r="D18" s="745">
        <f>IF(Select2=1,Paper!$K20,"")</f>
        <v>7.1577405246502361E-4</v>
      </c>
      <c r="E18" s="736">
        <f>IF(Select2=1,Nappies!$K20,"")</f>
        <v>1.6551840025866901E-3</v>
      </c>
      <c r="F18" s="745">
        <f>IF(Select2=1,Garden!$K20,"")</f>
        <v>0</v>
      </c>
      <c r="G18" s="736">
        <f>IF(Select2=1,Wood!$K20,"")</f>
        <v>0</v>
      </c>
      <c r="H18" s="745">
        <f>IF(Select2=1,Textiles!$K20,"")</f>
        <v>1.3367186227909711E-5</v>
      </c>
      <c r="I18" s="746">
        <f>Sludge!K20</f>
        <v>0</v>
      </c>
      <c r="J18" s="746" t="str">
        <f>IF(Select2=2,MSW!$K20,"")</f>
        <v/>
      </c>
      <c r="K18" s="746">
        <f>Industry!$K20</f>
        <v>0</v>
      </c>
      <c r="L18" s="747">
        <f>SUM(C18:K18)</f>
        <v>0.10860964567798671</v>
      </c>
      <c r="M18" s="748">
        <f>Recovery_OX!C13</f>
        <v>0</v>
      </c>
      <c r="N18" s="703"/>
      <c r="O18" s="749">
        <f>(L18-M18)*(1-Recovery_OX!F13)</f>
        <v>0.10860964567798671</v>
      </c>
      <c r="P18" s="695"/>
      <c r="Q18" s="705"/>
      <c r="S18" s="743">
        <f t="shared" ref="S18:S81" si="2">S17+1</f>
        <v>2001</v>
      </c>
      <c r="T18" s="744">
        <f>IF(Select2=1,Food!$W20,"")</f>
        <v>0.21956453170051077</v>
      </c>
      <c r="U18" s="745">
        <f>IF(Select2=1,Paper!$W20,"")</f>
        <v>2.3239417287825446E-2</v>
      </c>
      <c r="V18" s="736">
        <f>IF(Select2=1,Nappies!$W20,"")</f>
        <v>0</v>
      </c>
      <c r="W18" s="745">
        <f>IF(Select2=1,Garden!$W20,"")</f>
        <v>0</v>
      </c>
      <c r="X18" s="736">
        <f>IF(Select2=1,Wood!$W20,"")</f>
        <v>0</v>
      </c>
      <c r="Y18" s="745">
        <f>IF(Select2=1,Textiles!$W20,"")</f>
        <v>8.7893827252009059E-4</v>
      </c>
      <c r="Z18" s="738">
        <f>Sludge!W20</f>
        <v>0</v>
      </c>
      <c r="AA18" s="738" t="str">
        <f>IF(Select2=2,MSW!$W20,"")</f>
        <v/>
      </c>
      <c r="AB18" s="746">
        <f>Industry!$W20</f>
        <v>0</v>
      </c>
      <c r="AC18" s="747">
        <f t="shared" si="0"/>
        <v>0.2436828872608563</v>
      </c>
      <c r="AD18" s="748">
        <f>Recovery_OX!R13</f>
        <v>0</v>
      </c>
      <c r="AE18" s="703"/>
      <c r="AF18" s="750">
        <f>(AC18-AD18)*(1-Recovery_OX!U13)</f>
        <v>0.2436828872608563</v>
      </c>
    </row>
    <row r="19" spans="2:32">
      <c r="B19" s="743">
        <f t="shared" si="1"/>
        <v>2002</v>
      </c>
      <c r="C19" s="744">
        <f>IF(Select2=1,Food!$K21,"")</f>
        <v>0.17879115100459436</v>
      </c>
      <c r="D19" s="745">
        <f>IF(Select2=1,Paper!$K21,"")</f>
        <v>1.3923272466690184E-3</v>
      </c>
      <c r="E19" s="736">
        <f>IF(Select2=1,Nappies!$K21,"")</f>
        <v>3.0728093268418658E-3</v>
      </c>
      <c r="F19" s="745">
        <f>IF(Select2=1,Garden!$K21,"")</f>
        <v>0</v>
      </c>
      <c r="G19" s="736">
        <f>IF(Select2=1,Wood!$K21,"")</f>
        <v>0</v>
      </c>
      <c r="H19" s="745">
        <f>IF(Select2=1,Textiles!$K21,"")</f>
        <v>2.6001917130583606E-5</v>
      </c>
      <c r="I19" s="746">
        <f>Sludge!K21</f>
        <v>0</v>
      </c>
      <c r="J19" s="746" t="str">
        <f>IF(Select2=2,MSW!$K21,"")</f>
        <v/>
      </c>
      <c r="K19" s="746">
        <f>Industry!$K21</f>
        <v>0</v>
      </c>
      <c r="L19" s="747">
        <f t="shared" ref="L19:L82" si="3">SUM(C19:K19)</f>
        <v>0.18328228949523584</v>
      </c>
      <c r="M19" s="748">
        <f>Recovery_OX!C14</f>
        <v>0</v>
      </c>
      <c r="N19" s="703"/>
      <c r="O19" s="749">
        <f>(L19-M19)*(1-Recovery_OX!F14)</f>
        <v>0.18328228949523584</v>
      </c>
      <c r="P19" s="695"/>
      <c r="Q19" s="705"/>
      <c r="S19" s="743">
        <f t="shared" si="2"/>
        <v>2002</v>
      </c>
      <c r="T19" s="744">
        <f>IF(Select2=1,Food!$W21,"")</f>
        <v>0.36955591361015788</v>
      </c>
      <c r="U19" s="745">
        <f>IF(Select2=1,Paper!$W21,"")</f>
        <v>4.520543008665643E-2</v>
      </c>
      <c r="V19" s="736">
        <f>IF(Select2=1,Nappies!$W21,"")</f>
        <v>0</v>
      </c>
      <c r="W19" s="745">
        <f>IF(Select2=1,Garden!$W21,"")</f>
        <v>0</v>
      </c>
      <c r="X19" s="736">
        <f>IF(Select2=1,Wood!$W21,"")</f>
        <v>0</v>
      </c>
      <c r="Y19" s="745">
        <f>IF(Select2=1,Textiles!$W21,"")</f>
        <v>1.7097150989972781E-3</v>
      </c>
      <c r="Z19" s="738">
        <f>Sludge!W21</f>
        <v>0</v>
      </c>
      <c r="AA19" s="738" t="str">
        <f>IF(Select2=2,MSW!$W21,"")</f>
        <v/>
      </c>
      <c r="AB19" s="746">
        <f>Industry!$W21</f>
        <v>0</v>
      </c>
      <c r="AC19" s="747">
        <f t="shared" si="0"/>
        <v>0.41647105879581159</v>
      </c>
      <c r="AD19" s="748">
        <f>Recovery_OX!R14</f>
        <v>0</v>
      </c>
      <c r="AE19" s="703"/>
      <c r="AF19" s="750">
        <f>(AC19-AD19)*(1-Recovery_OX!U14)</f>
        <v>0.41647105879581159</v>
      </c>
    </row>
    <row r="20" spans="2:32">
      <c r="B20" s="743">
        <f t="shared" si="1"/>
        <v>2003</v>
      </c>
      <c r="C20" s="744">
        <f>IF(Select2=1,Food!$K22,"")</f>
        <v>0.22985782332949703</v>
      </c>
      <c r="D20" s="745">
        <f>IF(Select2=1,Paper!$K22,"")</f>
        <v>2.0394771118506707E-3</v>
      </c>
      <c r="E20" s="736">
        <f>IF(Select2=1,Nappies!$K22,"")</f>
        <v>4.3065855920481457E-3</v>
      </c>
      <c r="F20" s="745">
        <f>IF(Select2=1,Garden!$K22,"")</f>
        <v>0</v>
      </c>
      <c r="G20" s="736">
        <f>IF(Select2=1,Wood!$K22,"")</f>
        <v>0</v>
      </c>
      <c r="H20" s="745">
        <f>IF(Select2=1,Textiles!$K22,"")</f>
        <v>3.8087536517677158E-5</v>
      </c>
      <c r="I20" s="746">
        <f>Sludge!K22</f>
        <v>0</v>
      </c>
      <c r="J20" s="746" t="str">
        <f>IF(Select2=2,MSW!$K22,"")</f>
        <v/>
      </c>
      <c r="K20" s="746">
        <f>Industry!$K22</f>
        <v>0</v>
      </c>
      <c r="L20" s="747">
        <f t="shared" si="3"/>
        <v>0.23624197356991353</v>
      </c>
      <c r="M20" s="748">
        <f>Recovery_OX!C15</f>
        <v>0</v>
      </c>
      <c r="N20" s="703"/>
      <c r="O20" s="749">
        <f>(L20-M20)*(1-Recovery_OX!F15)</f>
        <v>0.23624197356991353</v>
      </c>
      <c r="P20" s="695"/>
      <c r="Q20" s="705"/>
      <c r="S20" s="743">
        <f t="shared" si="2"/>
        <v>2003</v>
      </c>
      <c r="T20" s="744">
        <f>IF(Select2=1,Food!$W22,"")</f>
        <v>0.47510918422798065</v>
      </c>
      <c r="U20" s="745">
        <f>IF(Select2=1,Paper!$W22,"")</f>
        <v>6.6216789345800997E-2</v>
      </c>
      <c r="V20" s="736">
        <f>IF(Select2=1,Nappies!$W22,"")</f>
        <v>0</v>
      </c>
      <c r="W20" s="745">
        <f>IF(Select2=1,Garden!$W22,"")</f>
        <v>0</v>
      </c>
      <c r="X20" s="736">
        <f>IF(Select2=1,Wood!$W22,"")</f>
        <v>0</v>
      </c>
      <c r="Y20" s="745">
        <f>IF(Select2=1,Textiles!$W22,"")</f>
        <v>2.5043859628061695E-3</v>
      </c>
      <c r="Z20" s="738">
        <f>Sludge!W22</f>
        <v>0</v>
      </c>
      <c r="AA20" s="738" t="str">
        <f>IF(Select2=2,MSW!$W22,"")</f>
        <v/>
      </c>
      <c r="AB20" s="746">
        <f>Industry!$W22</f>
        <v>0</v>
      </c>
      <c r="AC20" s="747">
        <f t="shared" si="0"/>
        <v>0.54383035953658787</v>
      </c>
      <c r="AD20" s="748">
        <f>Recovery_OX!R15</f>
        <v>0</v>
      </c>
      <c r="AE20" s="703"/>
      <c r="AF20" s="750">
        <f>(AC20-AD20)*(1-Recovery_OX!U15)</f>
        <v>0.54383035953658787</v>
      </c>
    </row>
    <row r="21" spans="2:32">
      <c r="B21" s="743">
        <f t="shared" si="1"/>
        <v>2004</v>
      </c>
      <c r="C21" s="744">
        <f>IF(Select2=1,Food!$K23,"")</f>
        <v>0.2660442379071758</v>
      </c>
      <c r="D21" s="745">
        <f>IF(Select2=1,Paper!$K23,"")</f>
        <v>2.6560516473649121E-3</v>
      </c>
      <c r="E21" s="736">
        <f>IF(Select2=1,Nappies!$K23,"")</f>
        <v>5.3779479194595893E-3</v>
      </c>
      <c r="F21" s="745">
        <f>IF(Select2=1,Garden!$K23,"")</f>
        <v>0</v>
      </c>
      <c r="G21" s="736">
        <f>IF(Select2=1,Wood!$K23,"")</f>
        <v>0</v>
      </c>
      <c r="H21" s="745">
        <f>IF(Select2=1,Textiles!$K23,"")</f>
        <v>4.9602157103911014E-5</v>
      </c>
      <c r="I21" s="746">
        <f>Sludge!K23</f>
        <v>0</v>
      </c>
      <c r="J21" s="746" t="str">
        <f>IF(Select2=2,MSW!$K23,"")</f>
        <v/>
      </c>
      <c r="K21" s="746">
        <f>Industry!$K23</f>
        <v>0</v>
      </c>
      <c r="L21" s="747">
        <f t="shared" si="3"/>
        <v>0.27412783963110426</v>
      </c>
      <c r="M21" s="748">
        <f>Recovery_OX!C16</f>
        <v>0</v>
      </c>
      <c r="N21" s="703"/>
      <c r="O21" s="749">
        <f>(L21-M21)*(1-Recovery_OX!F16)</f>
        <v>0.27412783963110426</v>
      </c>
      <c r="P21" s="695"/>
      <c r="Q21" s="705"/>
      <c r="S21" s="743">
        <f t="shared" si="2"/>
        <v>2004</v>
      </c>
      <c r="T21" s="744">
        <f>IF(Select2=1,Food!$W23,"")</f>
        <v>0.5499054111351297</v>
      </c>
      <c r="U21" s="745">
        <f>IF(Select2=1,Paper!$W23,"")</f>
        <v>8.6235443096263381E-2</v>
      </c>
      <c r="V21" s="736">
        <f>IF(Select2=1,Nappies!$W23,"")</f>
        <v>0</v>
      </c>
      <c r="W21" s="745">
        <f>IF(Select2=1,Garden!$W23,"")</f>
        <v>0</v>
      </c>
      <c r="X21" s="736">
        <f>IF(Select2=1,Wood!$W23,"")</f>
        <v>0</v>
      </c>
      <c r="Y21" s="745">
        <f>IF(Select2=1,Textiles!$W23,"")</f>
        <v>3.2615116999831898E-3</v>
      </c>
      <c r="Z21" s="738">
        <f>Sludge!W23</f>
        <v>0</v>
      </c>
      <c r="AA21" s="738" t="str">
        <f>IF(Select2=2,MSW!$W23,"")</f>
        <v/>
      </c>
      <c r="AB21" s="746">
        <f>Industry!$W23</f>
        <v>0</v>
      </c>
      <c r="AC21" s="747">
        <f t="shared" si="0"/>
        <v>0.63940236593137634</v>
      </c>
      <c r="AD21" s="748">
        <f>Recovery_OX!R16</f>
        <v>0</v>
      </c>
      <c r="AE21" s="703"/>
      <c r="AF21" s="750">
        <f>(AC21-AD21)*(1-Recovery_OX!U16)</f>
        <v>0.63940236593137634</v>
      </c>
    </row>
    <row r="22" spans="2:32">
      <c r="B22" s="743">
        <f t="shared" si="1"/>
        <v>2005</v>
      </c>
      <c r="C22" s="744">
        <f>IF(Select2=1,Food!$K24,"")</f>
        <v>0.29089968729526194</v>
      </c>
      <c r="D22" s="745">
        <f>IF(Select2=1,Paper!$K24,"")</f>
        <v>3.2349779526878323E-3</v>
      </c>
      <c r="E22" s="736">
        <f>IF(Select2=1,Nappies!$K24,"")</f>
        <v>6.2911516693780487E-3</v>
      </c>
      <c r="F22" s="745">
        <f>IF(Select2=1,Garden!$K24,"")</f>
        <v>0</v>
      </c>
      <c r="G22" s="736">
        <f>IF(Select2=1,Wood!$K24,"")</f>
        <v>0</v>
      </c>
      <c r="H22" s="745">
        <f>IF(Select2=1,Textiles!$K24,"")</f>
        <v>6.0413691426560042E-5</v>
      </c>
      <c r="I22" s="746">
        <f>Sludge!K24</f>
        <v>0</v>
      </c>
      <c r="J22" s="746" t="str">
        <f>IF(Select2=2,MSW!$K24,"")</f>
        <v/>
      </c>
      <c r="K22" s="746">
        <f>Industry!$K24</f>
        <v>0</v>
      </c>
      <c r="L22" s="747">
        <f t="shared" si="3"/>
        <v>0.3004862306087544</v>
      </c>
      <c r="M22" s="748">
        <f>Recovery_OX!C17</f>
        <v>0</v>
      </c>
      <c r="N22" s="703"/>
      <c r="O22" s="749">
        <f>(L22-M22)*(1-Recovery_OX!F17)</f>
        <v>0.3004862306087544</v>
      </c>
      <c r="P22" s="695"/>
      <c r="Q22" s="705"/>
      <c r="S22" s="743">
        <f t="shared" si="2"/>
        <v>2005</v>
      </c>
      <c r="T22" s="744">
        <f>IF(Select2=1,Food!$W24,"")</f>
        <v>0.60128087493853244</v>
      </c>
      <c r="U22" s="745">
        <f>IF(Select2=1,Paper!$W24,"")</f>
        <v>0.1050317517106439</v>
      </c>
      <c r="V22" s="736">
        <f>IF(Select2=1,Nappies!$W24,"")</f>
        <v>0</v>
      </c>
      <c r="W22" s="745">
        <f>IF(Select2=1,Garden!$W24,"")</f>
        <v>0</v>
      </c>
      <c r="X22" s="736">
        <f>IF(Select2=1,Wood!$W24,"")</f>
        <v>0</v>
      </c>
      <c r="Y22" s="745">
        <f>IF(Select2=1,Textiles!$W24,"")</f>
        <v>3.9724071074998387E-3</v>
      </c>
      <c r="Z22" s="738">
        <f>Sludge!W24</f>
        <v>0</v>
      </c>
      <c r="AA22" s="738" t="str">
        <f>IF(Select2=2,MSW!$W24,"")</f>
        <v/>
      </c>
      <c r="AB22" s="746">
        <f>Industry!$W24</f>
        <v>0</v>
      </c>
      <c r="AC22" s="747">
        <f t="shared" si="0"/>
        <v>0.71028503375667618</v>
      </c>
      <c r="AD22" s="748">
        <f>Recovery_OX!R17</f>
        <v>0</v>
      </c>
      <c r="AE22" s="703"/>
      <c r="AF22" s="750">
        <f>(AC22-AD22)*(1-Recovery_OX!U17)</f>
        <v>0.71028503375667618</v>
      </c>
    </row>
    <row r="23" spans="2:32">
      <c r="B23" s="743">
        <f t="shared" si="1"/>
        <v>2006</v>
      </c>
      <c r="C23" s="744">
        <f>IF(Select2=1,Food!$K25,"")</f>
        <v>0.31968041163935912</v>
      </c>
      <c r="D23" s="745">
        <f>IF(Select2=1,Paper!$K25,"")</f>
        <v>3.8564304272488939E-3</v>
      </c>
      <c r="E23" s="736">
        <f>IF(Select2=1,Nappies!$K25,"")</f>
        <v>7.2504352759646378E-3</v>
      </c>
      <c r="F23" s="745">
        <f>IF(Select2=1,Garden!$K25,"")</f>
        <v>0</v>
      </c>
      <c r="G23" s="736">
        <f>IF(Select2=1,Wood!$K25,"")</f>
        <v>0</v>
      </c>
      <c r="H23" s="745">
        <f>IF(Select2=1,Textiles!$K25,"")</f>
        <v>7.2019408245498458E-5</v>
      </c>
      <c r="I23" s="746">
        <f>Sludge!K25</f>
        <v>0</v>
      </c>
      <c r="J23" s="746" t="str">
        <f>IF(Select2=2,MSW!$K25,"")</f>
        <v/>
      </c>
      <c r="K23" s="746">
        <f>Industry!$K25</f>
        <v>0</v>
      </c>
      <c r="L23" s="747">
        <f t="shared" si="3"/>
        <v>0.3308592967508181</v>
      </c>
      <c r="M23" s="748">
        <f>Recovery_OX!C18</f>
        <v>0</v>
      </c>
      <c r="N23" s="703"/>
      <c r="O23" s="749">
        <f>(L23-M23)*(1-Recovery_OX!F18)</f>
        <v>0.3308592967508181</v>
      </c>
      <c r="P23" s="695"/>
      <c r="Q23" s="705"/>
      <c r="S23" s="743">
        <f t="shared" si="2"/>
        <v>2006</v>
      </c>
      <c r="T23" s="744">
        <f>IF(Select2=1,Food!$W25,"")</f>
        <v>0.6607697636200065</v>
      </c>
      <c r="U23" s="745">
        <f>IF(Select2=1,Paper!$W25,"")</f>
        <v>0.12520878010548356</v>
      </c>
      <c r="V23" s="736">
        <f>IF(Select2=1,Nappies!$W25,"")</f>
        <v>0</v>
      </c>
      <c r="W23" s="745">
        <f>IF(Select2=1,Garden!$W25,"")</f>
        <v>0</v>
      </c>
      <c r="X23" s="736">
        <f>IF(Select2=1,Wood!$W25,"")</f>
        <v>0</v>
      </c>
      <c r="Y23" s="745">
        <f>IF(Select2=1,Textiles!$W25,"")</f>
        <v>4.7355227339505842E-3</v>
      </c>
      <c r="Z23" s="738">
        <f>Sludge!W25</f>
        <v>0</v>
      </c>
      <c r="AA23" s="738" t="str">
        <f>IF(Select2=2,MSW!$W25,"")</f>
        <v/>
      </c>
      <c r="AB23" s="746">
        <f>Industry!$W25</f>
        <v>0</v>
      </c>
      <c r="AC23" s="747">
        <f t="shared" si="0"/>
        <v>0.79071406645944065</v>
      </c>
      <c r="AD23" s="748">
        <f>Recovery_OX!R18</f>
        <v>0</v>
      </c>
      <c r="AE23" s="703"/>
      <c r="AF23" s="750">
        <f>(AC23-AD23)*(1-Recovery_OX!U18)</f>
        <v>0.79071406645944065</v>
      </c>
    </row>
    <row r="24" spans="2:32">
      <c r="B24" s="743">
        <f t="shared" si="1"/>
        <v>2007</v>
      </c>
      <c r="C24" s="744">
        <f>IF(Select2=1,Food!$K26,"")</f>
        <v>0.34153752296346596</v>
      </c>
      <c r="D24" s="745">
        <f>IF(Select2=1,Paper!$K26,"")</f>
        <v>4.4531512686793893E-3</v>
      </c>
      <c r="E24" s="736">
        <f>IF(Select2=1,Nappies!$K26,"")</f>
        <v>8.0997135917604338E-3</v>
      </c>
      <c r="F24" s="745">
        <f>IF(Select2=1,Garden!$K26,"")</f>
        <v>0</v>
      </c>
      <c r="G24" s="736">
        <f>IF(Select2=1,Wood!$K26,"")</f>
        <v>0</v>
      </c>
      <c r="H24" s="745">
        <f>IF(Select2=1,Textiles!$K26,"")</f>
        <v>8.3163258160155989E-5</v>
      </c>
      <c r="I24" s="746">
        <f>Sludge!K26</f>
        <v>0</v>
      </c>
      <c r="J24" s="746" t="str">
        <f>IF(Select2=2,MSW!$K26,"")</f>
        <v/>
      </c>
      <c r="K24" s="746">
        <f>Industry!$K26</f>
        <v>0</v>
      </c>
      <c r="L24" s="747">
        <f t="shared" si="3"/>
        <v>0.35417355108206594</v>
      </c>
      <c r="M24" s="748">
        <f>Recovery_OX!C19</f>
        <v>0</v>
      </c>
      <c r="N24" s="703"/>
      <c r="O24" s="749">
        <f>(L24-M24)*(1-Recovery_OX!F19)</f>
        <v>0.35417355108206594</v>
      </c>
      <c r="P24" s="695"/>
      <c r="Q24" s="705"/>
      <c r="S24" s="743">
        <f t="shared" si="2"/>
        <v>2007</v>
      </c>
      <c r="T24" s="744">
        <f>IF(Select2=1,Food!$W26,"")</f>
        <v>0.7059477531282885</v>
      </c>
      <c r="U24" s="745">
        <f>IF(Select2=1,Paper!$W26,"")</f>
        <v>0.14458283339868147</v>
      </c>
      <c r="V24" s="736">
        <f>IF(Select2=1,Nappies!$W26,"")</f>
        <v>0</v>
      </c>
      <c r="W24" s="745">
        <f>IF(Select2=1,Garden!$W26,"")</f>
        <v>0</v>
      </c>
      <c r="X24" s="736">
        <f>IF(Select2=1,Wood!$W26,"")</f>
        <v>0</v>
      </c>
      <c r="Y24" s="745">
        <f>IF(Select2=1,Textiles!$W26,"")</f>
        <v>5.468269029708886E-3</v>
      </c>
      <c r="Z24" s="738">
        <f>Sludge!W26</f>
        <v>0</v>
      </c>
      <c r="AA24" s="738" t="str">
        <f>IF(Select2=2,MSW!$W26,"")</f>
        <v/>
      </c>
      <c r="AB24" s="746">
        <f>Industry!$W26</f>
        <v>0</v>
      </c>
      <c r="AC24" s="747">
        <f t="shared" si="0"/>
        <v>0.85599885555667887</v>
      </c>
      <c r="AD24" s="748">
        <f>Recovery_OX!R19</f>
        <v>0</v>
      </c>
      <c r="AE24" s="703"/>
      <c r="AF24" s="750">
        <f>(AC24-AD24)*(1-Recovery_OX!U19)</f>
        <v>0.85599885555667887</v>
      </c>
    </row>
    <row r="25" spans="2:32">
      <c r="B25" s="743">
        <f t="shared" si="1"/>
        <v>2008</v>
      </c>
      <c r="C25" s="744">
        <f>IF(Select2=1,Food!$K27,"")</f>
        <v>0.35875150886520835</v>
      </c>
      <c r="D25" s="745">
        <f>IF(Select2=1,Paper!$K27,"")</f>
        <v>5.0267984131786569E-3</v>
      </c>
      <c r="E25" s="736">
        <f>IF(Select2=1,Nappies!$K27,"")</f>
        <v>8.8561517663923485E-3</v>
      </c>
      <c r="F25" s="745">
        <f>IF(Select2=1,Garden!$K27,"")</f>
        <v>0</v>
      </c>
      <c r="G25" s="736">
        <f>IF(Select2=1,Wood!$K27,"")</f>
        <v>0</v>
      </c>
      <c r="H25" s="745">
        <f>IF(Select2=1,Textiles!$K27,"")</f>
        <v>9.3876203374113754E-5</v>
      </c>
      <c r="I25" s="746">
        <f>Sludge!K27</f>
        <v>0</v>
      </c>
      <c r="J25" s="746" t="str">
        <f>IF(Select2=2,MSW!$K27,"")</f>
        <v/>
      </c>
      <c r="K25" s="746">
        <f>Industry!$K27</f>
        <v>0</v>
      </c>
      <c r="L25" s="747">
        <f t="shared" si="3"/>
        <v>0.37272833524815346</v>
      </c>
      <c r="M25" s="748">
        <f>Recovery_OX!C20</f>
        <v>0</v>
      </c>
      <c r="N25" s="703"/>
      <c r="O25" s="749">
        <f>(L25-M25)*(1-Recovery_OX!F20)</f>
        <v>0.37272833524815346</v>
      </c>
      <c r="P25" s="695"/>
      <c r="Q25" s="705"/>
      <c r="S25" s="743">
        <f t="shared" si="2"/>
        <v>2008</v>
      </c>
      <c r="T25" s="744">
        <f>IF(Select2=1,Food!$W27,"")</f>
        <v>0.74152854250766531</v>
      </c>
      <c r="U25" s="745">
        <f>IF(Select2=1,Paper!$W27,"")</f>
        <v>0.1632077406876187</v>
      </c>
      <c r="V25" s="736">
        <f>IF(Select2=1,Nappies!$W27,"")</f>
        <v>0</v>
      </c>
      <c r="W25" s="745">
        <f>IF(Select2=1,Garden!$W27,"")</f>
        <v>0</v>
      </c>
      <c r="X25" s="736">
        <f>IF(Select2=1,Wood!$W27,"")</f>
        <v>0</v>
      </c>
      <c r="Y25" s="745">
        <f>IF(Select2=1,Textiles!$W27,"")</f>
        <v>6.1726818656951512E-3</v>
      </c>
      <c r="Z25" s="738">
        <f>Sludge!W27</f>
        <v>0</v>
      </c>
      <c r="AA25" s="738" t="str">
        <f>IF(Select2=2,MSW!$W27,"")</f>
        <v/>
      </c>
      <c r="AB25" s="746">
        <f>Industry!$W27</f>
        <v>0</v>
      </c>
      <c r="AC25" s="747">
        <f t="shared" si="0"/>
        <v>0.91090896506097918</v>
      </c>
      <c r="AD25" s="748">
        <f>Recovery_OX!R20</f>
        <v>0</v>
      </c>
      <c r="AE25" s="703"/>
      <c r="AF25" s="750">
        <f>(AC25-AD25)*(1-Recovery_OX!U20)</f>
        <v>0.91090896506097918</v>
      </c>
    </row>
    <row r="26" spans="2:32">
      <c r="B26" s="743">
        <f t="shared" si="1"/>
        <v>2009</v>
      </c>
      <c r="C26" s="744">
        <f>IF(Select2=1,Food!$K28,"")</f>
        <v>0.37283535971547432</v>
      </c>
      <c r="D26" s="745">
        <f>IF(Select2=1,Paper!$K28,"")</f>
        <v>5.5788121473819424E-3</v>
      </c>
      <c r="E26" s="736">
        <f>IF(Select2=1,Nappies!$K28,"")</f>
        <v>9.5339873250404484E-3</v>
      </c>
      <c r="F26" s="745">
        <f>IF(Select2=1,Garden!$K28,"")</f>
        <v>0</v>
      </c>
      <c r="G26" s="736">
        <f>IF(Select2=1,Wood!$K28,"")</f>
        <v>0</v>
      </c>
      <c r="H26" s="745">
        <f>IF(Select2=1,Textiles!$K28,"")</f>
        <v>1.041851414531729E-4</v>
      </c>
      <c r="I26" s="746">
        <f>Sludge!K28</f>
        <v>0</v>
      </c>
      <c r="J26" s="746" t="str">
        <f>IF(Select2=2,MSW!$K28,"")</f>
        <v/>
      </c>
      <c r="K26" s="746">
        <f>Industry!$K28</f>
        <v>0</v>
      </c>
      <c r="L26" s="747">
        <f t="shared" si="3"/>
        <v>0.38805234432934987</v>
      </c>
      <c r="M26" s="748">
        <f>Recovery_OX!C21</f>
        <v>0</v>
      </c>
      <c r="N26" s="703"/>
      <c r="O26" s="749">
        <f>(L26-M26)*(1-Recovery_OX!F21)</f>
        <v>0.38805234432934987</v>
      </c>
      <c r="P26" s="695"/>
      <c r="Q26" s="705"/>
      <c r="S26" s="743">
        <f t="shared" si="2"/>
        <v>2009</v>
      </c>
      <c r="T26" s="744">
        <f>IF(Select2=1,Food!$W28,"")</f>
        <v>0.77063943719610251</v>
      </c>
      <c r="U26" s="745">
        <f>IF(Select2=1,Paper!$W28,"")</f>
        <v>0.18113026452538772</v>
      </c>
      <c r="V26" s="736">
        <f>IF(Select2=1,Nappies!$W28,"")</f>
        <v>0</v>
      </c>
      <c r="W26" s="745">
        <f>IF(Select2=1,Garden!$W28,"")</f>
        <v>0</v>
      </c>
      <c r="X26" s="736">
        <f>IF(Select2=1,Wood!$W28,"")</f>
        <v>0</v>
      </c>
      <c r="Y26" s="745">
        <f>IF(Select2=1,Textiles!$W28,"")</f>
        <v>6.8505298489757518E-3</v>
      </c>
      <c r="Z26" s="738">
        <f>Sludge!W28</f>
        <v>0</v>
      </c>
      <c r="AA26" s="738" t="str">
        <f>IF(Select2=2,MSW!$W28,"")</f>
        <v/>
      </c>
      <c r="AB26" s="746">
        <f>Industry!$W28</f>
        <v>0</v>
      </c>
      <c r="AC26" s="747">
        <f t="shared" si="0"/>
        <v>0.95862023157046594</v>
      </c>
      <c r="AD26" s="748">
        <f>Recovery_OX!R21</f>
        <v>0</v>
      </c>
      <c r="AE26" s="703"/>
      <c r="AF26" s="750">
        <f>(AC26-AD26)*(1-Recovery_OX!U21)</f>
        <v>0.95862023157046594</v>
      </c>
    </row>
    <row r="27" spans="2:32">
      <c r="B27" s="743">
        <f t="shared" si="1"/>
        <v>2010</v>
      </c>
      <c r="C27" s="744">
        <f>IF(Select2=1,Food!$K29,"")</f>
        <v>0.38478446387268495</v>
      </c>
      <c r="D27" s="745">
        <f>IF(Select2=1,Paper!$K29,"")</f>
        <v>6.1104087102498679E-3</v>
      </c>
      <c r="E27" s="736">
        <f>IF(Select2=1,Nappies!$K29,"")</f>
        <v>1.0144939037616443E-2</v>
      </c>
      <c r="F27" s="745">
        <f>IF(Select2=1,Garden!$K29,"")</f>
        <v>0</v>
      </c>
      <c r="G27" s="736">
        <f>IF(Select2=1,Wood!$K29,"")</f>
        <v>0</v>
      </c>
      <c r="H27" s="745">
        <f>IF(Select2=1,Textiles!$K29,"")</f>
        <v>1.1411278583969462E-4</v>
      </c>
      <c r="I27" s="746">
        <f>Sludge!K29</f>
        <v>0</v>
      </c>
      <c r="J27" s="746" t="str">
        <f>IF(Select2=2,MSW!$K29,"")</f>
        <v/>
      </c>
      <c r="K27" s="746">
        <f>Industry!$K29</f>
        <v>0</v>
      </c>
      <c r="L27" s="747">
        <f t="shared" si="3"/>
        <v>0.40115392440639092</v>
      </c>
      <c r="M27" s="748">
        <f>Recovery_OX!C22</f>
        <v>0</v>
      </c>
      <c r="N27" s="703"/>
      <c r="O27" s="749">
        <f>(L27-M27)*(1-Recovery_OX!F22)</f>
        <v>0.40115392440639092</v>
      </c>
      <c r="P27" s="695"/>
      <c r="Q27" s="705"/>
      <c r="S27" s="743">
        <f t="shared" si="2"/>
        <v>2010</v>
      </c>
      <c r="T27" s="744">
        <f>IF(Select2=1,Food!$W29,"")</f>
        <v>0.79533787489186614</v>
      </c>
      <c r="U27" s="745">
        <f>IF(Select2=1,Paper!$W29,"")</f>
        <v>0.19838989318993078</v>
      </c>
      <c r="V27" s="736">
        <f>IF(Select2=1,Nappies!$W29,"")</f>
        <v>0</v>
      </c>
      <c r="W27" s="745">
        <f>IF(Select2=1,Garden!$W29,"")</f>
        <v>0</v>
      </c>
      <c r="X27" s="736">
        <f>IF(Select2=1,Wood!$W29,"")</f>
        <v>0</v>
      </c>
      <c r="Y27" s="745">
        <f>IF(Select2=1,Textiles!$W29,"")</f>
        <v>7.5033064661717015E-3</v>
      </c>
      <c r="Z27" s="738">
        <f>Sludge!W29</f>
        <v>0</v>
      </c>
      <c r="AA27" s="738" t="str">
        <f>IF(Select2=2,MSW!$W29,"")</f>
        <v/>
      </c>
      <c r="AB27" s="746">
        <f>Industry!$W29</f>
        <v>0</v>
      </c>
      <c r="AC27" s="747">
        <f t="shared" si="0"/>
        <v>1.0012310745479687</v>
      </c>
      <c r="AD27" s="748">
        <f>Recovery_OX!R22</f>
        <v>0</v>
      </c>
      <c r="AE27" s="703"/>
      <c r="AF27" s="750">
        <f>(AC27-AD27)*(1-Recovery_OX!U22)</f>
        <v>1.0012310745479687</v>
      </c>
    </row>
    <row r="28" spans="2:32">
      <c r="B28" s="743">
        <f t="shared" si="1"/>
        <v>2011</v>
      </c>
      <c r="C28" s="744">
        <f>IF(Select2=1,Food!$K30,"")</f>
        <v>0.4035142941595431</v>
      </c>
      <c r="D28" s="745">
        <f>IF(Select2=1,Paper!$K30,"")</f>
        <v>6.6783009458955796E-3</v>
      </c>
      <c r="E28" s="736">
        <f>IF(Select2=1,Nappies!$K30,"")</f>
        <v>1.0827416286114649E-2</v>
      </c>
      <c r="F28" s="745">
        <f>IF(Select2=1,Garden!$K30,"")</f>
        <v>0</v>
      </c>
      <c r="G28" s="736">
        <f>IF(Select2=1,Wood!$K30,"")</f>
        <v>0</v>
      </c>
      <c r="H28" s="745">
        <f>IF(Select2=1,Textiles!$K30,"")</f>
        <v>1.2471825728018268E-4</v>
      </c>
      <c r="I28" s="746">
        <f>Sludge!K30</f>
        <v>0</v>
      </c>
      <c r="J28" s="746" t="str">
        <f>IF(Select2=2,MSW!$K30,"")</f>
        <v/>
      </c>
      <c r="K28" s="746">
        <f>Industry!$K30</f>
        <v>0</v>
      </c>
      <c r="L28" s="747">
        <f t="shared" si="3"/>
        <v>0.42114472964883348</v>
      </c>
      <c r="M28" s="748">
        <f>Recovery_OX!C23</f>
        <v>0</v>
      </c>
      <c r="N28" s="703"/>
      <c r="O28" s="749">
        <f>(L28-M28)*(1-Recovery_OX!F23)</f>
        <v>0.42114472964883348</v>
      </c>
      <c r="P28" s="695"/>
      <c r="Q28" s="705"/>
      <c r="S28" s="743">
        <f t="shared" si="2"/>
        <v>2011</v>
      </c>
      <c r="T28" s="744">
        <f>IF(Select2=1,Food!$W30,"")</f>
        <v>0.8340518688704901</v>
      </c>
      <c r="U28" s="745">
        <f>IF(Select2=1,Paper!$W30,"")</f>
        <v>0.21682795278881753</v>
      </c>
      <c r="V28" s="736">
        <f>IF(Select2=1,Nappies!$W30,"")</f>
        <v>0</v>
      </c>
      <c r="W28" s="745">
        <f>IF(Select2=1,Garden!$W30,"")</f>
        <v>0</v>
      </c>
      <c r="X28" s="736">
        <f>IF(Select2=1,Wood!$W30,"")</f>
        <v>0</v>
      </c>
      <c r="Y28" s="745">
        <f>IF(Select2=1,Textiles!$W30,"")</f>
        <v>8.2006525334914638E-3</v>
      </c>
      <c r="Z28" s="738">
        <f>Sludge!W30</f>
        <v>0</v>
      </c>
      <c r="AA28" s="738" t="str">
        <f>IF(Select2=2,MSW!$W30,"")</f>
        <v/>
      </c>
      <c r="AB28" s="746">
        <f>Industry!$W30</f>
        <v>0</v>
      </c>
      <c r="AC28" s="747">
        <f t="shared" si="0"/>
        <v>1.059080474192799</v>
      </c>
      <c r="AD28" s="748">
        <f>Recovery_OX!R23</f>
        <v>0</v>
      </c>
      <c r="AE28" s="703"/>
      <c r="AF28" s="750">
        <f>(AC28-AD28)*(1-Recovery_OX!U23)</f>
        <v>1.059080474192799</v>
      </c>
    </row>
    <row r="29" spans="2:32">
      <c r="B29" s="743">
        <f t="shared" si="1"/>
        <v>2012</v>
      </c>
      <c r="C29" s="744">
        <f>IF(Select2=1,Food!$K31,"")</f>
        <v>0.27048372023706346</v>
      </c>
      <c r="D29" s="745">
        <f>IF(Select2=1,Paper!$K31,"")</f>
        <v>6.2268065294250885E-3</v>
      </c>
      <c r="E29" s="736">
        <f>IF(Select2=1,Nappies!$K31,"")</f>
        <v>9.1347101752376134E-3</v>
      </c>
      <c r="F29" s="745">
        <f>IF(Select2=1,Garden!$K31,"")</f>
        <v>0</v>
      </c>
      <c r="G29" s="736">
        <f>IF(Select2=1,Wood!$K31,"")</f>
        <v>0</v>
      </c>
      <c r="H29" s="745">
        <f>IF(Select2=1,Textiles!$K31,"")</f>
        <v>1.1628653231748237E-4</v>
      </c>
      <c r="I29" s="746">
        <f>Sludge!K31</f>
        <v>0</v>
      </c>
      <c r="J29" s="746" t="str">
        <f>IF(Select2=2,MSW!$K31,"")</f>
        <v/>
      </c>
      <c r="K29" s="746">
        <f>Industry!$K31</f>
        <v>0</v>
      </c>
      <c r="L29" s="747">
        <f>SUM(C29:K29)</f>
        <v>0.28596152347404363</v>
      </c>
      <c r="M29" s="748">
        <f>Recovery_OX!C24</f>
        <v>0</v>
      </c>
      <c r="N29" s="703"/>
      <c r="O29" s="749">
        <f>(L29-M29)*(1-Recovery_OX!F24)</f>
        <v>0.28596152347404363</v>
      </c>
      <c r="P29" s="695"/>
      <c r="Q29" s="705"/>
      <c r="S29" s="743">
        <f t="shared" si="2"/>
        <v>2012</v>
      </c>
      <c r="T29" s="744">
        <f>IF(Select2=1,Food!$W31,"")</f>
        <v>0.55908168713737794</v>
      </c>
      <c r="U29" s="745">
        <f>IF(Select2=1,Paper!$W31,"")</f>
        <v>0.20216904316315221</v>
      </c>
      <c r="V29" s="736">
        <f>IF(Select2=1,Nappies!$W31,"")</f>
        <v>0</v>
      </c>
      <c r="W29" s="745">
        <f>IF(Select2=1,Garden!$W31,"")</f>
        <v>0</v>
      </c>
      <c r="X29" s="736">
        <f>IF(Select2=1,Wood!$W31,"")</f>
        <v>0</v>
      </c>
      <c r="Y29" s="745">
        <f>IF(Select2=1,Textiles!$W31,"")</f>
        <v>7.6462377414234992E-3</v>
      </c>
      <c r="Z29" s="738">
        <f>Sludge!W31</f>
        <v>0</v>
      </c>
      <c r="AA29" s="738" t="str">
        <f>IF(Select2=2,MSW!$W31,"")</f>
        <v/>
      </c>
      <c r="AB29" s="746">
        <f>Industry!$W31</f>
        <v>0</v>
      </c>
      <c r="AC29" s="747">
        <f t="shared" si="0"/>
        <v>0.76889696804195362</v>
      </c>
      <c r="AD29" s="748">
        <f>Recovery_OX!R24</f>
        <v>0</v>
      </c>
      <c r="AE29" s="703"/>
      <c r="AF29" s="750">
        <f>(AC29-AD29)*(1-Recovery_OX!U24)</f>
        <v>0.76889696804195362</v>
      </c>
    </row>
    <row r="30" spans="2:32">
      <c r="B30" s="743">
        <f t="shared" si="1"/>
        <v>2013</v>
      </c>
      <c r="C30" s="744">
        <f>IF(Select2=1,Food!$K32,"")</f>
        <v>0.18131065980119937</v>
      </c>
      <c r="D30" s="745">
        <f>IF(Select2=1,Paper!$K32,"")</f>
        <v>5.805835925785958E-3</v>
      </c>
      <c r="E30" s="736">
        <f>IF(Select2=1,Nappies!$K32,"")</f>
        <v>7.7066335846529624E-3</v>
      </c>
      <c r="F30" s="745">
        <f>IF(Select2=1,Garden!$K32,"")</f>
        <v>0</v>
      </c>
      <c r="G30" s="736">
        <f>IF(Select2=1,Wood!$K32,"")</f>
        <v>0</v>
      </c>
      <c r="H30" s="745">
        <f>IF(Select2=1,Textiles!$K32,"")</f>
        <v>1.0842484407111388E-4</v>
      </c>
      <c r="I30" s="746">
        <f>Sludge!K32</f>
        <v>0</v>
      </c>
      <c r="J30" s="746" t="str">
        <f>IF(Select2=2,MSW!$K32,"")</f>
        <v/>
      </c>
      <c r="K30" s="746">
        <f>Industry!$K32</f>
        <v>0</v>
      </c>
      <c r="L30" s="747">
        <f t="shared" si="3"/>
        <v>0.1949315541557094</v>
      </c>
      <c r="M30" s="748">
        <f>Recovery_OX!C25</f>
        <v>0</v>
      </c>
      <c r="N30" s="703"/>
      <c r="O30" s="749">
        <f>(L30-M30)*(1-Recovery_OX!F25)</f>
        <v>0.1949315541557094</v>
      </c>
      <c r="P30" s="695"/>
      <c r="Q30" s="705"/>
      <c r="S30" s="743">
        <f t="shared" si="2"/>
        <v>2013</v>
      </c>
      <c r="T30" s="744">
        <f>IF(Select2=1,Food!$W32,"")</f>
        <v>0.37476366225961011</v>
      </c>
      <c r="U30" s="745">
        <f>IF(Select2=1,Paper!$W32,"")</f>
        <v>0.18850116642162201</v>
      </c>
      <c r="V30" s="736">
        <f>IF(Select2=1,Nappies!$W32,"")</f>
        <v>0</v>
      </c>
      <c r="W30" s="745">
        <f>IF(Select2=1,Garden!$W32,"")</f>
        <v>0</v>
      </c>
      <c r="X30" s="736">
        <f>IF(Select2=1,Wood!$W32,"")</f>
        <v>0</v>
      </c>
      <c r="Y30" s="745">
        <f>IF(Select2=1,Textiles!$W32,"")</f>
        <v>7.1293048156348864E-3</v>
      </c>
      <c r="Z30" s="738">
        <f>Sludge!W32</f>
        <v>0</v>
      </c>
      <c r="AA30" s="738" t="str">
        <f>IF(Select2=2,MSW!$W32,"")</f>
        <v/>
      </c>
      <c r="AB30" s="746">
        <f>Industry!$W32</f>
        <v>0</v>
      </c>
      <c r="AC30" s="747">
        <f t="shared" si="0"/>
        <v>0.57039413349686696</v>
      </c>
      <c r="AD30" s="748">
        <f>Recovery_OX!R25</f>
        <v>0</v>
      </c>
      <c r="AE30" s="703"/>
      <c r="AF30" s="750">
        <f>(AC30-AD30)*(1-Recovery_OX!U25)</f>
        <v>0.57039413349686696</v>
      </c>
    </row>
    <row r="31" spans="2:32">
      <c r="B31" s="743">
        <f t="shared" si="1"/>
        <v>2014</v>
      </c>
      <c r="C31" s="744">
        <f>IF(Select2=1,Food!$K33,"")</f>
        <v>0.12153616982469209</v>
      </c>
      <c r="D31" s="745">
        <f>IF(Select2=1,Paper!$K33,"")</f>
        <v>5.413325536590758E-3</v>
      </c>
      <c r="E31" s="736">
        <f>IF(Select2=1,Nappies!$K33,"")</f>
        <v>6.5018156097717723E-3</v>
      </c>
      <c r="F31" s="745">
        <f>IF(Select2=1,Garden!$K33,"")</f>
        <v>0</v>
      </c>
      <c r="G31" s="736">
        <f>IF(Select2=1,Wood!$K33,"")</f>
        <v>0</v>
      </c>
      <c r="H31" s="745">
        <f>IF(Select2=1,Textiles!$K33,"")</f>
        <v>1.0109465453617269E-4</v>
      </c>
      <c r="I31" s="746">
        <f>Sludge!K33</f>
        <v>0</v>
      </c>
      <c r="J31" s="746" t="str">
        <f>IF(Select2=2,MSW!$K33,"")</f>
        <v/>
      </c>
      <c r="K31" s="746">
        <f>Industry!$K33</f>
        <v>0</v>
      </c>
      <c r="L31" s="747">
        <f t="shared" si="3"/>
        <v>0.13355240562559081</v>
      </c>
      <c r="M31" s="748">
        <f>Recovery_OX!C26</f>
        <v>0</v>
      </c>
      <c r="N31" s="703"/>
      <c r="O31" s="749">
        <f>(L31-M31)*(1-Recovery_OX!F26)</f>
        <v>0.13355240562559081</v>
      </c>
      <c r="P31" s="695"/>
      <c r="Q31" s="705"/>
      <c r="S31" s="743">
        <f t="shared" si="2"/>
        <v>2014</v>
      </c>
      <c r="T31" s="744">
        <f>IF(Select2=1,Food!$W33,"")</f>
        <v>0.25121159533834664</v>
      </c>
      <c r="U31" s="745">
        <f>IF(Select2=1,Paper!$W33,"")</f>
        <v>0.175757322616583</v>
      </c>
      <c r="V31" s="736">
        <f>IF(Select2=1,Nappies!$W33,"")</f>
        <v>0</v>
      </c>
      <c r="W31" s="745">
        <f>IF(Select2=1,Garden!$W33,"")</f>
        <v>0</v>
      </c>
      <c r="X31" s="736">
        <f>IF(Select2=1,Wood!$W33,"")</f>
        <v>0</v>
      </c>
      <c r="Y31" s="745">
        <f>IF(Select2=1,Textiles!$W33,"")</f>
        <v>6.6473197503236839E-3</v>
      </c>
      <c r="Z31" s="738">
        <f>Sludge!W33</f>
        <v>0</v>
      </c>
      <c r="AA31" s="738" t="str">
        <f>IF(Select2=2,MSW!$W33,"")</f>
        <v/>
      </c>
      <c r="AB31" s="746">
        <f>Industry!$W33</f>
        <v>0</v>
      </c>
      <c r="AC31" s="747">
        <f t="shared" si="0"/>
        <v>0.43361623770525332</v>
      </c>
      <c r="AD31" s="748">
        <f>Recovery_OX!R26</f>
        <v>0</v>
      </c>
      <c r="AE31" s="703"/>
      <c r="AF31" s="750">
        <f>(AC31-AD31)*(1-Recovery_OX!U26)</f>
        <v>0.43361623770525332</v>
      </c>
    </row>
    <row r="32" spans="2:32">
      <c r="B32" s="743">
        <f t="shared" si="1"/>
        <v>2015</v>
      </c>
      <c r="C32" s="744">
        <f>IF(Select2=1,Food!$K34,"")</f>
        <v>8.1468130951882892E-2</v>
      </c>
      <c r="D32" s="745">
        <f>IF(Select2=1,Paper!$K34,"")</f>
        <v>5.0473512754562726E-3</v>
      </c>
      <c r="E32" s="736">
        <f>IF(Select2=1,Nappies!$K34,"")</f>
        <v>5.4853530739616069E-3</v>
      </c>
      <c r="F32" s="745">
        <f>IF(Select2=1,Garden!$K34,"")</f>
        <v>0</v>
      </c>
      <c r="G32" s="736">
        <f>IF(Select2=1,Wood!$K34,"")</f>
        <v>0</v>
      </c>
      <c r="H32" s="745">
        <f>IF(Select2=1,Textiles!$K34,"")</f>
        <v>9.4260031115054254E-5</v>
      </c>
      <c r="I32" s="746">
        <f>Sludge!K34</f>
        <v>0</v>
      </c>
      <c r="J32" s="746" t="str">
        <f>IF(Select2=2,MSW!$K34,"")</f>
        <v/>
      </c>
      <c r="K32" s="746">
        <f>Industry!$K34</f>
        <v>0</v>
      </c>
      <c r="L32" s="747">
        <f t="shared" si="3"/>
        <v>9.2095095332415833E-2</v>
      </c>
      <c r="M32" s="748">
        <f>Recovery_OX!C27</f>
        <v>0</v>
      </c>
      <c r="N32" s="703"/>
      <c r="O32" s="749">
        <f>(L32-M32)*(1-Recovery_OX!F27)</f>
        <v>9.2095095332415833E-2</v>
      </c>
      <c r="P32" s="695"/>
      <c r="Q32" s="705"/>
      <c r="S32" s="743">
        <f t="shared" si="2"/>
        <v>2015</v>
      </c>
      <c r="T32" s="744">
        <f>IF(Select2=1,Food!$W34,"")</f>
        <v>0.1683921681518869</v>
      </c>
      <c r="U32" s="745">
        <f>IF(Select2=1,Paper!$W34,"")</f>
        <v>0.16387504141091797</v>
      </c>
      <c r="V32" s="736">
        <f>IF(Select2=1,Nappies!$W34,"")</f>
        <v>0</v>
      </c>
      <c r="W32" s="745">
        <f>IF(Select2=1,Garden!$W34,"")</f>
        <v>0</v>
      </c>
      <c r="X32" s="736">
        <f>IF(Select2=1,Wood!$W34,"")</f>
        <v>0</v>
      </c>
      <c r="Y32" s="745">
        <f>IF(Select2=1,Textiles!$W34,"")</f>
        <v>6.1979198541405539E-3</v>
      </c>
      <c r="Z32" s="738">
        <f>Sludge!W34</f>
        <v>0</v>
      </c>
      <c r="AA32" s="738" t="str">
        <f>IF(Select2=2,MSW!$W34,"")</f>
        <v/>
      </c>
      <c r="AB32" s="746">
        <f>Industry!$W34</f>
        <v>0</v>
      </c>
      <c r="AC32" s="747">
        <f t="shared" si="0"/>
        <v>0.3384651294169454</v>
      </c>
      <c r="AD32" s="748">
        <f>Recovery_OX!R27</f>
        <v>0</v>
      </c>
      <c r="AE32" s="703"/>
      <c r="AF32" s="750">
        <f>(AC32-AD32)*(1-Recovery_OX!U27)</f>
        <v>0.3384651294169454</v>
      </c>
    </row>
    <row r="33" spans="2:32">
      <c r="B33" s="743">
        <f t="shared" si="1"/>
        <v>2016</v>
      </c>
      <c r="C33" s="744">
        <f>IF(Select2=1,Food!$K35,"")</f>
        <v>5.4609721290103636E-2</v>
      </c>
      <c r="D33" s="745">
        <f>IF(Select2=1,Paper!$K35,"")</f>
        <v>4.7061191361298348E-3</v>
      </c>
      <c r="E33" s="736">
        <f>IF(Select2=1,Nappies!$K35,"")</f>
        <v>4.6277993951102285E-3</v>
      </c>
      <c r="F33" s="745">
        <f>IF(Select2=1,Garden!$K35,"")</f>
        <v>0</v>
      </c>
      <c r="G33" s="736">
        <f>IF(Select2=1,Wood!$K35,"")</f>
        <v>0</v>
      </c>
      <c r="H33" s="745">
        <f>IF(Select2=1,Textiles!$K35,"")</f>
        <v>8.7887470475818982E-5</v>
      </c>
      <c r="I33" s="746">
        <f>Sludge!K35</f>
        <v>0</v>
      </c>
      <c r="J33" s="746" t="str">
        <f>IF(Select2=2,MSW!$K35,"")</f>
        <v/>
      </c>
      <c r="K33" s="746">
        <f>Industry!$K35</f>
        <v>0</v>
      </c>
      <c r="L33" s="747">
        <f t="shared" si="3"/>
        <v>6.4031527291819518E-2</v>
      </c>
      <c r="M33" s="748">
        <f>Recovery_OX!C28</f>
        <v>0</v>
      </c>
      <c r="N33" s="703"/>
      <c r="O33" s="749">
        <f>(L33-M33)*(1-Recovery_OX!F28)</f>
        <v>6.4031527291819518E-2</v>
      </c>
      <c r="P33" s="695"/>
      <c r="Q33" s="705"/>
      <c r="S33" s="743">
        <f t="shared" si="2"/>
        <v>2016</v>
      </c>
      <c r="T33" s="744">
        <f>IF(Select2=1,Food!$W35,"")</f>
        <v>0.11287664590761394</v>
      </c>
      <c r="U33" s="745">
        <f>IF(Select2=1,Paper!$W35,"")</f>
        <v>0.15279607584837124</v>
      </c>
      <c r="V33" s="736">
        <f>IF(Select2=1,Nappies!$W35,"")</f>
        <v>0</v>
      </c>
      <c r="W33" s="745">
        <f>IF(Select2=1,Garden!$W35,"")</f>
        <v>0</v>
      </c>
      <c r="X33" s="736">
        <f>IF(Select2=1,Wood!$W35,"")</f>
        <v>0</v>
      </c>
      <c r="Y33" s="745">
        <f>IF(Select2=1,Textiles!$W35,"")</f>
        <v>5.7789021682730299E-3</v>
      </c>
      <c r="Z33" s="738">
        <f>Sludge!W35</f>
        <v>0</v>
      </c>
      <c r="AA33" s="738" t="str">
        <f>IF(Select2=2,MSW!$W35,"")</f>
        <v/>
      </c>
      <c r="AB33" s="746">
        <f>Industry!$W35</f>
        <v>0</v>
      </c>
      <c r="AC33" s="747">
        <f t="shared" si="0"/>
        <v>0.2714516239242582</v>
      </c>
      <c r="AD33" s="748">
        <f>Recovery_OX!R28</f>
        <v>0</v>
      </c>
      <c r="AE33" s="703"/>
      <c r="AF33" s="750">
        <f>(AC33-AD33)*(1-Recovery_OX!U28)</f>
        <v>0.2714516239242582</v>
      </c>
    </row>
    <row r="34" spans="2:32">
      <c r="B34" s="743">
        <f t="shared" si="1"/>
        <v>2017</v>
      </c>
      <c r="C34" s="744">
        <f>IF(Select2=1,Food!$K36,"")</f>
        <v>3.6605990889175703E-2</v>
      </c>
      <c r="D34" s="745">
        <f>IF(Select2=1,Paper!$K36,"")</f>
        <v>4.387956398268578E-3</v>
      </c>
      <c r="E34" s="736">
        <f>IF(Select2=1,Nappies!$K36,"")</f>
        <v>3.9043115279205265E-3</v>
      </c>
      <c r="F34" s="745">
        <f>IF(Select2=1,Garden!$K36,"")</f>
        <v>0</v>
      </c>
      <c r="G34" s="736">
        <f>IF(Select2=1,Wood!$K36,"")</f>
        <v>0</v>
      </c>
      <c r="H34" s="745">
        <f>IF(Select2=1,Textiles!$K36,"")</f>
        <v>8.1945734318820108E-5</v>
      </c>
      <c r="I34" s="746">
        <f>Sludge!K36</f>
        <v>0</v>
      </c>
      <c r="J34" s="746" t="str">
        <f>IF(Select2=2,MSW!$K36,"")</f>
        <v/>
      </c>
      <c r="K34" s="746">
        <f>Industry!$K36</f>
        <v>0</v>
      </c>
      <c r="L34" s="747">
        <f t="shared" si="3"/>
        <v>4.4980204549683628E-2</v>
      </c>
      <c r="M34" s="748">
        <f>Recovery_OX!C29</f>
        <v>0</v>
      </c>
      <c r="N34" s="703"/>
      <c r="O34" s="749">
        <f>(L34-M34)*(1-Recovery_OX!F29)</f>
        <v>4.4980204549683628E-2</v>
      </c>
      <c r="P34" s="695"/>
      <c r="Q34" s="705"/>
      <c r="S34" s="743">
        <f t="shared" si="2"/>
        <v>2017</v>
      </c>
      <c r="T34" s="744">
        <f>IF(Select2=1,Food!$W36,"")</f>
        <v>7.5663478481140328E-2</v>
      </c>
      <c r="U34" s="745">
        <f>IF(Select2=1,Paper!$W36,"")</f>
        <v>0.14246611682690188</v>
      </c>
      <c r="V34" s="736">
        <f>IF(Select2=1,Nappies!$W36,"")</f>
        <v>0</v>
      </c>
      <c r="W34" s="745">
        <f>IF(Select2=1,Garden!$W36,"")</f>
        <v>0</v>
      </c>
      <c r="X34" s="736">
        <f>IF(Select2=1,Wood!$W36,"")</f>
        <v>0</v>
      </c>
      <c r="Y34" s="745">
        <f>IF(Select2=1,Textiles!$W36,"")</f>
        <v>5.3882126675388574E-3</v>
      </c>
      <c r="Z34" s="738">
        <f>Sludge!W36</f>
        <v>0</v>
      </c>
      <c r="AA34" s="738" t="str">
        <f>IF(Select2=2,MSW!$W36,"")</f>
        <v/>
      </c>
      <c r="AB34" s="746">
        <f>Industry!$W36</f>
        <v>0</v>
      </c>
      <c r="AC34" s="747">
        <f t="shared" si="0"/>
        <v>0.22351780797558107</v>
      </c>
      <c r="AD34" s="748">
        <f>Recovery_OX!R29</f>
        <v>0</v>
      </c>
      <c r="AE34" s="703"/>
      <c r="AF34" s="750">
        <f>(AC34-AD34)*(1-Recovery_OX!U29)</f>
        <v>0.22351780797558107</v>
      </c>
    </row>
    <row r="35" spans="2:32">
      <c r="B35" s="743">
        <f t="shared" si="1"/>
        <v>2018</v>
      </c>
      <c r="C35" s="744">
        <f>IF(Select2=1,Food!$K37,"")</f>
        <v>2.4537729498012452E-2</v>
      </c>
      <c r="D35" s="745">
        <f>IF(Select2=1,Paper!$K37,"")</f>
        <v>4.0913034277623855E-3</v>
      </c>
      <c r="E35" s="736">
        <f>IF(Select2=1,Nappies!$K37,"")</f>
        <v>3.2939302691382178E-3</v>
      </c>
      <c r="F35" s="745">
        <f>IF(Select2=1,Garden!$K37,"")</f>
        <v>0</v>
      </c>
      <c r="G35" s="736">
        <f>IF(Select2=1,Wood!$K37,"")</f>
        <v>0</v>
      </c>
      <c r="H35" s="745">
        <f>IF(Select2=1,Textiles!$K37,"")</f>
        <v>7.6405696246522646E-5</v>
      </c>
      <c r="I35" s="746">
        <f>Sludge!K37</f>
        <v>0</v>
      </c>
      <c r="J35" s="746" t="str">
        <f>IF(Select2=2,MSW!$K37,"")</f>
        <v/>
      </c>
      <c r="K35" s="746">
        <f>Industry!$K37</f>
        <v>0</v>
      </c>
      <c r="L35" s="747">
        <f t="shared" si="3"/>
        <v>3.1999368891159577E-2</v>
      </c>
      <c r="M35" s="748">
        <f>Recovery_OX!C30</f>
        <v>0</v>
      </c>
      <c r="N35" s="703"/>
      <c r="O35" s="749">
        <f>(L35-M35)*(1-Recovery_OX!F30)</f>
        <v>3.1999368891159577E-2</v>
      </c>
      <c r="P35" s="695"/>
      <c r="Q35" s="705"/>
      <c r="S35" s="743">
        <f t="shared" si="2"/>
        <v>2018</v>
      </c>
      <c r="T35" s="744">
        <f>IF(Select2=1,Food!$W37,"")</f>
        <v>5.0718746378694599E-2</v>
      </c>
      <c r="U35" s="745">
        <f>IF(Select2=1,Paper!$W37,"")</f>
        <v>0.13283452687540215</v>
      </c>
      <c r="V35" s="736">
        <f>IF(Select2=1,Nappies!$W37,"")</f>
        <v>0</v>
      </c>
      <c r="W35" s="745">
        <f>IF(Select2=1,Garden!$W37,"")</f>
        <v>0</v>
      </c>
      <c r="X35" s="736">
        <f>IF(Select2=1,Wood!$W37,"")</f>
        <v>0</v>
      </c>
      <c r="Y35" s="745">
        <f>IF(Select2=1,Textiles!$W37,"")</f>
        <v>5.0239361915521731E-3</v>
      </c>
      <c r="Z35" s="738">
        <f>Sludge!W37</f>
        <v>0</v>
      </c>
      <c r="AA35" s="738" t="str">
        <f>IF(Select2=2,MSW!$W37,"")</f>
        <v/>
      </c>
      <c r="AB35" s="746">
        <f>Industry!$W37</f>
        <v>0</v>
      </c>
      <c r="AC35" s="747">
        <f t="shared" si="0"/>
        <v>0.18857720944564893</v>
      </c>
      <c r="AD35" s="748">
        <f>Recovery_OX!R30</f>
        <v>0</v>
      </c>
      <c r="AE35" s="703"/>
      <c r="AF35" s="750">
        <f>(AC35-AD35)*(1-Recovery_OX!U30)</f>
        <v>0.18857720944564893</v>
      </c>
    </row>
    <row r="36" spans="2:32">
      <c r="B36" s="743">
        <f t="shared" si="1"/>
        <v>2019</v>
      </c>
      <c r="C36" s="744">
        <f>IF(Select2=1,Food!$K38,"")</f>
        <v>1.644813196671777E-2</v>
      </c>
      <c r="D36" s="745">
        <f>IF(Select2=1,Paper!$K38,"")</f>
        <v>3.8147060314056708E-3</v>
      </c>
      <c r="E36" s="736">
        <f>IF(Select2=1,Nappies!$K38,"")</f>
        <v>2.7789730763937712E-3</v>
      </c>
      <c r="F36" s="745">
        <f>IF(Select2=1,Garden!$K38,"")</f>
        <v>0</v>
      </c>
      <c r="G36" s="736">
        <f>IF(Select2=1,Wood!$K38,"")</f>
        <v>0</v>
      </c>
      <c r="H36" s="745">
        <f>IF(Select2=1,Textiles!$K38,"")</f>
        <v>7.1240198985868827E-5</v>
      </c>
      <c r="I36" s="746">
        <f>Sludge!K38</f>
        <v>0</v>
      </c>
      <c r="J36" s="746" t="str">
        <f>IF(Select2=2,MSW!$K38,"")</f>
        <v/>
      </c>
      <c r="K36" s="746">
        <f>Industry!$K38</f>
        <v>0</v>
      </c>
      <c r="L36" s="747">
        <f t="shared" si="3"/>
        <v>2.311305127350308E-2</v>
      </c>
      <c r="M36" s="748">
        <f>Recovery_OX!C31</f>
        <v>0</v>
      </c>
      <c r="N36" s="703"/>
      <c r="O36" s="749">
        <f>(L36-M36)*(1-Recovery_OX!F31)</f>
        <v>2.311305127350308E-2</v>
      </c>
      <c r="P36" s="695"/>
      <c r="Q36" s="705"/>
      <c r="S36" s="743">
        <f t="shared" si="2"/>
        <v>2019</v>
      </c>
      <c r="T36" s="744">
        <f>IF(Select2=1,Food!$W38,"")</f>
        <v>3.3997792407436479E-2</v>
      </c>
      <c r="U36" s="745">
        <f>IF(Select2=1,Paper!$W38,"")</f>
        <v>0.12385409192875554</v>
      </c>
      <c r="V36" s="736">
        <f>IF(Select2=1,Nappies!$W38,"")</f>
        <v>0</v>
      </c>
      <c r="W36" s="745">
        <f>IF(Select2=1,Garden!$W38,"")</f>
        <v>0</v>
      </c>
      <c r="X36" s="736">
        <f>IF(Select2=1,Wood!$W38,"")</f>
        <v>0</v>
      </c>
      <c r="Y36" s="745">
        <f>IF(Select2=1,Textiles!$W38,"")</f>
        <v>4.6842870566050736E-3</v>
      </c>
      <c r="Z36" s="738">
        <f>Sludge!W38</f>
        <v>0</v>
      </c>
      <c r="AA36" s="738" t="str">
        <f>IF(Select2=2,MSW!$W38,"")</f>
        <v/>
      </c>
      <c r="AB36" s="746">
        <f>Industry!$W38</f>
        <v>0</v>
      </c>
      <c r="AC36" s="747">
        <f t="shared" si="0"/>
        <v>0.16253617139279708</v>
      </c>
      <c r="AD36" s="748">
        <f>Recovery_OX!R31</f>
        <v>0</v>
      </c>
      <c r="AE36" s="703"/>
      <c r="AF36" s="750">
        <f>(AC36-AD36)*(1-Recovery_OX!U31)</f>
        <v>0.16253617139279708</v>
      </c>
    </row>
    <row r="37" spans="2:32">
      <c r="B37" s="743">
        <f t="shared" si="1"/>
        <v>2020</v>
      </c>
      <c r="C37" s="744">
        <f>IF(Select2=1,Food!$K39,"")</f>
        <v>1.1025512577130527E-2</v>
      </c>
      <c r="D37" s="745">
        <f>IF(Select2=1,Paper!$K39,"")</f>
        <v>3.5568083284405931E-3</v>
      </c>
      <c r="E37" s="736">
        <f>IF(Select2=1,Nappies!$K39,"")</f>
        <v>2.3445218108220393E-3</v>
      </c>
      <c r="F37" s="745">
        <f>IF(Select2=1,Garden!$K39,"")</f>
        <v>0</v>
      </c>
      <c r="G37" s="736">
        <f>IF(Select2=1,Wood!$K39,"")</f>
        <v>0</v>
      </c>
      <c r="H37" s="745">
        <f>IF(Select2=1,Textiles!$K39,"")</f>
        <v>6.6423921263294097E-5</v>
      </c>
      <c r="I37" s="746">
        <f>Sludge!K39</f>
        <v>0</v>
      </c>
      <c r="J37" s="746" t="str">
        <f>IF(Select2=2,MSW!$K39,"")</f>
        <v/>
      </c>
      <c r="K37" s="746">
        <f>Industry!$K39</f>
        <v>0</v>
      </c>
      <c r="L37" s="747">
        <f t="shared" si="3"/>
        <v>1.6993266637656455E-2</v>
      </c>
      <c r="M37" s="748">
        <f>Recovery_OX!C32</f>
        <v>0</v>
      </c>
      <c r="N37" s="703"/>
      <c r="O37" s="749">
        <f>(L37-M37)*(1-Recovery_OX!F32)</f>
        <v>1.6993266637656455E-2</v>
      </c>
      <c r="P37" s="695"/>
      <c r="Q37" s="705"/>
      <c r="S37" s="743">
        <f t="shared" si="2"/>
        <v>2020</v>
      </c>
      <c r="T37" s="744">
        <f>IF(Select2=1,Food!$W39,"")</f>
        <v>2.2789401771662929E-2</v>
      </c>
      <c r="U37" s="745">
        <f>IF(Select2=1,Paper!$W39,"")</f>
        <v>0.11548078988443486</v>
      </c>
      <c r="V37" s="736">
        <f>IF(Select2=1,Nappies!$W39,"")</f>
        <v>0</v>
      </c>
      <c r="W37" s="745">
        <f>IF(Select2=1,Garden!$W39,"")</f>
        <v>0</v>
      </c>
      <c r="X37" s="736">
        <f>IF(Select2=1,Wood!$W39,"")</f>
        <v>0</v>
      </c>
      <c r="Y37" s="745">
        <f>IF(Select2=1,Textiles!$W39,"")</f>
        <v>4.3676003022439956E-3</v>
      </c>
      <c r="Z37" s="738">
        <f>Sludge!W39</f>
        <v>0</v>
      </c>
      <c r="AA37" s="738" t="str">
        <f>IF(Select2=2,MSW!$W39,"")</f>
        <v/>
      </c>
      <c r="AB37" s="746">
        <f>Industry!$W39</f>
        <v>0</v>
      </c>
      <c r="AC37" s="747">
        <f t="shared" si="0"/>
        <v>0.14263779195834178</v>
      </c>
      <c r="AD37" s="748">
        <f>Recovery_OX!R32</f>
        <v>0</v>
      </c>
      <c r="AE37" s="703"/>
      <c r="AF37" s="750">
        <f>(AC37-AD37)*(1-Recovery_OX!U32)</f>
        <v>0.14263779195834178</v>
      </c>
    </row>
    <row r="38" spans="2:32">
      <c r="B38" s="743">
        <f t="shared" si="1"/>
        <v>2021</v>
      </c>
      <c r="C38" s="744">
        <f>IF(Select2=1,Food!$K40,"")</f>
        <v>7.3906220982686548E-3</v>
      </c>
      <c r="D38" s="745">
        <f>IF(Select2=1,Paper!$K40,"")</f>
        <v>3.3163461040280153E-3</v>
      </c>
      <c r="E38" s="736">
        <f>IF(Select2=1,Nappies!$K40,"")</f>
        <v>1.9779905635333972E-3</v>
      </c>
      <c r="F38" s="745">
        <f>IF(Select2=1,Garden!$K40,"")</f>
        <v>0</v>
      </c>
      <c r="G38" s="736">
        <f>IF(Select2=1,Wood!$K40,"")</f>
        <v>0</v>
      </c>
      <c r="H38" s="745">
        <f>IF(Select2=1,Textiles!$K40,"")</f>
        <v>6.1933253679814722E-5</v>
      </c>
      <c r="I38" s="746">
        <f>Sludge!K40</f>
        <v>0</v>
      </c>
      <c r="J38" s="746" t="str">
        <f>IF(Select2=2,MSW!$K40,"")</f>
        <v/>
      </c>
      <c r="K38" s="746">
        <f>Industry!$K40</f>
        <v>0</v>
      </c>
      <c r="L38" s="747">
        <f t="shared" si="3"/>
        <v>1.2746892019509883E-2</v>
      </c>
      <c r="M38" s="748">
        <f>Recovery_OX!C33</f>
        <v>0</v>
      </c>
      <c r="N38" s="703"/>
      <c r="O38" s="749">
        <f>(L38-M38)*(1-Recovery_OX!F33)</f>
        <v>1.2746892019509883E-2</v>
      </c>
      <c r="P38" s="695"/>
      <c r="Q38" s="705"/>
      <c r="S38" s="743">
        <f t="shared" si="2"/>
        <v>2021</v>
      </c>
      <c r="T38" s="744">
        <f>IF(Select2=1,Food!$W40,"")</f>
        <v>1.5276192844705775E-2</v>
      </c>
      <c r="U38" s="745">
        <f>IF(Select2=1,Paper!$W40,"")</f>
        <v>0.1076735748061044</v>
      </c>
      <c r="V38" s="736">
        <f>IF(Select2=1,Nappies!$W40,"")</f>
        <v>0</v>
      </c>
      <c r="W38" s="745">
        <f>IF(Select2=1,Garden!$W40,"")</f>
        <v>0</v>
      </c>
      <c r="X38" s="736">
        <f>IF(Select2=1,Wood!$W40,"")</f>
        <v>0</v>
      </c>
      <c r="Y38" s="745">
        <f>IF(Select2=1,Textiles!$W40,"")</f>
        <v>4.0723235296316529E-3</v>
      </c>
      <c r="Z38" s="738">
        <f>Sludge!W40</f>
        <v>0</v>
      </c>
      <c r="AA38" s="738" t="str">
        <f>IF(Select2=2,MSW!$W40,"")</f>
        <v/>
      </c>
      <c r="AB38" s="746">
        <f>Industry!$W40</f>
        <v>0</v>
      </c>
      <c r="AC38" s="747">
        <f t="shared" si="0"/>
        <v>0.12702209118044183</v>
      </c>
      <c r="AD38" s="748">
        <f>Recovery_OX!R33</f>
        <v>0</v>
      </c>
      <c r="AE38" s="703"/>
      <c r="AF38" s="750">
        <f>(AC38-AD38)*(1-Recovery_OX!U33)</f>
        <v>0.12702209118044183</v>
      </c>
    </row>
    <row r="39" spans="2:32">
      <c r="B39" s="743">
        <f t="shared" si="1"/>
        <v>2022</v>
      </c>
      <c r="C39" s="744">
        <f>IF(Select2=1,Food!$K41,"")</f>
        <v>4.9540821451434583E-3</v>
      </c>
      <c r="D39" s="745">
        <f>IF(Select2=1,Paper!$K41,"")</f>
        <v>3.0921406120648907E-3</v>
      </c>
      <c r="E39" s="736">
        <f>IF(Select2=1,Nappies!$K41,"")</f>
        <v>1.6687610460127812E-3</v>
      </c>
      <c r="F39" s="745">
        <f>IF(Select2=1,Garden!$K41,"")</f>
        <v>0</v>
      </c>
      <c r="G39" s="736">
        <f>IF(Select2=1,Wood!$K41,"")</f>
        <v>0</v>
      </c>
      <c r="H39" s="745">
        <f>IF(Select2=1,Textiles!$K41,"")</f>
        <v>5.7746182977726577E-5</v>
      </c>
      <c r="I39" s="746">
        <f>Sludge!K41</f>
        <v>0</v>
      </c>
      <c r="J39" s="746" t="str">
        <f>IF(Select2=2,MSW!$K41,"")</f>
        <v/>
      </c>
      <c r="K39" s="746">
        <f>Industry!$K41</f>
        <v>0</v>
      </c>
      <c r="L39" s="747">
        <f t="shared" si="3"/>
        <v>9.7727299861988561E-3</v>
      </c>
      <c r="M39" s="748">
        <f>Recovery_OX!C34</f>
        <v>0</v>
      </c>
      <c r="N39" s="703"/>
      <c r="O39" s="749">
        <f>(L39-M39)*(1-Recovery_OX!F34)</f>
        <v>9.7727299861988561E-3</v>
      </c>
      <c r="P39" s="695"/>
      <c r="Q39" s="705"/>
      <c r="S39" s="743">
        <f t="shared" si="2"/>
        <v>2022</v>
      </c>
      <c r="T39" s="744">
        <f>IF(Select2=1,Food!$W41,"")</f>
        <v>1.0239938290912479E-2</v>
      </c>
      <c r="U39" s="745">
        <f>IF(Select2=1,Paper!$W41,"")</f>
        <v>0.10039417571639254</v>
      </c>
      <c r="V39" s="736">
        <f>IF(Select2=1,Nappies!$W41,"")</f>
        <v>0</v>
      </c>
      <c r="W39" s="745">
        <f>IF(Select2=1,Garden!$W41,"")</f>
        <v>0</v>
      </c>
      <c r="X39" s="736">
        <f>IF(Select2=1,Wood!$W41,"")</f>
        <v>0</v>
      </c>
      <c r="Y39" s="745">
        <f>IF(Select2=1,Textiles!$W41,"")</f>
        <v>3.797009291686131E-3</v>
      </c>
      <c r="Z39" s="738">
        <f>Sludge!W41</f>
        <v>0</v>
      </c>
      <c r="AA39" s="738" t="str">
        <f>IF(Select2=2,MSW!$W41,"")</f>
        <v/>
      </c>
      <c r="AB39" s="746">
        <f>Industry!$W41</f>
        <v>0</v>
      </c>
      <c r="AC39" s="747">
        <f t="shared" si="0"/>
        <v>0.11443112329899116</v>
      </c>
      <c r="AD39" s="748">
        <f>Recovery_OX!R34</f>
        <v>0</v>
      </c>
      <c r="AE39" s="703"/>
      <c r="AF39" s="750">
        <f>(AC39-AD39)*(1-Recovery_OX!U34)</f>
        <v>0.11443112329899116</v>
      </c>
    </row>
    <row r="40" spans="2:32">
      <c r="B40" s="743">
        <f t="shared" si="1"/>
        <v>2023</v>
      </c>
      <c r="C40" s="744">
        <f>IF(Select2=1,Food!$K42,"")</f>
        <v>3.3208205715969021E-3</v>
      </c>
      <c r="D40" s="745">
        <f>IF(Select2=1,Paper!$K42,"")</f>
        <v>2.8830927969695002E-3</v>
      </c>
      <c r="E40" s="736">
        <f>IF(Select2=1,Nappies!$K42,"")</f>
        <v>1.4078749818275623E-3</v>
      </c>
      <c r="F40" s="745">
        <f>IF(Select2=1,Garden!$K42,"")</f>
        <v>0</v>
      </c>
      <c r="G40" s="736">
        <f>IF(Select2=1,Wood!$K42,"")</f>
        <v>0</v>
      </c>
      <c r="H40" s="745">
        <f>IF(Select2=1,Textiles!$K42,"")</f>
        <v>5.3842184131590336E-5</v>
      </c>
      <c r="I40" s="746">
        <f>Sludge!K42</f>
        <v>0</v>
      </c>
      <c r="J40" s="746" t="str">
        <f>IF(Select2=2,MSW!$K42,"")</f>
        <v/>
      </c>
      <c r="K40" s="746">
        <f>Industry!$K42</f>
        <v>0</v>
      </c>
      <c r="L40" s="747">
        <f t="shared" si="3"/>
        <v>7.6656305345255554E-3</v>
      </c>
      <c r="M40" s="748">
        <f>Recovery_OX!C35</f>
        <v>0</v>
      </c>
      <c r="N40" s="703"/>
      <c r="O40" s="749">
        <f>(L40-M40)*(1-Recovery_OX!F35)</f>
        <v>7.6656305345255554E-3</v>
      </c>
      <c r="P40" s="695"/>
      <c r="Q40" s="705"/>
      <c r="S40" s="743">
        <f t="shared" si="2"/>
        <v>2023</v>
      </c>
      <c r="T40" s="744">
        <f>IF(Select2=1,Food!$W42,"")</f>
        <v>6.8640359065665589E-3</v>
      </c>
      <c r="U40" s="745">
        <f>IF(Select2=1,Paper!$W42,"")</f>
        <v>9.3606908992516238E-2</v>
      </c>
      <c r="V40" s="736">
        <f>IF(Select2=1,Nappies!$W42,"")</f>
        <v>0</v>
      </c>
      <c r="W40" s="745">
        <f>IF(Select2=1,Garden!$W42,"")</f>
        <v>0</v>
      </c>
      <c r="X40" s="736">
        <f>IF(Select2=1,Wood!$W42,"")</f>
        <v>0</v>
      </c>
      <c r="Y40" s="745">
        <f>IF(Select2=1,Textiles!$W42,"")</f>
        <v>3.5403079976936112E-3</v>
      </c>
      <c r="Z40" s="738">
        <f>Sludge!W42</f>
        <v>0</v>
      </c>
      <c r="AA40" s="738" t="str">
        <f>IF(Select2=2,MSW!$W42,"")</f>
        <v/>
      </c>
      <c r="AB40" s="746">
        <f>Industry!$W42</f>
        <v>0</v>
      </c>
      <c r="AC40" s="747">
        <f t="shared" si="0"/>
        <v>0.10401125289677642</v>
      </c>
      <c r="AD40" s="748">
        <f>Recovery_OX!R35</f>
        <v>0</v>
      </c>
      <c r="AE40" s="703"/>
      <c r="AF40" s="750">
        <f>(AC40-AD40)*(1-Recovery_OX!U35)</f>
        <v>0.10401125289677642</v>
      </c>
    </row>
    <row r="41" spans="2:32">
      <c r="B41" s="743">
        <f t="shared" si="1"/>
        <v>2024</v>
      </c>
      <c r="C41" s="744">
        <f>IF(Select2=1,Food!$K43,"")</f>
        <v>2.2260125984289334E-3</v>
      </c>
      <c r="D41" s="745">
        <f>IF(Select2=1,Paper!$K43,"")</f>
        <v>2.6881779061097171E-3</v>
      </c>
      <c r="E41" s="736">
        <f>IF(Select2=1,Nappies!$K43,"")</f>
        <v>1.1877745883341875E-3</v>
      </c>
      <c r="F41" s="745">
        <f>IF(Select2=1,Garden!$K43,"")</f>
        <v>0</v>
      </c>
      <c r="G41" s="736">
        <f>IF(Select2=1,Wood!$K43,"")</f>
        <v>0</v>
      </c>
      <c r="H41" s="745">
        <f>IF(Select2=1,Textiles!$K43,"")</f>
        <v>5.0202119734532949E-5</v>
      </c>
      <c r="I41" s="746">
        <f>Sludge!K43</f>
        <v>0</v>
      </c>
      <c r="J41" s="746" t="str">
        <f>IF(Select2=2,MSW!$K43,"")</f>
        <v/>
      </c>
      <c r="K41" s="746">
        <f>Industry!$K43</f>
        <v>0</v>
      </c>
      <c r="L41" s="747">
        <f t="shared" si="3"/>
        <v>6.1521672126073719E-3</v>
      </c>
      <c r="M41" s="748">
        <f>Recovery_OX!C36</f>
        <v>0</v>
      </c>
      <c r="N41" s="703"/>
      <c r="O41" s="749">
        <f>(L41-M41)*(1-Recovery_OX!F36)</f>
        <v>6.1521672126073719E-3</v>
      </c>
      <c r="P41" s="695"/>
      <c r="Q41" s="705"/>
      <c r="S41" s="743">
        <f t="shared" si="2"/>
        <v>2024</v>
      </c>
      <c r="T41" s="744">
        <f>IF(Select2=1,Food!$W43,"")</f>
        <v>4.601100864879977E-3</v>
      </c>
      <c r="U41" s="745">
        <f>IF(Select2=1,Paper!$W43,"")</f>
        <v>8.7278503445120684E-2</v>
      </c>
      <c r="V41" s="736">
        <f>IF(Select2=1,Nappies!$W43,"")</f>
        <v>0</v>
      </c>
      <c r="W41" s="745">
        <f>IF(Select2=1,Garden!$W43,"")</f>
        <v>0</v>
      </c>
      <c r="X41" s="736">
        <f>IF(Select2=1,Wood!$W43,"")</f>
        <v>0</v>
      </c>
      <c r="Y41" s="745">
        <f>IF(Select2=1,Textiles!$W43,"")</f>
        <v>3.3009612976131249E-3</v>
      </c>
      <c r="Z41" s="738">
        <f>Sludge!W43</f>
        <v>0</v>
      </c>
      <c r="AA41" s="738" t="str">
        <f>IF(Select2=2,MSW!$W43,"")</f>
        <v/>
      </c>
      <c r="AB41" s="746">
        <f>Industry!$W43</f>
        <v>0</v>
      </c>
      <c r="AC41" s="747">
        <f t="shared" si="0"/>
        <v>9.5180565607613787E-2</v>
      </c>
      <c r="AD41" s="748">
        <f>Recovery_OX!R36</f>
        <v>0</v>
      </c>
      <c r="AE41" s="703"/>
      <c r="AF41" s="750">
        <f>(AC41-AD41)*(1-Recovery_OX!U36)</f>
        <v>9.5180565607613787E-2</v>
      </c>
    </row>
    <row r="42" spans="2:32">
      <c r="B42" s="743">
        <f t="shared" si="1"/>
        <v>2025</v>
      </c>
      <c r="C42" s="744">
        <f>IF(Select2=1,Food!$K44,"")</f>
        <v>1.4921408674547958E-3</v>
      </c>
      <c r="D42" s="745">
        <f>IF(Select2=1,Paper!$K44,"")</f>
        <v>2.5064404664644126E-3</v>
      </c>
      <c r="E42" s="736">
        <f>IF(Select2=1,Nappies!$K44,"")</f>
        <v>1.0020836302248076E-3</v>
      </c>
      <c r="F42" s="745">
        <f>IF(Select2=1,Garden!$K44,"")</f>
        <v>0</v>
      </c>
      <c r="G42" s="736">
        <f>IF(Select2=1,Wood!$K44,"")</f>
        <v>0</v>
      </c>
      <c r="H42" s="745">
        <f>IF(Select2=1,Textiles!$K44,"")</f>
        <v>4.680814618665696E-5</v>
      </c>
      <c r="I42" s="746">
        <f>Sludge!K44</f>
        <v>0</v>
      </c>
      <c r="J42" s="746" t="str">
        <f>IF(Select2=2,MSW!$K44,"")</f>
        <v/>
      </c>
      <c r="K42" s="746">
        <f>Industry!$K44</f>
        <v>0</v>
      </c>
      <c r="L42" s="747">
        <f t="shared" si="3"/>
        <v>5.0474731103306737E-3</v>
      </c>
      <c r="M42" s="748">
        <f>Recovery_OX!C37</f>
        <v>0</v>
      </c>
      <c r="N42" s="703"/>
      <c r="O42" s="749">
        <f>(L42-M42)*(1-Recovery_OX!F37)</f>
        <v>5.0474731103306737E-3</v>
      </c>
      <c r="P42" s="695"/>
      <c r="Q42" s="705"/>
      <c r="S42" s="743">
        <f t="shared" si="2"/>
        <v>2025</v>
      </c>
      <c r="T42" s="744">
        <f>IF(Select2=1,Food!$W44,"")</f>
        <v>3.0842101435609661E-3</v>
      </c>
      <c r="U42" s="745">
        <f>IF(Select2=1,Paper!$W44,"")</f>
        <v>8.1377937222870539E-2</v>
      </c>
      <c r="V42" s="736">
        <f>IF(Select2=1,Nappies!$W44,"")</f>
        <v>0</v>
      </c>
      <c r="W42" s="745">
        <f>IF(Select2=1,Garden!$W44,"")</f>
        <v>0</v>
      </c>
      <c r="X42" s="736">
        <f>IF(Select2=1,Wood!$W44,"")</f>
        <v>0</v>
      </c>
      <c r="Y42" s="745">
        <f>IF(Select2=1,Textiles!$W44,"")</f>
        <v>3.077795913643197E-3</v>
      </c>
      <c r="Z42" s="738">
        <f>Sludge!W44</f>
        <v>0</v>
      </c>
      <c r="AA42" s="738" t="str">
        <f>IF(Select2=2,MSW!$W44,"")</f>
        <v/>
      </c>
      <c r="AB42" s="746">
        <f>Industry!$W44</f>
        <v>0</v>
      </c>
      <c r="AC42" s="747">
        <f t="shared" si="0"/>
        <v>8.7539943280074708E-2</v>
      </c>
      <c r="AD42" s="748">
        <f>Recovery_OX!R37</f>
        <v>0</v>
      </c>
      <c r="AE42" s="703"/>
      <c r="AF42" s="750">
        <f>(AC42-AD42)*(1-Recovery_OX!U37)</f>
        <v>8.7539943280074708E-2</v>
      </c>
    </row>
    <row r="43" spans="2:32">
      <c r="B43" s="743">
        <f t="shared" si="1"/>
        <v>2026</v>
      </c>
      <c r="C43" s="744">
        <f>IF(Select2=1,Food!$K45,"")</f>
        <v>1.0002119349639574E-3</v>
      </c>
      <c r="D43" s="745">
        <f>IF(Select2=1,Paper!$K45,"")</f>
        <v>2.3369896008936008E-3</v>
      </c>
      <c r="E43" s="736">
        <f>IF(Select2=1,Nappies!$K45,"")</f>
        <v>8.4542270210785078E-4</v>
      </c>
      <c r="F43" s="745">
        <f>IF(Select2=1,Garden!$K45,"")</f>
        <v>0</v>
      </c>
      <c r="G43" s="736">
        <f>IF(Select2=1,Wood!$K45,"")</f>
        <v>0</v>
      </c>
      <c r="H43" s="745">
        <f>IF(Select2=1,Textiles!$K45,"")</f>
        <v>4.3643626225693129E-5</v>
      </c>
      <c r="I43" s="746">
        <f>Sludge!K45</f>
        <v>0</v>
      </c>
      <c r="J43" s="746" t="str">
        <f>IF(Select2=2,MSW!$K45,"")</f>
        <v/>
      </c>
      <c r="K43" s="746">
        <f>Industry!$K45</f>
        <v>0</v>
      </c>
      <c r="L43" s="747">
        <f t="shared" si="3"/>
        <v>4.2262678641911021E-3</v>
      </c>
      <c r="M43" s="748">
        <f>Recovery_OX!C38</f>
        <v>0</v>
      </c>
      <c r="N43" s="703"/>
      <c r="O43" s="749">
        <f>(L43-M43)*(1-Recovery_OX!F38)</f>
        <v>4.2262678641911021E-3</v>
      </c>
      <c r="P43" s="695"/>
      <c r="Q43" s="705"/>
      <c r="S43" s="743">
        <f t="shared" si="2"/>
        <v>2026</v>
      </c>
      <c r="T43" s="744">
        <f>IF(Select2=1,Food!$W45,"")</f>
        <v>2.0674078854153724E-3</v>
      </c>
      <c r="U43" s="745">
        <f>IF(Select2=1,Paper!$W45,"")</f>
        <v>7.5876285743298716E-2</v>
      </c>
      <c r="V43" s="736">
        <f>IF(Select2=1,Nappies!$W45,"")</f>
        <v>0</v>
      </c>
      <c r="W43" s="745">
        <f>IF(Select2=1,Garden!$W45,"")</f>
        <v>0</v>
      </c>
      <c r="X43" s="736">
        <f>IF(Select2=1,Wood!$W45,"")</f>
        <v>0</v>
      </c>
      <c r="Y43" s="745">
        <f>IF(Select2=1,Textiles!$W45,"")</f>
        <v>2.8697178888126983E-3</v>
      </c>
      <c r="Z43" s="738">
        <f>Sludge!W45</f>
        <v>0</v>
      </c>
      <c r="AA43" s="738" t="str">
        <f>IF(Select2=2,MSW!$W45,"")</f>
        <v/>
      </c>
      <c r="AB43" s="746">
        <f>Industry!$W45</f>
        <v>0</v>
      </c>
      <c r="AC43" s="747">
        <f t="shared" si="0"/>
        <v>8.0813411517526787E-2</v>
      </c>
      <c r="AD43" s="748">
        <f>Recovery_OX!R38</f>
        <v>0</v>
      </c>
      <c r="AE43" s="703"/>
      <c r="AF43" s="750">
        <f>(AC43-AD43)*(1-Recovery_OX!U38)</f>
        <v>8.0813411517526787E-2</v>
      </c>
    </row>
    <row r="44" spans="2:32">
      <c r="B44" s="743">
        <f t="shared" si="1"/>
        <v>2027</v>
      </c>
      <c r="C44" s="744">
        <f>IF(Select2=1,Food!$K46,"")</f>
        <v>6.7046211029043589E-4</v>
      </c>
      <c r="D44" s="745">
        <f>IF(Select2=1,Paper!$K46,"")</f>
        <v>2.1789946610576618E-3</v>
      </c>
      <c r="E44" s="736">
        <f>IF(Select2=1,Nappies!$K46,"")</f>
        <v>7.1325338892023896E-4</v>
      </c>
      <c r="F44" s="745">
        <f>IF(Select2=1,Garden!$K46,"")</f>
        <v>0</v>
      </c>
      <c r="G44" s="736">
        <f>IF(Select2=1,Wood!$K46,"")</f>
        <v>0</v>
      </c>
      <c r="H44" s="745">
        <f>IF(Select2=1,Textiles!$K46,"")</f>
        <v>4.0693047371121442E-5</v>
      </c>
      <c r="I44" s="746">
        <f>Sludge!K46</f>
        <v>0</v>
      </c>
      <c r="J44" s="746" t="str">
        <f>IF(Select2=2,MSW!$K46,"")</f>
        <v/>
      </c>
      <c r="K44" s="746">
        <f>Industry!$K46</f>
        <v>0</v>
      </c>
      <c r="L44" s="747">
        <f t="shared" si="3"/>
        <v>3.603403207639458E-3</v>
      </c>
      <c r="M44" s="748">
        <f>Recovery_OX!C39</f>
        <v>0</v>
      </c>
      <c r="N44" s="703"/>
      <c r="O44" s="749">
        <f>(L44-M44)*(1-Recovery_OX!F39)</f>
        <v>3.603403207639458E-3</v>
      </c>
      <c r="P44" s="695"/>
      <c r="Q44" s="705"/>
      <c r="S44" s="743">
        <f t="shared" si="2"/>
        <v>2027</v>
      </c>
      <c r="T44" s="744">
        <f>IF(Select2=1,Food!$W46,"")</f>
        <v>1.3858249489260765E-3</v>
      </c>
      <c r="U44" s="745">
        <f>IF(Select2=1,Paper!$W46,"")</f>
        <v>7.0746579904469531E-2</v>
      </c>
      <c r="V44" s="736">
        <f>IF(Select2=1,Nappies!$W46,"")</f>
        <v>0</v>
      </c>
      <c r="W44" s="745">
        <f>IF(Select2=1,Garden!$W46,"")</f>
        <v>0</v>
      </c>
      <c r="X44" s="736">
        <f>IF(Select2=1,Wood!$W46,"")</f>
        <v>0</v>
      </c>
      <c r="Y44" s="745">
        <f>IF(Select2=1,Textiles!$W46,"")</f>
        <v>2.6757072244025051E-3</v>
      </c>
      <c r="Z44" s="738">
        <f>Sludge!W46</f>
        <v>0</v>
      </c>
      <c r="AA44" s="738" t="str">
        <f>IF(Select2=2,MSW!$W46,"")</f>
        <v/>
      </c>
      <c r="AB44" s="746">
        <f>Industry!$W46</f>
        <v>0</v>
      </c>
      <c r="AC44" s="747">
        <f t="shared" si="0"/>
        <v>7.4808112077798111E-2</v>
      </c>
      <c r="AD44" s="748">
        <f>Recovery_OX!R39</f>
        <v>0</v>
      </c>
      <c r="AE44" s="703"/>
      <c r="AF44" s="750">
        <f>(AC44-AD44)*(1-Recovery_OX!U39)</f>
        <v>7.4808112077798111E-2</v>
      </c>
    </row>
    <row r="45" spans="2:32">
      <c r="B45" s="743">
        <f t="shared" si="1"/>
        <v>2028</v>
      </c>
      <c r="C45" s="744">
        <f>IF(Select2=1,Food!$K47,"")</f>
        <v>4.4942419263503685E-4</v>
      </c>
      <c r="D45" s="745">
        <f>IF(Select2=1,Paper!$K47,"")</f>
        <v>2.03168115557822E-3</v>
      </c>
      <c r="E45" s="736">
        <f>IF(Select2=1,Nappies!$K47,"")</f>
        <v>6.0174678955014251E-4</v>
      </c>
      <c r="F45" s="745">
        <f>IF(Select2=1,Garden!$K47,"")</f>
        <v>0</v>
      </c>
      <c r="G45" s="736">
        <f>IF(Select2=1,Wood!$K47,"")</f>
        <v>0</v>
      </c>
      <c r="H45" s="745">
        <f>IF(Select2=1,Textiles!$K47,"")</f>
        <v>3.7941945881973625E-5</v>
      </c>
      <c r="I45" s="746">
        <f>Sludge!K47</f>
        <v>0</v>
      </c>
      <c r="J45" s="746" t="str">
        <f>IF(Select2=2,MSW!$K47,"")</f>
        <v/>
      </c>
      <c r="K45" s="746">
        <f>Industry!$K47</f>
        <v>0</v>
      </c>
      <c r="L45" s="747">
        <f t="shared" si="3"/>
        <v>3.1207940836453728E-3</v>
      </c>
      <c r="M45" s="748">
        <f>Recovery_OX!C40</f>
        <v>0</v>
      </c>
      <c r="N45" s="703"/>
      <c r="O45" s="749">
        <f>(L45-M45)*(1-Recovery_OX!F40)</f>
        <v>3.1207940836453728E-3</v>
      </c>
      <c r="P45" s="695"/>
      <c r="Q45" s="705"/>
      <c r="S45" s="743">
        <f t="shared" si="2"/>
        <v>2028</v>
      </c>
      <c r="T45" s="744">
        <f>IF(Select2=1,Food!$W47,"")</f>
        <v>9.2894624356146521E-4</v>
      </c>
      <c r="U45" s="745">
        <f>IF(Select2=1,Paper!$W47,"")</f>
        <v>6.5963673882409743E-2</v>
      </c>
      <c r="V45" s="736">
        <f>IF(Select2=1,Nappies!$W47,"")</f>
        <v>0</v>
      </c>
      <c r="W45" s="745">
        <f>IF(Select2=1,Garden!$W47,"")</f>
        <v>0</v>
      </c>
      <c r="X45" s="736">
        <f>IF(Select2=1,Wood!$W47,"")</f>
        <v>0</v>
      </c>
      <c r="Y45" s="745">
        <f>IF(Select2=1,Textiles!$W47,"")</f>
        <v>2.4948128799105939E-3</v>
      </c>
      <c r="Z45" s="738">
        <f>Sludge!W47</f>
        <v>0</v>
      </c>
      <c r="AA45" s="738" t="str">
        <f>IF(Select2=2,MSW!$W47,"")</f>
        <v/>
      </c>
      <c r="AB45" s="746">
        <f>Industry!$W47</f>
        <v>0</v>
      </c>
      <c r="AC45" s="747">
        <f t="shared" si="0"/>
        <v>6.9387433005881793E-2</v>
      </c>
      <c r="AD45" s="748">
        <f>Recovery_OX!R40</f>
        <v>0</v>
      </c>
      <c r="AE45" s="703"/>
      <c r="AF45" s="750">
        <f>(AC45-AD45)*(1-Recovery_OX!U40)</f>
        <v>6.9387433005881793E-2</v>
      </c>
    </row>
    <row r="46" spans="2:32">
      <c r="B46" s="743">
        <f t="shared" si="1"/>
        <v>2029</v>
      </c>
      <c r="C46" s="744">
        <f>IF(Select2=1,Food!$K48,"")</f>
        <v>3.0125804549664789E-4</v>
      </c>
      <c r="D46" s="745">
        <f>IF(Select2=1,Paper!$K48,"")</f>
        <v>1.8943269534805081E-3</v>
      </c>
      <c r="E46" s="736">
        <f>IF(Select2=1,Nappies!$K48,"")</f>
        <v>5.0767259484328371E-4</v>
      </c>
      <c r="F46" s="745">
        <f>IF(Select2=1,Garden!$K48,"")</f>
        <v>0</v>
      </c>
      <c r="G46" s="736">
        <f>IF(Select2=1,Wood!$K48,"")</f>
        <v>0</v>
      </c>
      <c r="H46" s="745">
        <f>IF(Select2=1,Textiles!$K48,"")</f>
        <v>3.5376835855558157E-5</v>
      </c>
      <c r="I46" s="746">
        <f>Sludge!K48</f>
        <v>0</v>
      </c>
      <c r="J46" s="746" t="str">
        <f>IF(Select2=2,MSW!$K48,"")</f>
        <v/>
      </c>
      <c r="K46" s="746">
        <f>Industry!$K48</f>
        <v>0</v>
      </c>
      <c r="L46" s="747">
        <f t="shared" si="3"/>
        <v>2.7386344296759977E-3</v>
      </c>
      <c r="M46" s="748">
        <f>Recovery_OX!C41</f>
        <v>0</v>
      </c>
      <c r="N46" s="703"/>
      <c r="O46" s="749">
        <f>(L46-M46)*(1-Recovery_OX!F41)</f>
        <v>2.7386344296759977E-3</v>
      </c>
      <c r="P46" s="695"/>
      <c r="Q46" s="705"/>
      <c r="S46" s="743">
        <f t="shared" si="2"/>
        <v>2029</v>
      </c>
      <c r="T46" s="744">
        <f>IF(Select2=1,Food!$W48,"")</f>
        <v>6.2269128874875546E-4</v>
      </c>
      <c r="U46" s="745">
        <f>IF(Select2=1,Paper!$W48,"")</f>
        <v>6.1504121866250261E-2</v>
      </c>
      <c r="V46" s="736">
        <f>IF(Select2=1,Nappies!$W48,"")</f>
        <v>0</v>
      </c>
      <c r="W46" s="745">
        <f>IF(Select2=1,Garden!$W48,"")</f>
        <v>0</v>
      </c>
      <c r="X46" s="736">
        <f>IF(Select2=1,Wood!$W48,"")</f>
        <v>0</v>
      </c>
      <c r="Y46" s="745">
        <f>IF(Select2=1,Textiles!$W48,"")</f>
        <v>2.3261481110503986E-3</v>
      </c>
      <c r="Z46" s="738">
        <f>Sludge!W48</f>
        <v>0</v>
      </c>
      <c r="AA46" s="738" t="str">
        <f>IF(Select2=2,MSW!$W48,"")</f>
        <v/>
      </c>
      <c r="AB46" s="746">
        <f>Industry!$W48</f>
        <v>0</v>
      </c>
      <c r="AC46" s="747">
        <f t="shared" si="0"/>
        <v>6.4452961266049422E-2</v>
      </c>
      <c r="AD46" s="748">
        <f>Recovery_OX!R41</f>
        <v>0</v>
      </c>
      <c r="AE46" s="703"/>
      <c r="AF46" s="750">
        <f>(AC46-AD46)*(1-Recovery_OX!U41)</f>
        <v>6.4452961266049422E-2</v>
      </c>
    </row>
    <row r="47" spans="2:32">
      <c r="B47" s="743">
        <f t="shared" si="1"/>
        <v>2030</v>
      </c>
      <c r="C47" s="744">
        <f>IF(Select2=1,Food!$K49,"")</f>
        <v>2.0193930692591976E-4</v>
      </c>
      <c r="D47" s="745">
        <f>IF(Select2=1,Paper!$K49,"")</f>
        <v>1.7662587443064886E-3</v>
      </c>
      <c r="E47" s="736">
        <f>IF(Select2=1,Nappies!$K49,"")</f>
        <v>4.2830550661946922E-4</v>
      </c>
      <c r="F47" s="745">
        <f>IF(Select2=1,Garden!$K49,"")</f>
        <v>0</v>
      </c>
      <c r="G47" s="736">
        <f>IF(Select2=1,Wood!$K49,"")</f>
        <v>0</v>
      </c>
      <c r="H47" s="745">
        <f>IF(Select2=1,Textiles!$K49,"")</f>
        <v>3.2985143119549581E-5</v>
      </c>
      <c r="I47" s="746">
        <f>Sludge!K49</f>
        <v>0</v>
      </c>
      <c r="J47" s="746" t="str">
        <f>IF(Select2=2,MSW!$K49,"")</f>
        <v/>
      </c>
      <c r="K47" s="746">
        <f>Industry!$K49</f>
        <v>0</v>
      </c>
      <c r="L47" s="747">
        <f t="shared" si="3"/>
        <v>2.4294887009714277E-3</v>
      </c>
      <c r="M47" s="748">
        <f>Recovery_OX!C42</f>
        <v>0</v>
      </c>
      <c r="N47" s="703"/>
      <c r="O47" s="749">
        <f>(L47-M47)*(1-Recovery_OX!F42)</f>
        <v>2.4294887009714277E-3</v>
      </c>
      <c r="P47" s="695"/>
      <c r="Q47" s="705"/>
      <c r="S47" s="743">
        <f t="shared" si="2"/>
        <v>2030</v>
      </c>
      <c r="T47" s="744">
        <f>IF(Select2=1,Food!$W49,"")</f>
        <v>4.1740245334005732E-4</v>
      </c>
      <c r="U47" s="745">
        <f>IF(Select2=1,Paper!$W49,"")</f>
        <v>5.7346063126834046E-2</v>
      </c>
      <c r="V47" s="736">
        <f>IF(Select2=1,Nappies!$W49,"")</f>
        <v>0</v>
      </c>
      <c r="W47" s="745">
        <f>IF(Select2=1,Garden!$W49,"")</f>
        <v>0</v>
      </c>
      <c r="X47" s="736">
        <f>IF(Select2=1,Wood!$W49,"")</f>
        <v>0</v>
      </c>
      <c r="Y47" s="745">
        <f>IF(Select2=1,Textiles!$W49,"")</f>
        <v>2.1688861229292871E-3</v>
      </c>
      <c r="Z47" s="738">
        <f>Sludge!W49</f>
        <v>0</v>
      </c>
      <c r="AA47" s="738" t="str">
        <f>IF(Select2=2,MSW!$W49,"")</f>
        <v/>
      </c>
      <c r="AB47" s="746">
        <f>Industry!$W49</f>
        <v>0</v>
      </c>
      <c r="AC47" s="747">
        <f t="shared" si="0"/>
        <v>5.993235170310339E-2</v>
      </c>
      <c r="AD47" s="748">
        <f>Recovery_OX!R42</f>
        <v>0</v>
      </c>
      <c r="AE47" s="703"/>
      <c r="AF47" s="750">
        <f>(AC47-AD47)*(1-Recovery_OX!U42)</f>
        <v>5.993235170310339E-2</v>
      </c>
    </row>
    <row r="48" spans="2:32">
      <c r="B48" s="743">
        <f t="shared" si="1"/>
        <v>2031</v>
      </c>
      <c r="C48" s="744">
        <f>IF(Select2=1,Food!$K50,"")</f>
        <v>1.3536396551498762E-4</v>
      </c>
      <c r="D48" s="745">
        <f>IF(Select2=1,Paper!$K50,"")</f>
        <v>1.6468487375462103E-3</v>
      </c>
      <c r="E48" s="736">
        <f>IF(Select2=1,Nappies!$K50,"")</f>
        <v>3.613462866893357E-4</v>
      </c>
      <c r="F48" s="745">
        <f>IF(Select2=1,Garden!$K50,"")</f>
        <v>0</v>
      </c>
      <c r="G48" s="736">
        <f>IF(Select2=1,Wood!$K50,"")</f>
        <v>0</v>
      </c>
      <c r="H48" s="745">
        <f>IF(Select2=1,Textiles!$K50,"")</f>
        <v>3.0755143593381237E-5</v>
      </c>
      <c r="I48" s="746">
        <f>Sludge!K50</f>
        <v>0</v>
      </c>
      <c r="J48" s="746" t="str">
        <f>IF(Select2=2,MSW!$K50,"")</f>
        <v/>
      </c>
      <c r="K48" s="746">
        <f>Industry!$K50</f>
        <v>0</v>
      </c>
      <c r="L48" s="747">
        <f t="shared" si="3"/>
        <v>2.1743141333439146E-3</v>
      </c>
      <c r="M48" s="748">
        <f>Recovery_OX!C43</f>
        <v>0</v>
      </c>
      <c r="N48" s="703"/>
      <c r="O48" s="749">
        <f>(L48-M48)*(1-Recovery_OX!F43)</f>
        <v>2.1743141333439146E-3</v>
      </c>
      <c r="P48" s="695"/>
      <c r="Q48" s="705"/>
      <c r="S48" s="743">
        <f t="shared" si="2"/>
        <v>2031</v>
      </c>
      <c r="T48" s="744">
        <f>IF(Select2=1,Food!$W50,"")</f>
        <v>2.7979323173829606E-4</v>
      </c>
      <c r="U48" s="745">
        <f>IF(Select2=1,Paper!$W50,"")</f>
        <v>5.3469114855396446E-2</v>
      </c>
      <c r="V48" s="736">
        <f>IF(Select2=1,Nappies!$W50,"")</f>
        <v>0</v>
      </c>
      <c r="W48" s="745">
        <f>IF(Select2=1,Garden!$W50,"")</f>
        <v>0</v>
      </c>
      <c r="X48" s="736">
        <f>IF(Select2=1,Wood!$W50,"")</f>
        <v>0</v>
      </c>
      <c r="Y48" s="745">
        <f>IF(Select2=1,Textiles!$W50,"")</f>
        <v>2.0222560170990401E-3</v>
      </c>
      <c r="Z48" s="738">
        <f>Sludge!W50</f>
        <v>0</v>
      </c>
      <c r="AA48" s="738" t="str">
        <f>IF(Select2=2,MSW!$W50,"")</f>
        <v/>
      </c>
      <c r="AB48" s="746">
        <f>Industry!$W50</f>
        <v>0</v>
      </c>
      <c r="AC48" s="747">
        <f t="shared" si="0"/>
        <v>5.5771164104233779E-2</v>
      </c>
      <c r="AD48" s="748">
        <f>Recovery_OX!R43</f>
        <v>0</v>
      </c>
      <c r="AE48" s="703"/>
      <c r="AF48" s="750">
        <f>(AC48-AD48)*(1-Recovery_OX!U43)</f>
        <v>5.5771164104233779E-2</v>
      </c>
    </row>
    <row r="49" spans="2:32">
      <c r="B49" s="743">
        <f t="shared" si="1"/>
        <v>2032</v>
      </c>
      <c r="C49" s="744">
        <f>IF(Select2=1,Food!$K51,"")</f>
        <v>9.0737179595573204E-5</v>
      </c>
      <c r="D49" s="745">
        <f>IF(Select2=1,Paper!$K51,"")</f>
        <v>1.5355115852079995E-3</v>
      </c>
      <c r="E49" s="736">
        <f>IF(Select2=1,Nappies!$K51,"")</f>
        <v>3.0485514868754267E-4</v>
      </c>
      <c r="F49" s="745">
        <f>IF(Select2=1,Garden!$K51,"")</f>
        <v>0</v>
      </c>
      <c r="G49" s="736">
        <f>IF(Select2=1,Wood!$K51,"")</f>
        <v>0</v>
      </c>
      <c r="H49" s="745">
        <f>IF(Select2=1,Textiles!$K51,"")</f>
        <v>2.8675905816788689E-5</v>
      </c>
      <c r="I49" s="746">
        <f>Sludge!K51</f>
        <v>0</v>
      </c>
      <c r="J49" s="746" t="str">
        <f>IF(Select2=2,MSW!$K51,"")</f>
        <v/>
      </c>
      <c r="K49" s="746">
        <f>Industry!$K51</f>
        <v>0</v>
      </c>
      <c r="L49" s="747">
        <f t="shared" si="3"/>
        <v>1.9597798193079041E-3</v>
      </c>
      <c r="M49" s="748">
        <f>Recovery_OX!C44</f>
        <v>0</v>
      </c>
      <c r="N49" s="703"/>
      <c r="O49" s="749">
        <f>(L49-M49)*(1-Recovery_OX!F44)</f>
        <v>1.9597798193079041E-3</v>
      </c>
      <c r="P49" s="695"/>
      <c r="Q49" s="705"/>
      <c r="S49" s="743">
        <f t="shared" si="2"/>
        <v>2032</v>
      </c>
      <c r="T49" s="744">
        <f>IF(Select2=1,Food!$W51,"")</f>
        <v>1.8755101197927493E-4</v>
      </c>
      <c r="U49" s="745">
        <f>IF(Select2=1,Paper!$W51,"")</f>
        <v>4.9854272247012971E-2</v>
      </c>
      <c r="V49" s="736">
        <f>IF(Select2=1,Nappies!$W51,"")</f>
        <v>0</v>
      </c>
      <c r="W49" s="745">
        <f>IF(Select2=1,Garden!$W51,"")</f>
        <v>0</v>
      </c>
      <c r="X49" s="736">
        <f>IF(Select2=1,Wood!$W51,"")</f>
        <v>0</v>
      </c>
      <c r="Y49" s="745">
        <f>IF(Select2=1,Textiles!$W51,"")</f>
        <v>1.8855390126107628E-3</v>
      </c>
      <c r="Z49" s="738">
        <f>Sludge!W51</f>
        <v>0</v>
      </c>
      <c r="AA49" s="738" t="str">
        <f>IF(Select2=2,MSW!$W51,"")</f>
        <v/>
      </c>
      <c r="AB49" s="746">
        <f>Industry!$W51</f>
        <v>0</v>
      </c>
      <c r="AC49" s="747">
        <f t="shared" ref="AC49:AC80" si="4">SUM(T49:AA49)</f>
        <v>5.1927362271603009E-2</v>
      </c>
      <c r="AD49" s="748">
        <f>Recovery_OX!R44</f>
        <v>0</v>
      </c>
      <c r="AE49" s="703"/>
      <c r="AF49" s="750">
        <f>(AC49-AD49)*(1-Recovery_OX!U44)</f>
        <v>5.1927362271603009E-2</v>
      </c>
    </row>
    <row r="50" spans="2:32">
      <c r="B50" s="743">
        <f t="shared" si="1"/>
        <v>2033</v>
      </c>
      <c r="C50" s="744">
        <f>IF(Select2=1,Food!$K52,"")</f>
        <v>6.0822950403648699E-5</v>
      </c>
      <c r="D50" s="745">
        <f>IF(Select2=1,Paper!$K52,"")</f>
        <v>1.4317015124419245E-3</v>
      </c>
      <c r="E50" s="736">
        <f>IF(Select2=1,Nappies!$K52,"")</f>
        <v>2.5719556310593904E-4</v>
      </c>
      <c r="F50" s="745">
        <f>IF(Select2=1,Garden!$K52,"")</f>
        <v>0</v>
      </c>
      <c r="G50" s="736">
        <f>IF(Select2=1,Wood!$K52,"")</f>
        <v>0</v>
      </c>
      <c r="H50" s="745">
        <f>IF(Select2=1,Textiles!$K52,"")</f>
        <v>2.6737237363778804E-5</v>
      </c>
      <c r="I50" s="746">
        <f>Sludge!K52</f>
        <v>0</v>
      </c>
      <c r="J50" s="746" t="str">
        <f>IF(Select2=2,MSW!$K52,"")</f>
        <v/>
      </c>
      <c r="K50" s="746">
        <f>Industry!$K52</f>
        <v>0</v>
      </c>
      <c r="L50" s="747">
        <f t="shared" si="3"/>
        <v>1.776457263315291E-3</v>
      </c>
      <c r="M50" s="748">
        <f>Recovery_OX!C45</f>
        <v>0</v>
      </c>
      <c r="N50" s="703"/>
      <c r="O50" s="749">
        <f>(L50-M50)*(1-Recovery_OX!F45)</f>
        <v>1.776457263315291E-3</v>
      </c>
      <c r="P50" s="695"/>
      <c r="Q50" s="705"/>
      <c r="S50" s="743">
        <f t="shared" si="2"/>
        <v>2033</v>
      </c>
      <c r="T50" s="744">
        <f>IF(Select2=1,Food!$W52,"")</f>
        <v>1.2571920298397831E-4</v>
      </c>
      <c r="U50" s="745">
        <f>IF(Select2=1,Paper!$W52,"")</f>
        <v>4.6483815339023529E-2</v>
      </c>
      <c r="V50" s="736">
        <f>IF(Select2=1,Nappies!$W52,"")</f>
        <v>0</v>
      </c>
      <c r="W50" s="745">
        <f>IF(Select2=1,Garden!$W52,"")</f>
        <v>0</v>
      </c>
      <c r="X50" s="736">
        <f>IF(Select2=1,Wood!$W52,"")</f>
        <v>0</v>
      </c>
      <c r="Y50" s="745">
        <f>IF(Select2=1,Textiles!$W52,"")</f>
        <v>1.7580649225498392E-3</v>
      </c>
      <c r="Z50" s="738">
        <f>Sludge!W52</f>
        <v>0</v>
      </c>
      <c r="AA50" s="738" t="str">
        <f>IF(Select2=2,MSW!$W52,"")</f>
        <v/>
      </c>
      <c r="AB50" s="746">
        <f>Industry!$W52</f>
        <v>0</v>
      </c>
      <c r="AC50" s="747">
        <f t="shared" si="4"/>
        <v>4.8367599464557348E-2</v>
      </c>
      <c r="AD50" s="748">
        <f>Recovery_OX!R45</f>
        <v>0</v>
      </c>
      <c r="AE50" s="703"/>
      <c r="AF50" s="750">
        <f>(AC50-AD50)*(1-Recovery_OX!U45)</f>
        <v>4.8367599464557348E-2</v>
      </c>
    </row>
    <row r="51" spans="2:32">
      <c r="B51" s="743">
        <f t="shared" si="1"/>
        <v>2034</v>
      </c>
      <c r="C51" s="744">
        <f>IF(Select2=1,Food!$K53,"")</f>
        <v>4.0770842914597209E-5</v>
      </c>
      <c r="D51" s="745">
        <f>IF(Select2=1,Paper!$K53,"")</f>
        <v>1.3349096421508494E-3</v>
      </c>
      <c r="E51" s="736">
        <f>IF(Select2=1,Nappies!$K53,"")</f>
        <v>2.1698684757717567E-4</v>
      </c>
      <c r="F51" s="745">
        <f>IF(Select2=1,Garden!$K53,"")</f>
        <v>0</v>
      </c>
      <c r="G51" s="736">
        <f>IF(Select2=1,Wood!$K53,"")</f>
        <v>0</v>
      </c>
      <c r="H51" s="745">
        <f>IF(Select2=1,Textiles!$K53,"")</f>
        <v>2.4929634879345769E-5</v>
      </c>
      <c r="I51" s="746">
        <f>Sludge!K53</f>
        <v>0</v>
      </c>
      <c r="J51" s="746" t="str">
        <f>IF(Select2=2,MSW!$K53,"")</f>
        <v/>
      </c>
      <c r="K51" s="746">
        <f>Industry!$K53</f>
        <v>0</v>
      </c>
      <c r="L51" s="747">
        <f t="shared" si="3"/>
        <v>1.6175969675219681E-3</v>
      </c>
      <c r="M51" s="748">
        <f>Recovery_OX!C46</f>
        <v>0</v>
      </c>
      <c r="N51" s="703"/>
      <c r="O51" s="749">
        <f>(L51-M51)*(1-Recovery_OX!F46)</f>
        <v>1.6175969675219681E-3</v>
      </c>
      <c r="P51" s="695"/>
      <c r="Q51" s="705"/>
      <c r="S51" s="743">
        <f t="shared" si="2"/>
        <v>2034</v>
      </c>
      <c r="T51" s="744">
        <f>IF(Select2=1,Food!$W53,"")</f>
        <v>8.427210193178423E-5</v>
      </c>
      <c r="U51" s="745">
        <f>IF(Select2=1,Paper!$W53,"")</f>
        <v>4.3341222147754863E-2</v>
      </c>
      <c r="V51" s="736">
        <f>IF(Select2=1,Nappies!$W53,"")</f>
        <v>0</v>
      </c>
      <c r="W51" s="745">
        <f>IF(Select2=1,Garden!$W53,"")</f>
        <v>0</v>
      </c>
      <c r="X51" s="736">
        <f>IF(Select2=1,Wood!$W53,"")</f>
        <v>0</v>
      </c>
      <c r="Y51" s="745">
        <f>IF(Select2=1,Textiles!$W53,"")</f>
        <v>1.6392088687788994E-3</v>
      </c>
      <c r="Z51" s="738">
        <f>Sludge!W53</f>
        <v>0</v>
      </c>
      <c r="AA51" s="738" t="str">
        <f>IF(Select2=2,MSW!$W53,"")</f>
        <v/>
      </c>
      <c r="AB51" s="746">
        <f>Industry!$W53</f>
        <v>0</v>
      </c>
      <c r="AC51" s="747">
        <f t="shared" si="4"/>
        <v>4.5064703118465547E-2</v>
      </c>
      <c r="AD51" s="748">
        <f>Recovery_OX!R46</f>
        <v>0</v>
      </c>
      <c r="AE51" s="703"/>
      <c r="AF51" s="750">
        <f>(AC51-AD51)*(1-Recovery_OX!U46)</f>
        <v>4.5064703118465547E-2</v>
      </c>
    </row>
    <row r="52" spans="2:32">
      <c r="B52" s="743">
        <f t="shared" si="1"/>
        <v>2035</v>
      </c>
      <c r="C52" s="744">
        <f>IF(Select2=1,Food!$K54,"")</f>
        <v>2.7329513299424624E-5</v>
      </c>
      <c r="D52" s="745">
        <f>IF(Select2=1,Paper!$K54,"")</f>
        <v>1.244661500474313E-3</v>
      </c>
      <c r="E52" s="736">
        <f>IF(Select2=1,Nappies!$K54,"")</f>
        <v>1.8306416896502538E-4</v>
      </c>
      <c r="F52" s="745">
        <f>IF(Select2=1,Garden!$K54,"")</f>
        <v>0</v>
      </c>
      <c r="G52" s="736">
        <f>IF(Select2=1,Wood!$K54,"")</f>
        <v>0</v>
      </c>
      <c r="H52" s="745">
        <f>IF(Select2=1,Textiles!$K54,"")</f>
        <v>2.3244237494013763E-5</v>
      </c>
      <c r="I52" s="746">
        <f>Sludge!K54</f>
        <v>0</v>
      </c>
      <c r="J52" s="746" t="str">
        <f>IF(Select2=2,MSW!$K54,"")</f>
        <v/>
      </c>
      <c r="K52" s="746">
        <f>Industry!$K54</f>
        <v>0</v>
      </c>
      <c r="L52" s="747">
        <f t="shared" si="3"/>
        <v>1.4782994202327769E-3</v>
      </c>
      <c r="M52" s="748">
        <f>Recovery_OX!C47</f>
        <v>0</v>
      </c>
      <c r="N52" s="703"/>
      <c r="O52" s="749">
        <f>(L52-M52)*(1-Recovery_OX!F47)</f>
        <v>1.4782994202327769E-3</v>
      </c>
      <c r="P52" s="695"/>
      <c r="Q52" s="705"/>
      <c r="S52" s="743">
        <f t="shared" si="2"/>
        <v>2035</v>
      </c>
      <c r="T52" s="744">
        <f>IF(Select2=1,Food!$W54,"")</f>
        <v>5.6489279246433696E-5</v>
      </c>
      <c r="U52" s="745">
        <f>IF(Select2=1,Paper!$W54,"")</f>
        <v>4.0411087677737441E-2</v>
      </c>
      <c r="V52" s="736">
        <f>IF(Select2=1,Nappies!$W54,"")</f>
        <v>0</v>
      </c>
      <c r="W52" s="745">
        <f>IF(Select2=1,Garden!$W54,"")</f>
        <v>0</v>
      </c>
      <c r="X52" s="736">
        <f>IF(Select2=1,Wood!$W54,"")</f>
        <v>0</v>
      </c>
      <c r="Y52" s="745">
        <f>IF(Select2=1,Textiles!$W54,"")</f>
        <v>1.5283882187844666E-3</v>
      </c>
      <c r="Z52" s="738">
        <f>Sludge!W54</f>
        <v>0</v>
      </c>
      <c r="AA52" s="738" t="str">
        <f>IF(Select2=2,MSW!$W54,"")</f>
        <v/>
      </c>
      <c r="AB52" s="746">
        <f>Industry!$W54</f>
        <v>0</v>
      </c>
      <c r="AC52" s="747">
        <f t="shared" si="4"/>
        <v>4.1995965175768341E-2</v>
      </c>
      <c r="AD52" s="748">
        <f>Recovery_OX!R47</f>
        <v>0</v>
      </c>
      <c r="AE52" s="703"/>
      <c r="AF52" s="750">
        <f>(AC52-AD52)*(1-Recovery_OX!U47)</f>
        <v>4.1995965175768341E-2</v>
      </c>
    </row>
    <row r="53" spans="2:32">
      <c r="B53" s="743">
        <f t="shared" si="1"/>
        <v>2036</v>
      </c>
      <c r="C53" s="744">
        <f>IF(Select2=1,Food!$K55,"")</f>
        <v>1.8319520613001933E-5</v>
      </c>
      <c r="D53" s="745">
        <f>IF(Select2=1,Paper!$K55,"")</f>
        <v>1.160514690917114E-3</v>
      </c>
      <c r="E53" s="736">
        <f>IF(Select2=1,Nappies!$K55,"")</f>
        <v>1.5444479853524753E-4</v>
      </c>
      <c r="F53" s="745">
        <f>IF(Select2=1,Garden!$K55,"")</f>
        <v>0</v>
      </c>
      <c r="G53" s="736">
        <f>IF(Select2=1,Wood!$K55,"")</f>
        <v>0</v>
      </c>
      <c r="H53" s="745">
        <f>IF(Select2=1,Textiles!$K55,"")</f>
        <v>2.1672783387844556E-5</v>
      </c>
      <c r="I53" s="746">
        <f>Sludge!K55</f>
        <v>0</v>
      </c>
      <c r="J53" s="746" t="str">
        <f>IF(Select2=2,MSW!$K55,"")</f>
        <v/>
      </c>
      <c r="K53" s="746">
        <f>Industry!$K55</f>
        <v>0</v>
      </c>
      <c r="L53" s="747">
        <f t="shared" si="3"/>
        <v>1.3549517934532079E-3</v>
      </c>
      <c r="M53" s="748">
        <f>Recovery_OX!C48</f>
        <v>0</v>
      </c>
      <c r="N53" s="703"/>
      <c r="O53" s="749">
        <f>(L53-M53)*(1-Recovery_OX!F48)</f>
        <v>1.3549517934532079E-3</v>
      </c>
      <c r="P53" s="695"/>
      <c r="Q53" s="705"/>
      <c r="S53" s="743">
        <f t="shared" si="2"/>
        <v>2036</v>
      </c>
      <c r="T53" s="744">
        <f>IF(Select2=1,Food!$W55,"")</f>
        <v>3.7865896264989516E-5</v>
      </c>
      <c r="U53" s="745">
        <f>IF(Select2=1,Paper!$W55,"")</f>
        <v>3.7679048406399809E-2</v>
      </c>
      <c r="V53" s="736">
        <f>IF(Select2=1,Nappies!$W55,"")</f>
        <v>0</v>
      </c>
      <c r="W53" s="745">
        <f>IF(Select2=1,Garden!$W55,"")</f>
        <v>0</v>
      </c>
      <c r="X53" s="736">
        <f>IF(Select2=1,Wood!$W55,"")</f>
        <v>0</v>
      </c>
      <c r="Y53" s="745">
        <f>IF(Select2=1,Textiles!$W55,"")</f>
        <v>1.4250597296116968E-3</v>
      </c>
      <c r="Z53" s="738">
        <f>Sludge!W55</f>
        <v>0</v>
      </c>
      <c r="AA53" s="738" t="str">
        <f>IF(Select2=2,MSW!$W55,"")</f>
        <v/>
      </c>
      <c r="AB53" s="746">
        <f>Industry!$W55</f>
        <v>0</v>
      </c>
      <c r="AC53" s="747">
        <f t="shared" si="4"/>
        <v>3.9141974032276497E-2</v>
      </c>
      <c r="AD53" s="748">
        <f>Recovery_OX!R48</f>
        <v>0</v>
      </c>
      <c r="AE53" s="703"/>
      <c r="AF53" s="750">
        <f>(AC53-AD53)*(1-Recovery_OX!U48)</f>
        <v>3.9141974032276497E-2</v>
      </c>
    </row>
    <row r="54" spans="2:32">
      <c r="B54" s="743">
        <f t="shared" si="1"/>
        <v>2037</v>
      </c>
      <c r="C54" s="744">
        <f>IF(Select2=1,Food!$K56,"")</f>
        <v>1.2279941900658298E-5</v>
      </c>
      <c r="D54" s="745">
        <f>IF(Select2=1,Paper!$K56,"")</f>
        <v>1.0820567257211788E-3</v>
      </c>
      <c r="E54" s="736">
        <f>IF(Select2=1,Nappies!$K56,"")</f>
        <v>1.3029964263050502E-4</v>
      </c>
      <c r="F54" s="745">
        <f>IF(Select2=1,Garden!$K56,"")</f>
        <v>0</v>
      </c>
      <c r="G54" s="736">
        <f>IF(Select2=1,Wood!$K56,"")</f>
        <v>0</v>
      </c>
      <c r="H54" s="745">
        <f>IF(Select2=1,Textiles!$K56,"")</f>
        <v>2.0207569290986563E-5</v>
      </c>
      <c r="I54" s="746">
        <f>Sludge!K56</f>
        <v>0</v>
      </c>
      <c r="J54" s="746" t="str">
        <f>IF(Select2=2,MSW!$K56,"")</f>
        <v/>
      </c>
      <c r="K54" s="746">
        <f>Industry!$K56</f>
        <v>0</v>
      </c>
      <c r="L54" s="747">
        <f t="shared" si="3"/>
        <v>1.2448438795433286E-3</v>
      </c>
      <c r="M54" s="748">
        <f>Recovery_OX!C49</f>
        <v>0</v>
      </c>
      <c r="N54" s="703"/>
      <c r="O54" s="749">
        <f>(L54-M54)*(1-Recovery_OX!F49)</f>
        <v>1.2448438795433286E-3</v>
      </c>
      <c r="P54" s="695"/>
      <c r="Q54" s="705"/>
      <c r="S54" s="743">
        <f t="shared" si="2"/>
        <v>2037</v>
      </c>
      <c r="T54" s="744">
        <f>IF(Select2=1,Food!$W56,"")</f>
        <v>2.5382269327528516E-5</v>
      </c>
      <c r="U54" s="745">
        <f>IF(Select2=1,Paper!$W56,"")</f>
        <v>3.5131711874064254E-2</v>
      </c>
      <c r="V54" s="736">
        <f>IF(Select2=1,Nappies!$W56,"")</f>
        <v>0</v>
      </c>
      <c r="W54" s="745">
        <f>IF(Select2=1,Garden!$W56,"")</f>
        <v>0</v>
      </c>
      <c r="X54" s="736">
        <f>IF(Select2=1,Wood!$W56,"")</f>
        <v>0</v>
      </c>
      <c r="Y54" s="745">
        <f>IF(Select2=1,Textiles!$W56,"")</f>
        <v>1.3287168848867877E-3</v>
      </c>
      <c r="Z54" s="738">
        <f>Sludge!W56</f>
        <v>0</v>
      </c>
      <c r="AA54" s="738" t="str">
        <f>IF(Select2=2,MSW!$W56,"")</f>
        <v/>
      </c>
      <c r="AB54" s="746">
        <f>Industry!$W56</f>
        <v>0</v>
      </c>
      <c r="AC54" s="747">
        <f t="shared" si="4"/>
        <v>3.6485811028278574E-2</v>
      </c>
      <c r="AD54" s="748">
        <f>Recovery_OX!R49</f>
        <v>0</v>
      </c>
      <c r="AE54" s="703"/>
      <c r="AF54" s="750">
        <f>(AC54-AD54)*(1-Recovery_OX!U49)</f>
        <v>3.6485811028278574E-2</v>
      </c>
    </row>
    <row r="55" spans="2:32">
      <c r="B55" s="743">
        <f t="shared" si="1"/>
        <v>2038</v>
      </c>
      <c r="C55" s="744">
        <f>IF(Select2=1,Food!$K57,"")</f>
        <v>8.2314912201642471E-6</v>
      </c>
      <c r="D55" s="745">
        <f>IF(Select2=1,Paper!$K57,"")</f>
        <v>1.0089030038500928E-3</v>
      </c>
      <c r="E55" s="736">
        <f>IF(Select2=1,Nappies!$K57,"")</f>
        <v>1.0992922410243939E-4</v>
      </c>
      <c r="F55" s="745">
        <f>IF(Select2=1,Garden!$K57,"")</f>
        <v>0</v>
      </c>
      <c r="G55" s="736">
        <f>IF(Select2=1,Wood!$K57,"")</f>
        <v>0</v>
      </c>
      <c r="H55" s="745">
        <f>IF(Select2=1,Textiles!$K57,"")</f>
        <v>1.8841412722237098E-5</v>
      </c>
      <c r="I55" s="746">
        <f>Sludge!K57</f>
        <v>0</v>
      </c>
      <c r="J55" s="746" t="str">
        <f>IF(Select2=2,MSW!$K57,"")</f>
        <v/>
      </c>
      <c r="K55" s="746">
        <f>Industry!$K57</f>
        <v>0</v>
      </c>
      <c r="L55" s="747">
        <f t="shared" si="3"/>
        <v>1.1459051318949336E-3</v>
      </c>
      <c r="M55" s="748">
        <f>Recovery_OX!C50</f>
        <v>0</v>
      </c>
      <c r="N55" s="703"/>
      <c r="O55" s="749">
        <f>(L55-M55)*(1-Recovery_OX!F50)</f>
        <v>1.1459051318949336E-3</v>
      </c>
      <c r="P55" s="695"/>
      <c r="Q55" s="705"/>
      <c r="S55" s="743">
        <f t="shared" si="2"/>
        <v>2038</v>
      </c>
      <c r="T55" s="744">
        <f>IF(Select2=1,Food!$W57,"")</f>
        <v>1.701424394411791E-5</v>
      </c>
      <c r="U55" s="745">
        <f>IF(Select2=1,Paper!$W57,"")</f>
        <v>3.2756591034093931E-2</v>
      </c>
      <c r="V55" s="736">
        <f>IF(Select2=1,Nappies!$W57,"")</f>
        <v>0</v>
      </c>
      <c r="W55" s="745">
        <f>IF(Select2=1,Garden!$W57,"")</f>
        <v>0</v>
      </c>
      <c r="X55" s="736">
        <f>IF(Select2=1,Wood!$W57,"")</f>
        <v>0</v>
      </c>
      <c r="Y55" s="745">
        <f>IF(Select2=1,Textiles!$W57,"")</f>
        <v>1.2388874118731243E-3</v>
      </c>
      <c r="Z55" s="738">
        <f>Sludge!W57</f>
        <v>0</v>
      </c>
      <c r="AA55" s="738" t="str">
        <f>IF(Select2=2,MSW!$W57,"")</f>
        <v/>
      </c>
      <c r="AB55" s="746">
        <f>Industry!$W57</f>
        <v>0</v>
      </c>
      <c r="AC55" s="747">
        <f t="shared" si="4"/>
        <v>3.4012492689911175E-2</v>
      </c>
      <c r="AD55" s="748">
        <f>Recovery_OX!R50</f>
        <v>0</v>
      </c>
      <c r="AE55" s="703"/>
      <c r="AF55" s="750">
        <f>(AC55-AD55)*(1-Recovery_OX!U50)</f>
        <v>3.4012492689911175E-2</v>
      </c>
    </row>
    <row r="56" spans="2:32">
      <c r="B56" s="743">
        <f t="shared" si="1"/>
        <v>2039</v>
      </c>
      <c r="C56" s="744">
        <f>IF(Select2=1,Food!$K58,"")</f>
        <v>5.5177335736424587E-6</v>
      </c>
      <c r="D56" s="745">
        <f>IF(Select2=1,Paper!$K58,"")</f>
        <v>9.406949256743738E-4</v>
      </c>
      <c r="E56" s="736">
        <f>IF(Select2=1,Nappies!$K58,"")</f>
        <v>9.2743418690967275E-5</v>
      </c>
      <c r="F56" s="745">
        <f>IF(Select2=1,Garden!$K58,"")</f>
        <v>0</v>
      </c>
      <c r="G56" s="736">
        <f>IF(Select2=1,Wood!$K58,"")</f>
        <v>0</v>
      </c>
      <c r="H56" s="745">
        <f>IF(Select2=1,Textiles!$K58,"")</f>
        <v>1.7567616780511182E-5</v>
      </c>
      <c r="I56" s="746">
        <f>Sludge!K58</f>
        <v>0</v>
      </c>
      <c r="J56" s="746" t="str">
        <f>IF(Select2=2,MSW!$K58,"")</f>
        <v/>
      </c>
      <c r="K56" s="746">
        <f>Industry!$K58</f>
        <v>0</v>
      </c>
      <c r="L56" s="747">
        <f t="shared" si="3"/>
        <v>1.0565236947194948E-3</v>
      </c>
      <c r="M56" s="748">
        <f>Recovery_OX!C51</f>
        <v>0</v>
      </c>
      <c r="N56" s="703"/>
      <c r="O56" s="749">
        <f>(L56-M56)*(1-Recovery_OX!F51)</f>
        <v>1.0565236947194948E-3</v>
      </c>
      <c r="P56" s="695"/>
      <c r="Q56" s="705"/>
      <c r="S56" s="743">
        <f t="shared" si="2"/>
        <v>2039</v>
      </c>
      <c r="T56" s="744">
        <f>IF(Select2=1,Food!$W58,"")</f>
        <v>1.1404988783882716E-5</v>
      </c>
      <c r="U56" s="745">
        <f>IF(Select2=1,Paper!$W58,"")</f>
        <v>3.0542043041375776E-2</v>
      </c>
      <c r="V56" s="736">
        <f>IF(Select2=1,Nappies!$W58,"")</f>
        <v>0</v>
      </c>
      <c r="W56" s="745">
        <f>IF(Select2=1,Garden!$W58,"")</f>
        <v>0</v>
      </c>
      <c r="X56" s="736">
        <f>IF(Select2=1,Wood!$W58,"")</f>
        <v>0</v>
      </c>
      <c r="Y56" s="745">
        <f>IF(Select2=1,Textiles!$W58,"")</f>
        <v>1.1551309663897762E-3</v>
      </c>
      <c r="Z56" s="738">
        <f>Sludge!W58</f>
        <v>0</v>
      </c>
      <c r="AA56" s="738" t="str">
        <f>IF(Select2=2,MSW!$W58,"")</f>
        <v/>
      </c>
      <c r="AB56" s="746">
        <f>Industry!$W58</f>
        <v>0</v>
      </c>
      <c r="AC56" s="747">
        <f t="shared" si="4"/>
        <v>3.1708578996549434E-2</v>
      </c>
      <c r="AD56" s="748">
        <f>Recovery_OX!R51</f>
        <v>0</v>
      </c>
      <c r="AE56" s="703"/>
      <c r="AF56" s="750">
        <f>(AC56-AD56)*(1-Recovery_OX!U51)</f>
        <v>3.1708578996549434E-2</v>
      </c>
    </row>
    <row r="57" spans="2:32">
      <c r="B57" s="743">
        <f t="shared" si="1"/>
        <v>2040</v>
      </c>
      <c r="C57" s="744">
        <f>IF(Select2=1,Food!$K59,"")</f>
        <v>3.6986474230964057E-6</v>
      </c>
      <c r="D57" s="745">
        <f>IF(Select2=1,Paper!$K59,"")</f>
        <v>8.7709813511567156E-4</v>
      </c>
      <c r="E57" s="736">
        <f>IF(Select2=1,Nappies!$K59,"")</f>
        <v>7.8244359320436542E-5</v>
      </c>
      <c r="F57" s="745">
        <f>IF(Select2=1,Garden!$K59,"")</f>
        <v>0</v>
      </c>
      <c r="G57" s="736">
        <f>IF(Select2=1,Wood!$K59,"")</f>
        <v>0</v>
      </c>
      <c r="H57" s="745">
        <f>IF(Select2=1,Textiles!$K59,"")</f>
        <v>1.6379937316624656E-5</v>
      </c>
      <c r="I57" s="746">
        <f>Sludge!K59</f>
        <v>0</v>
      </c>
      <c r="J57" s="746" t="str">
        <f>IF(Select2=2,MSW!$K59,"")</f>
        <v/>
      </c>
      <c r="K57" s="746">
        <f>Industry!$K59</f>
        <v>0</v>
      </c>
      <c r="L57" s="747">
        <f t="shared" si="3"/>
        <v>9.7542107917582917E-4</v>
      </c>
      <c r="M57" s="748">
        <f>Recovery_OX!C52</f>
        <v>0</v>
      </c>
      <c r="N57" s="703"/>
      <c r="O57" s="749">
        <f>(L57-M57)*(1-Recovery_OX!F52)</f>
        <v>9.7542107917582917E-4</v>
      </c>
      <c r="P57" s="695"/>
      <c r="Q57" s="705"/>
      <c r="S57" s="743">
        <f t="shared" si="2"/>
        <v>2040</v>
      </c>
      <c r="T57" s="744">
        <f>IF(Select2=1,Food!$W59,"")</f>
        <v>7.6449926066482124E-6</v>
      </c>
      <c r="U57" s="745">
        <f>IF(Select2=1,Paper!$W59,"")</f>
        <v>2.8477212179080245E-2</v>
      </c>
      <c r="V57" s="736">
        <f>IF(Select2=1,Nappies!$W59,"")</f>
        <v>0</v>
      </c>
      <c r="W57" s="745">
        <f>IF(Select2=1,Garden!$W59,"")</f>
        <v>0</v>
      </c>
      <c r="X57" s="736">
        <f>IF(Select2=1,Wood!$W59,"")</f>
        <v>0</v>
      </c>
      <c r="Y57" s="745">
        <f>IF(Select2=1,Textiles!$W59,"")</f>
        <v>1.077036974243813E-3</v>
      </c>
      <c r="Z57" s="738">
        <f>Sludge!W59</f>
        <v>0</v>
      </c>
      <c r="AA57" s="738" t="str">
        <f>IF(Select2=2,MSW!$W59,"")</f>
        <v/>
      </c>
      <c r="AB57" s="746">
        <f>Industry!$W59</f>
        <v>0</v>
      </c>
      <c r="AC57" s="747">
        <f t="shared" si="4"/>
        <v>2.9561894145930707E-2</v>
      </c>
      <c r="AD57" s="748">
        <f>Recovery_OX!R52</f>
        <v>0</v>
      </c>
      <c r="AE57" s="703"/>
      <c r="AF57" s="750">
        <f>(AC57-AD57)*(1-Recovery_OX!U52)</f>
        <v>2.9561894145930707E-2</v>
      </c>
    </row>
    <row r="58" spans="2:32">
      <c r="B58" s="743">
        <f t="shared" si="1"/>
        <v>2041</v>
      </c>
      <c r="C58" s="744">
        <f>IF(Select2=1,Food!$K60,"")</f>
        <v>2.4792775109195814E-6</v>
      </c>
      <c r="D58" s="745">
        <f>IF(Select2=1,Paper!$K60,"")</f>
        <v>8.1780088063288458E-4</v>
      </c>
      <c r="E58" s="736">
        <f>IF(Select2=1,Nappies!$K60,"")</f>
        <v>6.6012013055777628E-5</v>
      </c>
      <c r="F58" s="745">
        <f>IF(Select2=1,Garden!$K60,"")</f>
        <v>0</v>
      </c>
      <c r="G58" s="736">
        <f>IF(Select2=1,Wood!$K60,"")</f>
        <v>0</v>
      </c>
      <c r="H58" s="745">
        <f>IF(Select2=1,Textiles!$K60,"")</f>
        <v>1.5272552324467648E-5</v>
      </c>
      <c r="I58" s="746">
        <f>Sludge!K60</f>
        <v>0</v>
      </c>
      <c r="J58" s="746" t="str">
        <f>IF(Select2=2,MSW!$K60,"")</f>
        <v/>
      </c>
      <c r="K58" s="746">
        <f>Industry!$K60</f>
        <v>0</v>
      </c>
      <c r="L58" s="747">
        <f t="shared" si="3"/>
        <v>9.0156472352404947E-4</v>
      </c>
      <c r="M58" s="748">
        <f>Recovery_OX!C53</f>
        <v>0</v>
      </c>
      <c r="N58" s="703"/>
      <c r="O58" s="749">
        <f>(L58-M58)*(1-Recovery_OX!F53)</f>
        <v>9.0156472352404947E-4</v>
      </c>
      <c r="P58" s="695"/>
      <c r="Q58" s="705"/>
      <c r="S58" s="743">
        <f t="shared" si="2"/>
        <v>2041</v>
      </c>
      <c r="T58" s="744">
        <f>IF(Select2=1,Food!$W60,"")</f>
        <v>5.1245917960305511E-6</v>
      </c>
      <c r="U58" s="745">
        <f>IF(Select2=1,Paper!$W60,"")</f>
        <v>2.6551976643924825E-2</v>
      </c>
      <c r="V58" s="736">
        <f>IF(Select2=1,Nappies!$W60,"")</f>
        <v>0</v>
      </c>
      <c r="W58" s="745">
        <f>IF(Select2=1,Garden!$W60,"")</f>
        <v>0</v>
      </c>
      <c r="X58" s="736">
        <f>IF(Select2=1,Wood!$W60,"")</f>
        <v>0</v>
      </c>
      <c r="Y58" s="745">
        <f>IF(Select2=1,Textiles!$W60,"")</f>
        <v>1.0042226185951329E-3</v>
      </c>
      <c r="Z58" s="738">
        <f>Sludge!W60</f>
        <v>0</v>
      </c>
      <c r="AA58" s="738" t="str">
        <f>IF(Select2=2,MSW!$W60,"")</f>
        <v/>
      </c>
      <c r="AB58" s="746">
        <f>Industry!$W60</f>
        <v>0</v>
      </c>
      <c r="AC58" s="747">
        <f t="shared" si="4"/>
        <v>2.7561323854315988E-2</v>
      </c>
      <c r="AD58" s="748">
        <f>Recovery_OX!R53</f>
        <v>0</v>
      </c>
      <c r="AE58" s="703"/>
      <c r="AF58" s="750">
        <f>(AC58-AD58)*(1-Recovery_OX!U53)</f>
        <v>2.7561323854315988E-2</v>
      </c>
    </row>
    <row r="59" spans="2:32">
      <c r="B59" s="743">
        <f t="shared" si="1"/>
        <v>2042</v>
      </c>
      <c r="C59" s="744">
        <f>IF(Select2=1,Food!$K61,"")</f>
        <v>1.6619094152547393E-6</v>
      </c>
      <c r="D59" s="745">
        <f>IF(Select2=1,Paper!$K61,"")</f>
        <v>7.6251248701574373E-4</v>
      </c>
      <c r="E59" s="736">
        <f>IF(Select2=1,Nappies!$K61,"")</f>
        <v>5.5692012887860722E-5</v>
      </c>
      <c r="F59" s="745">
        <f>IF(Select2=1,Garden!$K61,"")</f>
        <v>0</v>
      </c>
      <c r="G59" s="736">
        <f>IF(Select2=1,Wood!$K61,"")</f>
        <v>0</v>
      </c>
      <c r="H59" s="745">
        <f>IF(Select2=1,Textiles!$K61,"")</f>
        <v>1.4240033401523862E-5</v>
      </c>
      <c r="I59" s="746">
        <f>Sludge!K61</f>
        <v>0</v>
      </c>
      <c r="J59" s="746" t="str">
        <f>IF(Select2=2,MSW!$K61,"")</f>
        <v/>
      </c>
      <c r="K59" s="746">
        <f>Industry!$K61</f>
        <v>0</v>
      </c>
      <c r="L59" s="747">
        <f t="shared" si="3"/>
        <v>8.3410644272038296E-4</v>
      </c>
      <c r="M59" s="748">
        <f>Recovery_OX!C54</f>
        <v>0</v>
      </c>
      <c r="N59" s="703"/>
      <c r="O59" s="749">
        <f>(L59-M59)*(1-Recovery_OX!F54)</f>
        <v>8.3410644272038296E-4</v>
      </c>
      <c r="P59" s="695"/>
      <c r="Q59" s="705"/>
      <c r="S59" s="743">
        <f t="shared" si="2"/>
        <v>2042</v>
      </c>
      <c r="T59" s="744">
        <f>IF(Select2=1,Food!$W61,"")</f>
        <v>3.4351166086290588E-6</v>
      </c>
      <c r="U59" s="745">
        <f>IF(Select2=1,Paper!$W61,"")</f>
        <v>2.4756898929082588E-2</v>
      </c>
      <c r="V59" s="736">
        <f>IF(Select2=1,Nappies!$W61,"")</f>
        <v>0</v>
      </c>
      <c r="W59" s="745">
        <f>IF(Select2=1,Garden!$W61,"")</f>
        <v>0</v>
      </c>
      <c r="X59" s="736">
        <f>IF(Select2=1,Wood!$W61,"")</f>
        <v>0</v>
      </c>
      <c r="Y59" s="745">
        <f>IF(Select2=1,Textiles!$W61,"")</f>
        <v>9.3633096338787043E-4</v>
      </c>
      <c r="Z59" s="738">
        <f>Sludge!W61</f>
        <v>0</v>
      </c>
      <c r="AA59" s="738" t="str">
        <f>IF(Select2=2,MSW!$W61,"")</f>
        <v/>
      </c>
      <c r="AB59" s="746">
        <f>Industry!$W61</f>
        <v>0</v>
      </c>
      <c r="AC59" s="747">
        <f t="shared" si="4"/>
        <v>2.5696665009079089E-2</v>
      </c>
      <c r="AD59" s="748">
        <f>Recovery_OX!R54</f>
        <v>0</v>
      </c>
      <c r="AE59" s="703"/>
      <c r="AF59" s="750">
        <f>(AC59-AD59)*(1-Recovery_OX!U54)</f>
        <v>2.5696665009079089E-2</v>
      </c>
    </row>
    <row r="60" spans="2:32">
      <c r="B60" s="743">
        <f t="shared" si="1"/>
        <v>2043</v>
      </c>
      <c r="C60" s="744">
        <f>IF(Select2=1,Food!$K62,"")</f>
        <v>1.1140111957406192E-6</v>
      </c>
      <c r="D60" s="745">
        <f>IF(Select2=1,Paper!$K62,"")</f>
        <v>7.1096193049459389E-4</v>
      </c>
      <c r="E60" s="736">
        <f>IF(Select2=1,Nappies!$K62,"")</f>
        <v>4.6985391838920453E-5</v>
      </c>
      <c r="F60" s="745">
        <f>IF(Select2=1,Garden!$K62,"")</f>
        <v>0</v>
      </c>
      <c r="G60" s="736">
        <f>IF(Select2=1,Wood!$K62,"")</f>
        <v>0</v>
      </c>
      <c r="H60" s="745">
        <f>IF(Select2=1,Textiles!$K62,"")</f>
        <v>1.3277319138835127E-5</v>
      </c>
      <c r="I60" s="746">
        <f>Sludge!K62</f>
        <v>0</v>
      </c>
      <c r="J60" s="746" t="str">
        <f>IF(Select2=2,MSW!$K62,"")</f>
        <v/>
      </c>
      <c r="K60" s="746">
        <f>Industry!$K62</f>
        <v>0</v>
      </c>
      <c r="L60" s="747">
        <f t="shared" si="3"/>
        <v>7.7233865266809006E-4</v>
      </c>
      <c r="M60" s="748">
        <f>Recovery_OX!C55</f>
        <v>0</v>
      </c>
      <c r="N60" s="703"/>
      <c r="O60" s="749">
        <f>(L60-M60)*(1-Recovery_OX!F55)</f>
        <v>7.7233865266809006E-4</v>
      </c>
      <c r="P60" s="695"/>
      <c r="Q60" s="705"/>
      <c r="S60" s="743">
        <f t="shared" si="2"/>
        <v>2043</v>
      </c>
      <c r="T60" s="744">
        <f>IF(Select2=1,Food!$W62,"")</f>
        <v>2.3026275232340197E-6</v>
      </c>
      <c r="U60" s="745">
        <f>IF(Select2=1,Paper!$W62,"")</f>
        <v>2.3083179561512793E-2</v>
      </c>
      <c r="V60" s="736">
        <f>IF(Select2=1,Nappies!$W62,"")</f>
        <v>0</v>
      </c>
      <c r="W60" s="745">
        <f>IF(Select2=1,Garden!$W62,"")</f>
        <v>0</v>
      </c>
      <c r="X60" s="736">
        <f>IF(Select2=1,Wood!$W62,"")</f>
        <v>0</v>
      </c>
      <c r="Y60" s="745">
        <f>IF(Select2=1,Textiles!$W62,"")</f>
        <v>8.7302920364943303E-4</v>
      </c>
      <c r="Z60" s="738">
        <f>Sludge!W62</f>
        <v>0</v>
      </c>
      <c r="AA60" s="738" t="str">
        <f>IF(Select2=2,MSW!$W62,"")</f>
        <v/>
      </c>
      <c r="AB60" s="746">
        <f>Industry!$W62</f>
        <v>0</v>
      </c>
      <c r="AC60" s="747">
        <f t="shared" si="4"/>
        <v>2.3958511392685459E-2</v>
      </c>
      <c r="AD60" s="748">
        <f>Recovery_OX!R55</f>
        <v>0</v>
      </c>
      <c r="AE60" s="703"/>
      <c r="AF60" s="750">
        <f>(AC60-AD60)*(1-Recovery_OX!U55)</f>
        <v>2.3958511392685459E-2</v>
      </c>
    </row>
    <row r="61" spans="2:32">
      <c r="B61" s="743">
        <f t="shared" si="1"/>
        <v>2044</v>
      </c>
      <c r="C61" s="744">
        <f>IF(Select2=1,Food!$K63,"")</f>
        <v>7.4674403601306946E-7</v>
      </c>
      <c r="D61" s="745">
        <f>IF(Select2=1,Paper!$K63,"")</f>
        <v>6.6289651018156177E-4</v>
      </c>
      <c r="E61" s="736">
        <f>IF(Select2=1,Nappies!$K63,"")</f>
        <v>3.9639921988492048E-5</v>
      </c>
      <c r="F61" s="745">
        <f>IF(Select2=1,Garden!$K63,"")</f>
        <v>0</v>
      </c>
      <c r="G61" s="736">
        <f>IF(Select2=1,Wood!$K63,"")</f>
        <v>0</v>
      </c>
      <c r="H61" s="745">
        <f>IF(Select2=1,Textiles!$K63,"")</f>
        <v>1.2379690309968839E-5</v>
      </c>
      <c r="I61" s="746">
        <f>Sludge!K63</f>
        <v>0</v>
      </c>
      <c r="J61" s="746" t="str">
        <f>IF(Select2=2,MSW!$K63,"")</f>
        <v/>
      </c>
      <c r="K61" s="746">
        <f>Industry!$K63</f>
        <v>0</v>
      </c>
      <c r="L61" s="747">
        <f t="shared" si="3"/>
        <v>7.1566286651603573E-4</v>
      </c>
      <c r="M61" s="748">
        <f>Recovery_OX!C56</f>
        <v>0</v>
      </c>
      <c r="N61" s="703"/>
      <c r="O61" s="749">
        <f>(L61-M61)*(1-Recovery_OX!F56)</f>
        <v>7.1566286651603573E-4</v>
      </c>
      <c r="P61" s="695"/>
      <c r="Q61" s="705"/>
      <c r="S61" s="743">
        <f t="shared" si="2"/>
        <v>2044</v>
      </c>
      <c r="T61" s="744">
        <f>IF(Select2=1,Food!$W63,"")</f>
        <v>1.5434973873771584E-6</v>
      </c>
      <c r="U61" s="745">
        <f>IF(Select2=1,Paper!$W63,"")</f>
        <v>2.1522613966933824E-2</v>
      </c>
      <c r="V61" s="736">
        <f>IF(Select2=1,Nappies!$W63,"")</f>
        <v>0</v>
      </c>
      <c r="W61" s="745">
        <f>IF(Select2=1,Garden!$W63,"")</f>
        <v>0</v>
      </c>
      <c r="X61" s="736">
        <f>IF(Select2=1,Wood!$W63,"")</f>
        <v>0</v>
      </c>
      <c r="Y61" s="745">
        <f>IF(Select2=1,Textiles!$W63,"")</f>
        <v>8.1400703408014284E-4</v>
      </c>
      <c r="Z61" s="738">
        <f>Sludge!W63</f>
        <v>0</v>
      </c>
      <c r="AA61" s="738" t="str">
        <f>IF(Select2=2,MSW!$W63,"")</f>
        <v/>
      </c>
      <c r="AB61" s="746">
        <f>Industry!$W63</f>
        <v>0</v>
      </c>
      <c r="AC61" s="747">
        <f t="shared" si="4"/>
        <v>2.2338164498401345E-2</v>
      </c>
      <c r="AD61" s="748">
        <f>Recovery_OX!R56</f>
        <v>0</v>
      </c>
      <c r="AE61" s="703"/>
      <c r="AF61" s="750">
        <f>(AC61-AD61)*(1-Recovery_OX!U56)</f>
        <v>2.2338164498401345E-2</v>
      </c>
    </row>
    <row r="62" spans="2:32">
      <c r="B62" s="743">
        <f t="shared" si="1"/>
        <v>2045</v>
      </c>
      <c r="C62" s="744">
        <f>IF(Select2=1,Food!$K64,"")</f>
        <v>5.005574965971199E-7</v>
      </c>
      <c r="D62" s="745">
        <f>IF(Select2=1,Paper!$K64,"")</f>
        <v>6.1808060933050859E-4</v>
      </c>
      <c r="E62" s="736">
        <f>IF(Select2=1,Nappies!$K64,"")</f>
        <v>3.3442807514316098E-5</v>
      </c>
      <c r="F62" s="745">
        <f>IF(Select2=1,Garden!$K64,"")</f>
        <v>0</v>
      </c>
      <c r="G62" s="736">
        <f>IF(Select2=1,Wood!$K64,"")</f>
        <v>0</v>
      </c>
      <c r="H62" s="745">
        <f>IF(Select2=1,Textiles!$K64,"")</f>
        <v>1.1542746737364498E-5</v>
      </c>
      <c r="I62" s="746">
        <f>Sludge!K64</f>
        <v>0</v>
      </c>
      <c r="J62" s="746" t="str">
        <f>IF(Select2=2,MSW!$K64,"")</f>
        <v/>
      </c>
      <c r="K62" s="746">
        <f>Industry!$K64</f>
        <v>0</v>
      </c>
      <c r="L62" s="747">
        <f t="shared" si="3"/>
        <v>6.6356672107878629E-4</v>
      </c>
      <c r="M62" s="748">
        <f>Recovery_OX!C57</f>
        <v>0</v>
      </c>
      <c r="N62" s="703"/>
      <c r="O62" s="749">
        <f>(L62-M62)*(1-Recovery_OX!F57)</f>
        <v>6.6356672107878629E-4</v>
      </c>
      <c r="P62" s="695"/>
      <c r="Q62" s="705"/>
      <c r="S62" s="743">
        <f t="shared" si="2"/>
        <v>2045</v>
      </c>
      <c r="T62" s="744">
        <f>IF(Select2=1,Food!$W64,"")</f>
        <v>1.034637239762546E-6</v>
      </c>
      <c r="U62" s="745">
        <f>IF(Select2=1,Paper!$W64,"")</f>
        <v>2.0067552250990543E-2</v>
      </c>
      <c r="V62" s="736">
        <f>IF(Select2=1,Nappies!$W64,"")</f>
        <v>0</v>
      </c>
      <c r="W62" s="745">
        <f>IF(Select2=1,Garden!$W64,"")</f>
        <v>0</v>
      </c>
      <c r="X62" s="736">
        <f>IF(Select2=1,Wood!$W64,"")</f>
        <v>0</v>
      </c>
      <c r="Y62" s="745">
        <f>IF(Select2=1,Textiles!$W64,"")</f>
        <v>7.5897512793629595E-4</v>
      </c>
      <c r="Z62" s="738">
        <f>Sludge!W64</f>
        <v>0</v>
      </c>
      <c r="AA62" s="738" t="str">
        <f>IF(Select2=2,MSW!$W64,"")</f>
        <v/>
      </c>
      <c r="AB62" s="746">
        <f>Industry!$W64</f>
        <v>0</v>
      </c>
      <c r="AC62" s="747">
        <f t="shared" si="4"/>
        <v>2.08275620161666E-2</v>
      </c>
      <c r="AD62" s="748">
        <f>Recovery_OX!R57</f>
        <v>0</v>
      </c>
      <c r="AE62" s="703"/>
      <c r="AF62" s="750">
        <f>(AC62-AD62)*(1-Recovery_OX!U57)</f>
        <v>2.08275620161666E-2</v>
      </c>
    </row>
    <row r="63" spans="2:32">
      <c r="B63" s="743">
        <f t="shared" si="1"/>
        <v>2046</v>
      </c>
      <c r="C63" s="744">
        <f>IF(Select2=1,Food!$K65,"")</f>
        <v>3.3553372416246579E-7</v>
      </c>
      <c r="D63" s="745">
        <f>IF(Select2=1,Paper!$K65,"")</f>
        <v>5.7629454034346906E-4</v>
      </c>
      <c r="E63" s="736">
        <f>IF(Select2=1,Nappies!$K65,"")</f>
        <v>2.8214520068033656E-5</v>
      </c>
      <c r="F63" s="745">
        <f>IF(Select2=1,Garden!$K65,"")</f>
        <v>0</v>
      </c>
      <c r="G63" s="736">
        <f>IF(Select2=1,Wood!$K65,"")</f>
        <v>0</v>
      </c>
      <c r="H63" s="745">
        <f>IF(Select2=1,Textiles!$K65,"")</f>
        <v>1.0762385722658207E-5</v>
      </c>
      <c r="I63" s="746">
        <f>Sludge!K65</f>
        <v>0</v>
      </c>
      <c r="J63" s="746" t="str">
        <f>IF(Select2=2,MSW!$K65,"")</f>
        <v/>
      </c>
      <c r="K63" s="746">
        <f>Industry!$K65</f>
        <v>0</v>
      </c>
      <c r="L63" s="747">
        <f t="shared" si="3"/>
        <v>6.1560697985832348E-4</v>
      </c>
      <c r="M63" s="748">
        <f>Recovery_OX!C58</f>
        <v>0</v>
      </c>
      <c r="N63" s="703"/>
      <c r="O63" s="749">
        <f>(L63-M63)*(1-Recovery_OX!F58)</f>
        <v>6.1560697985832348E-4</v>
      </c>
      <c r="P63" s="695"/>
      <c r="Q63" s="705"/>
      <c r="S63" s="743">
        <f t="shared" si="2"/>
        <v>2046</v>
      </c>
      <c r="T63" s="744">
        <f>IF(Select2=1,Food!$W65,"")</f>
        <v>6.9353808218781662E-7</v>
      </c>
      <c r="U63" s="745">
        <f>IF(Select2=1,Paper!$W65,"")</f>
        <v>1.8710861699463281E-2</v>
      </c>
      <c r="V63" s="736">
        <f>IF(Select2=1,Nappies!$W65,"")</f>
        <v>0</v>
      </c>
      <c r="W63" s="745">
        <f>IF(Select2=1,Garden!$W65,"")</f>
        <v>0</v>
      </c>
      <c r="X63" s="736">
        <f>IF(Select2=1,Wood!$W65,"")</f>
        <v>0</v>
      </c>
      <c r="Y63" s="745">
        <f>IF(Select2=1,Textiles!$W65,"")</f>
        <v>7.0766371875012873E-4</v>
      </c>
      <c r="Z63" s="738">
        <f>Sludge!W65</f>
        <v>0</v>
      </c>
      <c r="AA63" s="738" t="str">
        <f>IF(Select2=2,MSW!$W65,"")</f>
        <v/>
      </c>
      <c r="AB63" s="746">
        <f>Industry!$W65</f>
        <v>0</v>
      </c>
      <c r="AC63" s="747">
        <f t="shared" si="4"/>
        <v>1.94192189562956E-2</v>
      </c>
      <c r="AD63" s="748">
        <f>Recovery_OX!R58</f>
        <v>0</v>
      </c>
      <c r="AE63" s="703"/>
      <c r="AF63" s="750">
        <f>(AC63-AD63)*(1-Recovery_OX!U58)</f>
        <v>1.94192189562956E-2</v>
      </c>
    </row>
    <row r="64" spans="2:32">
      <c r="B64" s="743">
        <f t="shared" si="1"/>
        <v>2047</v>
      </c>
      <c r="C64" s="744">
        <f>IF(Select2=1,Food!$K66,"")</f>
        <v>2.2491498142709358E-7</v>
      </c>
      <c r="D64" s="745">
        <f>IF(Select2=1,Paper!$K66,"")</f>
        <v>5.3733346786178976E-4</v>
      </c>
      <c r="E64" s="736">
        <f>IF(Select2=1,Nappies!$K66,"")</f>
        <v>2.38035978985526E-5</v>
      </c>
      <c r="F64" s="745">
        <f>IF(Select2=1,Garden!$K66,"")</f>
        <v>0</v>
      </c>
      <c r="G64" s="736">
        <f>IF(Select2=1,Wood!$K66,"")</f>
        <v>0</v>
      </c>
      <c r="H64" s="745">
        <f>IF(Select2=1,Textiles!$K66,"")</f>
        <v>1.0034781935250523E-5</v>
      </c>
      <c r="I64" s="746">
        <f>Sludge!K66</f>
        <v>0</v>
      </c>
      <c r="J64" s="746" t="str">
        <f>IF(Select2=2,MSW!$K66,"")</f>
        <v/>
      </c>
      <c r="K64" s="746">
        <f>Industry!$K66</f>
        <v>0</v>
      </c>
      <c r="L64" s="747">
        <f t="shared" si="3"/>
        <v>5.713967626770199E-4</v>
      </c>
      <c r="M64" s="748">
        <f>Recovery_OX!C59</f>
        <v>0</v>
      </c>
      <c r="N64" s="703"/>
      <c r="O64" s="749">
        <f>(L64-M64)*(1-Recovery_OX!F59)</f>
        <v>5.713967626770199E-4</v>
      </c>
      <c r="P64" s="695"/>
      <c r="Q64" s="705"/>
      <c r="S64" s="743">
        <f t="shared" si="2"/>
        <v>2047</v>
      </c>
      <c r="T64" s="744">
        <f>IF(Select2=1,Food!$W66,"")</f>
        <v>4.6489247917960626E-7</v>
      </c>
      <c r="U64" s="745">
        <f>IF(Select2=1,Paper!$W66,"")</f>
        <v>1.7445891813694474E-2</v>
      </c>
      <c r="V64" s="736">
        <f>IF(Select2=1,Nappies!$W66,"")</f>
        <v>0</v>
      </c>
      <c r="W64" s="745">
        <f>IF(Select2=1,Garden!$W66,"")</f>
        <v>0</v>
      </c>
      <c r="X64" s="736">
        <f>IF(Select2=1,Wood!$W66,"")</f>
        <v>0</v>
      </c>
      <c r="Y64" s="745">
        <f>IF(Select2=1,Textiles!$W66,"")</f>
        <v>6.5982127793428116E-4</v>
      </c>
      <c r="Z64" s="738">
        <f>Sludge!W66</f>
        <v>0</v>
      </c>
      <c r="AA64" s="738" t="str">
        <f>IF(Select2=2,MSW!$W66,"")</f>
        <v/>
      </c>
      <c r="AB64" s="746">
        <f>Industry!$W66</f>
        <v>0</v>
      </c>
      <c r="AC64" s="747">
        <f t="shared" si="4"/>
        <v>1.8106177984107935E-2</v>
      </c>
      <c r="AD64" s="748">
        <f>Recovery_OX!R59</f>
        <v>0</v>
      </c>
      <c r="AE64" s="703"/>
      <c r="AF64" s="750">
        <f>(AC64-AD64)*(1-Recovery_OX!U59)</f>
        <v>1.8106177984107935E-2</v>
      </c>
    </row>
    <row r="65" spans="2:32">
      <c r="B65" s="743">
        <f t="shared" si="1"/>
        <v>2048</v>
      </c>
      <c r="C65" s="744">
        <f>IF(Select2=1,Food!$K67,"")</f>
        <v>1.5076502070431433E-7</v>
      </c>
      <c r="D65" s="745">
        <f>IF(Select2=1,Paper!$K67,"")</f>
        <v>5.0100640466296418E-4</v>
      </c>
      <c r="E65" s="736">
        <f>IF(Select2=1,Nappies!$K67,"")</f>
        <v>2.0082258055416444E-5</v>
      </c>
      <c r="F65" s="745">
        <f>IF(Select2=1,Garden!$K67,"")</f>
        <v>0</v>
      </c>
      <c r="G65" s="736">
        <f>IF(Select2=1,Wood!$K67,"")</f>
        <v>0</v>
      </c>
      <c r="H65" s="745">
        <f>IF(Select2=1,Textiles!$K67,"")</f>
        <v>9.3563686605314405E-6</v>
      </c>
      <c r="I65" s="746">
        <f>Sludge!K67</f>
        <v>0</v>
      </c>
      <c r="J65" s="746" t="str">
        <f>IF(Select2=2,MSW!$K67,"")</f>
        <v/>
      </c>
      <c r="K65" s="746">
        <f>Industry!$K67</f>
        <v>0</v>
      </c>
      <c r="L65" s="747">
        <f t="shared" si="3"/>
        <v>5.3059579639961642E-4</v>
      </c>
      <c r="M65" s="748">
        <f>Recovery_OX!C60</f>
        <v>0</v>
      </c>
      <c r="N65" s="703"/>
      <c r="O65" s="749">
        <f>(L65-M65)*(1-Recovery_OX!F60)</f>
        <v>5.3059579639961642E-4</v>
      </c>
      <c r="P65" s="695"/>
      <c r="Q65" s="705"/>
      <c r="S65" s="743">
        <f t="shared" si="2"/>
        <v>2048</v>
      </c>
      <c r="T65" s="744">
        <f>IF(Select2=1,Food!$W67,"")</f>
        <v>3.1162674804529615E-7</v>
      </c>
      <c r="U65" s="745">
        <f>IF(Select2=1,Paper!$W67,"")</f>
        <v>1.6266441709836502E-2</v>
      </c>
      <c r="V65" s="736">
        <f>IF(Select2=1,Nappies!$W67,"")</f>
        <v>0</v>
      </c>
      <c r="W65" s="745">
        <f>IF(Select2=1,Garden!$W67,"")</f>
        <v>0</v>
      </c>
      <c r="X65" s="736">
        <f>IF(Select2=1,Wood!$W67,"")</f>
        <v>0</v>
      </c>
      <c r="Y65" s="745">
        <f>IF(Select2=1,Textiles!$W67,"")</f>
        <v>6.1521328178836877E-4</v>
      </c>
      <c r="Z65" s="738">
        <f>Sludge!W67</f>
        <v>0</v>
      </c>
      <c r="AA65" s="738" t="str">
        <f>IF(Select2=2,MSW!$W67,"")</f>
        <v/>
      </c>
      <c r="AB65" s="746">
        <f>Industry!$W67</f>
        <v>0</v>
      </c>
      <c r="AC65" s="747">
        <f t="shared" si="4"/>
        <v>1.6881966618372917E-2</v>
      </c>
      <c r="AD65" s="748">
        <f>Recovery_OX!R60</f>
        <v>0</v>
      </c>
      <c r="AE65" s="703"/>
      <c r="AF65" s="750">
        <f>(AC65-AD65)*(1-Recovery_OX!U60)</f>
        <v>1.6881966618372917E-2</v>
      </c>
    </row>
    <row r="66" spans="2:32">
      <c r="B66" s="743">
        <f t="shared" si="1"/>
        <v>2049</v>
      </c>
      <c r="C66" s="744">
        <f>IF(Select2=1,Food!$K68,"")</f>
        <v>1.010608156190801E-7</v>
      </c>
      <c r="D66" s="745">
        <f>IF(Select2=1,Paper!$K68,"")</f>
        <v>4.6713527544104652E-4</v>
      </c>
      <c r="E66" s="736">
        <f>IF(Select2=1,Nappies!$K68,"")</f>
        <v>1.6942694559164162E-5</v>
      </c>
      <c r="F66" s="745">
        <f>IF(Select2=1,Garden!$K68,"")</f>
        <v>0</v>
      </c>
      <c r="G66" s="736">
        <f>IF(Select2=1,Wood!$K68,"")</f>
        <v>0</v>
      </c>
      <c r="H66" s="745">
        <f>IF(Select2=1,Textiles!$K68,"")</f>
        <v>8.7238203158412108E-6</v>
      </c>
      <c r="I66" s="746">
        <f>Sludge!K68</f>
        <v>0</v>
      </c>
      <c r="J66" s="746" t="str">
        <f>IF(Select2=2,MSW!$K68,"")</f>
        <v/>
      </c>
      <c r="K66" s="746">
        <f>Industry!$K68</f>
        <v>0</v>
      </c>
      <c r="L66" s="747">
        <f t="shared" si="3"/>
        <v>4.9290285113167103E-4</v>
      </c>
      <c r="M66" s="748">
        <f>Recovery_OX!C61</f>
        <v>0</v>
      </c>
      <c r="N66" s="703"/>
      <c r="O66" s="749">
        <f>(L66-M66)*(1-Recovery_OX!F61)</f>
        <v>4.9290285113167103E-4</v>
      </c>
      <c r="P66" s="695"/>
      <c r="Q66" s="705"/>
      <c r="S66" s="743">
        <f t="shared" si="2"/>
        <v>2049</v>
      </c>
      <c r="T66" s="744">
        <f>IF(Select2=1,Food!$W68,"")</f>
        <v>2.0888965609565949E-7</v>
      </c>
      <c r="U66" s="745">
        <f>IF(Select2=1,Paper!$W68,"")</f>
        <v>1.5166729722111902E-2</v>
      </c>
      <c r="V66" s="736">
        <f>IF(Select2=1,Nappies!$W68,"")</f>
        <v>0</v>
      </c>
      <c r="W66" s="745">
        <f>IF(Select2=1,Garden!$W68,"")</f>
        <v>0</v>
      </c>
      <c r="X66" s="736">
        <f>IF(Select2=1,Wood!$W68,"")</f>
        <v>0</v>
      </c>
      <c r="Y66" s="745">
        <f>IF(Select2=1,Textiles!$W68,"")</f>
        <v>5.7362106186353173E-4</v>
      </c>
      <c r="Z66" s="738">
        <f>Sludge!W68</f>
        <v>0</v>
      </c>
      <c r="AA66" s="738" t="str">
        <f>IF(Select2=2,MSW!$W68,"")</f>
        <v/>
      </c>
      <c r="AB66" s="746">
        <f>Industry!$W68</f>
        <v>0</v>
      </c>
      <c r="AC66" s="747">
        <f t="shared" si="4"/>
        <v>1.574055967363153E-2</v>
      </c>
      <c r="AD66" s="748">
        <f>Recovery_OX!R61</f>
        <v>0</v>
      </c>
      <c r="AE66" s="703"/>
      <c r="AF66" s="750">
        <f>(AC66-AD66)*(1-Recovery_OX!U61)</f>
        <v>1.574055967363153E-2</v>
      </c>
    </row>
    <row r="67" spans="2:32">
      <c r="B67" s="743">
        <f t="shared" si="1"/>
        <v>2050</v>
      </c>
      <c r="C67" s="744">
        <f>IF(Select2=1,Food!$K69,"")</f>
        <v>6.7743090578181032E-8</v>
      </c>
      <c r="D67" s="745">
        <f>IF(Select2=1,Paper!$K69,"")</f>
        <v>4.3555404388129465E-4</v>
      </c>
      <c r="E67" s="736">
        <f>IF(Select2=1,Nappies!$K69,"")</f>
        <v>1.429395529790578E-5</v>
      </c>
      <c r="F67" s="745">
        <f>IF(Select2=1,Garden!$K69,"")</f>
        <v>0</v>
      </c>
      <c r="G67" s="736">
        <f>IF(Select2=1,Wood!$K69,"")</f>
        <v>0</v>
      </c>
      <c r="H67" s="745">
        <f>IF(Select2=1,Textiles!$K69,"")</f>
        <v>8.1340361484603021E-6</v>
      </c>
      <c r="I67" s="746">
        <f>Sludge!K69</f>
        <v>0</v>
      </c>
      <c r="J67" s="746" t="str">
        <f>IF(Select2=2,MSW!$K69,"")</f>
        <v/>
      </c>
      <c r="K67" s="746">
        <f>Industry!$K69</f>
        <v>0</v>
      </c>
      <c r="L67" s="747">
        <f t="shared" si="3"/>
        <v>4.5804977841823892E-4</v>
      </c>
      <c r="M67" s="748">
        <f>Recovery_OX!C62</f>
        <v>0</v>
      </c>
      <c r="N67" s="703"/>
      <c r="O67" s="749">
        <f>(L67-M67)*(1-Recovery_OX!F62)</f>
        <v>4.5804977841823892E-4</v>
      </c>
      <c r="P67" s="695"/>
      <c r="Q67" s="705"/>
      <c r="S67" s="743">
        <f t="shared" si="2"/>
        <v>2050</v>
      </c>
      <c r="T67" s="744">
        <f>IF(Select2=1,Food!$W69,"")</f>
        <v>1.4002292389041133E-7</v>
      </c>
      <c r="U67" s="745">
        <f>IF(Select2=1,Paper!$W69,"")</f>
        <v>1.4141365061080999E-2</v>
      </c>
      <c r="V67" s="736">
        <f>IF(Select2=1,Nappies!$W69,"")</f>
        <v>0</v>
      </c>
      <c r="W67" s="745">
        <f>IF(Select2=1,Garden!$W69,"")</f>
        <v>0</v>
      </c>
      <c r="X67" s="736">
        <f>IF(Select2=1,Wood!$W69,"")</f>
        <v>0</v>
      </c>
      <c r="Y67" s="745">
        <f>IF(Select2=1,Textiles!$W69,"")</f>
        <v>5.3484073304944468E-4</v>
      </c>
      <c r="Z67" s="738">
        <f>Sludge!W69</f>
        <v>0</v>
      </c>
      <c r="AA67" s="738" t="str">
        <f>IF(Select2=2,MSW!$W69,"")</f>
        <v/>
      </c>
      <c r="AB67" s="746">
        <f>Industry!$W69</f>
        <v>0</v>
      </c>
      <c r="AC67" s="747">
        <f t="shared" si="4"/>
        <v>1.4676345817054334E-2</v>
      </c>
      <c r="AD67" s="748">
        <f>Recovery_OX!R62</f>
        <v>0</v>
      </c>
      <c r="AE67" s="703"/>
      <c r="AF67" s="750">
        <f>(AC67-AD67)*(1-Recovery_OX!U62)</f>
        <v>1.4676345817054334E-2</v>
      </c>
    </row>
    <row r="68" spans="2:32">
      <c r="B68" s="743">
        <f t="shared" si="1"/>
        <v>2051</v>
      </c>
      <c r="C68" s="744">
        <f>IF(Select2=1,Food!$K70,"")</f>
        <v>4.5409551594962798E-8</v>
      </c>
      <c r="D68" s="745">
        <f>IF(Select2=1,Paper!$K70,"")</f>
        <v>4.0610789874996335E-4</v>
      </c>
      <c r="E68" s="736">
        <f>IF(Select2=1,Nappies!$K70,"")</f>
        <v>1.2059307174844589E-5</v>
      </c>
      <c r="F68" s="745">
        <f>IF(Select2=1,Garden!$K70,"")</f>
        <v>0</v>
      </c>
      <c r="G68" s="736">
        <f>IF(Select2=1,Wood!$K70,"")</f>
        <v>0</v>
      </c>
      <c r="H68" s="745">
        <f>IF(Select2=1,Textiles!$K70,"")</f>
        <v>7.5841250357159675E-6</v>
      </c>
      <c r="I68" s="746">
        <f>Sludge!K70</f>
        <v>0</v>
      </c>
      <c r="J68" s="746" t="str">
        <f>IF(Select2=2,MSW!$K70,"")</f>
        <v/>
      </c>
      <c r="K68" s="746">
        <f>Industry!$K70</f>
        <v>0</v>
      </c>
      <c r="L68" s="747">
        <f t="shared" si="3"/>
        <v>4.2579674051211884E-4</v>
      </c>
      <c r="M68" s="748">
        <f>Recovery_OX!C63</f>
        <v>0</v>
      </c>
      <c r="N68" s="703"/>
      <c r="O68" s="749">
        <f>(L68-M68)*(1-Recovery_OX!F63)</f>
        <v>4.2579674051211884E-4</v>
      </c>
      <c r="P68" s="695"/>
      <c r="Q68" s="705"/>
      <c r="S68" s="743">
        <f t="shared" si="2"/>
        <v>2051</v>
      </c>
      <c r="T68" s="744">
        <f>IF(Select2=1,Food!$W70,"")</f>
        <v>9.3860172788265348E-8</v>
      </c>
      <c r="U68" s="745">
        <f>IF(Select2=1,Paper!$W70,"")</f>
        <v>1.3185321387985826E-2</v>
      </c>
      <c r="V68" s="736">
        <f>IF(Select2=1,Nappies!$W70,"")</f>
        <v>0</v>
      </c>
      <c r="W68" s="745">
        <f>IF(Select2=1,Garden!$W70,"")</f>
        <v>0</v>
      </c>
      <c r="X68" s="736">
        <f>IF(Select2=1,Wood!$W70,"")</f>
        <v>0</v>
      </c>
      <c r="Y68" s="745">
        <f>IF(Select2=1,Textiles!$W70,"")</f>
        <v>4.9868219412926927E-4</v>
      </c>
      <c r="Z68" s="738">
        <f>Sludge!W70</f>
        <v>0</v>
      </c>
      <c r="AA68" s="738" t="str">
        <f>IF(Select2=2,MSW!$W70,"")</f>
        <v/>
      </c>
      <c r="AB68" s="746">
        <f>Industry!$W70</f>
        <v>0</v>
      </c>
      <c r="AC68" s="747">
        <f t="shared" si="4"/>
        <v>1.3684097442287883E-2</v>
      </c>
      <c r="AD68" s="748">
        <f>Recovery_OX!R63</f>
        <v>0</v>
      </c>
      <c r="AE68" s="703"/>
      <c r="AF68" s="750">
        <f>(AC68-AD68)*(1-Recovery_OX!U63)</f>
        <v>1.3684097442287883E-2</v>
      </c>
    </row>
    <row r="69" spans="2:32">
      <c r="B69" s="743">
        <f t="shared" si="1"/>
        <v>2052</v>
      </c>
      <c r="C69" s="744">
        <f>IF(Select2=1,Food!$K71,"")</f>
        <v>3.0438932715593197E-8</v>
      </c>
      <c r="D69" s="745">
        <f>IF(Select2=1,Paper!$K71,"")</f>
        <v>3.7865249500945638E-4</v>
      </c>
      <c r="E69" s="736">
        <f>IF(Select2=1,Nappies!$K71,"")</f>
        <v>1.0174013175944713E-5</v>
      </c>
      <c r="F69" s="745">
        <f>IF(Select2=1,Garden!$K71,"")</f>
        <v>0</v>
      </c>
      <c r="G69" s="736">
        <f>IF(Select2=1,Wood!$K71,"")</f>
        <v>0</v>
      </c>
      <c r="H69" s="745">
        <f>IF(Select2=1,Textiles!$K71,"")</f>
        <v>7.0713913126955483E-6</v>
      </c>
      <c r="I69" s="746">
        <f>Sludge!K71</f>
        <v>0</v>
      </c>
      <c r="J69" s="746" t="str">
        <f>IF(Select2=2,MSW!$K71,"")</f>
        <v/>
      </c>
      <c r="K69" s="746">
        <f>Industry!$K71</f>
        <v>0</v>
      </c>
      <c r="L69" s="747">
        <f t="shared" si="3"/>
        <v>3.9592833843081222E-4</v>
      </c>
      <c r="M69" s="748">
        <f>Recovery_OX!C64</f>
        <v>0</v>
      </c>
      <c r="N69" s="703"/>
      <c r="O69" s="749">
        <f>(L69-M69)*(1-Recovery_OX!F64)</f>
        <v>3.9592833843081222E-4</v>
      </c>
      <c r="P69" s="695"/>
      <c r="Q69" s="705"/>
      <c r="S69" s="743">
        <f t="shared" si="2"/>
        <v>2052</v>
      </c>
      <c r="T69" s="744">
        <f>IF(Select2=1,Food!$W71,"")</f>
        <v>6.2916355344343096E-8</v>
      </c>
      <c r="U69" s="745">
        <f>IF(Select2=1,Paper!$W71,"")</f>
        <v>1.2293912175631704E-2</v>
      </c>
      <c r="V69" s="736">
        <f>IF(Select2=1,Nappies!$W71,"")</f>
        <v>0</v>
      </c>
      <c r="W69" s="745">
        <f>IF(Select2=1,Garden!$W71,"")</f>
        <v>0</v>
      </c>
      <c r="X69" s="736">
        <f>IF(Select2=1,Wood!$W71,"")</f>
        <v>0</v>
      </c>
      <c r="Y69" s="745">
        <f>IF(Select2=1,Textiles!$W71,"")</f>
        <v>4.6496819590326899E-4</v>
      </c>
      <c r="Z69" s="738">
        <f>Sludge!W71</f>
        <v>0</v>
      </c>
      <c r="AA69" s="738" t="str">
        <f>IF(Select2=2,MSW!$W71,"")</f>
        <v/>
      </c>
      <c r="AB69" s="746">
        <f>Industry!$W71</f>
        <v>0</v>
      </c>
      <c r="AC69" s="747">
        <f t="shared" si="4"/>
        <v>1.2758943287890318E-2</v>
      </c>
      <c r="AD69" s="748">
        <f>Recovery_OX!R64</f>
        <v>0</v>
      </c>
      <c r="AE69" s="703"/>
      <c r="AF69" s="750">
        <f>(AC69-AD69)*(1-Recovery_OX!U64)</f>
        <v>1.2758943287890318E-2</v>
      </c>
    </row>
    <row r="70" spans="2:32">
      <c r="B70" s="743">
        <f t="shared" si="1"/>
        <v>2053</v>
      </c>
      <c r="C70" s="744">
        <f>IF(Select2=1,Food!$K72,"")</f>
        <v>2.0403826779192159E-8</v>
      </c>
      <c r="D70" s="745">
        <f>IF(Select2=1,Paper!$K72,"")</f>
        <v>3.530532462387851E-4</v>
      </c>
      <c r="E70" s="736">
        <f>IF(Select2=1,Nappies!$K72,"")</f>
        <v>8.5834569601325876E-6</v>
      </c>
      <c r="F70" s="745">
        <f>IF(Select2=1,Garden!$K72,"")</f>
        <v>0</v>
      </c>
      <c r="G70" s="736">
        <f>IF(Select2=1,Wood!$K72,"")</f>
        <v>0</v>
      </c>
      <c r="H70" s="745">
        <f>IF(Select2=1,Textiles!$K72,"")</f>
        <v>6.5933215580939407E-6</v>
      </c>
      <c r="I70" s="746">
        <f>Sludge!K72</f>
        <v>0</v>
      </c>
      <c r="J70" s="746" t="str">
        <f>IF(Select2=2,MSW!$K72,"")</f>
        <v/>
      </c>
      <c r="K70" s="746">
        <f>Industry!$K72</f>
        <v>0</v>
      </c>
      <c r="L70" s="747">
        <f t="shared" si="3"/>
        <v>3.6825042858379083E-4</v>
      </c>
      <c r="M70" s="748">
        <f>Recovery_OX!C65</f>
        <v>0</v>
      </c>
      <c r="N70" s="703"/>
      <c r="O70" s="749">
        <f>(L70-M70)*(1-Recovery_OX!F65)</f>
        <v>3.6825042858379083E-4</v>
      </c>
      <c r="P70" s="695"/>
      <c r="Q70" s="705"/>
      <c r="S70" s="743">
        <f t="shared" si="2"/>
        <v>2053</v>
      </c>
      <c r="T70" s="744">
        <f>IF(Select2=1,Food!$W72,"")</f>
        <v>4.2174094210814709E-8</v>
      </c>
      <c r="U70" s="745">
        <f>IF(Select2=1,Paper!$W72,"")</f>
        <v>1.1462767735025492E-2</v>
      </c>
      <c r="V70" s="736">
        <f>IF(Select2=1,Nappies!$W72,"")</f>
        <v>0</v>
      </c>
      <c r="W70" s="745">
        <f>IF(Select2=1,Garden!$W72,"")</f>
        <v>0</v>
      </c>
      <c r="X70" s="736">
        <f>IF(Select2=1,Wood!$W72,"")</f>
        <v>0</v>
      </c>
      <c r="Y70" s="745">
        <f>IF(Select2=1,Textiles!$W72,"")</f>
        <v>4.3353347231302625E-4</v>
      </c>
      <c r="Z70" s="738">
        <f>Sludge!W72</f>
        <v>0</v>
      </c>
      <c r="AA70" s="738" t="str">
        <f>IF(Select2=2,MSW!$W72,"")</f>
        <v/>
      </c>
      <c r="AB70" s="746">
        <f>Industry!$W72</f>
        <v>0</v>
      </c>
      <c r="AC70" s="747">
        <f t="shared" si="4"/>
        <v>1.1896343381432729E-2</v>
      </c>
      <c r="AD70" s="748">
        <f>Recovery_OX!R65</f>
        <v>0</v>
      </c>
      <c r="AE70" s="703"/>
      <c r="AF70" s="750">
        <f>(AC70-AD70)*(1-Recovery_OX!U65)</f>
        <v>1.1896343381432729E-2</v>
      </c>
    </row>
    <row r="71" spans="2:32">
      <c r="B71" s="743">
        <f t="shared" si="1"/>
        <v>2054</v>
      </c>
      <c r="C71" s="744">
        <f>IF(Select2=1,Food!$K73,"")</f>
        <v>1.3677094105931301E-8</v>
      </c>
      <c r="D71" s="745">
        <f>IF(Select2=1,Paper!$K73,"")</f>
        <v>3.2918466489077611E-4</v>
      </c>
      <c r="E71" s="736">
        <f>IF(Select2=1,Nappies!$K73,"")</f>
        <v>7.2415606420332134E-6</v>
      </c>
      <c r="F71" s="745">
        <f>IF(Select2=1,Garden!$K73,"")</f>
        <v>0</v>
      </c>
      <c r="G71" s="736">
        <f>IF(Select2=1,Wood!$K73,"")</f>
        <v>0</v>
      </c>
      <c r="H71" s="745">
        <f>IF(Select2=1,Textiles!$K73,"")</f>
        <v>6.1475722734194489E-6</v>
      </c>
      <c r="I71" s="746">
        <f>Sludge!K73</f>
        <v>0</v>
      </c>
      <c r="J71" s="746" t="str">
        <f>IF(Select2=2,MSW!$K73,"")</f>
        <v/>
      </c>
      <c r="K71" s="746">
        <f>Industry!$K73</f>
        <v>0</v>
      </c>
      <c r="L71" s="747">
        <f t="shared" si="3"/>
        <v>3.4258747490033471E-4</v>
      </c>
      <c r="M71" s="748">
        <f>Recovery_OX!C66</f>
        <v>0</v>
      </c>
      <c r="N71" s="703"/>
      <c r="O71" s="749">
        <f>(L71-M71)*(1-Recovery_OX!F66)</f>
        <v>3.4258747490033471E-4</v>
      </c>
      <c r="P71" s="695"/>
      <c r="Q71" s="705"/>
      <c r="S71" s="743">
        <f t="shared" si="2"/>
        <v>2054</v>
      </c>
      <c r="T71" s="744">
        <f>IF(Select2=1,Food!$W73,"")</f>
        <v>2.8270140772904706E-8</v>
      </c>
      <c r="U71" s="745">
        <f>IF(Select2=1,Paper!$W73,"")</f>
        <v>1.0687813795155075E-2</v>
      </c>
      <c r="V71" s="736">
        <f>IF(Select2=1,Nappies!$W73,"")</f>
        <v>0</v>
      </c>
      <c r="W71" s="745">
        <f>IF(Select2=1,Garden!$W73,"")</f>
        <v>0</v>
      </c>
      <c r="X71" s="736">
        <f>IF(Select2=1,Wood!$W73,"")</f>
        <v>0</v>
      </c>
      <c r="Y71" s="745">
        <f>IF(Select2=1,Textiles!$W73,"")</f>
        <v>4.042239303070322E-4</v>
      </c>
      <c r="Z71" s="738">
        <f>Sludge!W73</f>
        <v>0</v>
      </c>
      <c r="AA71" s="738" t="str">
        <f>IF(Select2=2,MSW!$W73,"")</f>
        <v/>
      </c>
      <c r="AB71" s="746">
        <f>Industry!$W73</f>
        <v>0</v>
      </c>
      <c r="AC71" s="747">
        <f t="shared" si="4"/>
        <v>1.109206599560288E-2</v>
      </c>
      <c r="AD71" s="748">
        <f>Recovery_OX!R66</f>
        <v>0</v>
      </c>
      <c r="AE71" s="703"/>
      <c r="AF71" s="750">
        <f>(AC71-AD71)*(1-Recovery_OX!U66)</f>
        <v>1.109206599560288E-2</v>
      </c>
    </row>
    <row r="72" spans="2:32">
      <c r="B72" s="743">
        <f t="shared" si="1"/>
        <v>2055</v>
      </c>
      <c r="C72" s="744">
        <f>IF(Select2=1,Food!$K74,"")</f>
        <v>9.168030350721641E-9</v>
      </c>
      <c r="D72" s="745">
        <f>IF(Select2=1,Paper!$K74,"")</f>
        <v>3.0692974715197023E-4</v>
      </c>
      <c r="E72" s="736">
        <f>IF(Select2=1,Nappies!$K74,"")</f>
        <v>6.1094499309325417E-6</v>
      </c>
      <c r="F72" s="745">
        <f>IF(Select2=1,Garden!$K74,"")</f>
        <v>0</v>
      </c>
      <c r="G72" s="736">
        <f>IF(Select2=1,Wood!$K74,"")</f>
        <v>0</v>
      </c>
      <c r="H72" s="745">
        <f>IF(Select2=1,Textiles!$K74,"")</f>
        <v>5.7319583951614541E-6</v>
      </c>
      <c r="I72" s="746">
        <f>Sludge!K74</f>
        <v>0</v>
      </c>
      <c r="J72" s="746" t="str">
        <f>IF(Select2=2,MSW!$K74,"")</f>
        <v/>
      </c>
      <c r="K72" s="746">
        <f>Industry!$K74</f>
        <v>0</v>
      </c>
      <c r="L72" s="747">
        <f t="shared" si="3"/>
        <v>3.1878032350841494E-4</v>
      </c>
      <c r="M72" s="748">
        <f>Recovery_OX!C67</f>
        <v>0</v>
      </c>
      <c r="N72" s="703"/>
      <c r="O72" s="749">
        <f>(L72-M72)*(1-Recovery_OX!F67)</f>
        <v>3.1878032350841494E-4</v>
      </c>
      <c r="P72" s="695"/>
      <c r="Q72" s="705"/>
      <c r="S72" s="743">
        <f t="shared" si="2"/>
        <v>2055</v>
      </c>
      <c r="T72" s="744">
        <f>IF(Select2=1,Food!$W74,"")</f>
        <v>1.8950042064327488E-8</v>
      </c>
      <c r="U72" s="745">
        <f>IF(Select2=1,Paper!$W74,"")</f>
        <v>9.9652515309081296E-3</v>
      </c>
      <c r="V72" s="736">
        <f>IF(Select2=1,Nappies!$W74,"")</f>
        <v>0</v>
      </c>
      <c r="W72" s="745">
        <f>IF(Select2=1,Garden!$W74,"")</f>
        <v>0</v>
      </c>
      <c r="X72" s="736">
        <f>IF(Select2=1,Wood!$W74,"")</f>
        <v>0</v>
      </c>
      <c r="Y72" s="745">
        <f>IF(Select2=1,Textiles!$W74,"")</f>
        <v>3.7689589447636952E-4</v>
      </c>
      <c r="Z72" s="738">
        <f>Sludge!W74</f>
        <v>0</v>
      </c>
      <c r="AA72" s="738" t="str">
        <f>IF(Select2=2,MSW!$W74,"")</f>
        <v/>
      </c>
      <c r="AB72" s="746">
        <f>Industry!$W74</f>
        <v>0</v>
      </c>
      <c r="AC72" s="747">
        <f t="shared" si="4"/>
        <v>1.0342166375426565E-2</v>
      </c>
      <c r="AD72" s="748">
        <f>Recovery_OX!R67</f>
        <v>0</v>
      </c>
      <c r="AE72" s="703"/>
      <c r="AF72" s="750">
        <f>(AC72-AD72)*(1-Recovery_OX!U67)</f>
        <v>1.0342166375426565E-2</v>
      </c>
    </row>
    <row r="73" spans="2:32">
      <c r="B73" s="743">
        <f t="shared" si="1"/>
        <v>2056</v>
      </c>
      <c r="C73" s="744">
        <f>IF(Select2=1,Food!$K75,"")</f>
        <v>6.1455145267518689E-9</v>
      </c>
      <c r="D73" s="745">
        <f>IF(Select2=1,Paper!$K75,"")</f>
        <v>2.8617939938979241E-4</v>
      </c>
      <c r="E73" s="736">
        <f>IF(Select2=1,Nappies!$K75,"")</f>
        <v>5.1543279554849922E-6</v>
      </c>
      <c r="F73" s="745">
        <f>IF(Select2=1,Garden!$K75,"")</f>
        <v>0</v>
      </c>
      <c r="G73" s="736">
        <f>IF(Select2=1,Wood!$K75,"")</f>
        <v>0</v>
      </c>
      <c r="H73" s="745">
        <f>IF(Select2=1,Textiles!$K75,"")</f>
        <v>5.3444425836065569E-6</v>
      </c>
      <c r="I73" s="746">
        <f>Sludge!K75</f>
        <v>0</v>
      </c>
      <c r="J73" s="746" t="str">
        <f>IF(Select2=2,MSW!$K75,"")</f>
        <v/>
      </c>
      <c r="K73" s="746">
        <f>Industry!$K75</f>
        <v>0</v>
      </c>
      <c r="L73" s="747">
        <f t="shared" si="3"/>
        <v>2.9668431544341067E-4</v>
      </c>
      <c r="M73" s="748">
        <f>Recovery_OX!C68</f>
        <v>0</v>
      </c>
      <c r="N73" s="703"/>
      <c r="O73" s="749">
        <f>(L73-M73)*(1-Recovery_OX!F68)</f>
        <v>2.9668431544341067E-4</v>
      </c>
      <c r="P73" s="695"/>
      <c r="Q73" s="705"/>
      <c r="S73" s="743">
        <f t="shared" si="2"/>
        <v>2056</v>
      </c>
      <c r="T73" s="744">
        <f>IF(Select2=1,Food!$W75,"")</f>
        <v>1.2702593068937302E-8</v>
      </c>
      <c r="U73" s="745">
        <f>IF(Select2=1,Paper!$W75,"")</f>
        <v>9.2915389412270306E-3</v>
      </c>
      <c r="V73" s="736">
        <f>IF(Select2=1,Nappies!$W75,"")</f>
        <v>0</v>
      </c>
      <c r="W73" s="745">
        <f>IF(Select2=1,Garden!$W75,"")</f>
        <v>0</v>
      </c>
      <c r="X73" s="736">
        <f>IF(Select2=1,Wood!$W75,"")</f>
        <v>0</v>
      </c>
      <c r="Y73" s="745">
        <f>IF(Select2=1,Textiles!$W75,"")</f>
        <v>3.5141540275769145E-4</v>
      </c>
      <c r="Z73" s="738">
        <f>Sludge!W75</f>
        <v>0</v>
      </c>
      <c r="AA73" s="738" t="str">
        <f>IF(Select2=2,MSW!$W75,"")</f>
        <v/>
      </c>
      <c r="AB73" s="746">
        <f>Industry!$W75</f>
        <v>0</v>
      </c>
      <c r="AC73" s="747">
        <f t="shared" si="4"/>
        <v>9.6429670465777908E-3</v>
      </c>
      <c r="AD73" s="748">
        <f>Recovery_OX!R68</f>
        <v>0</v>
      </c>
      <c r="AE73" s="703"/>
      <c r="AF73" s="750">
        <f>(AC73-AD73)*(1-Recovery_OX!U68)</f>
        <v>9.6429670465777908E-3</v>
      </c>
    </row>
    <row r="74" spans="2:32">
      <c r="B74" s="743">
        <f t="shared" si="1"/>
        <v>2057</v>
      </c>
      <c r="C74" s="744">
        <f>IF(Select2=1,Food!$K76,"")</f>
        <v>4.119461580485003E-9</v>
      </c>
      <c r="D74" s="745">
        <f>IF(Select2=1,Paper!$K76,"")</f>
        <v>2.6683190337543851E-4</v>
      </c>
      <c r="E74" s="736">
        <f>IF(Select2=1,Nappies!$K76,"")</f>
        <v>4.3485251492418597E-6</v>
      </c>
      <c r="F74" s="745">
        <f>IF(Select2=1,Garden!$K76,"")</f>
        <v>0</v>
      </c>
      <c r="G74" s="736">
        <f>IF(Select2=1,Wood!$K76,"")</f>
        <v>0</v>
      </c>
      <c r="H74" s="745">
        <f>IF(Select2=1,Textiles!$K76,"")</f>
        <v>4.9831252357969334E-6</v>
      </c>
      <c r="I74" s="746">
        <f>Sludge!K76</f>
        <v>0</v>
      </c>
      <c r="J74" s="746" t="str">
        <f>IF(Select2=2,MSW!$K76,"")</f>
        <v/>
      </c>
      <c r="K74" s="746">
        <f>Industry!$K76</f>
        <v>0</v>
      </c>
      <c r="L74" s="747">
        <f t="shared" si="3"/>
        <v>2.7616767322205781E-4</v>
      </c>
      <c r="M74" s="748">
        <f>Recovery_OX!C69</f>
        <v>0</v>
      </c>
      <c r="N74" s="703"/>
      <c r="O74" s="749">
        <f>(L74-M74)*(1-Recovery_OX!F69)</f>
        <v>2.7616767322205781E-4</v>
      </c>
      <c r="P74" s="695"/>
      <c r="Q74" s="705"/>
      <c r="S74" s="743">
        <f t="shared" si="2"/>
        <v>2057</v>
      </c>
      <c r="T74" s="744">
        <f>IF(Select2=1,Food!$W76,"")</f>
        <v>8.5148027707420448E-9</v>
      </c>
      <c r="U74" s="745">
        <f>IF(Select2=1,Paper!$W76,"")</f>
        <v>8.663373486215542E-3</v>
      </c>
      <c r="V74" s="736">
        <f>IF(Select2=1,Nappies!$W76,"")</f>
        <v>0</v>
      </c>
      <c r="W74" s="745">
        <f>IF(Select2=1,Garden!$W76,"")</f>
        <v>0</v>
      </c>
      <c r="X74" s="736">
        <f>IF(Select2=1,Wood!$W76,"")</f>
        <v>0</v>
      </c>
      <c r="Y74" s="745">
        <f>IF(Select2=1,Textiles!$W76,"")</f>
        <v>3.2765754975103123E-4</v>
      </c>
      <c r="Z74" s="738">
        <f>Sludge!W76</f>
        <v>0</v>
      </c>
      <c r="AA74" s="738" t="str">
        <f>IF(Select2=2,MSW!$W76,"")</f>
        <v/>
      </c>
      <c r="AB74" s="746">
        <f>Industry!$W76</f>
        <v>0</v>
      </c>
      <c r="AC74" s="747">
        <f t="shared" si="4"/>
        <v>8.9910395507693443E-3</v>
      </c>
      <c r="AD74" s="748">
        <f>Recovery_OX!R69</f>
        <v>0</v>
      </c>
      <c r="AE74" s="703"/>
      <c r="AF74" s="750">
        <f>(AC74-AD74)*(1-Recovery_OX!U69)</f>
        <v>8.9910395507693443E-3</v>
      </c>
    </row>
    <row r="75" spans="2:32">
      <c r="B75" s="743">
        <f t="shared" si="1"/>
        <v>2058</v>
      </c>
      <c r="C75" s="744">
        <f>IF(Select2=1,Food!$K77,"")</f>
        <v>2.7613576762727548E-9</v>
      </c>
      <c r="D75" s="745">
        <f>IF(Select2=1,Paper!$K77,"")</f>
        <v>2.4879241766100004E-4</v>
      </c>
      <c r="E75" s="736">
        <f>IF(Select2=1,Nappies!$K77,"")</f>
        <v>3.6686976724998953E-6</v>
      </c>
      <c r="F75" s="745">
        <f>IF(Select2=1,Garden!$K77,"")</f>
        <v>0</v>
      </c>
      <c r="G75" s="736">
        <f>IF(Select2=1,Wood!$K77,"")</f>
        <v>0</v>
      </c>
      <c r="H75" s="745">
        <f>IF(Select2=1,Textiles!$K77,"")</f>
        <v>4.6462351736744314E-6</v>
      </c>
      <c r="I75" s="746">
        <f>Sludge!K77</f>
        <v>0</v>
      </c>
      <c r="J75" s="746" t="str">
        <f>IF(Select2=2,MSW!$K77,"")</f>
        <v/>
      </c>
      <c r="K75" s="746">
        <f>Industry!$K77</f>
        <v>0</v>
      </c>
      <c r="L75" s="747">
        <f t="shared" si="3"/>
        <v>2.5711011186485062E-4</v>
      </c>
      <c r="M75" s="748">
        <f>Recovery_OX!C70</f>
        <v>0</v>
      </c>
      <c r="N75" s="703"/>
      <c r="O75" s="749">
        <f>(L75-M75)*(1-Recovery_OX!F70)</f>
        <v>2.5711011186485062E-4</v>
      </c>
      <c r="P75" s="695"/>
      <c r="Q75" s="705"/>
      <c r="S75" s="743">
        <f t="shared" si="2"/>
        <v>2058</v>
      </c>
      <c r="T75" s="744">
        <f>IF(Select2=1,Food!$W77,"")</f>
        <v>5.7076429852681971E-9</v>
      </c>
      <c r="U75" s="745">
        <f>IF(Select2=1,Paper!$W77,"")</f>
        <v>8.0776758980844205E-3</v>
      </c>
      <c r="V75" s="736">
        <f>IF(Select2=1,Nappies!$W77,"")</f>
        <v>0</v>
      </c>
      <c r="W75" s="745">
        <f>IF(Select2=1,Garden!$W77,"")</f>
        <v>0</v>
      </c>
      <c r="X75" s="736">
        <f>IF(Select2=1,Wood!$W77,"")</f>
        <v>0</v>
      </c>
      <c r="Y75" s="745">
        <f>IF(Select2=1,Textiles!$W77,"")</f>
        <v>3.0550587443338727E-4</v>
      </c>
      <c r="Z75" s="738">
        <f>Sludge!W77</f>
        <v>0</v>
      </c>
      <c r="AA75" s="738" t="str">
        <f>IF(Select2=2,MSW!$W77,"")</f>
        <v/>
      </c>
      <c r="AB75" s="746">
        <f>Industry!$W77</f>
        <v>0</v>
      </c>
      <c r="AC75" s="747">
        <f t="shared" si="4"/>
        <v>8.3831874801607933E-3</v>
      </c>
      <c r="AD75" s="748">
        <f>Recovery_OX!R70</f>
        <v>0</v>
      </c>
      <c r="AE75" s="703"/>
      <c r="AF75" s="750">
        <f>(AC75-AD75)*(1-Recovery_OX!U70)</f>
        <v>8.3831874801607933E-3</v>
      </c>
    </row>
    <row r="76" spans="2:32">
      <c r="B76" s="743">
        <f t="shared" si="1"/>
        <v>2059</v>
      </c>
      <c r="C76" s="744">
        <f>IF(Select2=1,Food!$K78,"")</f>
        <v>1.850993404680019E-9</v>
      </c>
      <c r="D76" s="745">
        <f>IF(Select2=1,Paper!$K78,"")</f>
        <v>2.3197251266657591E-4</v>
      </c>
      <c r="E76" s="736">
        <f>IF(Select2=1,Nappies!$K78,"")</f>
        <v>3.0951511490172038E-6</v>
      </c>
      <c r="F76" s="745">
        <f>IF(Select2=1,Garden!$K78,"")</f>
        <v>0</v>
      </c>
      <c r="G76" s="736">
        <f>IF(Select2=1,Wood!$K78,"")</f>
        <v>0</v>
      </c>
      <c r="H76" s="745">
        <f>IF(Select2=1,Textiles!$K78,"")</f>
        <v>4.3321209617636804E-6</v>
      </c>
      <c r="I76" s="746">
        <f>Sludge!K78</f>
        <v>0</v>
      </c>
      <c r="J76" s="746" t="str">
        <f>IF(Select2=2,MSW!$K78,"")</f>
        <v/>
      </c>
      <c r="K76" s="746">
        <f>Industry!$K78</f>
        <v>0</v>
      </c>
      <c r="L76" s="747">
        <f t="shared" si="3"/>
        <v>2.3940163577076148E-4</v>
      </c>
      <c r="M76" s="748">
        <f>Recovery_OX!C71</f>
        <v>0</v>
      </c>
      <c r="N76" s="703"/>
      <c r="O76" s="749">
        <f>(L76-M76)*(1-Recovery_OX!F71)</f>
        <v>2.3940163577076148E-4</v>
      </c>
      <c r="P76" s="695"/>
      <c r="Q76" s="705"/>
      <c r="S76" s="743">
        <f t="shared" si="2"/>
        <v>2059</v>
      </c>
      <c r="T76" s="744">
        <f>IF(Select2=1,Food!$W78,"")</f>
        <v>3.8259475086399714E-9</v>
      </c>
      <c r="U76" s="745">
        <f>IF(Select2=1,Paper!$W78,"")</f>
        <v>7.5315750865771443E-3</v>
      </c>
      <c r="V76" s="736">
        <f>IF(Select2=1,Nappies!$W78,"")</f>
        <v>0</v>
      </c>
      <c r="W76" s="745">
        <f>IF(Select2=1,Garden!$W78,"")</f>
        <v>0</v>
      </c>
      <c r="X76" s="736">
        <f>IF(Select2=1,Wood!$W78,"")</f>
        <v>0</v>
      </c>
      <c r="Y76" s="745">
        <f>IF(Select2=1,Textiles!$W78,"")</f>
        <v>2.8485178926665293E-4</v>
      </c>
      <c r="Z76" s="738">
        <f>Sludge!W78</f>
        <v>0</v>
      </c>
      <c r="AA76" s="738" t="str">
        <f>IF(Select2=2,MSW!$W78,"")</f>
        <v/>
      </c>
      <c r="AB76" s="746">
        <f>Industry!$W78</f>
        <v>0</v>
      </c>
      <c r="AC76" s="747">
        <f t="shared" si="4"/>
        <v>7.8164307017913048E-3</v>
      </c>
      <c r="AD76" s="748">
        <f>Recovery_OX!R71</f>
        <v>0</v>
      </c>
      <c r="AE76" s="703"/>
      <c r="AF76" s="750">
        <f>(AC76-AD76)*(1-Recovery_OX!U71)</f>
        <v>7.8164307017913048E-3</v>
      </c>
    </row>
    <row r="77" spans="2:32">
      <c r="B77" s="743">
        <f t="shared" si="1"/>
        <v>2060</v>
      </c>
      <c r="C77" s="744">
        <f>IF(Select2=1,Food!$K79,"")</f>
        <v>1.2407579842367751E-9</v>
      </c>
      <c r="D77" s="745">
        <f>IF(Select2=1,Paper!$K79,"")</f>
        <v>2.1628973719836969E-4</v>
      </c>
      <c r="E77" s="736">
        <f>IF(Select2=1,Nappies!$K79,"")</f>
        <v>2.6112701264736855E-6</v>
      </c>
      <c r="F77" s="745">
        <f>IF(Select2=1,Garden!$K79,"")</f>
        <v>0</v>
      </c>
      <c r="G77" s="736">
        <f>IF(Select2=1,Wood!$K79,"")</f>
        <v>0</v>
      </c>
      <c r="H77" s="745">
        <f>IF(Select2=1,Textiles!$K79,"")</f>
        <v>4.0392428118334683E-6</v>
      </c>
      <c r="I77" s="746">
        <f>Sludge!K79</f>
        <v>0</v>
      </c>
      <c r="J77" s="746" t="str">
        <f>IF(Select2=2,MSW!$K79,"")</f>
        <v/>
      </c>
      <c r="K77" s="746">
        <f>Industry!$K79</f>
        <v>0</v>
      </c>
      <c r="L77" s="747">
        <f t="shared" si="3"/>
        <v>2.2294149089466107E-4</v>
      </c>
      <c r="M77" s="748">
        <f>Recovery_OX!C72</f>
        <v>0</v>
      </c>
      <c r="N77" s="703"/>
      <c r="O77" s="749">
        <f>(L77-M77)*(1-Recovery_OX!F72)</f>
        <v>2.2294149089466107E-4</v>
      </c>
      <c r="P77" s="695"/>
      <c r="Q77" s="705"/>
      <c r="S77" s="743">
        <f t="shared" si="2"/>
        <v>2060</v>
      </c>
      <c r="T77" s="744">
        <f>IF(Select2=1,Food!$W79,"")</f>
        <v>2.564609310121485E-9</v>
      </c>
      <c r="U77" s="745">
        <f>IF(Select2=1,Paper!$W79,"")</f>
        <v>7.0223940648821365E-3</v>
      </c>
      <c r="V77" s="736">
        <f>IF(Select2=1,Nappies!$W79,"")</f>
        <v>0</v>
      </c>
      <c r="W77" s="745">
        <f>IF(Select2=1,Garden!$W79,"")</f>
        <v>0</v>
      </c>
      <c r="X77" s="736">
        <f>IF(Select2=1,Wood!$W79,"")</f>
        <v>0</v>
      </c>
      <c r="Y77" s="745">
        <f>IF(Select2=1,Textiles!$W79,"")</f>
        <v>2.6559404790137868E-4</v>
      </c>
      <c r="Z77" s="738">
        <f>Sludge!W79</f>
        <v>0</v>
      </c>
      <c r="AA77" s="738" t="str">
        <f>IF(Select2=2,MSW!$W79,"")</f>
        <v/>
      </c>
      <c r="AB77" s="746">
        <f>Industry!$W79</f>
        <v>0</v>
      </c>
      <c r="AC77" s="747">
        <f t="shared" si="4"/>
        <v>7.2879906773928253E-3</v>
      </c>
      <c r="AD77" s="748">
        <f>Recovery_OX!R72</f>
        <v>0</v>
      </c>
      <c r="AE77" s="703"/>
      <c r="AF77" s="750">
        <f>(AC77-AD77)*(1-Recovery_OX!U72)</f>
        <v>7.2879906773928253E-3</v>
      </c>
    </row>
    <row r="78" spans="2:32">
      <c r="B78" s="743">
        <f t="shared" si="1"/>
        <v>2061</v>
      </c>
      <c r="C78" s="744">
        <f>IF(Select2=1,Food!$K80,"")</f>
        <v>8.3170494911268207E-10</v>
      </c>
      <c r="D78" s="745">
        <f>IF(Select2=1,Paper!$K80,"")</f>
        <v>2.016672142728416E-4</v>
      </c>
      <c r="E78" s="736">
        <f>IF(Select2=1,Nappies!$K80,"")</f>
        <v>2.2030367323350377E-6</v>
      </c>
      <c r="F78" s="745">
        <f>IF(Select2=1,Garden!$K80,"")</f>
        <v>0</v>
      </c>
      <c r="G78" s="736">
        <f>IF(Select2=1,Wood!$K80,"")</f>
        <v>0</v>
      </c>
      <c r="H78" s="745">
        <f>IF(Select2=1,Textiles!$K80,"")</f>
        <v>3.7661650348530507E-6</v>
      </c>
      <c r="I78" s="746">
        <f>Sludge!K80</f>
        <v>0</v>
      </c>
      <c r="J78" s="746" t="str">
        <f>IF(Select2=2,MSW!$K80,"")</f>
        <v/>
      </c>
      <c r="K78" s="746">
        <f>Industry!$K80</f>
        <v>0</v>
      </c>
      <c r="L78" s="747">
        <f t="shared" si="3"/>
        <v>2.0763724774497879E-4</v>
      </c>
      <c r="M78" s="748">
        <f>Recovery_OX!C73</f>
        <v>0</v>
      </c>
      <c r="N78" s="703"/>
      <c r="O78" s="749">
        <f>(L78-M78)*(1-Recovery_OX!F73)</f>
        <v>2.0763724774497879E-4</v>
      </c>
      <c r="P78" s="695"/>
      <c r="Q78" s="705"/>
      <c r="S78" s="743">
        <f t="shared" si="2"/>
        <v>2061</v>
      </c>
      <c r="T78" s="744">
        <f>IF(Select2=1,Food!$W80,"")</f>
        <v>1.7191090308240633E-9</v>
      </c>
      <c r="U78" s="745">
        <f>IF(Select2=1,Paper!$W80,"")</f>
        <v>6.5476368270403146E-3</v>
      </c>
      <c r="V78" s="736">
        <f>IF(Select2=1,Nappies!$W80,"")</f>
        <v>0</v>
      </c>
      <c r="W78" s="745">
        <f>IF(Select2=1,Garden!$W80,"")</f>
        <v>0</v>
      </c>
      <c r="X78" s="736">
        <f>IF(Select2=1,Wood!$W80,"")</f>
        <v>0</v>
      </c>
      <c r="Y78" s="745">
        <f>IF(Select2=1,Textiles!$W80,"")</f>
        <v>2.4763824886704991E-4</v>
      </c>
      <c r="Z78" s="738">
        <f>Sludge!W80</f>
        <v>0</v>
      </c>
      <c r="AA78" s="738" t="str">
        <f>IF(Select2=2,MSW!$W80,"")</f>
        <v/>
      </c>
      <c r="AB78" s="746">
        <f>Industry!$W80</f>
        <v>0</v>
      </c>
      <c r="AC78" s="747">
        <f t="shared" si="4"/>
        <v>6.795276795016395E-3</v>
      </c>
      <c r="AD78" s="748">
        <f>Recovery_OX!R73</f>
        <v>0</v>
      </c>
      <c r="AE78" s="703"/>
      <c r="AF78" s="750">
        <f>(AC78-AD78)*(1-Recovery_OX!U73)</f>
        <v>6.795276795016395E-3</v>
      </c>
    </row>
    <row r="79" spans="2:32">
      <c r="B79" s="743">
        <f t="shared" si="1"/>
        <v>2062</v>
      </c>
      <c r="C79" s="744">
        <f>IF(Select2=1,Food!$K81,"")</f>
        <v>5.5750849977728204E-10</v>
      </c>
      <c r="D79" s="745">
        <f>IF(Select2=1,Paper!$K81,"")</f>
        <v>1.8803326426564614E-4</v>
      </c>
      <c r="E79" s="736">
        <f>IF(Select2=1,Nappies!$K81,"")</f>
        <v>1.8586245807405358E-6</v>
      </c>
      <c r="F79" s="745">
        <f>IF(Select2=1,Garden!$K81,"")</f>
        <v>0</v>
      </c>
      <c r="G79" s="736">
        <f>IF(Select2=1,Wood!$K81,"")</f>
        <v>0</v>
      </c>
      <c r="H79" s="745">
        <f>IF(Select2=1,Textiles!$K81,"")</f>
        <v>3.5115490032428547E-6</v>
      </c>
      <c r="I79" s="746">
        <f>Sludge!K81</f>
        <v>0</v>
      </c>
      <c r="J79" s="746" t="str">
        <f>IF(Select2=2,MSW!$K81,"")</f>
        <v/>
      </c>
      <c r="K79" s="746">
        <f>Industry!$K81</f>
        <v>0</v>
      </c>
      <c r="L79" s="747">
        <f t="shared" si="3"/>
        <v>1.9340399535812934E-4</v>
      </c>
      <c r="M79" s="748">
        <f>Recovery_OX!C74</f>
        <v>0</v>
      </c>
      <c r="N79" s="703"/>
      <c r="O79" s="749">
        <f>(L79-M79)*(1-Recovery_OX!F74)</f>
        <v>1.9340399535812934E-4</v>
      </c>
      <c r="P79" s="695"/>
      <c r="Q79" s="705"/>
      <c r="S79" s="743">
        <f t="shared" si="2"/>
        <v>2062</v>
      </c>
      <c r="T79" s="744">
        <f>IF(Select2=1,Food!$W81,"")</f>
        <v>1.1523532446822695E-9</v>
      </c>
      <c r="U79" s="745">
        <f>IF(Select2=1,Paper!$W81,"")</f>
        <v>6.1049761125209811E-3</v>
      </c>
      <c r="V79" s="736">
        <f>IF(Select2=1,Nappies!$W81,"")</f>
        <v>0</v>
      </c>
      <c r="W79" s="745">
        <f>IF(Select2=1,Garden!$W81,"")</f>
        <v>0</v>
      </c>
      <c r="X79" s="736">
        <f>IF(Select2=1,Wood!$W81,"")</f>
        <v>0</v>
      </c>
      <c r="Y79" s="745">
        <f>IF(Select2=1,Textiles!$W81,"")</f>
        <v>2.3089637281596852E-4</v>
      </c>
      <c r="Z79" s="738">
        <f>Sludge!W81</f>
        <v>0</v>
      </c>
      <c r="AA79" s="738" t="str">
        <f>IF(Select2=2,MSW!$W81,"")</f>
        <v/>
      </c>
      <c r="AB79" s="746">
        <f>Industry!$W81</f>
        <v>0</v>
      </c>
      <c r="AC79" s="747">
        <f t="shared" si="4"/>
        <v>6.3358736376901946E-3</v>
      </c>
      <c r="AD79" s="748">
        <f>Recovery_OX!R74</f>
        <v>0</v>
      </c>
      <c r="AE79" s="703"/>
      <c r="AF79" s="750">
        <f>(AC79-AD79)*(1-Recovery_OX!U74)</f>
        <v>6.3358736376901946E-3</v>
      </c>
    </row>
    <row r="80" spans="2:32">
      <c r="B80" s="743">
        <f t="shared" si="1"/>
        <v>2063</v>
      </c>
      <c r="C80" s="744">
        <f>IF(Select2=1,Food!$K82,"")</f>
        <v>3.7370912323596794E-10</v>
      </c>
      <c r="D80" s="745">
        <f>IF(Select2=1,Paper!$K82,"")</f>
        <v>1.7532105353803047E-4</v>
      </c>
      <c r="E80" s="736">
        <f>IF(Select2=1,Nappies!$K82,"")</f>
        <v>1.5680561660319949E-6</v>
      </c>
      <c r="F80" s="745">
        <f>IF(Select2=1,Garden!$K82,"")</f>
        <v>0</v>
      </c>
      <c r="G80" s="736">
        <f>IF(Select2=1,Wood!$K82,"")</f>
        <v>0</v>
      </c>
      <c r="H80" s="745">
        <f>IF(Select2=1,Textiles!$K82,"")</f>
        <v>3.2741465889205301E-6</v>
      </c>
      <c r="I80" s="746">
        <f>Sludge!K82</f>
        <v>0</v>
      </c>
      <c r="J80" s="746" t="str">
        <f>IF(Select2=2,MSW!$K82,"")</f>
        <v/>
      </c>
      <c r="K80" s="746">
        <f>Industry!$K82</f>
        <v>0</v>
      </c>
      <c r="L80" s="747">
        <f t="shared" si="3"/>
        <v>1.8016363000210623E-4</v>
      </c>
      <c r="M80" s="748">
        <f>Recovery_OX!C75</f>
        <v>0</v>
      </c>
      <c r="N80" s="703"/>
      <c r="O80" s="749">
        <f>(L80-M80)*(1-Recovery_OX!F75)</f>
        <v>1.8016363000210623E-4</v>
      </c>
      <c r="P80" s="695"/>
      <c r="Q80" s="705"/>
      <c r="S80" s="743">
        <f t="shared" si="2"/>
        <v>2063</v>
      </c>
      <c r="T80" s="744">
        <f>IF(Select2=1,Food!$W82,"")</f>
        <v>7.7244548002473723E-10</v>
      </c>
      <c r="U80" s="745">
        <f>IF(Select2=1,Paper!$W82,"")</f>
        <v>5.6922419979880054E-3</v>
      </c>
      <c r="V80" s="736">
        <f>IF(Select2=1,Nappies!$W82,"")</f>
        <v>0</v>
      </c>
      <c r="W80" s="745">
        <f>IF(Select2=1,Garden!$W82,"")</f>
        <v>0</v>
      </c>
      <c r="X80" s="736">
        <f>IF(Select2=1,Wood!$W82,"")</f>
        <v>0</v>
      </c>
      <c r="Y80" s="745">
        <f>IF(Select2=1,Textiles!$W82,"")</f>
        <v>2.1528635105230886E-4</v>
      </c>
      <c r="Z80" s="738">
        <f>Sludge!W82</f>
        <v>0</v>
      </c>
      <c r="AA80" s="738" t="str">
        <f>IF(Select2=2,MSW!$W82,"")</f>
        <v/>
      </c>
      <c r="AB80" s="746">
        <f>Industry!$W82</f>
        <v>0</v>
      </c>
      <c r="AC80" s="747">
        <f t="shared" si="4"/>
        <v>5.9075291214857944E-3</v>
      </c>
      <c r="AD80" s="748">
        <f>Recovery_OX!R75</f>
        <v>0</v>
      </c>
      <c r="AE80" s="703"/>
      <c r="AF80" s="750">
        <f>(AC80-AD80)*(1-Recovery_OX!U75)</f>
        <v>5.9075291214857944E-3</v>
      </c>
    </row>
    <row r="81" spans="2:32">
      <c r="B81" s="743">
        <f t="shared" si="1"/>
        <v>2064</v>
      </c>
      <c r="C81" s="744">
        <f>IF(Select2=1,Food!$K83,"")</f>
        <v>2.5050471669147245E-10</v>
      </c>
      <c r="D81" s="745">
        <f>IF(Select2=1,Paper!$K83,"")</f>
        <v>1.6346826681825949E-4</v>
      </c>
      <c r="E81" s="736">
        <f>IF(Select2=1,Nappies!$K83,"")</f>
        <v>1.3229138177282115E-6</v>
      </c>
      <c r="F81" s="745">
        <f>IF(Select2=1,Garden!$K83,"")</f>
        <v>0</v>
      </c>
      <c r="G81" s="736">
        <f>IF(Select2=1,Wood!$K83,"")</f>
        <v>0</v>
      </c>
      <c r="H81" s="745">
        <f>IF(Select2=1,Textiles!$K83,"")</f>
        <v>3.0527940449756437E-6</v>
      </c>
      <c r="I81" s="746">
        <f>Sludge!K83</f>
        <v>0</v>
      </c>
      <c r="J81" s="746" t="str">
        <f>IF(Select2=2,MSW!$K83,"")</f>
        <v/>
      </c>
      <c r="K81" s="746">
        <f>Industry!$K83</f>
        <v>0</v>
      </c>
      <c r="L81" s="747">
        <f t="shared" si="3"/>
        <v>1.6784422518568005E-4</v>
      </c>
      <c r="M81" s="748">
        <f>Recovery_OX!C76</f>
        <v>0</v>
      </c>
      <c r="N81" s="703"/>
      <c r="O81" s="749">
        <f>(L81-M81)*(1-Recovery_OX!F76)</f>
        <v>1.6784422518568005E-4</v>
      </c>
      <c r="P81" s="695"/>
      <c r="Q81" s="705"/>
      <c r="S81" s="743">
        <f t="shared" si="2"/>
        <v>2064</v>
      </c>
      <c r="T81" s="744">
        <f>IF(Select2=1,Food!$W83,"")</f>
        <v>5.1778568973020342E-10</v>
      </c>
      <c r="U81" s="745">
        <f>IF(Select2=1,Paper!$W83,"")</f>
        <v>5.307411260333102E-3</v>
      </c>
      <c r="V81" s="736">
        <f>IF(Select2=1,Nappies!$W83,"")</f>
        <v>0</v>
      </c>
      <c r="W81" s="745">
        <f>IF(Select2=1,Garden!$W83,"")</f>
        <v>0</v>
      </c>
      <c r="X81" s="736">
        <f>IF(Select2=1,Wood!$W83,"")</f>
        <v>0</v>
      </c>
      <c r="Y81" s="745">
        <f>IF(Select2=1,Textiles!$W83,"")</f>
        <v>2.0073166323127518E-4</v>
      </c>
      <c r="Z81" s="738">
        <f>Sludge!W83</f>
        <v>0</v>
      </c>
      <c r="AA81" s="738" t="str">
        <f>IF(Select2=2,MSW!$W83,"")</f>
        <v/>
      </c>
      <c r="AB81" s="746">
        <f>Industry!$W83</f>
        <v>0</v>
      </c>
      <c r="AC81" s="747">
        <f t="shared" ref="AC81:AC97" si="5">SUM(T81:AA81)</f>
        <v>5.5081434413500668E-3</v>
      </c>
      <c r="AD81" s="748">
        <f>Recovery_OX!R76</f>
        <v>0</v>
      </c>
      <c r="AE81" s="703"/>
      <c r="AF81" s="750">
        <f>(AC81-AD81)*(1-Recovery_OX!U76)</f>
        <v>5.5081434413500668E-3</v>
      </c>
    </row>
    <row r="82" spans="2:32">
      <c r="B82" s="743">
        <f t="shared" ref="B82:B97" si="6">B81+1</f>
        <v>2065</v>
      </c>
      <c r="C82" s="744">
        <f>IF(Select2=1,Food!$K84,"")</f>
        <v>1.6791833322477259E-10</v>
      </c>
      <c r="D82" s="745">
        <f>IF(Select2=1,Paper!$K84,"")</f>
        <v>1.5241680173208171E-4</v>
      </c>
      <c r="E82" s="736">
        <f>IF(Select2=1,Nappies!$K84,"")</f>
        <v>1.1160958434064933E-6</v>
      </c>
      <c r="F82" s="745">
        <f>IF(Select2=1,Garden!$K84,"")</f>
        <v>0</v>
      </c>
      <c r="G82" s="736">
        <f>IF(Select2=1,Wood!$K84,"")</f>
        <v>0</v>
      </c>
      <c r="H82" s="745">
        <f>IF(Select2=1,Textiles!$K84,"")</f>
        <v>2.8464063009809713E-6</v>
      </c>
      <c r="I82" s="746">
        <f>Sludge!K84</f>
        <v>0</v>
      </c>
      <c r="J82" s="746" t="str">
        <f>IF(Select2=2,MSW!$K84,"")</f>
        <v/>
      </c>
      <c r="K82" s="746">
        <f>Industry!$K84</f>
        <v>0</v>
      </c>
      <c r="L82" s="747">
        <f t="shared" si="3"/>
        <v>1.5637947179480242E-4</v>
      </c>
      <c r="M82" s="748">
        <f>Recovery_OX!C77</f>
        <v>0</v>
      </c>
      <c r="N82" s="703"/>
      <c r="O82" s="749">
        <f>(L82-M82)*(1-Recovery_OX!F77)</f>
        <v>1.5637947179480242E-4</v>
      </c>
      <c r="P82" s="695"/>
      <c r="Q82" s="705"/>
      <c r="S82" s="743">
        <f t="shared" ref="S82:S97" si="7">S81+1</f>
        <v>2065</v>
      </c>
      <c r="T82" s="744">
        <f>IF(Select2=1,Food!$W84,"")</f>
        <v>3.4708212737654523E-10</v>
      </c>
      <c r="U82" s="745">
        <f>IF(Select2=1,Paper!$W84,"")</f>
        <v>4.948597458833825E-3</v>
      </c>
      <c r="V82" s="736">
        <f>IF(Select2=1,Nappies!$W84,"")</f>
        <v>0</v>
      </c>
      <c r="W82" s="745">
        <f>IF(Select2=1,Garden!$W84,"")</f>
        <v>0</v>
      </c>
      <c r="X82" s="736">
        <f>IF(Select2=1,Wood!$W84,"")</f>
        <v>0</v>
      </c>
      <c r="Y82" s="745">
        <f>IF(Select2=1,Textiles!$W84,"")</f>
        <v>1.8716096225628305E-4</v>
      </c>
      <c r="Z82" s="738">
        <f>Sludge!W84</f>
        <v>0</v>
      </c>
      <c r="AA82" s="738" t="str">
        <f>IF(Select2=2,MSW!$W84,"")</f>
        <v/>
      </c>
      <c r="AB82" s="746">
        <f>Industry!$W84</f>
        <v>0</v>
      </c>
      <c r="AC82" s="747">
        <f t="shared" si="5"/>
        <v>5.1357587681722357E-3</v>
      </c>
      <c r="AD82" s="748">
        <f>Recovery_OX!R77</f>
        <v>0</v>
      </c>
      <c r="AE82" s="703"/>
      <c r="AF82" s="750">
        <f>(AC82-AD82)*(1-Recovery_OX!U77)</f>
        <v>5.1357587681722357E-3</v>
      </c>
    </row>
    <row r="83" spans="2:32">
      <c r="B83" s="743">
        <f t="shared" si="6"/>
        <v>2066</v>
      </c>
      <c r="C83" s="744">
        <f>IF(Select2=1,Food!$K85,"")</f>
        <v>1.1255902485745738E-10</v>
      </c>
      <c r="D83" s="745">
        <f>IF(Select2=1,Paper!$K85,"")</f>
        <v>1.4211248398482326E-4</v>
      </c>
      <c r="E83" s="736">
        <f>IF(Select2=1,Nappies!$K85,"")</f>
        <v>9.4161079503152529E-7</v>
      </c>
      <c r="F83" s="745">
        <f>IF(Select2=1,Garden!$K85,"")</f>
        <v>0</v>
      </c>
      <c r="G83" s="736">
        <f>IF(Select2=1,Wood!$K85,"")</f>
        <v>0</v>
      </c>
      <c r="H83" s="745">
        <f>IF(Select2=1,Textiles!$K85,"")</f>
        <v>2.6539716439760082E-6</v>
      </c>
      <c r="I83" s="746">
        <f>Sludge!K85</f>
        <v>0</v>
      </c>
      <c r="J83" s="746" t="str">
        <f>IF(Select2=2,MSW!$K85,"")</f>
        <v/>
      </c>
      <c r="K83" s="746">
        <f>Industry!$K85</f>
        <v>0</v>
      </c>
      <c r="L83" s="747">
        <f t="shared" ref="L83:L97" si="8">SUM(C83:K83)</f>
        <v>1.4570817898285562E-4</v>
      </c>
      <c r="M83" s="748">
        <f>Recovery_OX!C78</f>
        <v>0</v>
      </c>
      <c r="N83" s="703"/>
      <c r="O83" s="749">
        <f>(L83-M83)*(1-Recovery_OX!F78)</f>
        <v>1.4570817898285562E-4</v>
      </c>
      <c r="P83" s="695"/>
      <c r="Q83" s="705"/>
      <c r="S83" s="743">
        <f t="shared" si="7"/>
        <v>2066</v>
      </c>
      <c r="T83" s="744">
        <f>IF(Select2=1,Food!$W85,"")</f>
        <v>2.3265610760119346E-10</v>
      </c>
      <c r="U83" s="745">
        <f>IF(Select2=1,Paper!$W85,"")</f>
        <v>4.6140416878189391E-3</v>
      </c>
      <c r="V83" s="736">
        <f>IF(Select2=1,Nappies!$W85,"")</f>
        <v>0</v>
      </c>
      <c r="W83" s="745">
        <f>IF(Select2=1,Garden!$W85,"")</f>
        <v>0</v>
      </c>
      <c r="X83" s="736">
        <f>IF(Select2=1,Wood!$W85,"")</f>
        <v>0</v>
      </c>
      <c r="Y83" s="745">
        <f>IF(Select2=1,Textiles!$W85,"")</f>
        <v>1.7450772453540876E-4</v>
      </c>
      <c r="Z83" s="738">
        <f>Sludge!W85</f>
        <v>0</v>
      </c>
      <c r="AA83" s="738" t="str">
        <f>IF(Select2=2,MSW!$W85,"")</f>
        <v/>
      </c>
      <c r="AB83" s="746">
        <f>Industry!$W85</f>
        <v>0</v>
      </c>
      <c r="AC83" s="747">
        <f t="shared" si="5"/>
        <v>4.7885496450104561E-3</v>
      </c>
      <c r="AD83" s="748">
        <f>Recovery_OX!R78</f>
        <v>0</v>
      </c>
      <c r="AE83" s="703"/>
      <c r="AF83" s="750">
        <f>(AC83-AD83)*(1-Recovery_OX!U78)</f>
        <v>4.7885496450104561E-3</v>
      </c>
    </row>
    <row r="84" spans="2:32">
      <c r="B84" s="743">
        <f t="shared" si="6"/>
        <v>2067</v>
      </c>
      <c r="C84" s="744">
        <f>IF(Select2=1,Food!$K86,"")</f>
        <v>7.5450570724177512E-11</v>
      </c>
      <c r="D84" s="745">
        <f>IF(Select2=1,Paper!$K86,"")</f>
        <v>1.3250480179893224E-4</v>
      </c>
      <c r="E84" s="736">
        <f>IF(Select2=1,Nappies!$K86,"")</f>
        <v>7.9440389869544679E-7</v>
      </c>
      <c r="F84" s="745">
        <f>IF(Select2=1,Garden!$K86,"")</f>
        <v>0</v>
      </c>
      <c r="G84" s="736">
        <f>IF(Select2=1,Wood!$K86,"")</f>
        <v>0</v>
      </c>
      <c r="H84" s="745">
        <f>IF(Select2=1,Textiles!$K86,"")</f>
        <v>2.4745467590488595E-6</v>
      </c>
      <c r="I84" s="746">
        <f>Sludge!K86</f>
        <v>0</v>
      </c>
      <c r="J84" s="746" t="str">
        <f>IF(Select2=2,MSW!$K86,"")</f>
        <v/>
      </c>
      <c r="K84" s="746">
        <f>Industry!$K86</f>
        <v>0</v>
      </c>
      <c r="L84" s="747">
        <f t="shared" si="8"/>
        <v>1.3577382790724726E-4</v>
      </c>
      <c r="M84" s="748">
        <f>Recovery_OX!C79</f>
        <v>0</v>
      </c>
      <c r="N84" s="703"/>
      <c r="O84" s="749">
        <f>(L84-M84)*(1-Recovery_OX!F79)</f>
        <v>1.3577382790724726E-4</v>
      </c>
      <c r="P84" s="695"/>
      <c r="Q84" s="705"/>
      <c r="S84" s="743">
        <f t="shared" si="7"/>
        <v>2067</v>
      </c>
      <c r="T84" s="744">
        <f>IF(Select2=1,Food!$W86,"")</f>
        <v>1.5595405275770463E-10</v>
      </c>
      <c r="U84" s="745">
        <f>IF(Select2=1,Paper!$W86,"")</f>
        <v>4.3021039545107897E-3</v>
      </c>
      <c r="V84" s="736">
        <f>IF(Select2=1,Nappies!$W86,"")</f>
        <v>0</v>
      </c>
      <c r="W84" s="745">
        <f>IF(Select2=1,Garden!$W86,"")</f>
        <v>0</v>
      </c>
      <c r="X84" s="736">
        <f>IF(Select2=1,Wood!$W86,"")</f>
        <v>0</v>
      </c>
      <c r="Y84" s="745">
        <f>IF(Select2=1,Textiles!$W86,"")</f>
        <v>1.6270992388266477E-4</v>
      </c>
      <c r="Z84" s="738">
        <f>Sludge!W86</f>
        <v>0</v>
      </c>
      <c r="AA84" s="738" t="str">
        <f>IF(Select2=2,MSW!$W86,"")</f>
        <v/>
      </c>
      <c r="AB84" s="746">
        <f>Industry!$W86</f>
        <v>0</v>
      </c>
      <c r="AC84" s="747">
        <f t="shared" si="5"/>
        <v>4.4648140343475067E-3</v>
      </c>
      <c r="AD84" s="748">
        <f>Recovery_OX!R79</f>
        <v>0</v>
      </c>
      <c r="AE84" s="703"/>
      <c r="AF84" s="750">
        <f>(AC84-AD84)*(1-Recovery_OX!U79)</f>
        <v>4.4648140343475067E-3</v>
      </c>
    </row>
    <row r="85" spans="2:32">
      <c r="B85" s="743">
        <f t="shared" si="6"/>
        <v>2068</v>
      </c>
      <c r="C85" s="744">
        <f>IF(Select2=1,Food!$K87,"")</f>
        <v>5.057603004124593E-11</v>
      </c>
      <c r="D85" s="745">
        <f>IF(Select2=1,Paper!$K87,"")</f>
        <v>1.2354665830518699E-4</v>
      </c>
      <c r="E85" s="736">
        <f>IF(Select2=1,Nappies!$K87,"")</f>
        <v>6.7021061949634631E-7</v>
      </c>
      <c r="F85" s="745">
        <f>IF(Select2=1,Garden!$K87,"")</f>
        <v>0</v>
      </c>
      <c r="G85" s="736">
        <f>IF(Select2=1,Wood!$K87,"")</f>
        <v>0</v>
      </c>
      <c r="H85" s="745">
        <f>IF(Select2=1,Textiles!$K87,"")</f>
        <v>2.3072521052054505E-6</v>
      </c>
      <c r="I85" s="746">
        <f>Sludge!K87</f>
        <v>0</v>
      </c>
      <c r="J85" s="746" t="str">
        <f>IF(Select2=2,MSW!$K87,"")</f>
        <v/>
      </c>
      <c r="K85" s="746">
        <f>Industry!$K87</f>
        <v>0</v>
      </c>
      <c r="L85" s="747">
        <f t="shared" si="8"/>
        <v>1.2652417160591883E-4</v>
      </c>
      <c r="M85" s="748">
        <f>Recovery_OX!C80</f>
        <v>0</v>
      </c>
      <c r="N85" s="703"/>
      <c r="O85" s="749">
        <f>(L85-M85)*(1-Recovery_OX!F80)</f>
        <v>1.2652417160591883E-4</v>
      </c>
      <c r="P85" s="695"/>
      <c r="Q85" s="705"/>
      <c r="S85" s="743">
        <f t="shared" si="7"/>
        <v>2068</v>
      </c>
      <c r="T85" s="744">
        <f>IF(Select2=1,Food!$W87,"")</f>
        <v>1.0453912782398909E-10</v>
      </c>
      <c r="U85" s="745">
        <f>IF(Select2=1,Paper!$W87,"")</f>
        <v>4.0112551397788014E-3</v>
      </c>
      <c r="V85" s="736">
        <f>IF(Select2=1,Nappies!$W87,"")</f>
        <v>0</v>
      </c>
      <c r="W85" s="745">
        <f>IF(Select2=1,Garden!$W87,"")</f>
        <v>0</v>
      </c>
      <c r="X85" s="736">
        <f>IF(Select2=1,Wood!$W87,"")</f>
        <v>0</v>
      </c>
      <c r="Y85" s="745">
        <f>IF(Select2=1,Textiles!$W87,"")</f>
        <v>1.517097274655639E-4</v>
      </c>
      <c r="Z85" s="738">
        <f>Sludge!W87</f>
        <v>0</v>
      </c>
      <c r="AA85" s="738" t="str">
        <f>IF(Select2=2,MSW!$W87,"")</f>
        <v/>
      </c>
      <c r="AB85" s="746">
        <f>Industry!$W87</f>
        <v>0</v>
      </c>
      <c r="AC85" s="747">
        <f t="shared" si="5"/>
        <v>4.1629649717834939E-3</v>
      </c>
      <c r="AD85" s="748">
        <f>Recovery_OX!R80</f>
        <v>0</v>
      </c>
      <c r="AE85" s="703"/>
      <c r="AF85" s="750">
        <f>(AC85-AD85)*(1-Recovery_OX!U80)</f>
        <v>4.1629649717834939E-3</v>
      </c>
    </row>
    <row r="86" spans="2:32">
      <c r="B86" s="743">
        <f t="shared" si="6"/>
        <v>2069</v>
      </c>
      <c r="C86" s="744">
        <f>IF(Select2=1,Food!$K88,"")</f>
        <v>3.390212678554785E-11</v>
      </c>
      <c r="D86" s="745">
        <f>IF(Select2=1,Paper!$K88,"")</f>
        <v>1.1519414067378823E-4</v>
      </c>
      <c r="E86" s="736">
        <f>IF(Select2=1,Nappies!$K88,"")</f>
        <v>5.6543311937833371E-7</v>
      </c>
      <c r="F86" s="745">
        <f>IF(Select2=1,Garden!$K88,"")</f>
        <v>0</v>
      </c>
      <c r="G86" s="736">
        <f>IF(Select2=1,Wood!$K88,"")</f>
        <v>0</v>
      </c>
      <c r="H86" s="745">
        <f>IF(Select2=1,Textiles!$K88,"")</f>
        <v>2.1512676038585509E-6</v>
      </c>
      <c r="I86" s="746">
        <f>Sludge!K88</f>
        <v>0</v>
      </c>
      <c r="J86" s="746" t="str">
        <f>IF(Select2=2,MSW!$K88,"")</f>
        <v/>
      </c>
      <c r="K86" s="746">
        <f>Industry!$K88</f>
        <v>0</v>
      </c>
      <c r="L86" s="747">
        <f t="shared" si="8"/>
        <v>1.179108752991519E-4</v>
      </c>
      <c r="M86" s="748">
        <f>Recovery_OX!C81</f>
        <v>0</v>
      </c>
      <c r="N86" s="703"/>
      <c r="O86" s="749">
        <f>(L86-M86)*(1-Recovery_OX!F81)</f>
        <v>1.179108752991519E-4</v>
      </c>
      <c r="P86" s="695"/>
      <c r="Q86" s="705"/>
      <c r="S86" s="743">
        <f t="shared" si="7"/>
        <v>2069</v>
      </c>
      <c r="T86" s="744">
        <f>IF(Select2=1,Food!$W88,"")</f>
        <v>7.0074672975501947E-11</v>
      </c>
      <c r="U86" s="745">
        <f>IF(Select2=1,Paper!$W88,"")</f>
        <v>3.7400695023957252E-3</v>
      </c>
      <c r="V86" s="736">
        <f>IF(Select2=1,Nappies!$W88,"")</f>
        <v>0</v>
      </c>
      <c r="W86" s="745">
        <f>IF(Select2=1,Garden!$W88,"")</f>
        <v>0</v>
      </c>
      <c r="X86" s="736">
        <f>IF(Select2=1,Wood!$W88,"")</f>
        <v>0</v>
      </c>
      <c r="Y86" s="745">
        <f>IF(Select2=1,Textiles!$W88,"")</f>
        <v>1.4145321230850746E-4</v>
      </c>
      <c r="Z86" s="738">
        <f>Sludge!W88</f>
        <v>0</v>
      </c>
      <c r="AA86" s="738" t="str">
        <f>IF(Select2=2,MSW!$W88,"")</f>
        <v/>
      </c>
      <c r="AB86" s="746">
        <f>Industry!$W88</f>
        <v>0</v>
      </c>
      <c r="AC86" s="747">
        <f t="shared" si="5"/>
        <v>3.8815227847789056E-3</v>
      </c>
      <c r="AD86" s="748">
        <f>Recovery_OX!R81</f>
        <v>0</v>
      </c>
      <c r="AE86" s="703"/>
      <c r="AF86" s="750">
        <f>(AC86-AD86)*(1-Recovery_OX!U81)</f>
        <v>3.8815227847789056E-3</v>
      </c>
    </row>
    <row r="87" spans="2:32">
      <c r="B87" s="743">
        <f t="shared" si="6"/>
        <v>2070</v>
      </c>
      <c r="C87" s="744">
        <f>IF(Select2=1,Food!$K89,"")</f>
        <v>2.2725275187594515E-11</v>
      </c>
      <c r="D87" s="745">
        <f>IF(Select2=1,Paper!$K89,"")</f>
        <v>1.0740630485361659E-4</v>
      </c>
      <c r="E87" s="736">
        <f>IF(Select2=1,Nappies!$K89,"")</f>
        <v>4.7703602895784294E-7</v>
      </c>
      <c r="F87" s="745">
        <f>IF(Select2=1,Garden!$K89,"")</f>
        <v>0</v>
      </c>
      <c r="G87" s="736">
        <f>IF(Select2=1,Wood!$K89,"")</f>
        <v>0</v>
      </c>
      <c r="H87" s="745">
        <f>IF(Select2=1,Textiles!$K89,"")</f>
        <v>2.0058286188015902E-6</v>
      </c>
      <c r="I87" s="746">
        <f>Sludge!K89</f>
        <v>0</v>
      </c>
      <c r="J87" s="746" t="str">
        <f>IF(Select2=2,MSW!$K89,"")</f>
        <v/>
      </c>
      <c r="K87" s="746">
        <f>Industry!$K89</f>
        <v>0</v>
      </c>
      <c r="L87" s="747">
        <f t="shared" si="8"/>
        <v>1.0988919222665121E-4</v>
      </c>
      <c r="M87" s="748">
        <f>Recovery_OX!C82</f>
        <v>0</v>
      </c>
      <c r="N87" s="703"/>
      <c r="O87" s="749">
        <f>(L87-M87)*(1-Recovery_OX!F82)</f>
        <v>1.0988919222665121E-4</v>
      </c>
      <c r="P87" s="695"/>
      <c r="Q87" s="705"/>
      <c r="S87" s="743">
        <f t="shared" si="7"/>
        <v>2070</v>
      </c>
      <c r="T87" s="744">
        <f>IF(Select2=1,Food!$W89,"")</f>
        <v>4.6972458014870837E-11</v>
      </c>
      <c r="U87" s="745">
        <f>IF(Select2=1,Paper!$W89,"")</f>
        <v>3.4872176900524899E-3</v>
      </c>
      <c r="V87" s="736">
        <f>IF(Select2=1,Nappies!$W89,"")</f>
        <v>0</v>
      </c>
      <c r="W87" s="745">
        <f>IF(Select2=1,Garden!$W89,"")</f>
        <v>0</v>
      </c>
      <c r="X87" s="736">
        <f>IF(Select2=1,Wood!$W89,"")</f>
        <v>0</v>
      </c>
      <c r="Y87" s="745">
        <f>IF(Select2=1,Textiles!$W89,"")</f>
        <v>1.3189010096229637E-4</v>
      </c>
      <c r="Z87" s="738">
        <f>Sludge!W89</f>
        <v>0</v>
      </c>
      <c r="AA87" s="738" t="str">
        <f>IF(Select2=2,MSW!$W89,"")</f>
        <v/>
      </c>
      <c r="AB87" s="746">
        <f>Industry!$W89</f>
        <v>0</v>
      </c>
      <c r="AC87" s="747">
        <f t="shared" si="5"/>
        <v>3.6191078379872441E-3</v>
      </c>
      <c r="AD87" s="748">
        <f>Recovery_OX!R82</f>
        <v>0</v>
      </c>
      <c r="AE87" s="703"/>
      <c r="AF87" s="750">
        <f>(AC87-AD87)*(1-Recovery_OX!U82)</f>
        <v>3.6191078379872441E-3</v>
      </c>
    </row>
    <row r="88" spans="2:32">
      <c r="B88" s="743">
        <f t="shared" si="6"/>
        <v>2071</v>
      </c>
      <c r="C88" s="744">
        <f>IF(Select2=1,Food!$K90,"")</f>
        <v>1.5233207509920928E-11</v>
      </c>
      <c r="D88" s="745">
        <f>IF(Select2=1,Paper!$K90,"")</f>
        <v>1.0014497486444637E-4</v>
      </c>
      <c r="E88" s="736">
        <f>IF(Select2=1,Nappies!$K90,"")</f>
        <v>4.024585138805858E-7</v>
      </c>
      <c r="F88" s="745">
        <f>IF(Select2=1,Garden!$K90,"")</f>
        <v>0</v>
      </c>
      <c r="G88" s="736">
        <f>IF(Select2=1,Wood!$K90,"")</f>
        <v>0</v>
      </c>
      <c r="H88" s="745">
        <f>IF(Select2=1,Textiles!$K90,"")</f>
        <v>1.8702222079610871E-6</v>
      </c>
      <c r="I88" s="746">
        <f>Sludge!K90</f>
        <v>0</v>
      </c>
      <c r="J88" s="746" t="str">
        <f>IF(Select2=2,MSW!$K90,"")</f>
        <v/>
      </c>
      <c r="K88" s="746">
        <f>Industry!$K90</f>
        <v>0</v>
      </c>
      <c r="L88" s="747">
        <f t="shared" si="8"/>
        <v>1.0241767081949555E-4</v>
      </c>
      <c r="M88" s="748">
        <f>Recovery_OX!C83</f>
        <v>0</v>
      </c>
      <c r="N88" s="703"/>
      <c r="O88" s="749">
        <f>(L88-M88)*(1-Recovery_OX!F83)</f>
        <v>1.0241767081949555E-4</v>
      </c>
      <c r="P88" s="695"/>
      <c r="Q88" s="705"/>
      <c r="S88" s="743">
        <f t="shared" si="7"/>
        <v>2071</v>
      </c>
      <c r="T88" s="744">
        <f>IF(Select2=1,Food!$W90,"")</f>
        <v>3.1486580218935356E-11</v>
      </c>
      <c r="U88" s="745">
        <f>IF(Select2=1,Paper!$W90,"")</f>
        <v>3.2514602228716377E-3</v>
      </c>
      <c r="V88" s="736">
        <f>IF(Select2=1,Nappies!$W90,"")</f>
        <v>0</v>
      </c>
      <c r="W88" s="745">
        <f>IF(Select2=1,Garden!$W90,"")</f>
        <v>0</v>
      </c>
      <c r="X88" s="736">
        <f>IF(Select2=1,Wood!$W90,"")</f>
        <v>0</v>
      </c>
      <c r="Y88" s="745">
        <f>IF(Select2=1,Textiles!$W90,"")</f>
        <v>1.2297351504401668E-4</v>
      </c>
      <c r="Z88" s="738">
        <f>Sludge!W90</f>
        <v>0</v>
      </c>
      <c r="AA88" s="738" t="str">
        <f>IF(Select2=2,MSW!$W90,"")</f>
        <v/>
      </c>
      <c r="AB88" s="746">
        <f>Industry!$W90</f>
        <v>0</v>
      </c>
      <c r="AC88" s="747">
        <f t="shared" si="5"/>
        <v>3.3744337694022347E-3</v>
      </c>
      <c r="AD88" s="748">
        <f>Recovery_OX!R83</f>
        <v>0</v>
      </c>
      <c r="AE88" s="703"/>
      <c r="AF88" s="750">
        <f>(AC88-AD88)*(1-Recovery_OX!U83)</f>
        <v>3.3744337694022347E-3</v>
      </c>
    </row>
    <row r="89" spans="2:32">
      <c r="B89" s="743">
        <f t="shared" si="6"/>
        <v>2072</v>
      </c>
      <c r="C89" s="744">
        <f>IF(Select2=1,Food!$K91,"")</f>
        <v>1.0211124359320643E-11</v>
      </c>
      <c r="D89" s="745">
        <f>IF(Select2=1,Paper!$K91,"")</f>
        <v>9.3374555658246321E-5</v>
      </c>
      <c r="E89" s="736">
        <f>IF(Select2=1,Nappies!$K91,"")</f>
        <v>3.3954008830071754E-7</v>
      </c>
      <c r="F89" s="745">
        <f>IF(Select2=1,Garden!$K91,"")</f>
        <v>0</v>
      </c>
      <c r="G89" s="736">
        <f>IF(Select2=1,Wood!$K91,"")</f>
        <v>0</v>
      </c>
      <c r="H89" s="745">
        <f>IF(Select2=1,Textiles!$K91,"")</f>
        <v>1.7437836285537747E-6</v>
      </c>
      <c r="I89" s="746">
        <f>Sludge!K91</f>
        <v>0</v>
      </c>
      <c r="J89" s="746" t="str">
        <f>IF(Select2=2,MSW!$K91,"")</f>
        <v/>
      </c>
      <c r="K89" s="746">
        <f>Industry!$K91</f>
        <v>0</v>
      </c>
      <c r="L89" s="747">
        <f t="shared" si="8"/>
        <v>9.5457889586225163E-5</v>
      </c>
      <c r="M89" s="748">
        <f>Recovery_OX!C84</f>
        <v>0</v>
      </c>
      <c r="N89" s="703"/>
      <c r="O89" s="749">
        <f>(L89-M89)*(1-Recovery_OX!F84)</f>
        <v>9.5457889586225163E-5</v>
      </c>
      <c r="P89" s="695"/>
      <c r="Q89" s="705"/>
      <c r="S89" s="743">
        <f t="shared" si="7"/>
        <v>2072</v>
      </c>
      <c r="T89" s="744">
        <f>IF(Select2=1,Food!$W91,"")</f>
        <v>2.11060859018616E-11</v>
      </c>
      <c r="U89" s="745">
        <f>IF(Select2=1,Paper!$W91,"")</f>
        <v>3.0316414174755323E-3</v>
      </c>
      <c r="V89" s="736">
        <f>IF(Select2=1,Nappies!$W91,"")</f>
        <v>0</v>
      </c>
      <c r="W89" s="745">
        <f>IF(Select2=1,Garden!$W91,"")</f>
        <v>0</v>
      </c>
      <c r="X89" s="736">
        <f>IF(Select2=1,Wood!$W91,"")</f>
        <v>0</v>
      </c>
      <c r="Y89" s="745">
        <f>IF(Select2=1,Textiles!$W91,"")</f>
        <v>1.1465974543915233E-4</v>
      </c>
      <c r="Z89" s="738">
        <f>Sludge!W91</f>
        <v>0</v>
      </c>
      <c r="AA89" s="738" t="str">
        <f>IF(Select2=2,MSW!$W91,"")</f>
        <v/>
      </c>
      <c r="AB89" s="746">
        <f>Industry!$W91</f>
        <v>0</v>
      </c>
      <c r="AC89" s="747">
        <f t="shared" si="5"/>
        <v>3.1463011840207706E-3</v>
      </c>
      <c r="AD89" s="748">
        <f>Recovery_OX!R84</f>
        <v>0</v>
      </c>
      <c r="AE89" s="703"/>
      <c r="AF89" s="750">
        <f>(AC89-AD89)*(1-Recovery_OX!U84)</f>
        <v>3.1463011840207706E-3</v>
      </c>
    </row>
    <row r="90" spans="2:32">
      <c r="B90" s="743">
        <f t="shared" si="6"/>
        <v>2073</v>
      </c>
      <c r="C90" s="744">
        <f>IF(Select2=1,Food!$K92,"")</f>
        <v>6.8447213506154514E-12</v>
      </c>
      <c r="D90" s="745">
        <f>IF(Select2=1,Paper!$K92,"")</f>
        <v>8.7061858632212855E-5</v>
      </c>
      <c r="E90" s="736">
        <f>IF(Select2=1,Nappies!$K92,"")</f>
        <v>2.8645802632334479E-7</v>
      </c>
      <c r="F90" s="745">
        <f>IF(Select2=1,Garden!$K92,"")</f>
        <v>0</v>
      </c>
      <c r="G90" s="736">
        <f>IF(Select2=1,Wood!$K92,"")</f>
        <v>0</v>
      </c>
      <c r="H90" s="745">
        <f>IF(Select2=1,Textiles!$K92,"")</f>
        <v>1.6258930785167094E-6</v>
      </c>
      <c r="I90" s="746">
        <f>Sludge!K92</f>
        <v>0</v>
      </c>
      <c r="J90" s="746" t="str">
        <f>IF(Select2=2,MSW!$K92,"")</f>
        <v/>
      </c>
      <c r="K90" s="746">
        <f>Industry!$K92</f>
        <v>0</v>
      </c>
      <c r="L90" s="747">
        <f t="shared" si="8"/>
        <v>8.8974216581774263E-5</v>
      </c>
      <c r="M90" s="748">
        <f>Recovery_OX!C85</f>
        <v>0</v>
      </c>
      <c r="N90" s="703"/>
      <c r="O90" s="749">
        <f>(L90-M90)*(1-Recovery_OX!F85)</f>
        <v>8.8974216581774263E-5</v>
      </c>
      <c r="P90" s="695"/>
      <c r="Q90" s="705"/>
      <c r="S90" s="743">
        <f t="shared" si="7"/>
        <v>2073</v>
      </c>
      <c r="T90" s="744">
        <f>IF(Select2=1,Food!$W92,"")</f>
        <v>1.4147832473368027E-11</v>
      </c>
      <c r="U90" s="745">
        <f>IF(Select2=1,Paper!$W92,"")</f>
        <v>2.8266837218250953E-3</v>
      </c>
      <c r="V90" s="736">
        <f>IF(Select2=1,Nappies!$W92,"")</f>
        <v>0</v>
      </c>
      <c r="W90" s="745">
        <f>IF(Select2=1,Garden!$W92,"")</f>
        <v>0</v>
      </c>
      <c r="X90" s="736">
        <f>IF(Select2=1,Wood!$W92,"")</f>
        <v>0</v>
      </c>
      <c r="Y90" s="745">
        <f>IF(Select2=1,Textiles!$W92,"")</f>
        <v>1.0690803803945486E-4</v>
      </c>
      <c r="Z90" s="738">
        <f>Sludge!W92</f>
        <v>0</v>
      </c>
      <c r="AA90" s="738" t="str">
        <f>IF(Select2=2,MSW!$W92,"")</f>
        <v/>
      </c>
      <c r="AB90" s="746">
        <f>Industry!$W92</f>
        <v>0</v>
      </c>
      <c r="AC90" s="747">
        <f t="shared" si="5"/>
        <v>2.933591774012383E-3</v>
      </c>
      <c r="AD90" s="748">
        <f>Recovery_OX!R85</f>
        <v>0</v>
      </c>
      <c r="AE90" s="703"/>
      <c r="AF90" s="750">
        <f>(AC90-AD90)*(1-Recovery_OX!U85)</f>
        <v>2.933591774012383E-3</v>
      </c>
    </row>
    <row r="91" spans="2:32">
      <c r="B91" s="743">
        <f t="shared" si="6"/>
        <v>2074</v>
      </c>
      <c r="C91" s="744">
        <f>IF(Select2=1,Food!$K93,"")</f>
        <v>4.5881539308456727E-12</v>
      </c>
      <c r="D91" s="745">
        <f>IF(Select2=1,Paper!$K93,"")</f>
        <v>8.1175938938200608E-5</v>
      </c>
      <c r="E91" s="736">
        <f>IF(Select2=1,Nappies!$K93,"")</f>
        <v>2.416745582406467E-7</v>
      </c>
      <c r="F91" s="745">
        <f>IF(Select2=1,Garden!$K93,"")</f>
        <v>0</v>
      </c>
      <c r="G91" s="736">
        <f>IF(Select2=1,Wood!$K93,"")</f>
        <v>0</v>
      </c>
      <c r="H91" s="745">
        <f>IF(Select2=1,Textiles!$K93,"")</f>
        <v>1.5159726582368364E-6</v>
      </c>
      <c r="I91" s="746">
        <f>Sludge!K93</f>
        <v>0</v>
      </c>
      <c r="J91" s="746" t="str">
        <f>IF(Select2=2,MSW!$K93,"")</f>
        <v/>
      </c>
      <c r="K91" s="746">
        <f>Industry!$K93</f>
        <v>0</v>
      </c>
      <c r="L91" s="747">
        <f t="shared" si="8"/>
        <v>8.2933590742832012E-5</v>
      </c>
      <c r="M91" s="748">
        <f>Recovery_OX!C86</f>
        <v>0</v>
      </c>
      <c r="N91" s="703"/>
      <c r="O91" s="749">
        <f>(L91-M91)*(1-Recovery_OX!F86)</f>
        <v>8.2933590742832012E-5</v>
      </c>
      <c r="P91" s="695"/>
      <c r="Q91" s="705"/>
      <c r="S91" s="743">
        <f t="shared" si="7"/>
        <v>2074</v>
      </c>
      <c r="T91" s="744">
        <f>IF(Select2=1,Food!$W93,"")</f>
        <v>9.4835757148525693E-12</v>
      </c>
      <c r="U91" s="745">
        <f>IF(Select2=1,Paper!$W93,"")</f>
        <v>2.6355824330584637E-3</v>
      </c>
      <c r="V91" s="736">
        <f>IF(Select2=1,Nappies!$W93,"")</f>
        <v>0</v>
      </c>
      <c r="W91" s="745">
        <f>IF(Select2=1,Garden!$W93,"")</f>
        <v>0</v>
      </c>
      <c r="X91" s="736">
        <f>IF(Select2=1,Wood!$W93,"")</f>
        <v>0</v>
      </c>
      <c r="Y91" s="745">
        <f>IF(Select2=1,Textiles!$W93,"")</f>
        <v>9.9680393966257737E-5</v>
      </c>
      <c r="Z91" s="738">
        <f>Sludge!W93</f>
        <v>0</v>
      </c>
      <c r="AA91" s="738" t="str">
        <f>IF(Select2=2,MSW!$W93,"")</f>
        <v/>
      </c>
      <c r="AB91" s="746">
        <f>Industry!$W93</f>
        <v>0</v>
      </c>
      <c r="AC91" s="747">
        <f t="shared" si="5"/>
        <v>2.7352628365082971E-3</v>
      </c>
      <c r="AD91" s="748">
        <f>Recovery_OX!R86</f>
        <v>0</v>
      </c>
      <c r="AE91" s="703"/>
      <c r="AF91" s="750">
        <f>(AC91-AD91)*(1-Recovery_OX!U86)</f>
        <v>2.7352628365082971E-3</v>
      </c>
    </row>
    <row r="92" spans="2:32">
      <c r="B92" s="743">
        <f t="shared" si="6"/>
        <v>2075</v>
      </c>
      <c r="C92" s="744">
        <f>IF(Select2=1,Food!$K94,"")</f>
        <v>3.075531554143071E-12</v>
      </c>
      <c r="D92" s="745">
        <f>IF(Select2=1,Paper!$K94,"")</f>
        <v>7.5687943791040866E-5</v>
      </c>
      <c r="E92" s="736">
        <f>IF(Select2=1,Nappies!$K94,"")</f>
        <v>2.0389232185410724E-7</v>
      </c>
      <c r="F92" s="745">
        <f>IF(Select2=1,Garden!$K94,"")</f>
        <v>0</v>
      </c>
      <c r="G92" s="736">
        <f>IF(Select2=1,Wood!$K94,"")</f>
        <v>0</v>
      </c>
      <c r="H92" s="745">
        <f>IF(Select2=1,Textiles!$K94,"")</f>
        <v>1.4134835376864186E-6</v>
      </c>
      <c r="I92" s="746">
        <f>Sludge!K94</f>
        <v>0</v>
      </c>
      <c r="J92" s="746" t="str">
        <f>IF(Select2=2,MSW!$K94,"")</f>
        <v/>
      </c>
      <c r="K92" s="746">
        <f>Industry!$K94</f>
        <v>0</v>
      </c>
      <c r="L92" s="747">
        <f t="shared" si="8"/>
        <v>7.7305322726112957E-5</v>
      </c>
      <c r="M92" s="748">
        <f>Recovery_OX!C87</f>
        <v>0</v>
      </c>
      <c r="N92" s="703"/>
      <c r="O92" s="749">
        <f>(L92-M92)*(1-Recovery_OX!F87)</f>
        <v>7.7305322726112957E-5</v>
      </c>
      <c r="P92" s="695"/>
      <c r="Q92" s="705"/>
      <c r="S92" s="743">
        <f t="shared" si="7"/>
        <v>2075</v>
      </c>
      <c r="T92" s="744">
        <f>IF(Select2=1,Food!$W94,"")</f>
        <v>6.3570309097624451E-12</v>
      </c>
      <c r="U92" s="745">
        <f>IF(Select2=1,Paper!$W94,"")</f>
        <v>2.4574007724363941E-3</v>
      </c>
      <c r="V92" s="736">
        <f>IF(Select2=1,Nappies!$W94,"")</f>
        <v>0</v>
      </c>
      <c r="W92" s="745">
        <f>IF(Select2=1,Garden!$W94,"")</f>
        <v>0</v>
      </c>
      <c r="X92" s="736">
        <f>IF(Select2=1,Wood!$W94,"")</f>
        <v>0</v>
      </c>
      <c r="Y92" s="745">
        <f>IF(Select2=1,Textiles!$W94,"")</f>
        <v>9.2941383299928909E-5</v>
      </c>
      <c r="Z92" s="738">
        <f>Sludge!W94</f>
        <v>0</v>
      </c>
      <c r="AA92" s="738" t="str">
        <f>IF(Select2=2,MSW!$W94,"")</f>
        <v/>
      </c>
      <c r="AB92" s="746">
        <f>Industry!$W94</f>
        <v>0</v>
      </c>
      <c r="AC92" s="747">
        <f t="shared" si="5"/>
        <v>2.5503421620933536E-3</v>
      </c>
      <c r="AD92" s="748">
        <f>Recovery_OX!R87</f>
        <v>0</v>
      </c>
      <c r="AE92" s="703"/>
      <c r="AF92" s="750">
        <f>(AC92-AD92)*(1-Recovery_OX!U87)</f>
        <v>2.5503421620933536E-3</v>
      </c>
    </row>
    <row r="93" spans="2:32">
      <c r="B93" s="743">
        <f t="shared" si="6"/>
        <v>2076</v>
      </c>
      <c r="C93" s="744">
        <f>IF(Select2=1,Food!$K95,"")</f>
        <v>2.0615904529572448E-12</v>
      </c>
      <c r="D93" s="745">
        <f>IF(Select2=1,Paper!$K95,"")</f>
        <v>7.0570971032155288E-5</v>
      </c>
      <c r="E93" s="736">
        <f>IF(Select2=1,Nappies!$K95,"")</f>
        <v>1.7201677832245624E-7</v>
      </c>
      <c r="F93" s="745">
        <f>IF(Select2=1,Garden!$K95,"")</f>
        <v>0</v>
      </c>
      <c r="G93" s="736">
        <f>IF(Select2=1,Wood!$K95,"")</f>
        <v>0</v>
      </c>
      <c r="H93" s="745">
        <f>IF(Select2=1,Textiles!$K95,"")</f>
        <v>1.3179233150776133E-6</v>
      </c>
      <c r="I93" s="746">
        <f>Sludge!K95</f>
        <v>0</v>
      </c>
      <c r="J93" s="746" t="str">
        <f>IF(Select2=2,MSW!$K95,"")</f>
        <v/>
      </c>
      <c r="K93" s="746">
        <f>Industry!$K95</f>
        <v>0</v>
      </c>
      <c r="L93" s="747">
        <f t="shared" si="8"/>
        <v>7.2060913187145813E-5</v>
      </c>
      <c r="M93" s="748">
        <f>Recovery_OX!C88</f>
        <v>0</v>
      </c>
      <c r="N93" s="703"/>
      <c r="O93" s="749">
        <f>(L93-M93)*(1-Recovery_OX!F88)</f>
        <v>7.2060913187145813E-5</v>
      </c>
      <c r="P93" s="695"/>
      <c r="Q93" s="705"/>
      <c r="S93" s="743">
        <f t="shared" si="7"/>
        <v>2076</v>
      </c>
      <c r="T93" s="744">
        <f>IF(Select2=1,Food!$W95,"")</f>
        <v>4.2612452520819441E-12</v>
      </c>
      <c r="U93" s="745">
        <f>IF(Select2=1,Paper!$W95,"")</f>
        <v>2.2912652932517976E-3</v>
      </c>
      <c r="V93" s="736">
        <f>IF(Select2=1,Nappies!$W95,"")</f>
        <v>0</v>
      </c>
      <c r="W93" s="745">
        <f>IF(Select2=1,Garden!$W95,"")</f>
        <v>0</v>
      </c>
      <c r="X93" s="736">
        <f>IF(Select2=1,Wood!$W95,"")</f>
        <v>0</v>
      </c>
      <c r="Y93" s="745">
        <f>IF(Select2=1,Textiles!$W95,"")</f>
        <v>8.6657971402363625E-5</v>
      </c>
      <c r="Z93" s="738">
        <f>Sludge!W95</f>
        <v>0</v>
      </c>
      <c r="AA93" s="738" t="str">
        <f>IF(Select2=2,MSW!$W95,"")</f>
        <v/>
      </c>
      <c r="AB93" s="746">
        <f>Industry!$W95</f>
        <v>0</v>
      </c>
      <c r="AC93" s="747">
        <f t="shared" si="5"/>
        <v>2.3779232689154065E-3</v>
      </c>
      <c r="AD93" s="748">
        <f>Recovery_OX!R88</f>
        <v>0</v>
      </c>
      <c r="AE93" s="703"/>
      <c r="AF93" s="750">
        <f>(AC93-AD93)*(1-Recovery_OX!U88)</f>
        <v>2.3779232689154065E-3</v>
      </c>
    </row>
    <row r="94" spans="2:32">
      <c r="B94" s="743">
        <f t="shared" si="6"/>
        <v>2077</v>
      </c>
      <c r="C94" s="744">
        <f>IF(Select2=1,Food!$K96,"")</f>
        <v>1.3819254073329348E-12</v>
      </c>
      <c r="D94" s="745">
        <f>IF(Select2=1,Paper!$K96,"")</f>
        <v>6.5799937255143299E-5</v>
      </c>
      <c r="E94" s="736">
        <f>IF(Select2=1,Nappies!$K96,"")</f>
        <v>1.4512450373491582E-7</v>
      </c>
      <c r="F94" s="745">
        <f>IF(Select2=1,Garden!$K96,"")</f>
        <v>0</v>
      </c>
      <c r="G94" s="736">
        <f>IF(Select2=1,Wood!$K96,"")</f>
        <v>0</v>
      </c>
      <c r="H94" s="745">
        <f>IF(Select2=1,Textiles!$K96,"")</f>
        <v>1.2288235540883264E-6</v>
      </c>
      <c r="I94" s="746">
        <f>Sludge!K96</f>
        <v>0</v>
      </c>
      <c r="J94" s="746" t="str">
        <f>IF(Select2=2,MSW!$K96,"")</f>
        <v/>
      </c>
      <c r="K94" s="746">
        <f>Industry!$K96</f>
        <v>0</v>
      </c>
      <c r="L94" s="747">
        <f t="shared" si="8"/>
        <v>6.7173886694891938E-5</v>
      </c>
      <c r="M94" s="748">
        <f>Recovery_OX!C89</f>
        <v>0</v>
      </c>
      <c r="N94" s="703"/>
      <c r="O94" s="749">
        <f>(L94-M94)*(1-Recovery_OX!F89)</f>
        <v>6.7173886694891938E-5</v>
      </c>
      <c r="P94" s="695"/>
      <c r="Q94" s="705"/>
      <c r="S94" s="743">
        <f t="shared" si="7"/>
        <v>2077</v>
      </c>
      <c r="T94" s="744">
        <f>IF(Select2=1,Food!$W96,"")</f>
        <v>2.8563981135447186E-12</v>
      </c>
      <c r="U94" s="745">
        <f>IF(Select2=1,Paper!$W96,"")</f>
        <v>2.1363615991929659E-3</v>
      </c>
      <c r="V94" s="736">
        <f>IF(Select2=1,Nappies!$W96,"")</f>
        <v>0</v>
      </c>
      <c r="W94" s="745">
        <f>IF(Select2=1,Garden!$W96,"")</f>
        <v>0</v>
      </c>
      <c r="X94" s="736">
        <f>IF(Select2=1,Wood!$W96,"")</f>
        <v>0</v>
      </c>
      <c r="Y94" s="745">
        <f>IF(Select2=1,Textiles!$W96,"")</f>
        <v>8.0799356981150244E-5</v>
      </c>
      <c r="Z94" s="738">
        <f>Sludge!W96</f>
        <v>0</v>
      </c>
      <c r="AA94" s="738" t="str">
        <f>IF(Select2=2,MSW!$W96,"")</f>
        <v/>
      </c>
      <c r="AB94" s="746">
        <f>Industry!$W96</f>
        <v>0</v>
      </c>
      <c r="AC94" s="747">
        <f t="shared" si="5"/>
        <v>2.2171609590305144E-3</v>
      </c>
      <c r="AD94" s="748">
        <f>Recovery_OX!R89</f>
        <v>0</v>
      </c>
      <c r="AE94" s="703"/>
      <c r="AF94" s="750">
        <f>(AC94-AD94)*(1-Recovery_OX!U89)</f>
        <v>2.2171609590305144E-3</v>
      </c>
    </row>
    <row r="95" spans="2:32">
      <c r="B95" s="743">
        <f t="shared" si="6"/>
        <v>2078</v>
      </c>
      <c r="C95" s="744">
        <f>IF(Select2=1,Food!$K97,"")</f>
        <v>9.2633230266123255E-13</v>
      </c>
      <c r="D95" s="745">
        <f>IF(Select2=1,Paper!$K97,"")</f>
        <v>6.135145484689477E-5</v>
      </c>
      <c r="E95" s="736">
        <f>IF(Select2=1,Nappies!$K97,"")</f>
        <v>1.2243643782715896E-7</v>
      </c>
      <c r="F95" s="745">
        <f>IF(Select2=1,Garden!$K97,"")</f>
        <v>0</v>
      </c>
      <c r="G95" s="736">
        <f>IF(Select2=1,Wood!$K97,"")</f>
        <v>0</v>
      </c>
      <c r="H95" s="745">
        <f>IF(Select2=1,Textiles!$K97,"")</f>
        <v>1.1457474875868182E-6</v>
      </c>
      <c r="I95" s="746">
        <f>Sludge!K97</f>
        <v>0</v>
      </c>
      <c r="J95" s="746" t="str">
        <f>IF(Select2=2,MSW!$K97,"")</f>
        <v/>
      </c>
      <c r="K95" s="746">
        <f>Industry!$K97</f>
        <v>0</v>
      </c>
      <c r="L95" s="747">
        <f t="shared" si="8"/>
        <v>6.2619639698641055E-5</v>
      </c>
      <c r="M95" s="748">
        <f>Recovery_OX!C90</f>
        <v>0</v>
      </c>
      <c r="N95" s="703"/>
      <c r="O95" s="749">
        <f>(L95-M95)*(1-Recovery_OX!F90)</f>
        <v>6.2619639698641055E-5</v>
      </c>
      <c r="P95" s="695"/>
      <c r="Q95" s="705"/>
      <c r="S95" s="743">
        <f t="shared" si="7"/>
        <v>2078</v>
      </c>
      <c r="T95" s="744">
        <f>IF(Select2=1,Food!$W97,"")</f>
        <v>1.9147009149674091E-12</v>
      </c>
      <c r="U95" s="745">
        <f>IF(Select2=1,Paper!$W97,"")</f>
        <v>1.99193035217191E-3</v>
      </c>
      <c r="V95" s="736">
        <f>IF(Select2=1,Nappies!$W97,"")</f>
        <v>0</v>
      </c>
      <c r="W95" s="745">
        <f>IF(Select2=1,Garden!$W97,"")</f>
        <v>0</v>
      </c>
      <c r="X95" s="736">
        <f>IF(Select2=1,Wood!$W97,"")</f>
        <v>0</v>
      </c>
      <c r="Y95" s="745">
        <f>IF(Select2=1,Textiles!$W97,"")</f>
        <v>7.5336821101599025E-5</v>
      </c>
      <c r="Z95" s="738">
        <f>Sludge!W97</f>
        <v>0</v>
      </c>
      <c r="AA95" s="738" t="str">
        <f>IF(Select2=2,MSW!$W97,"")</f>
        <v/>
      </c>
      <c r="AB95" s="746">
        <f>Industry!$W97</f>
        <v>0</v>
      </c>
      <c r="AC95" s="747">
        <f t="shared" si="5"/>
        <v>2.0672671751882101E-3</v>
      </c>
      <c r="AD95" s="748">
        <f>Recovery_OX!R90</f>
        <v>0</v>
      </c>
      <c r="AE95" s="703"/>
      <c r="AF95" s="750">
        <f>(AC95-AD95)*(1-Recovery_OX!U90)</f>
        <v>2.0672671751882101E-3</v>
      </c>
    </row>
    <row r="96" spans="2:32">
      <c r="B96" s="743">
        <f t="shared" si="6"/>
        <v>2079</v>
      </c>
      <c r="C96" s="744">
        <f>IF(Select2=1,Food!$K98,"")</f>
        <v>6.2093911176417717E-13</v>
      </c>
      <c r="D96" s="745">
        <f>IF(Select2=1,Paper!$K98,"")</f>
        <v>5.720371734148351E-5</v>
      </c>
      <c r="E96" s="736">
        <f>IF(Select2=1,Nappies!$K98,"")</f>
        <v>1.032953148641646E-7</v>
      </c>
      <c r="F96" s="745">
        <f>IF(Select2=1,Garden!$K98,"")</f>
        <v>0</v>
      </c>
      <c r="G96" s="736">
        <f>IF(Select2=1,Wood!$K98,"")</f>
        <v>0</v>
      </c>
      <c r="H96" s="745">
        <f>IF(Select2=1,Textiles!$K98,"")</f>
        <v>1.0682878765987164E-6</v>
      </c>
      <c r="I96" s="746">
        <f>Sludge!K98</f>
        <v>0</v>
      </c>
      <c r="J96" s="746" t="str">
        <f>IF(Select2=2,MSW!$K98,"")</f>
        <v/>
      </c>
      <c r="K96" s="746">
        <f>Industry!$K98</f>
        <v>0</v>
      </c>
      <c r="L96" s="747">
        <f t="shared" si="8"/>
        <v>5.8375301153885503E-5</v>
      </c>
      <c r="M96" s="748">
        <f>Recovery_OX!C91</f>
        <v>0</v>
      </c>
      <c r="N96" s="703"/>
      <c r="O96" s="749">
        <f>(L96-M96)*(1-Recovery_OX!F91)</f>
        <v>5.8375301153885503E-5</v>
      </c>
      <c r="P96" s="693"/>
      <c r="S96" s="743">
        <f t="shared" si="7"/>
        <v>2079</v>
      </c>
      <c r="T96" s="744">
        <f>IF(Select2=1,Food!$W98,"")</f>
        <v>1.2834624054654344E-12</v>
      </c>
      <c r="U96" s="745">
        <f>IF(Select2=1,Paper!$W98,"")</f>
        <v>1.8572635500481681E-3</v>
      </c>
      <c r="V96" s="736">
        <f>IF(Select2=1,Nappies!$W98,"")</f>
        <v>0</v>
      </c>
      <c r="W96" s="745">
        <f>IF(Select2=1,Garden!$W98,"")</f>
        <v>0</v>
      </c>
      <c r="X96" s="736">
        <f>IF(Select2=1,Wood!$W98,"")</f>
        <v>0</v>
      </c>
      <c r="Y96" s="745">
        <f>IF(Select2=1,Textiles!$W98,"")</f>
        <v>7.0243586406490964E-5</v>
      </c>
      <c r="Z96" s="738">
        <f>Sludge!W98</f>
        <v>0</v>
      </c>
      <c r="AA96" s="738" t="str">
        <f>IF(Select2=2,MSW!$W98,"")</f>
        <v/>
      </c>
      <c r="AB96" s="746">
        <f>Industry!$W98</f>
        <v>0</v>
      </c>
      <c r="AC96" s="747">
        <f t="shared" si="5"/>
        <v>1.9275071377381214E-3</v>
      </c>
      <c r="AD96" s="748">
        <f>Recovery_OX!R91</f>
        <v>0</v>
      </c>
      <c r="AE96" s="703"/>
      <c r="AF96" s="750">
        <f>(AC96-AD96)*(1-Recovery_OX!U91)</f>
        <v>1.9275071377381214E-3</v>
      </c>
    </row>
    <row r="97" spans="2:32" ht="13.5" thickBot="1">
      <c r="B97" s="751">
        <f t="shared" si="6"/>
        <v>2080</v>
      </c>
      <c r="C97" s="752">
        <f>IF(Select2=1,Food!$K99,"")</f>
        <v>4.1622793398309219E-13</v>
      </c>
      <c r="D97" s="753">
        <f>IF(Select2=1,Paper!$K99,"")</f>
        <v>5.3336392524845952E-5</v>
      </c>
      <c r="E97" s="753">
        <f>IF(Select2=1,Nappies!$K99,"")</f>
        <v>8.7146622870141129E-8</v>
      </c>
      <c r="F97" s="753">
        <f>IF(Select2=1,Garden!$K99,"")</f>
        <v>0</v>
      </c>
      <c r="G97" s="753">
        <f>IF(Select2=1,Wood!$K99,"")</f>
        <v>0</v>
      </c>
      <c r="H97" s="753">
        <f>IF(Select2=1,Textiles!$K99,"")</f>
        <v>9.9606501402109156E-7</v>
      </c>
      <c r="I97" s="754">
        <f>Sludge!K99</f>
        <v>0</v>
      </c>
      <c r="J97" s="754" t="str">
        <f>IF(Select2=2,MSW!$K99,"")</f>
        <v/>
      </c>
      <c r="K97" s="746">
        <f>Industry!$K99</f>
        <v>0</v>
      </c>
      <c r="L97" s="747">
        <f t="shared" si="8"/>
        <v>5.4419604577965119E-5</v>
      </c>
      <c r="M97" s="755">
        <f>Recovery_OX!C92</f>
        <v>0</v>
      </c>
      <c r="N97" s="703"/>
      <c r="O97" s="756">
        <f>(L97-M97)*(1-Recovery_OX!F92)</f>
        <v>5.4419604577965119E-5</v>
      </c>
      <c r="S97" s="751">
        <f t="shared" si="7"/>
        <v>2080</v>
      </c>
      <c r="T97" s="752">
        <f>IF(Select2=1,Food!$W99,"")</f>
        <v>8.6033057871660242E-13</v>
      </c>
      <c r="U97" s="753">
        <f>IF(Select2=1,Paper!$W99,"")</f>
        <v>1.7317010560014938E-3</v>
      </c>
      <c r="V97" s="753">
        <f>IF(Select2=1,Nappies!$W99,"")</f>
        <v>0</v>
      </c>
      <c r="W97" s="753">
        <f>IF(Select2=1,Garden!$W99,"")</f>
        <v>0</v>
      </c>
      <c r="X97" s="753">
        <f>IF(Select2=1,Wood!$W99,"")</f>
        <v>0</v>
      </c>
      <c r="Y97" s="753">
        <f>IF(Select2=1,Textiles!$W99,"")</f>
        <v>6.5494685853441647E-5</v>
      </c>
      <c r="Z97" s="754">
        <f>Sludge!W99</f>
        <v>0</v>
      </c>
      <c r="AA97" s="754" t="str">
        <f>IF(Select2=2,MSW!$W99,"")</f>
        <v/>
      </c>
      <c r="AB97" s="746">
        <f>Industry!$W99</f>
        <v>0</v>
      </c>
      <c r="AC97" s="757">
        <f t="shared" si="5"/>
        <v>1.7971957427152662E-3</v>
      </c>
      <c r="AD97" s="755">
        <f>Recovery_OX!R92</f>
        <v>0</v>
      </c>
      <c r="AE97" s="703"/>
      <c r="AF97" s="758">
        <f>(AC97-AD97)*(1-Recovery_OX!U92)</f>
        <v>1.7971957427152662E-3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tabSelected="1"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6" t="s">
        <v>284</v>
      </c>
      <c r="D8" s="817"/>
      <c r="E8" s="818"/>
      <c r="F8" s="816" t="s">
        <v>285</v>
      </c>
      <c r="G8" s="817"/>
      <c r="H8" s="819"/>
      <c r="I8" s="472"/>
      <c r="J8" s="816" t="s">
        <v>286</v>
      </c>
      <c r="K8" s="817"/>
      <c r="L8" s="819"/>
      <c r="M8" s="820" t="s">
        <v>287</v>
      </c>
      <c r="N8" s="821"/>
      <c r="O8" s="822"/>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0.51562040457312008</v>
      </c>
      <c r="E12" s="501">
        <f>Stored_C!G18+Stored_C!M18</f>
        <v>0</v>
      </c>
      <c r="F12" s="502">
        <f>F11+HWP!C12</f>
        <v>0</v>
      </c>
      <c r="G12" s="500">
        <f>G11+HWP!D12</f>
        <v>0.51562040457312008</v>
      </c>
      <c r="H12" s="501">
        <f>H11+HWP!E12</f>
        <v>0</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0.52222609670880005</v>
      </c>
      <c r="E13" s="510">
        <f>Stored_C!G19+Stored_C!M19</f>
        <v>0</v>
      </c>
      <c r="F13" s="511">
        <f>F12+HWP!C13</f>
        <v>0</v>
      </c>
      <c r="G13" s="509">
        <f>G12+HWP!D13</f>
        <v>1.03784650128192</v>
      </c>
      <c r="H13" s="510">
        <f>H12+HWP!E13</f>
        <v>0</v>
      </c>
      <c r="I13" s="493"/>
      <c r="J13" s="512">
        <f>Garden!J20</f>
        <v>0</v>
      </c>
      <c r="K13" s="513">
        <f>Paper!J20</f>
        <v>1.0736610786975355E-3</v>
      </c>
      <c r="L13" s="514">
        <f>Wood!J20</f>
        <v>0</v>
      </c>
      <c r="M13" s="515">
        <f>J13*(1-Recovery_OX!E13)*(1-Recovery_OX!F13)</f>
        <v>0</v>
      </c>
      <c r="N13" s="513">
        <f>K13*(1-Recovery_OX!E13)*(1-Recovery_OX!F13)</f>
        <v>1.0736610786975355E-3</v>
      </c>
      <c r="O13" s="514">
        <f>L13*(1-Recovery_OX!E13)*(1-Recovery_OX!F13)</f>
        <v>0</v>
      </c>
    </row>
    <row r="14" spans="2:15">
      <c r="B14" s="507">
        <f t="shared" ref="B14:B77" si="0">B13+1</f>
        <v>1952</v>
      </c>
      <c r="C14" s="508">
        <f>Stored_C!E20</f>
        <v>0</v>
      </c>
      <c r="D14" s="509">
        <f>Stored_C!F20+Stored_C!L20</f>
        <v>0.53399391165120003</v>
      </c>
      <c r="E14" s="510">
        <f>Stored_C!G20+Stored_C!M20</f>
        <v>0</v>
      </c>
      <c r="F14" s="511">
        <f>F13+HWP!C14</f>
        <v>0</v>
      </c>
      <c r="G14" s="509">
        <f>G13+HWP!D14</f>
        <v>1.57184041293312</v>
      </c>
      <c r="H14" s="510">
        <f>H13+HWP!E14</f>
        <v>0</v>
      </c>
      <c r="I14" s="493"/>
      <c r="J14" s="512">
        <f>Garden!J21</f>
        <v>0</v>
      </c>
      <c r="K14" s="513">
        <f>Paper!J21</f>
        <v>2.0884908700035277E-3</v>
      </c>
      <c r="L14" s="514">
        <f>Wood!J21</f>
        <v>0</v>
      </c>
      <c r="M14" s="515">
        <f>J14*(1-Recovery_OX!E14)*(1-Recovery_OX!F14)</f>
        <v>0</v>
      </c>
      <c r="N14" s="513">
        <f>K14*(1-Recovery_OX!E14)*(1-Recovery_OX!F14)</f>
        <v>2.0884908700035277E-3</v>
      </c>
      <c r="O14" s="514">
        <f>L14*(1-Recovery_OX!E14)*(1-Recovery_OX!F14)</f>
        <v>0</v>
      </c>
    </row>
    <row r="15" spans="2:15">
      <c r="B15" s="507">
        <f t="shared" si="0"/>
        <v>1953</v>
      </c>
      <c r="C15" s="508">
        <f>Stored_C!E21</f>
        <v>0</v>
      </c>
      <c r="D15" s="509">
        <f>Stored_C!F21+Stored_C!L21</f>
        <v>0.54348547504416012</v>
      </c>
      <c r="E15" s="510">
        <f>Stored_C!G21+Stored_C!M21</f>
        <v>0</v>
      </c>
      <c r="F15" s="511">
        <f>F14+HWP!C15</f>
        <v>0</v>
      </c>
      <c r="G15" s="509">
        <f>G14+HWP!D15</f>
        <v>2.1153258879772801</v>
      </c>
      <c r="H15" s="510">
        <f>H14+HWP!E15</f>
        <v>0</v>
      </c>
      <c r="I15" s="493"/>
      <c r="J15" s="512">
        <f>Garden!J22</f>
        <v>0</v>
      </c>
      <c r="K15" s="513">
        <f>Paper!J22</f>
        <v>3.0592156677760065E-3</v>
      </c>
      <c r="L15" s="514">
        <f>Wood!J22</f>
        <v>0</v>
      </c>
      <c r="M15" s="515">
        <f>J15*(1-Recovery_OX!E15)*(1-Recovery_OX!F15)</f>
        <v>0</v>
      </c>
      <c r="N15" s="513">
        <f>K15*(1-Recovery_OX!E15)*(1-Recovery_OX!F15)</f>
        <v>3.0592156677760065E-3</v>
      </c>
      <c r="O15" s="514">
        <f>L15*(1-Recovery_OX!E15)*(1-Recovery_OX!F15)</f>
        <v>0</v>
      </c>
    </row>
    <row r="16" spans="2:15">
      <c r="B16" s="507">
        <f t="shared" si="0"/>
        <v>1954</v>
      </c>
      <c r="C16" s="508">
        <f>Stored_C!E22</f>
        <v>0</v>
      </c>
      <c r="D16" s="509">
        <f>Stored_C!F22+Stored_C!L22</f>
        <v>0.54639289211232001</v>
      </c>
      <c r="E16" s="510">
        <f>Stored_C!G22+Stored_C!M22</f>
        <v>0</v>
      </c>
      <c r="F16" s="511">
        <f>F15+HWP!C16</f>
        <v>0</v>
      </c>
      <c r="G16" s="509">
        <f>G15+HWP!D16</f>
        <v>2.6617187800896001</v>
      </c>
      <c r="H16" s="510">
        <f>H15+HWP!E16</f>
        <v>0</v>
      </c>
      <c r="I16" s="493"/>
      <c r="J16" s="512">
        <f>Garden!J23</f>
        <v>0</v>
      </c>
      <c r="K16" s="513">
        <f>Paper!J23</f>
        <v>3.9840774710473686E-3</v>
      </c>
      <c r="L16" s="514">
        <f>Wood!J23</f>
        <v>0</v>
      </c>
      <c r="M16" s="515">
        <f>J16*(1-Recovery_OX!E16)*(1-Recovery_OX!F16)</f>
        <v>0</v>
      </c>
      <c r="N16" s="513">
        <f>K16*(1-Recovery_OX!E16)*(1-Recovery_OX!F16)</f>
        <v>3.9840774710473686E-3</v>
      </c>
      <c r="O16" s="514">
        <f>L16*(1-Recovery_OX!E16)*(1-Recovery_OX!F16)</f>
        <v>0</v>
      </c>
    </row>
    <row r="17" spans="2:15">
      <c r="B17" s="507">
        <f t="shared" si="0"/>
        <v>1955</v>
      </c>
      <c r="C17" s="508">
        <f>Stored_C!E23</f>
        <v>0</v>
      </c>
      <c r="D17" s="509">
        <f>Stored_C!F23+Stored_C!L23</f>
        <v>0.60522182761920007</v>
      </c>
      <c r="E17" s="510">
        <f>Stored_C!G23+Stored_C!M23</f>
        <v>0</v>
      </c>
      <c r="F17" s="511">
        <f>F16+HWP!C17</f>
        <v>0</v>
      </c>
      <c r="G17" s="509">
        <f>G16+HWP!D17</f>
        <v>3.2669406077088001</v>
      </c>
      <c r="H17" s="510">
        <f>H16+HWP!E17</f>
        <v>0</v>
      </c>
      <c r="I17" s="493"/>
      <c r="J17" s="512">
        <f>Garden!J24</f>
        <v>0</v>
      </c>
      <c r="K17" s="513">
        <f>Paper!J24</f>
        <v>4.8524669290317488E-3</v>
      </c>
      <c r="L17" s="514">
        <f>Wood!J24</f>
        <v>0</v>
      </c>
      <c r="M17" s="515">
        <f>J17*(1-Recovery_OX!E17)*(1-Recovery_OX!F17)</f>
        <v>0</v>
      </c>
      <c r="N17" s="513">
        <f>K17*(1-Recovery_OX!E17)*(1-Recovery_OX!F17)</f>
        <v>4.8524669290317488E-3</v>
      </c>
      <c r="O17" s="514">
        <f>L17*(1-Recovery_OX!E17)*(1-Recovery_OX!F17)</f>
        <v>0</v>
      </c>
    </row>
    <row r="18" spans="2:15">
      <c r="B18" s="507">
        <f t="shared" si="0"/>
        <v>1956</v>
      </c>
      <c r="C18" s="508">
        <f>Stored_C!E24</f>
        <v>0</v>
      </c>
      <c r="D18" s="509">
        <f>Stored_C!F24+Stored_C!L24</f>
        <v>0.61767150410592009</v>
      </c>
      <c r="E18" s="510">
        <f>Stored_C!G24+Stored_C!M24</f>
        <v>0</v>
      </c>
      <c r="F18" s="511">
        <f>F17+HWP!C18</f>
        <v>0</v>
      </c>
      <c r="G18" s="509">
        <f>G17+HWP!D18</f>
        <v>3.8846121118147203</v>
      </c>
      <c r="H18" s="510">
        <f>H17+HWP!E18</f>
        <v>0</v>
      </c>
      <c r="I18" s="493"/>
      <c r="J18" s="512">
        <f>Garden!J25</f>
        <v>0</v>
      </c>
      <c r="K18" s="513">
        <f>Paper!J25</f>
        <v>5.7846456408733411E-3</v>
      </c>
      <c r="L18" s="514">
        <f>Wood!J25</f>
        <v>0</v>
      </c>
      <c r="M18" s="515">
        <f>J18*(1-Recovery_OX!E18)*(1-Recovery_OX!F18)</f>
        <v>0</v>
      </c>
      <c r="N18" s="513">
        <f>K18*(1-Recovery_OX!E18)*(1-Recovery_OX!F18)</f>
        <v>5.7846456408733411E-3</v>
      </c>
      <c r="O18" s="514">
        <f>L18*(1-Recovery_OX!E18)*(1-Recovery_OX!F18)</f>
        <v>0</v>
      </c>
    </row>
    <row r="19" spans="2:15">
      <c r="B19" s="507">
        <f t="shared" si="0"/>
        <v>1957</v>
      </c>
      <c r="C19" s="508">
        <f>Stored_C!E25</f>
        <v>0</v>
      </c>
      <c r="D19" s="509">
        <f>Stored_C!F25+Stored_C!L25</f>
        <v>0.63011104138752017</v>
      </c>
      <c r="E19" s="510">
        <f>Stored_C!G25+Stored_C!M25</f>
        <v>0</v>
      </c>
      <c r="F19" s="511">
        <f>F18+HWP!C19</f>
        <v>0</v>
      </c>
      <c r="G19" s="509">
        <f>G18+HWP!D19</f>
        <v>4.5147231532022403</v>
      </c>
      <c r="H19" s="510">
        <f>H18+HWP!E19</f>
        <v>0</v>
      </c>
      <c r="I19" s="493"/>
      <c r="J19" s="512">
        <f>Garden!J26</f>
        <v>0</v>
      </c>
      <c r="K19" s="513">
        <f>Paper!J26</f>
        <v>6.6797269030190844E-3</v>
      </c>
      <c r="L19" s="514">
        <f>Wood!J26</f>
        <v>0</v>
      </c>
      <c r="M19" s="515">
        <f>J19*(1-Recovery_OX!E19)*(1-Recovery_OX!F19)</f>
        <v>0</v>
      </c>
      <c r="N19" s="513">
        <f>K19*(1-Recovery_OX!E19)*(1-Recovery_OX!F19)</f>
        <v>6.6797269030190844E-3</v>
      </c>
      <c r="O19" s="514">
        <f>L19*(1-Recovery_OX!E19)*(1-Recovery_OX!F19)</f>
        <v>0</v>
      </c>
    </row>
    <row r="20" spans="2:15">
      <c r="B20" s="507">
        <f t="shared" si="0"/>
        <v>1958</v>
      </c>
      <c r="C20" s="508">
        <f>Stored_C!E26</f>
        <v>0</v>
      </c>
      <c r="D20" s="509">
        <f>Stored_C!F26+Stored_C!L26</f>
        <v>0.64246439542560008</v>
      </c>
      <c r="E20" s="510">
        <f>Stored_C!G26+Stored_C!M26</f>
        <v>0</v>
      </c>
      <c r="F20" s="511">
        <f>F19+HWP!C20</f>
        <v>0</v>
      </c>
      <c r="G20" s="509">
        <f>G19+HWP!D20</f>
        <v>5.1571875486278405</v>
      </c>
      <c r="H20" s="510">
        <f>H19+HWP!E20</f>
        <v>0</v>
      </c>
      <c r="I20" s="493"/>
      <c r="J20" s="512">
        <f>Garden!J27</f>
        <v>0</v>
      </c>
      <c r="K20" s="513">
        <f>Paper!J27</f>
        <v>7.5401976197679854E-3</v>
      </c>
      <c r="L20" s="514">
        <f>Wood!J27</f>
        <v>0</v>
      </c>
      <c r="M20" s="515">
        <f>J20*(1-Recovery_OX!E20)*(1-Recovery_OX!F20)</f>
        <v>0</v>
      </c>
      <c r="N20" s="513">
        <f>K20*(1-Recovery_OX!E20)*(1-Recovery_OX!F20)</f>
        <v>7.5401976197679854E-3</v>
      </c>
      <c r="O20" s="514">
        <f>L20*(1-Recovery_OX!E20)*(1-Recovery_OX!F20)</f>
        <v>0</v>
      </c>
    </row>
    <row r="21" spans="2:15">
      <c r="B21" s="507">
        <f t="shared" si="0"/>
        <v>1959</v>
      </c>
      <c r="C21" s="508">
        <f>Stored_C!E27</f>
        <v>0</v>
      </c>
      <c r="D21" s="509">
        <f>Stored_C!F27+Stored_C!L27</f>
        <v>0.65464031337408013</v>
      </c>
      <c r="E21" s="510">
        <f>Stored_C!G27+Stored_C!M27</f>
        <v>0</v>
      </c>
      <c r="F21" s="511">
        <f>F20+HWP!C21</f>
        <v>0</v>
      </c>
      <c r="G21" s="509">
        <f>G20+HWP!D21</f>
        <v>5.8118278620019206</v>
      </c>
      <c r="H21" s="510">
        <f>H20+HWP!E21</f>
        <v>0</v>
      </c>
      <c r="I21" s="493"/>
      <c r="J21" s="512">
        <f>Garden!J28</f>
        <v>0</v>
      </c>
      <c r="K21" s="513">
        <f>Paper!J28</f>
        <v>8.3682182210729136E-3</v>
      </c>
      <c r="L21" s="514">
        <f>Wood!J28</f>
        <v>0</v>
      </c>
      <c r="M21" s="515">
        <f>J21*(1-Recovery_OX!E21)*(1-Recovery_OX!F21)</f>
        <v>0</v>
      </c>
      <c r="N21" s="513">
        <f>K21*(1-Recovery_OX!E21)*(1-Recovery_OX!F21)</f>
        <v>8.3682182210729136E-3</v>
      </c>
      <c r="O21" s="514">
        <f>L21*(1-Recovery_OX!E21)*(1-Recovery_OX!F21)</f>
        <v>0</v>
      </c>
    </row>
    <row r="22" spans="2:15">
      <c r="B22" s="507">
        <f t="shared" si="0"/>
        <v>1960</v>
      </c>
      <c r="C22" s="508">
        <f>Stored_C!E28</f>
        <v>0</v>
      </c>
      <c r="D22" s="509">
        <f>Stored_C!F28+Stored_C!L28</f>
        <v>0.70667598145056021</v>
      </c>
      <c r="E22" s="510">
        <f>Stored_C!G28+Stored_C!M28</f>
        <v>0</v>
      </c>
      <c r="F22" s="511">
        <f>F21+HWP!C22</f>
        <v>0</v>
      </c>
      <c r="G22" s="509">
        <f>G21+HWP!D22</f>
        <v>6.5185038434524811</v>
      </c>
      <c r="H22" s="510">
        <f>H21+HWP!E22</f>
        <v>0</v>
      </c>
      <c r="I22" s="493"/>
      <c r="J22" s="512">
        <f>Garden!J29</f>
        <v>0</v>
      </c>
      <c r="K22" s="513">
        <f>Paper!J29</f>
        <v>9.1656130653748023E-3</v>
      </c>
      <c r="L22" s="514">
        <f>Wood!J29</f>
        <v>0</v>
      </c>
      <c r="M22" s="515">
        <f>J22*(1-Recovery_OX!E22)*(1-Recovery_OX!F22)</f>
        <v>0</v>
      </c>
      <c r="N22" s="513">
        <f>K22*(1-Recovery_OX!E22)*(1-Recovery_OX!F22)</f>
        <v>9.1656130653748023E-3</v>
      </c>
      <c r="O22" s="514">
        <f>L22*(1-Recovery_OX!E22)*(1-Recovery_OX!F22)</f>
        <v>0</v>
      </c>
    </row>
    <row r="23" spans="2:15">
      <c r="B23" s="507">
        <f t="shared" si="0"/>
        <v>1961</v>
      </c>
      <c r="C23" s="508">
        <f>Stored_C!E29</f>
        <v>0</v>
      </c>
      <c r="D23" s="509">
        <f>Stored_C!F29+Stored_C!L29</f>
        <v>0</v>
      </c>
      <c r="E23" s="510">
        <f>Stored_C!G29+Stored_C!M29</f>
        <v>0</v>
      </c>
      <c r="F23" s="511">
        <f>F22+HWP!C23</f>
        <v>0</v>
      </c>
      <c r="G23" s="509">
        <f>G22+HWP!D23</f>
        <v>6.5185038434524811</v>
      </c>
      <c r="H23" s="510">
        <f>H22+HWP!E23</f>
        <v>0</v>
      </c>
      <c r="I23" s="493"/>
      <c r="J23" s="512">
        <f>Garden!J30</f>
        <v>0</v>
      </c>
      <c r="K23" s="513">
        <f>Paper!J30</f>
        <v>1.001745141884337E-2</v>
      </c>
      <c r="L23" s="514">
        <f>Wood!J30</f>
        <v>0</v>
      </c>
      <c r="M23" s="515">
        <f>J23*(1-Recovery_OX!E23)*(1-Recovery_OX!F23)</f>
        <v>0</v>
      </c>
      <c r="N23" s="513">
        <f>K23*(1-Recovery_OX!E23)*(1-Recovery_OX!F23)</f>
        <v>1.001745141884337E-2</v>
      </c>
      <c r="O23" s="514">
        <f>L23*(1-Recovery_OX!E23)*(1-Recovery_OX!F23)</f>
        <v>0</v>
      </c>
    </row>
    <row r="24" spans="2:15">
      <c r="B24" s="507">
        <f t="shared" si="0"/>
        <v>1962</v>
      </c>
      <c r="C24" s="508">
        <f>Stored_C!E30</f>
        <v>0</v>
      </c>
      <c r="D24" s="509">
        <f>Stored_C!F30+Stored_C!L30</f>
        <v>0</v>
      </c>
      <c r="E24" s="510">
        <f>Stored_C!G30+Stored_C!M30</f>
        <v>0</v>
      </c>
      <c r="F24" s="511">
        <f>F23+HWP!C24</f>
        <v>0</v>
      </c>
      <c r="G24" s="509">
        <f>G23+HWP!D24</f>
        <v>6.5185038434524811</v>
      </c>
      <c r="H24" s="510">
        <f>H23+HWP!E24</f>
        <v>0</v>
      </c>
      <c r="I24" s="493"/>
      <c r="J24" s="512">
        <f>Garden!J31</f>
        <v>0</v>
      </c>
      <c r="K24" s="513">
        <f>Paper!J31</f>
        <v>9.3402097941376327E-3</v>
      </c>
      <c r="L24" s="514">
        <f>Wood!J31</f>
        <v>0</v>
      </c>
      <c r="M24" s="515">
        <f>J24*(1-Recovery_OX!E24)*(1-Recovery_OX!F24)</f>
        <v>0</v>
      </c>
      <c r="N24" s="513">
        <f>K24*(1-Recovery_OX!E24)*(1-Recovery_OX!F24)</f>
        <v>9.3402097941376327E-3</v>
      </c>
      <c r="O24" s="514">
        <f>L24*(1-Recovery_OX!E24)*(1-Recovery_OX!F24)</f>
        <v>0</v>
      </c>
    </row>
    <row r="25" spans="2:15">
      <c r="B25" s="507">
        <f t="shared" si="0"/>
        <v>1963</v>
      </c>
      <c r="C25" s="508">
        <f>Stored_C!E31</f>
        <v>0</v>
      </c>
      <c r="D25" s="509">
        <f>Stored_C!F31+Stored_C!L31</f>
        <v>0</v>
      </c>
      <c r="E25" s="510">
        <f>Stored_C!G31+Stored_C!M31</f>
        <v>0</v>
      </c>
      <c r="F25" s="511">
        <f>F24+HWP!C25</f>
        <v>0</v>
      </c>
      <c r="G25" s="509">
        <f>G24+HWP!D25</f>
        <v>6.5185038434524811</v>
      </c>
      <c r="H25" s="510">
        <f>H24+HWP!E25</f>
        <v>0</v>
      </c>
      <c r="I25" s="493"/>
      <c r="J25" s="512">
        <f>Garden!J32</f>
        <v>0</v>
      </c>
      <c r="K25" s="513">
        <f>Paper!J32</f>
        <v>8.7087538886789374E-3</v>
      </c>
      <c r="L25" s="514">
        <f>Wood!J32</f>
        <v>0</v>
      </c>
      <c r="M25" s="515">
        <f>J25*(1-Recovery_OX!E25)*(1-Recovery_OX!F25)</f>
        <v>0</v>
      </c>
      <c r="N25" s="513">
        <f>K25*(1-Recovery_OX!E25)*(1-Recovery_OX!F25)</f>
        <v>8.7087538886789374E-3</v>
      </c>
      <c r="O25" s="514">
        <f>L25*(1-Recovery_OX!E25)*(1-Recovery_OX!F25)</f>
        <v>0</v>
      </c>
    </row>
    <row r="26" spans="2:15">
      <c r="B26" s="507">
        <f t="shared" si="0"/>
        <v>1964</v>
      </c>
      <c r="C26" s="508">
        <f>Stored_C!E32</f>
        <v>0</v>
      </c>
      <c r="D26" s="509">
        <f>Stored_C!F32+Stored_C!L32</f>
        <v>0</v>
      </c>
      <c r="E26" s="510">
        <f>Stored_C!G32+Stored_C!M32</f>
        <v>0</v>
      </c>
      <c r="F26" s="511">
        <f>F25+HWP!C26</f>
        <v>0</v>
      </c>
      <c r="G26" s="509">
        <f>G25+HWP!D26</f>
        <v>6.5185038434524811</v>
      </c>
      <c r="H26" s="510">
        <f>H25+HWP!E26</f>
        <v>0</v>
      </c>
      <c r="I26" s="493"/>
      <c r="J26" s="512">
        <f>Garden!J33</f>
        <v>0</v>
      </c>
      <c r="K26" s="513">
        <f>Paper!J33</f>
        <v>8.119988304886137E-3</v>
      </c>
      <c r="L26" s="514">
        <f>Wood!J33</f>
        <v>0</v>
      </c>
      <c r="M26" s="515">
        <f>J26*(1-Recovery_OX!E26)*(1-Recovery_OX!F26)</f>
        <v>0</v>
      </c>
      <c r="N26" s="513">
        <f>K26*(1-Recovery_OX!E26)*(1-Recovery_OX!F26)</f>
        <v>8.119988304886137E-3</v>
      </c>
      <c r="O26" s="514">
        <f>L26*(1-Recovery_OX!E26)*(1-Recovery_OX!F26)</f>
        <v>0</v>
      </c>
    </row>
    <row r="27" spans="2:15">
      <c r="B27" s="507">
        <f t="shared" si="0"/>
        <v>1965</v>
      </c>
      <c r="C27" s="508">
        <f>Stored_C!E33</f>
        <v>0</v>
      </c>
      <c r="D27" s="509">
        <f>Stored_C!F33+Stored_C!L33</f>
        <v>0</v>
      </c>
      <c r="E27" s="510">
        <f>Stored_C!G33+Stored_C!M33</f>
        <v>0</v>
      </c>
      <c r="F27" s="511">
        <f>F26+HWP!C27</f>
        <v>0</v>
      </c>
      <c r="G27" s="509">
        <f>G26+HWP!D27</f>
        <v>6.5185038434524811</v>
      </c>
      <c r="H27" s="510">
        <f>H26+HWP!E27</f>
        <v>0</v>
      </c>
      <c r="I27" s="493"/>
      <c r="J27" s="512">
        <f>Garden!J34</f>
        <v>0</v>
      </c>
      <c r="K27" s="513">
        <f>Paper!J34</f>
        <v>7.5710269131844098E-3</v>
      </c>
      <c r="L27" s="514">
        <f>Wood!J34</f>
        <v>0</v>
      </c>
      <c r="M27" s="515">
        <f>J27*(1-Recovery_OX!E27)*(1-Recovery_OX!F27)</f>
        <v>0</v>
      </c>
      <c r="N27" s="513">
        <f>K27*(1-Recovery_OX!E27)*(1-Recovery_OX!F27)</f>
        <v>7.5710269131844098E-3</v>
      </c>
      <c r="O27" s="514">
        <f>L27*(1-Recovery_OX!E27)*(1-Recovery_OX!F27)</f>
        <v>0</v>
      </c>
    </row>
    <row r="28" spans="2:15">
      <c r="B28" s="507">
        <f t="shared" si="0"/>
        <v>1966</v>
      </c>
      <c r="C28" s="508">
        <f>Stored_C!E34</f>
        <v>0</v>
      </c>
      <c r="D28" s="509">
        <f>Stored_C!F34+Stored_C!L34</f>
        <v>0</v>
      </c>
      <c r="E28" s="510">
        <f>Stored_C!G34+Stored_C!M34</f>
        <v>0</v>
      </c>
      <c r="F28" s="511">
        <f>F27+HWP!C28</f>
        <v>0</v>
      </c>
      <c r="G28" s="509">
        <f>G27+HWP!D28</f>
        <v>6.5185038434524811</v>
      </c>
      <c r="H28" s="510">
        <f>H27+HWP!E28</f>
        <v>0</v>
      </c>
      <c r="I28" s="493"/>
      <c r="J28" s="512">
        <f>Garden!J35</f>
        <v>0</v>
      </c>
      <c r="K28" s="513">
        <f>Paper!J35</f>
        <v>7.0591787041947521E-3</v>
      </c>
      <c r="L28" s="514">
        <f>Wood!J35</f>
        <v>0</v>
      </c>
      <c r="M28" s="515">
        <f>J28*(1-Recovery_OX!E28)*(1-Recovery_OX!F28)</f>
        <v>0</v>
      </c>
      <c r="N28" s="513">
        <f>K28*(1-Recovery_OX!E28)*(1-Recovery_OX!F28)</f>
        <v>7.0591787041947521E-3</v>
      </c>
      <c r="O28" s="514">
        <f>L28*(1-Recovery_OX!E28)*(1-Recovery_OX!F28)</f>
        <v>0</v>
      </c>
    </row>
    <row r="29" spans="2:15">
      <c r="B29" s="507">
        <f t="shared" si="0"/>
        <v>1967</v>
      </c>
      <c r="C29" s="508">
        <f>Stored_C!E35</f>
        <v>0</v>
      </c>
      <c r="D29" s="509">
        <f>Stored_C!F35+Stored_C!L35</f>
        <v>0</v>
      </c>
      <c r="E29" s="510">
        <f>Stored_C!G35+Stored_C!M35</f>
        <v>0</v>
      </c>
      <c r="F29" s="511">
        <f>F28+HWP!C29</f>
        <v>0</v>
      </c>
      <c r="G29" s="509">
        <f>G28+HWP!D29</f>
        <v>6.5185038434524811</v>
      </c>
      <c r="H29" s="510">
        <f>H28+HWP!E29</f>
        <v>0</v>
      </c>
      <c r="I29" s="493"/>
      <c r="J29" s="512">
        <f>Garden!J36</f>
        <v>0</v>
      </c>
      <c r="K29" s="513">
        <f>Paper!J36</f>
        <v>6.581934597402867E-3</v>
      </c>
      <c r="L29" s="514">
        <f>Wood!J36</f>
        <v>0</v>
      </c>
      <c r="M29" s="515">
        <f>J29*(1-Recovery_OX!E29)*(1-Recovery_OX!F29)</f>
        <v>0</v>
      </c>
      <c r="N29" s="513">
        <f>K29*(1-Recovery_OX!E29)*(1-Recovery_OX!F29)</f>
        <v>6.581934597402867E-3</v>
      </c>
      <c r="O29" s="514">
        <f>L29*(1-Recovery_OX!E29)*(1-Recovery_OX!F29)</f>
        <v>0</v>
      </c>
    </row>
    <row r="30" spans="2:15">
      <c r="B30" s="507">
        <f t="shared" si="0"/>
        <v>1968</v>
      </c>
      <c r="C30" s="508">
        <f>Stored_C!E36</f>
        <v>0</v>
      </c>
      <c r="D30" s="509">
        <f>Stored_C!F36+Stored_C!L36</f>
        <v>0</v>
      </c>
      <c r="E30" s="510">
        <f>Stored_C!G36+Stored_C!M36</f>
        <v>0</v>
      </c>
      <c r="F30" s="511">
        <f>F29+HWP!C30</f>
        <v>0</v>
      </c>
      <c r="G30" s="509">
        <f>G29+HWP!D30</f>
        <v>6.5185038434524811</v>
      </c>
      <c r="H30" s="510">
        <f>H29+HWP!E30</f>
        <v>0</v>
      </c>
      <c r="I30" s="493"/>
      <c r="J30" s="512">
        <f>Garden!J37</f>
        <v>0</v>
      </c>
      <c r="K30" s="513">
        <f>Paper!J37</f>
        <v>6.1369551416435792E-3</v>
      </c>
      <c r="L30" s="514">
        <f>Wood!J37</f>
        <v>0</v>
      </c>
      <c r="M30" s="515">
        <f>J30*(1-Recovery_OX!E30)*(1-Recovery_OX!F30)</f>
        <v>0</v>
      </c>
      <c r="N30" s="513">
        <f>K30*(1-Recovery_OX!E30)*(1-Recovery_OX!F30)</f>
        <v>6.1369551416435792E-3</v>
      </c>
      <c r="O30" s="514">
        <f>L30*(1-Recovery_OX!E30)*(1-Recovery_OX!F30)</f>
        <v>0</v>
      </c>
    </row>
    <row r="31" spans="2:15">
      <c r="B31" s="507">
        <f t="shared" si="0"/>
        <v>1969</v>
      </c>
      <c r="C31" s="508">
        <f>Stored_C!E37</f>
        <v>0</v>
      </c>
      <c r="D31" s="509">
        <f>Stored_C!F37+Stored_C!L37</f>
        <v>0</v>
      </c>
      <c r="E31" s="510">
        <f>Stored_C!G37+Stored_C!M37</f>
        <v>0</v>
      </c>
      <c r="F31" s="511">
        <f>F30+HWP!C31</f>
        <v>0</v>
      </c>
      <c r="G31" s="509">
        <f>G30+HWP!D31</f>
        <v>6.5185038434524811</v>
      </c>
      <c r="H31" s="510">
        <f>H30+HWP!E31</f>
        <v>0</v>
      </c>
      <c r="I31" s="493"/>
      <c r="J31" s="512">
        <f>Garden!J38</f>
        <v>0</v>
      </c>
      <c r="K31" s="513">
        <f>Paper!J38</f>
        <v>5.7220590471085062E-3</v>
      </c>
      <c r="L31" s="514">
        <f>Wood!J38</f>
        <v>0</v>
      </c>
      <c r="M31" s="515">
        <f>J31*(1-Recovery_OX!E31)*(1-Recovery_OX!F31)</f>
        <v>0</v>
      </c>
      <c r="N31" s="513">
        <f>K31*(1-Recovery_OX!E31)*(1-Recovery_OX!F31)</f>
        <v>5.7220590471085062E-3</v>
      </c>
      <c r="O31" s="514">
        <f>L31*(1-Recovery_OX!E31)*(1-Recovery_OX!F31)</f>
        <v>0</v>
      </c>
    </row>
    <row r="32" spans="2:15">
      <c r="B32" s="507">
        <f t="shared" si="0"/>
        <v>1970</v>
      </c>
      <c r="C32" s="508">
        <f>Stored_C!E38</f>
        <v>0</v>
      </c>
      <c r="D32" s="509">
        <f>Stored_C!F38+Stored_C!L38</f>
        <v>0</v>
      </c>
      <c r="E32" s="510">
        <f>Stored_C!G38+Stored_C!M38</f>
        <v>0</v>
      </c>
      <c r="F32" s="511">
        <f>F31+HWP!C32</f>
        <v>0</v>
      </c>
      <c r="G32" s="509">
        <f>G31+HWP!D32</f>
        <v>6.5185038434524811</v>
      </c>
      <c r="H32" s="510">
        <f>H31+HWP!E32</f>
        <v>0</v>
      </c>
      <c r="I32" s="493"/>
      <c r="J32" s="512">
        <f>Garden!J39</f>
        <v>0</v>
      </c>
      <c r="K32" s="513">
        <f>Paper!J39</f>
        <v>5.3352124926608901E-3</v>
      </c>
      <c r="L32" s="514">
        <f>Wood!J39</f>
        <v>0</v>
      </c>
      <c r="M32" s="515">
        <f>J32*(1-Recovery_OX!E32)*(1-Recovery_OX!F32)</f>
        <v>0</v>
      </c>
      <c r="N32" s="513">
        <f>K32*(1-Recovery_OX!E32)*(1-Recovery_OX!F32)</f>
        <v>5.3352124926608901E-3</v>
      </c>
      <c r="O32" s="514">
        <f>L32*(1-Recovery_OX!E32)*(1-Recovery_OX!F32)</f>
        <v>0</v>
      </c>
    </row>
    <row r="33" spans="2:15">
      <c r="B33" s="507">
        <f t="shared" si="0"/>
        <v>1971</v>
      </c>
      <c r="C33" s="508">
        <f>Stored_C!E39</f>
        <v>0</v>
      </c>
      <c r="D33" s="509">
        <f>Stored_C!F39+Stored_C!L39</f>
        <v>0</v>
      </c>
      <c r="E33" s="510">
        <f>Stored_C!G39+Stored_C!M39</f>
        <v>0</v>
      </c>
      <c r="F33" s="511">
        <f>F32+HWP!C33</f>
        <v>0</v>
      </c>
      <c r="G33" s="509">
        <f>G32+HWP!D33</f>
        <v>6.5185038434524811</v>
      </c>
      <c r="H33" s="510">
        <f>H32+HWP!E33</f>
        <v>0</v>
      </c>
      <c r="I33" s="493"/>
      <c r="J33" s="512">
        <f>Garden!J40</f>
        <v>0</v>
      </c>
      <c r="K33" s="513">
        <f>Paper!J40</f>
        <v>4.9745191560420232E-3</v>
      </c>
      <c r="L33" s="514">
        <f>Wood!J40</f>
        <v>0</v>
      </c>
      <c r="M33" s="515">
        <f>J33*(1-Recovery_OX!E33)*(1-Recovery_OX!F33)</f>
        <v>0</v>
      </c>
      <c r="N33" s="513">
        <f>K33*(1-Recovery_OX!E33)*(1-Recovery_OX!F33)</f>
        <v>4.9745191560420232E-3</v>
      </c>
      <c r="O33" s="514">
        <f>L33*(1-Recovery_OX!E33)*(1-Recovery_OX!F33)</f>
        <v>0</v>
      </c>
    </row>
    <row r="34" spans="2:15">
      <c r="B34" s="507">
        <f t="shared" si="0"/>
        <v>1972</v>
      </c>
      <c r="C34" s="508">
        <f>Stored_C!E40</f>
        <v>0</v>
      </c>
      <c r="D34" s="509">
        <f>Stored_C!F40+Stored_C!L40</f>
        <v>0</v>
      </c>
      <c r="E34" s="510">
        <f>Stored_C!G40+Stored_C!M40</f>
        <v>0</v>
      </c>
      <c r="F34" s="511">
        <f>F33+HWP!C34</f>
        <v>0</v>
      </c>
      <c r="G34" s="509">
        <f>G33+HWP!D34</f>
        <v>6.5185038434524811</v>
      </c>
      <c r="H34" s="510">
        <f>H33+HWP!E34</f>
        <v>0</v>
      </c>
      <c r="I34" s="493"/>
      <c r="J34" s="512">
        <f>Garden!J41</f>
        <v>0</v>
      </c>
      <c r="K34" s="513">
        <f>Paper!J41</f>
        <v>4.6382109180973363E-3</v>
      </c>
      <c r="L34" s="514">
        <f>Wood!J41</f>
        <v>0</v>
      </c>
      <c r="M34" s="515">
        <f>J34*(1-Recovery_OX!E34)*(1-Recovery_OX!F34)</f>
        <v>0</v>
      </c>
      <c r="N34" s="513">
        <f>K34*(1-Recovery_OX!E34)*(1-Recovery_OX!F34)</f>
        <v>4.6382109180973363E-3</v>
      </c>
      <c r="O34" s="514">
        <f>L34*(1-Recovery_OX!E34)*(1-Recovery_OX!F34)</f>
        <v>0</v>
      </c>
    </row>
    <row r="35" spans="2:15">
      <c r="B35" s="507">
        <f t="shared" si="0"/>
        <v>1973</v>
      </c>
      <c r="C35" s="508">
        <f>Stored_C!E41</f>
        <v>0</v>
      </c>
      <c r="D35" s="509">
        <f>Stored_C!F41+Stored_C!L41</f>
        <v>0</v>
      </c>
      <c r="E35" s="510">
        <f>Stored_C!G41+Stored_C!M41</f>
        <v>0</v>
      </c>
      <c r="F35" s="511">
        <f>F34+HWP!C35</f>
        <v>0</v>
      </c>
      <c r="G35" s="509">
        <f>G34+HWP!D35</f>
        <v>6.5185038434524811</v>
      </c>
      <c r="H35" s="510">
        <f>H34+HWP!E35</f>
        <v>0</v>
      </c>
      <c r="I35" s="493"/>
      <c r="J35" s="512">
        <f>Garden!J42</f>
        <v>0</v>
      </c>
      <c r="K35" s="513">
        <f>Paper!J42</f>
        <v>4.3246391954542508E-3</v>
      </c>
      <c r="L35" s="514">
        <f>Wood!J42</f>
        <v>0</v>
      </c>
      <c r="M35" s="515">
        <f>J35*(1-Recovery_OX!E35)*(1-Recovery_OX!F35)</f>
        <v>0</v>
      </c>
      <c r="N35" s="513">
        <f>K35*(1-Recovery_OX!E35)*(1-Recovery_OX!F35)</f>
        <v>4.3246391954542508E-3</v>
      </c>
      <c r="O35" s="514">
        <f>L35*(1-Recovery_OX!E35)*(1-Recovery_OX!F35)</f>
        <v>0</v>
      </c>
    </row>
    <row r="36" spans="2:15">
      <c r="B36" s="507">
        <f t="shared" si="0"/>
        <v>1974</v>
      </c>
      <c r="C36" s="508">
        <f>Stored_C!E42</f>
        <v>0</v>
      </c>
      <c r="D36" s="509">
        <f>Stored_C!F42+Stored_C!L42</f>
        <v>0</v>
      </c>
      <c r="E36" s="510">
        <f>Stored_C!G42+Stored_C!M42</f>
        <v>0</v>
      </c>
      <c r="F36" s="511">
        <f>F35+HWP!C36</f>
        <v>0</v>
      </c>
      <c r="G36" s="509">
        <f>G35+HWP!D36</f>
        <v>6.5185038434524811</v>
      </c>
      <c r="H36" s="510">
        <f>H35+HWP!E36</f>
        <v>0</v>
      </c>
      <c r="I36" s="493"/>
      <c r="J36" s="512">
        <f>Garden!J43</f>
        <v>0</v>
      </c>
      <c r="K36" s="513">
        <f>Paper!J43</f>
        <v>4.0322668591645759E-3</v>
      </c>
      <c r="L36" s="514">
        <f>Wood!J43</f>
        <v>0</v>
      </c>
      <c r="M36" s="515">
        <f>J36*(1-Recovery_OX!E36)*(1-Recovery_OX!F36)</f>
        <v>0</v>
      </c>
      <c r="N36" s="513">
        <f>K36*(1-Recovery_OX!E36)*(1-Recovery_OX!F36)</f>
        <v>4.0322668591645759E-3</v>
      </c>
      <c r="O36" s="514">
        <f>L36*(1-Recovery_OX!E36)*(1-Recovery_OX!F36)</f>
        <v>0</v>
      </c>
    </row>
    <row r="37" spans="2:15">
      <c r="B37" s="507">
        <f t="shared" si="0"/>
        <v>1975</v>
      </c>
      <c r="C37" s="508">
        <f>Stored_C!E43</f>
        <v>0</v>
      </c>
      <c r="D37" s="509">
        <f>Stored_C!F43+Stored_C!L43</f>
        <v>0</v>
      </c>
      <c r="E37" s="510">
        <f>Stored_C!G43+Stored_C!M43</f>
        <v>0</v>
      </c>
      <c r="F37" s="511">
        <f>F36+HWP!C37</f>
        <v>0</v>
      </c>
      <c r="G37" s="509">
        <f>G36+HWP!D37</f>
        <v>6.5185038434524811</v>
      </c>
      <c r="H37" s="510">
        <f>H36+HWP!E37</f>
        <v>0</v>
      </c>
      <c r="I37" s="493"/>
      <c r="J37" s="512">
        <f>Garden!J44</f>
        <v>0</v>
      </c>
      <c r="K37" s="513">
        <f>Paper!J44</f>
        <v>3.7596606996966194E-3</v>
      </c>
      <c r="L37" s="514">
        <f>Wood!J44</f>
        <v>0</v>
      </c>
      <c r="M37" s="515">
        <f>J37*(1-Recovery_OX!E37)*(1-Recovery_OX!F37)</f>
        <v>0</v>
      </c>
      <c r="N37" s="513">
        <f>K37*(1-Recovery_OX!E37)*(1-Recovery_OX!F37)</f>
        <v>3.7596606996966194E-3</v>
      </c>
      <c r="O37" s="514">
        <f>L37*(1-Recovery_OX!E37)*(1-Recovery_OX!F37)</f>
        <v>0</v>
      </c>
    </row>
    <row r="38" spans="2:15">
      <c r="B38" s="507">
        <f t="shared" si="0"/>
        <v>1976</v>
      </c>
      <c r="C38" s="508">
        <f>Stored_C!E44</f>
        <v>0</v>
      </c>
      <c r="D38" s="509">
        <f>Stored_C!F44+Stored_C!L44</f>
        <v>0</v>
      </c>
      <c r="E38" s="510">
        <f>Stored_C!G44+Stored_C!M44</f>
        <v>0</v>
      </c>
      <c r="F38" s="511">
        <f>F37+HWP!C38</f>
        <v>0</v>
      </c>
      <c r="G38" s="509">
        <f>G37+HWP!D38</f>
        <v>6.5185038434524811</v>
      </c>
      <c r="H38" s="510">
        <f>H37+HWP!E38</f>
        <v>0</v>
      </c>
      <c r="I38" s="493"/>
      <c r="J38" s="512">
        <f>Garden!J45</f>
        <v>0</v>
      </c>
      <c r="K38" s="513">
        <f>Paper!J45</f>
        <v>3.5054844013404011E-3</v>
      </c>
      <c r="L38" s="514">
        <f>Wood!J45</f>
        <v>0</v>
      </c>
      <c r="M38" s="515">
        <f>J38*(1-Recovery_OX!E38)*(1-Recovery_OX!F38)</f>
        <v>0</v>
      </c>
      <c r="N38" s="513">
        <f>K38*(1-Recovery_OX!E38)*(1-Recovery_OX!F38)</f>
        <v>3.5054844013404011E-3</v>
      </c>
      <c r="O38" s="514">
        <f>L38*(1-Recovery_OX!E38)*(1-Recovery_OX!F38)</f>
        <v>0</v>
      </c>
    </row>
    <row r="39" spans="2:15">
      <c r="B39" s="507">
        <f t="shared" si="0"/>
        <v>1977</v>
      </c>
      <c r="C39" s="508">
        <f>Stored_C!E45</f>
        <v>0</v>
      </c>
      <c r="D39" s="509">
        <f>Stored_C!F45+Stored_C!L45</f>
        <v>0</v>
      </c>
      <c r="E39" s="510">
        <f>Stored_C!G45+Stored_C!M45</f>
        <v>0</v>
      </c>
      <c r="F39" s="511">
        <f>F38+HWP!C39</f>
        <v>0</v>
      </c>
      <c r="G39" s="509">
        <f>G38+HWP!D39</f>
        <v>6.5185038434524811</v>
      </c>
      <c r="H39" s="510">
        <f>H38+HWP!E39</f>
        <v>0</v>
      </c>
      <c r="I39" s="493"/>
      <c r="J39" s="512">
        <f>Garden!J46</f>
        <v>0</v>
      </c>
      <c r="K39" s="513">
        <f>Paper!J46</f>
        <v>3.2684919915864927E-3</v>
      </c>
      <c r="L39" s="514">
        <f>Wood!J46</f>
        <v>0</v>
      </c>
      <c r="M39" s="515">
        <f>J39*(1-Recovery_OX!E39)*(1-Recovery_OX!F39)</f>
        <v>0</v>
      </c>
      <c r="N39" s="513">
        <f>K39*(1-Recovery_OX!E39)*(1-Recovery_OX!F39)</f>
        <v>3.2684919915864927E-3</v>
      </c>
      <c r="O39" s="514">
        <f>L39*(1-Recovery_OX!E39)*(1-Recovery_OX!F39)</f>
        <v>0</v>
      </c>
    </row>
    <row r="40" spans="2:15">
      <c r="B40" s="507">
        <f t="shared" si="0"/>
        <v>1978</v>
      </c>
      <c r="C40" s="508">
        <f>Stored_C!E46</f>
        <v>0</v>
      </c>
      <c r="D40" s="509">
        <f>Stored_C!F46+Stored_C!L46</f>
        <v>0</v>
      </c>
      <c r="E40" s="510">
        <f>Stored_C!G46+Stored_C!M46</f>
        <v>0</v>
      </c>
      <c r="F40" s="511">
        <f>F39+HWP!C40</f>
        <v>0</v>
      </c>
      <c r="G40" s="509">
        <f>G39+HWP!D40</f>
        <v>6.5185038434524811</v>
      </c>
      <c r="H40" s="510">
        <f>H39+HWP!E40</f>
        <v>0</v>
      </c>
      <c r="I40" s="493"/>
      <c r="J40" s="512">
        <f>Garden!J47</f>
        <v>0</v>
      </c>
      <c r="K40" s="513">
        <f>Paper!J47</f>
        <v>3.0475217333673305E-3</v>
      </c>
      <c r="L40" s="514">
        <f>Wood!J47</f>
        <v>0</v>
      </c>
      <c r="M40" s="515">
        <f>J40*(1-Recovery_OX!E40)*(1-Recovery_OX!F40)</f>
        <v>0</v>
      </c>
      <c r="N40" s="513">
        <f>K40*(1-Recovery_OX!E40)*(1-Recovery_OX!F40)</f>
        <v>3.0475217333673305E-3</v>
      </c>
      <c r="O40" s="514">
        <f>L40*(1-Recovery_OX!E40)*(1-Recovery_OX!F40)</f>
        <v>0</v>
      </c>
    </row>
    <row r="41" spans="2:15">
      <c r="B41" s="507">
        <f t="shared" si="0"/>
        <v>1979</v>
      </c>
      <c r="C41" s="508">
        <f>Stored_C!E47</f>
        <v>0</v>
      </c>
      <c r="D41" s="509">
        <f>Stored_C!F47+Stored_C!L47</f>
        <v>0</v>
      </c>
      <c r="E41" s="510">
        <f>Stored_C!G47+Stored_C!M47</f>
        <v>0</v>
      </c>
      <c r="F41" s="511">
        <f>F40+HWP!C41</f>
        <v>0</v>
      </c>
      <c r="G41" s="509">
        <f>G40+HWP!D41</f>
        <v>6.5185038434524811</v>
      </c>
      <c r="H41" s="510">
        <f>H40+HWP!E41</f>
        <v>0</v>
      </c>
      <c r="I41" s="493"/>
      <c r="J41" s="512">
        <f>Garden!J48</f>
        <v>0</v>
      </c>
      <c r="K41" s="513">
        <f>Paper!J48</f>
        <v>2.8414904302207621E-3</v>
      </c>
      <c r="L41" s="514">
        <f>Wood!J48</f>
        <v>0</v>
      </c>
      <c r="M41" s="515">
        <f>J41*(1-Recovery_OX!E41)*(1-Recovery_OX!F41)</f>
        <v>0</v>
      </c>
      <c r="N41" s="513">
        <f>K41*(1-Recovery_OX!E41)*(1-Recovery_OX!F41)</f>
        <v>2.8414904302207621E-3</v>
      </c>
      <c r="O41" s="514">
        <f>L41*(1-Recovery_OX!E41)*(1-Recovery_OX!F41)</f>
        <v>0</v>
      </c>
    </row>
    <row r="42" spans="2:15">
      <c r="B42" s="507">
        <f t="shared" si="0"/>
        <v>1980</v>
      </c>
      <c r="C42" s="508">
        <f>Stored_C!E48</f>
        <v>0</v>
      </c>
      <c r="D42" s="509">
        <f>Stored_C!F48+Stored_C!L48</f>
        <v>0</v>
      </c>
      <c r="E42" s="510">
        <f>Stored_C!G48+Stored_C!M48</f>
        <v>0</v>
      </c>
      <c r="F42" s="511">
        <f>F41+HWP!C42</f>
        <v>0</v>
      </c>
      <c r="G42" s="509">
        <f>G41+HWP!D42</f>
        <v>6.5185038434524811</v>
      </c>
      <c r="H42" s="510">
        <f>H41+HWP!E42</f>
        <v>0</v>
      </c>
      <c r="I42" s="493"/>
      <c r="J42" s="512">
        <f>Garden!J49</f>
        <v>0</v>
      </c>
      <c r="K42" s="513">
        <f>Paper!J49</f>
        <v>2.6493881164597328E-3</v>
      </c>
      <c r="L42" s="514">
        <f>Wood!J49</f>
        <v>0</v>
      </c>
      <c r="M42" s="515">
        <f>J42*(1-Recovery_OX!E42)*(1-Recovery_OX!F42)</f>
        <v>0</v>
      </c>
      <c r="N42" s="513">
        <f>K42*(1-Recovery_OX!E42)*(1-Recovery_OX!F42)</f>
        <v>2.6493881164597328E-3</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6.5185038434524811</v>
      </c>
      <c r="H43" s="510">
        <f>H42+HWP!E43</f>
        <v>0</v>
      </c>
      <c r="I43" s="493"/>
      <c r="J43" s="512">
        <f>Garden!J50</f>
        <v>0</v>
      </c>
      <c r="K43" s="513">
        <f>Paper!J50</f>
        <v>2.4702731063193156E-3</v>
      </c>
      <c r="L43" s="514">
        <f>Wood!J50</f>
        <v>0</v>
      </c>
      <c r="M43" s="515">
        <f>J43*(1-Recovery_OX!E43)*(1-Recovery_OX!F43)</f>
        <v>0</v>
      </c>
      <c r="N43" s="513">
        <f>K43*(1-Recovery_OX!E43)*(1-Recovery_OX!F43)</f>
        <v>2.4702731063193156E-3</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6.5185038434524811</v>
      </c>
      <c r="H44" s="510">
        <f>H43+HWP!E44</f>
        <v>0</v>
      </c>
      <c r="I44" s="493"/>
      <c r="J44" s="512">
        <f>Garden!J51</f>
        <v>0</v>
      </c>
      <c r="K44" s="513">
        <f>Paper!J51</f>
        <v>2.3032673778119995E-3</v>
      </c>
      <c r="L44" s="514">
        <f>Wood!J51</f>
        <v>0</v>
      </c>
      <c r="M44" s="515">
        <f>J44*(1-Recovery_OX!E44)*(1-Recovery_OX!F44)</f>
        <v>0</v>
      </c>
      <c r="N44" s="513">
        <f>K44*(1-Recovery_OX!E44)*(1-Recovery_OX!F44)</f>
        <v>2.3032673778119995E-3</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6.5185038434524811</v>
      </c>
      <c r="H45" s="510">
        <f>H44+HWP!E45</f>
        <v>0</v>
      </c>
      <c r="I45" s="493"/>
      <c r="J45" s="512">
        <f>Garden!J52</f>
        <v>0</v>
      </c>
      <c r="K45" s="513">
        <f>Paper!J52</f>
        <v>2.1475522686628867E-3</v>
      </c>
      <c r="L45" s="514">
        <f>Wood!J52</f>
        <v>0</v>
      </c>
      <c r="M45" s="515">
        <f>J45*(1-Recovery_OX!E45)*(1-Recovery_OX!F45)</f>
        <v>0</v>
      </c>
      <c r="N45" s="513">
        <f>K45*(1-Recovery_OX!E45)*(1-Recovery_OX!F45)</f>
        <v>2.1475522686628867E-3</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6.5185038434524811</v>
      </c>
      <c r="H46" s="510">
        <f>H45+HWP!E46</f>
        <v>0</v>
      </c>
      <c r="I46" s="493"/>
      <c r="J46" s="512">
        <f>Garden!J53</f>
        <v>0</v>
      </c>
      <c r="K46" s="513">
        <f>Paper!J53</f>
        <v>2.0023644632262741E-3</v>
      </c>
      <c r="L46" s="514">
        <f>Wood!J53</f>
        <v>0</v>
      </c>
      <c r="M46" s="515">
        <f>J46*(1-Recovery_OX!E46)*(1-Recovery_OX!F46)</f>
        <v>0</v>
      </c>
      <c r="N46" s="513">
        <f>K46*(1-Recovery_OX!E46)*(1-Recovery_OX!F46)</f>
        <v>2.0023644632262741E-3</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6.5185038434524811</v>
      </c>
      <c r="H47" s="510">
        <f>H46+HWP!E47</f>
        <v>0</v>
      </c>
      <c r="I47" s="493"/>
      <c r="J47" s="512">
        <f>Garden!J54</f>
        <v>0</v>
      </c>
      <c r="K47" s="513">
        <f>Paper!J54</f>
        <v>1.8669922507114696E-3</v>
      </c>
      <c r="L47" s="514">
        <f>Wood!J54</f>
        <v>0</v>
      </c>
      <c r="M47" s="515">
        <f>J47*(1-Recovery_OX!E47)*(1-Recovery_OX!F47)</f>
        <v>0</v>
      </c>
      <c r="N47" s="513">
        <f>K47*(1-Recovery_OX!E47)*(1-Recovery_OX!F47)</f>
        <v>1.8669922507114696E-3</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6.5185038434524811</v>
      </c>
      <c r="H48" s="510">
        <f>H47+HWP!E48</f>
        <v>0</v>
      </c>
      <c r="I48" s="493"/>
      <c r="J48" s="512">
        <f>Garden!J55</f>
        <v>0</v>
      </c>
      <c r="K48" s="513">
        <f>Paper!J55</f>
        <v>1.7407720363756712E-3</v>
      </c>
      <c r="L48" s="514">
        <f>Wood!J55</f>
        <v>0</v>
      </c>
      <c r="M48" s="515">
        <f>J48*(1-Recovery_OX!E48)*(1-Recovery_OX!F48)</f>
        <v>0</v>
      </c>
      <c r="N48" s="513">
        <f>K48*(1-Recovery_OX!E48)*(1-Recovery_OX!F48)</f>
        <v>1.7407720363756712E-3</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6.5185038434524811</v>
      </c>
      <c r="H49" s="510">
        <f>H48+HWP!E49</f>
        <v>0</v>
      </c>
      <c r="I49" s="493"/>
      <c r="J49" s="512">
        <f>Garden!J56</f>
        <v>0</v>
      </c>
      <c r="K49" s="513">
        <f>Paper!J56</f>
        <v>1.6230850885817682E-3</v>
      </c>
      <c r="L49" s="514">
        <f>Wood!J56</f>
        <v>0</v>
      </c>
      <c r="M49" s="515">
        <f>J49*(1-Recovery_OX!E49)*(1-Recovery_OX!F49)</f>
        <v>0</v>
      </c>
      <c r="N49" s="513">
        <f>K49*(1-Recovery_OX!E49)*(1-Recovery_OX!F49)</f>
        <v>1.6230850885817682E-3</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6.5185038434524811</v>
      </c>
      <c r="H50" s="510">
        <f>H49+HWP!E50</f>
        <v>0</v>
      </c>
      <c r="I50" s="493"/>
      <c r="J50" s="512">
        <f>Garden!J57</f>
        <v>0</v>
      </c>
      <c r="K50" s="513">
        <f>Paper!J57</f>
        <v>1.5133545057751394E-3</v>
      </c>
      <c r="L50" s="514">
        <f>Wood!J57</f>
        <v>0</v>
      </c>
      <c r="M50" s="515">
        <f>J50*(1-Recovery_OX!E50)*(1-Recovery_OX!F50)</f>
        <v>0</v>
      </c>
      <c r="N50" s="513">
        <f>K50*(1-Recovery_OX!E50)*(1-Recovery_OX!F50)</f>
        <v>1.5133545057751394E-3</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6.5185038434524811</v>
      </c>
      <c r="H51" s="510">
        <f>H50+HWP!E51</f>
        <v>0</v>
      </c>
      <c r="I51" s="493"/>
      <c r="J51" s="512">
        <f>Garden!J58</f>
        <v>0</v>
      </c>
      <c r="K51" s="513">
        <f>Paper!J58</f>
        <v>1.4110423885115608E-3</v>
      </c>
      <c r="L51" s="514">
        <f>Wood!J58</f>
        <v>0</v>
      </c>
      <c r="M51" s="515">
        <f>J51*(1-Recovery_OX!E51)*(1-Recovery_OX!F51)</f>
        <v>0</v>
      </c>
      <c r="N51" s="513">
        <f>K51*(1-Recovery_OX!E51)*(1-Recovery_OX!F51)</f>
        <v>1.4110423885115608E-3</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6.5185038434524811</v>
      </c>
      <c r="H52" s="510">
        <f>H51+HWP!E52</f>
        <v>0</v>
      </c>
      <c r="I52" s="493"/>
      <c r="J52" s="512">
        <f>Garden!J59</f>
        <v>0</v>
      </c>
      <c r="K52" s="513">
        <f>Paper!J59</f>
        <v>1.3156472026735074E-3</v>
      </c>
      <c r="L52" s="514">
        <f>Wood!J59</f>
        <v>0</v>
      </c>
      <c r="M52" s="515">
        <f>J52*(1-Recovery_OX!E52)*(1-Recovery_OX!F52)</f>
        <v>0</v>
      </c>
      <c r="N52" s="513">
        <f>K52*(1-Recovery_OX!E52)*(1-Recovery_OX!F52)</f>
        <v>1.3156472026735074E-3</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6.5185038434524811</v>
      </c>
      <c r="H53" s="510">
        <f>H52+HWP!E53</f>
        <v>0</v>
      </c>
      <c r="I53" s="493"/>
      <c r="J53" s="512">
        <f>Garden!J60</f>
        <v>0</v>
      </c>
      <c r="K53" s="513">
        <f>Paper!J60</f>
        <v>1.226701320949327E-3</v>
      </c>
      <c r="L53" s="514">
        <f>Wood!J60</f>
        <v>0</v>
      </c>
      <c r="M53" s="515">
        <f>J53*(1-Recovery_OX!E53)*(1-Recovery_OX!F53)</f>
        <v>0</v>
      </c>
      <c r="N53" s="513">
        <f>K53*(1-Recovery_OX!E53)*(1-Recovery_OX!F53)</f>
        <v>1.226701320949327E-3</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6.5185038434524811</v>
      </c>
      <c r="H54" s="510">
        <f>H53+HWP!E54</f>
        <v>0</v>
      </c>
      <c r="I54" s="493"/>
      <c r="J54" s="512">
        <f>Garden!J61</f>
        <v>0</v>
      </c>
      <c r="K54" s="513">
        <f>Paper!J61</f>
        <v>1.1437687305236156E-3</v>
      </c>
      <c r="L54" s="514">
        <f>Wood!J61</f>
        <v>0</v>
      </c>
      <c r="M54" s="515">
        <f>J54*(1-Recovery_OX!E54)*(1-Recovery_OX!F54)</f>
        <v>0</v>
      </c>
      <c r="N54" s="513">
        <f>K54*(1-Recovery_OX!E54)*(1-Recovery_OX!F54)</f>
        <v>1.1437687305236156E-3</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6.5185038434524811</v>
      </c>
      <c r="H55" s="510">
        <f>H54+HWP!E55</f>
        <v>0</v>
      </c>
      <c r="I55" s="493"/>
      <c r="J55" s="512">
        <f>Garden!J62</f>
        <v>0</v>
      </c>
      <c r="K55" s="513">
        <f>Paper!J62</f>
        <v>1.0664428957418909E-3</v>
      </c>
      <c r="L55" s="514">
        <f>Wood!J62</f>
        <v>0</v>
      </c>
      <c r="M55" s="515">
        <f>J55*(1-Recovery_OX!E55)*(1-Recovery_OX!F55)</f>
        <v>0</v>
      </c>
      <c r="N55" s="513">
        <f>K55*(1-Recovery_OX!E55)*(1-Recovery_OX!F55)</f>
        <v>1.0664428957418909E-3</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6.5185038434524811</v>
      </c>
      <c r="H56" s="510">
        <f>H55+HWP!E56</f>
        <v>0</v>
      </c>
      <c r="I56" s="493"/>
      <c r="J56" s="512">
        <f>Garden!J63</f>
        <v>0</v>
      </c>
      <c r="K56" s="513">
        <f>Paper!J63</f>
        <v>9.9434476527234276E-4</v>
      </c>
      <c r="L56" s="514">
        <f>Wood!J63</f>
        <v>0</v>
      </c>
      <c r="M56" s="515">
        <f>J56*(1-Recovery_OX!E56)*(1-Recovery_OX!F56)</f>
        <v>0</v>
      </c>
      <c r="N56" s="513">
        <f>K56*(1-Recovery_OX!E56)*(1-Recovery_OX!F56)</f>
        <v>9.9434476527234276E-4</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6.5185038434524811</v>
      </c>
      <c r="H57" s="510">
        <f>H56+HWP!E57</f>
        <v>0</v>
      </c>
      <c r="I57" s="493"/>
      <c r="J57" s="512">
        <f>Garden!J64</f>
        <v>0</v>
      </c>
      <c r="K57" s="513">
        <f>Paper!J64</f>
        <v>9.27120913995763E-4</v>
      </c>
      <c r="L57" s="514">
        <f>Wood!J64</f>
        <v>0</v>
      </c>
      <c r="M57" s="515">
        <f>J57*(1-Recovery_OX!E57)*(1-Recovery_OX!F57)</f>
        <v>0</v>
      </c>
      <c r="N57" s="513">
        <f>K57*(1-Recovery_OX!E57)*(1-Recovery_OX!F57)</f>
        <v>9.27120913995763E-4</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6.5185038434524811</v>
      </c>
      <c r="H58" s="510">
        <f>H57+HWP!E58</f>
        <v>0</v>
      </c>
      <c r="I58" s="493"/>
      <c r="J58" s="512">
        <f>Garden!J65</f>
        <v>0</v>
      </c>
      <c r="K58" s="513">
        <f>Paper!J65</f>
        <v>8.6444181051520365E-4</v>
      </c>
      <c r="L58" s="514">
        <f>Wood!J65</f>
        <v>0</v>
      </c>
      <c r="M58" s="515">
        <f>J58*(1-Recovery_OX!E58)*(1-Recovery_OX!F58)</f>
        <v>0</v>
      </c>
      <c r="N58" s="513">
        <f>K58*(1-Recovery_OX!E58)*(1-Recovery_OX!F58)</f>
        <v>8.6444181051520365E-4</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6.5185038434524811</v>
      </c>
      <c r="H59" s="510">
        <f>H58+HWP!E59</f>
        <v>0</v>
      </c>
      <c r="I59" s="493"/>
      <c r="J59" s="512">
        <f>Garden!J66</f>
        <v>0</v>
      </c>
      <c r="K59" s="513">
        <f>Paper!J66</f>
        <v>8.0600020179268463E-4</v>
      </c>
      <c r="L59" s="514">
        <f>Wood!J66</f>
        <v>0</v>
      </c>
      <c r="M59" s="515">
        <f>J59*(1-Recovery_OX!E59)*(1-Recovery_OX!F59)</f>
        <v>0</v>
      </c>
      <c r="N59" s="513">
        <f>K59*(1-Recovery_OX!E59)*(1-Recovery_OX!F59)</f>
        <v>8.0600020179268463E-4</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6.5185038434524811</v>
      </c>
      <c r="H60" s="510">
        <f>H59+HWP!E60</f>
        <v>0</v>
      </c>
      <c r="I60" s="493"/>
      <c r="J60" s="512">
        <f>Garden!J67</f>
        <v>0</v>
      </c>
      <c r="K60" s="513">
        <f>Paper!J67</f>
        <v>7.5150960699444638E-4</v>
      </c>
      <c r="L60" s="514">
        <f>Wood!J67</f>
        <v>0</v>
      </c>
      <c r="M60" s="515">
        <f>J60*(1-Recovery_OX!E60)*(1-Recovery_OX!F60)</f>
        <v>0</v>
      </c>
      <c r="N60" s="513">
        <f>K60*(1-Recovery_OX!E60)*(1-Recovery_OX!F60)</f>
        <v>7.5150960699444638E-4</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6.5185038434524811</v>
      </c>
      <c r="H61" s="510">
        <f>H60+HWP!E61</f>
        <v>0</v>
      </c>
      <c r="I61" s="493"/>
      <c r="J61" s="512">
        <f>Garden!J68</f>
        <v>0</v>
      </c>
      <c r="K61" s="513">
        <f>Paper!J68</f>
        <v>7.0070291316156978E-4</v>
      </c>
      <c r="L61" s="514">
        <f>Wood!J68</f>
        <v>0</v>
      </c>
      <c r="M61" s="515">
        <f>J61*(1-Recovery_OX!E61)*(1-Recovery_OX!F61)</f>
        <v>0</v>
      </c>
      <c r="N61" s="513">
        <f>K61*(1-Recovery_OX!E61)*(1-Recovery_OX!F61)</f>
        <v>7.0070291316156978E-4</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6.5185038434524811</v>
      </c>
      <c r="H62" s="510">
        <f>H61+HWP!E62</f>
        <v>0</v>
      </c>
      <c r="I62" s="493"/>
      <c r="J62" s="512">
        <f>Garden!J69</f>
        <v>0</v>
      </c>
      <c r="K62" s="513">
        <f>Paper!J69</f>
        <v>6.5333106582194202E-4</v>
      </c>
      <c r="L62" s="514">
        <f>Wood!J69</f>
        <v>0</v>
      </c>
      <c r="M62" s="515">
        <f>J62*(1-Recovery_OX!E62)*(1-Recovery_OX!F62)</f>
        <v>0</v>
      </c>
      <c r="N62" s="513">
        <f>K62*(1-Recovery_OX!E62)*(1-Recovery_OX!F62)</f>
        <v>6.5333106582194202E-4</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6.5185038434524811</v>
      </c>
      <c r="H63" s="510">
        <f>H62+HWP!E63</f>
        <v>0</v>
      </c>
      <c r="I63" s="493"/>
      <c r="J63" s="512">
        <f>Garden!J70</f>
        <v>0</v>
      </c>
      <c r="K63" s="513">
        <f>Paper!J70</f>
        <v>6.0916184812494505E-4</v>
      </c>
      <c r="L63" s="514">
        <f>Wood!J70</f>
        <v>0</v>
      </c>
      <c r="M63" s="515">
        <f>J63*(1-Recovery_OX!E63)*(1-Recovery_OX!F63)</f>
        <v>0</v>
      </c>
      <c r="N63" s="513">
        <f>K63*(1-Recovery_OX!E63)*(1-Recovery_OX!F63)</f>
        <v>6.0916184812494505E-4</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6.5185038434524811</v>
      </c>
      <c r="H64" s="510">
        <f>H63+HWP!E64</f>
        <v>0</v>
      </c>
      <c r="I64" s="493"/>
      <c r="J64" s="512">
        <f>Garden!J71</f>
        <v>0</v>
      </c>
      <c r="K64" s="513">
        <f>Paper!J71</f>
        <v>5.6797874251418459E-4</v>
      </c>
      <c r="L64" s="514">
        <f>Wood!J71</f>
        <v>0</v>
      </c>
      <c r="M64" s="515">
        <f>J64*(1-Recovery_OX!E64)*(1-Recovery_OX!F64)</f>
        <v>0</v>
      </c>
      <c r="N64" s="513">
        <f>K64*(1-Recovery_OX!E64)*(1-Recovery_OX!F64)</f>
        <v>5.6797874251418459E-4</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6.5185038434524811</v>
      </c>
      <c r="H65" s="510">
        <f>H64+HWP!E65</f>
        <v>0</v>
      </c>
      <c r="I65" s="493"/>
      <c r="J65" s="512">
        <f>Garden!J72</f>
        <v>0</v>
      </c>
      <c r="K65" s="513">
        <f>Paper!J72</f>
        <v>5.2957986935817764E-4</v>
      </c>
      <c r="L65" s="514">
        <f>Wood!J72</f>
        <v>0</v>
      </c>
      <c r="M65" s="515">
        <f>J65*(1-Recovery_OX!E65)*(1-Recovery_OX!F65)</f>
        <v>0</v>
      </c>
      <c r="N65" s="513">
        <f>K65*(1-Recovery_OX!E65)*(1-Recovery_OX!F65)</f>
        <v>5.2957986935817764E-4</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6.5185038434524811</v>
      </c>
      <c r="H66" s="510">
        <f>H65+HWP!E66</f>
        <v>0</v>
      </c>
      <c r="I66" s="493"/>
      <c r="J66" s="512">
        <f>Garden!J73</f>
        <v>0</v>
      </c>
      <c r="K66" s="513">
        <f>Paper!J73</f>
        <v>4.937769973361642E-4</v>
      </c>
      <c r="L66" s="514">
        <f>Wood!J73</f>
        <v>0</v>
      </c>
      <c r="M66" s="515">
        <f>J66*(1-Recovery_OX!E66)*(1-Recovery_OX!F66)</f>
        <v>0</v>
      </c>
      <c r="N66" s="513">
        <f>K66*(1-Recovery_OX!E66)*(1-Recovery_OX!F66)</f>
        <v>4.937769973361642E-4</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6.5185038434524811</v>
      </c>
      <c r="H67" s="510">
        <f>H66+HWP!E67</f>
        <v>0</v>
      </c>
      <c r="I67" s="493"/>
      <c r="J67" s="512">
        <f>Garden!J74</f>
        <v>0</v>
      </c>
      <c r="K67" s="513">
        <f>Paper!J74</f>
        <v>4.603946207279554E-4</v>
      </c>
      <c r="L67" s="514">
        <f>Wood!J74</f>
        <v>0</v>
      </c>
      <c r="M67" s="515">
        <f>J67*(1-Recovery_OX!E67)*(1-Recovery_OX!F67)</f>
        <v>0</v>
      </c>
      <c r="N67" s="513">
        <f>K67*(1-Recovery_OX!E67)*(1-Recovery_OX!F67)</f>
        <v>4.603946207279554E-4</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6.5185038434524811</v>
      </c>
      <c r="H68" s="510">
        <f>H67+HWP!E68</f>
        <v>0</v>
      </c>
      <c r="I68" s="493"/>
      <c r="J68" s="512">
        <f>Garden!J75</f>
        <v>0</v>
      </c>
      <c r="K68" s="513">
        <f>Paper!J75</f>
        <v>4.2926909908468861E-4</v>
      </c>
      <c r="L68" s="514">
        <f>Wood!J75</f>
        <v>0</v>
      </c>
      <c r="M68" s="515">
        <f>J68*(1-Recovery_OX!E68)*(1-Recovery_OX!F68)</f>
        <v>0</v>
      </c>
      <c r="N68" s="513">
        <f>K68*(1-Recovery_OX!E68)*(1-Recovery_OX!F68)</f>
        <v>4.2926909908468861E-4</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6.5185038434524811</v>
      </c>
      <c r="H69" s="510">
        <f>H68+HWP!E69</f>
        <v>0</v>
      </c>
      <c r="I69" s="493"/>
      <c r="J69" s="512">
        <f>Garden!J76</f>
        <v>0</v>
      </c>
      <c r="K69" s="513">
        <f>Paper!J76</f>
        <v>4.0024785506315782E-4</v>
      </c>
      <c r="L69" s="514">
        <f>Wood!J76</f>
        <v>0</v>
      </c>
      <c r="M69" s="515">
        <f>J69*(1-Recovery_OX!E69)*(1-Recovery_OX!F69)</f>
        <v>0</v>
      </c>
      <c r="N69" s="513">
        <f>K69*(1-Recovery_OX!E69)*(1-Recovery_OX!F69)</f>
        <v>4.0024785506315782E-4</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6.5185038434524811</v>
      </c>
      <c r="H70" s="510">
        <f>H69+HWP!E70</f>
        <v>0</v>
      </c>
      <c r="I70" s="493"/>
      <c r="J70" s="512">
        <f>Garden!J77</f>
        <v>0</v>
      </c>
      <c r="K70" s="513">
        <f>Paper!J77</f>
        <v>3.7318862649150005E-4</v>
      </c>
      <c r="L70" s="514">
        <f>Wood!J77</f>
        <v>0</v>
      </c>
      <c r="M70" s="515">
        <f>J70*(1-Recovery_OX!E70)*(1-Recovery_OX!F70)</f>
        <v>0</v>
      </c>
      <c r="N70" s="513">
        <f>K70*(1-Recovery_OX!E70)*(1-Recovery_OX!F70)</f>
        <v>3.7318862649150005E-4</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6.5185038434524811</v>
      </c>
      <c r="H71" s="510">
        <f>H70+HWP!E71</f>
        <v>0</v>
      </c>
      <c r="I71" s="493"/>
      <c r="J71" s="512">
        <f>Garden!J78</f>
        <v>0</v>
      </c>
      <c r="K71" s="513">
        <f>Paper!J78</f>
        <v>3.4795876899986389E-4</v>
      </c>
      <c r="L71" s="514">
        <f>Wood!J78</f>
        <v>0</v>
      </c>
      <c r="M71" s="515">
        <f>J71*(1-Recovery_OX!E71)*(1-Recovery_OX!F71)</f>
        <v>0</v>
      </c>
      <c r="N71" s="513">
        <f>K71*(1-Recovery_OX!E71)*(1-Recovery_OX!F71)</f>
        <v>3.4795876899986389E-4</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6.5185038434524811</v>
      </c>
      <c r="H72" s="510">
        <f>H71+HWP!E72</f>
        <v>0</v>
      </c>
      <c r="I72" s="493"/>
      <c r="J72" s="512">
        <f>Garden!J79</f>
        <v>0</v>
      </c>
      <c r="K72" s="513">
        <f>Paper!J79</f>
        <v>3.2443460579755455E-4</v>
      </c>
      <c r="L72" s="514">
        <f>Wood!J79</f>
        <v>0</v>
      </c>
      <c r="M72" s="515">
        <f>J72*(1-Recovery_OX!E72)*(1-Recovery_OX!F72)</f>
        <v>0</v>
      </c>
      <c r="N72" s="513">
        <f>K72*(1-Recovery_OX!E72)*(1-Recovery_OX!F72)</f>
        <v>3.2443460579755455E-4</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6.5185038434524811</v>
      </c>
      <c r="H73" s="510">
        <f>H72+HWP!E73</f>
        <v>0</v>
      </c>
      <c r="I73" s="493"/>
      <c r="J73" s="512">
        <f>Garden!J80</f>
        <v>0</v>
      </c>
      <c r="K73" s="513">
        <f>Paper!J80</f>
        <v>3.0250082140926242E-4</v>
      </c>
      <c r="L73" s="514">
        <f>Wood!J80</f>
        <v>0</v>
      </c>
      <c r="M73" s="515">
        <f>J73*(1-Recovery_OX!E73)*(1-Recovery_OX!F73)</f>
        <v>0</v>
      </c>
      <c r="N73" s="513">
        <f>K73*(1-Recovery_OX!E73)*(1-Recovery_OX!F73)</f>
        <v>3.0250082140926242E-4</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6.5185038434524811</v>
      </c>
      <c r="H74" s="510">
        <f>H73+HWP!E74</f>
        <v>0</v>
      </c>
      <c r="I74" s="493"/>
      <c r="J74" s="512">
        <f>Garden!J81</f>
        <v>0</v>
      </c>
      <c r="K74" s="513">
        <f>Paper!J81</f>
        <v>2.8204989639846922E-4</v>
      </c>
      <c r="L74" s="514">
        <f>Wood!J81</f>
        <v>0</v>
      </c>
      <c r="M74" s="515">
        <f>J74*(1-Recovery_OX!E74)*(1-Recovery_OX!F74)</f>
        <v>0</v>
      </c>
      <c r="N74" s="513">
        <f>K74*(1-Recovery_OX!E74)*(1-Recovery_OX!F74)</f>
        <v>2.8204989639846922E-4</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6.5185038434524811</v>
      </c>
      <c r="H75" s="510">
        <f>H74+HWP!E75</f>
        <v>0</v>
      </c>
      <c r="I75" s="493"/>
      <c r="J75" s="512">
        <f>Garden!J82</f>
        <v>0</v>
      </c>
      <c r="K75" s="513">
        <f>Paper!J82</f>
        <v>2.6298158030704571E-4</v>
      </c>
      <c r="L75" s="514">
        <f>Wood!J82</f>
        <v>0</v>
      </c>
      <c r="M75" s="515">
        <f>J75*(1-Recovery_OX!E75)*(1-Recovery_OX!F75)</f>
        <v>0</v>
      </c>
      <c r="N75" s="513">
        <f>K75*(1-Recovery_OX!E75)*(1-Recovery_OX!F75)</f>
        <v>2.6298158030704571E-4</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6.5185038434524811</v>
      </c>
      <c r="H76" s="510">
        <f>H75+HWP!E76</f>
        <v>0</v>
      </c>
      <c r="I76" s="493"/>
      <c r="J76" s="512">
        <f>Garden!J83</f>
        <v>0</v>
      </c>
      <c r="K76" s="513">
        <f>Paper!J83</f>
        <v>2.4520240022738924E-4</v>
      </c>
      <c r="L76" s="514">
        <f>Wood!J83</f>
        <v>0</v>
      </c>
      <c r="M76" s="515">
        <f>J76*(1-Recovery_OX!E76)*(1-Recovery_OX!F76)</f>
        <v>0</v>
      </c>
      <c r="N76" s="513">
        <f>K76*(1-Recovery_OX!E76)*(1-Recovery_OX!F76)</f>
        <v>2.4520240022738924E-4</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6.5185038434524811</v>
      </c>
      <c r="H77" s="510">
        <f>H76+HWP!E77</f>
        <v>0</v>
      </c>
      <c r="I77" s="493"/>
      <c r="J77" s="512">
        <f>Garden!J84</f>
        <v>0</v>
      </c>
      <c r="K77" s="513">
        <f>Paper!J84</f>
        <v>2.2862520259812259E-4</v>
      </c>
      <c r="L77" s="514">
        <f>Wood!J84</f>
        <v>0</v>
      </c>
      <c r="M77" s="515">
        <f>J77*(1-Recovery_OX!E77)*(1-Recovery_OX!F77)</f>
        <v>0</v>
      </c>
      <c r="N77" s="513">
        <f>K77*(1-Recovery_OX!E77)*(1-Recovery_OX!F77)</f>
        <v>2.2862520259812259E-4</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6.5185038434524811</v>
      </c>
      <c r="H78" s="510">
        <f>H77+HWP!E78</f>
        <v>0</v>
      </c>
      <c r="I78" s="493"/>
      <c r="J78" s="512">
        <f>Garden!J85</f>
        <v>0</v>
      </c>
      <c r="K78" s="513">
        <f>Paper!J85</f>
        <v>2.1316872597723489E-4</v>
      </c>
      <c r="L78" s="514">
        <f>Wood!J85</f>
        <v>0</v>
      </c>
      <c r="M78" s="515">
        <f>J78*(1-Recovery_OX!E78)*(1-Recovery_OX!F78)</f>
        <v>0</v>
      </c>
      <c r="N78" s="513">
        <f>K78*(1-Recovery_OX!E78)*(1-Recovery_OX!F78)</f>
        <v>2.1316872597723489E-4</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6.5185038434524811</v>
      </c>
      <c r="H79" s="510">
        <f>H78+HWP!E79</f>
        <v>0</v>
      </c>
      <c r="I79" s="493"/>
      <c r="J79" s="512">
        <f>Garden!J86</f>
        <v>0</v>
      </c>
      <c r="K79" s="513">
        <f>Paper!J86</f>
        <v>1.9875720269839836E-4</v>
      </c>
      <c r="L79" s="514">
        <f>Wood!J86</f>
        <v>0</v>
      </c>
      <c r="M79" s="515">
        <f>J79*(1-Recovery_OX!E79)*(1-Recovery_OX!F79)</f>
        <v>0</v>
      </c>
      <c r="N79" s="513">
        <f>K79*(1-Recovery_OX!E79)*(1-Recovery_OX!F79)</f>
        <v>1.9875720269839836E-4</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6.5185038434524811</v>
      </c>
      <c r="H80" s="510">
        <f>H79+HWP!E80</f>
        <v>0</v>
      </c>
      <c r="I80" s="493"/>
      <c r="J80" s="512">
        <f>Garden!J87</f>
        <v>0</v>
      </c>
      <c r="K80" s="513">
        <f>Paper!J87</f>
        <v>1.8531998745778051E-4</v>
      </c>
      <c r="L80" s="514">
        <f>Wood!J87</f>
        <v>0</v>
      </c>
      <c r="M80" s="515">
        <f>J80*(1-Recovery_OX!E80)*(1-Recovery_OX!F80)</f>
        <v>0</v>
      </c>
      <c r="N80" s="513">
        <f>K80*(1-Recovery_OX!E80)*(1-Recovery_OX!F80)</f>
        <v>1.8531998745778051E-4</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6.5185038434524811</v>
      </c>
      <c r="H81" s="510">
        <f>H80+HWP!E81</f>
        <v>0</v>
      </c>
      <c r="I81" s="493"/>
      <c r="J81" s="512">
        <f>Garden!J88</f>
        <v>0</v>
      </c>
      <c r="K81" s="513">
        <f>Paper!J88</f>
        <v>1.7279121101068236E-4</v>
      </c>
      <c r="L81" s="514">
        <f>Wood!J88</f>
        <v>0</v>
      </c>
      <c r="M81" s="515">
        <f>J81*(1-Recovery_OX!E81)*(1-Recovery_OX!F81)</f>
        <v>0</v>
      </c>
      <c r="N81" s="513">
        <f>K81*(1-Recovery_OX!E81)*(1-Recovery_OX!F81)</f>
        <v>1.7279121101068236E-4</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6.5185038434524811</v>
      </c>
      <c r="H82" s="510">
        <f>H81+HWP!E82</f>
        <v>0</v>
      </c>
      <c r="I82" s="493"/>
      <c r="J82" s="512">
        <f>Garden!J89</f>
        <v>0</v>
      </c>
      <c r="K82" s="513">
        <f>Paper!J89</f>
        <v>1.6110945728042489E-4</v>
      </c>
      <c r="L82" s="514">
        <f>Wood!J89</f>
        <v>0</v>
      </c>
      <c r="M82" s="515">
        <f>J82*(1-Recovery_OX!E82)*(1-Recovery_OX!F82)</f>
        <v>0</v>
      </c>
      <c r="N82" s="513">
        <f>K82*(1-Recovery_OX!E82)*(1-Recovery_OX!F82)</f>
        <v>1.6110945728042489E-4</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6.5185038434524811</v>
      </c>
      <c r="H83" s="510">
        <f>H82+HWP!E83</f>
        <v>0</v>
      </c>
      <c r="I83" s="493"/>
      <c r="J83" s="512">
        <f>Garden!J90</f>
        <v>0</v>
      </c>
      <c r="K83" s="513">
        <f>Paper!J90</f>
        <v>1.5021746229666955E-4</v>
      </c>
      <c r="L83" s="514">
        <f>Wood!J90</f>
        <v>0</v>
      </c>
      <c r="M83" s="515">
        <f>J83*(1-Recovery_OX!E83)*(1-Recovery_OX!F83)</f>
        <v>0</v>
      </c>
      <c r="N83" s="513">
        <f>K83*(1-Recovery_OX!E83)*(1-Recovery_OX!F83)</f>
        <v>1.5021746229666955E-4</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6.5185038434524811</v>
      </c>
      <c r="H84" s="510">
        <f>H83+HWP!E84</f>
        <v>0</v>
      </c>
      <c r="I84" s="493"/>
      <c r="J84" s="512">
        <f>Garden!J91</f>
        <v>0</v>
      </c>
      <c r="K84" s="513">
        <f>Paper!J91</f>
        <v>1.4006183348736948E-4</v>
      </c>
      <c r="L84" s="514">
        <f>Wood!J91</f>
        <v>0</v>
      </c>
      <c r="M84" s="515">
        <f>J84*(1-Recovery_OX!E84)*(1-Recovery_OX!F84)</f>
        <v>0</v>
      </c>
      <c r="N84" s="513">
        <f>K84*(1-Recovery_OX!E84)*(1-Recovery_OX!F84)</f>
        <v>1.4006183348736948E-4</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6.5185038434524811</v>
      </c>
      <c r="H85" s="510">
        <f>H84+HWP!E85</f>
        <v>0</v>
      </c>
      <c r="I85" s="493"/>
      <c r="J85" s="512">
        <f>Garden!J92</f>
        <v>0</v>
      </c>
      <c r="K85" s="513">
        <f>Paper!J92</f>
        <v>1.3059278794831929E-4</v>
      </c>
      <c r="L85" s="514">
        <f>Wood!J92</f>
        <v>0</v>
      </c>
      <c r="M85" s="515">
        <f>J85*(1-Recovery_OX!E85)*(1-Recovery_OX!F85)</f>
        <v>0</v>
      </c>
      <c r="N85" s="513">
        <f>K85*(1-Recovery_OX!E85)*(1-Recovery_OX!F85)</f>
        <v>1.3059278794831929E-4</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6.5185038434524811</v>
      </c>
      <c r="H86" s="510">
        <f>H85+HWP!E86</f>
        <v>0</v>
      </c>
      <c r="I86" s="493"/>
      <c r="J86" s="512">
        <f>Garden!J93</f>
        <v>0</v>
      </c>
      <c r="K86" s="513">
        <f>Paper!J93</f>
        <v>1.2176390840730091E-4</v>
      </c>
      <c r="L86" s="514">
        <f>Wood!J93</f>
        <v>0</v>
      </c>
      <c r="M86" s="515">
        <f>J86*(1-Recovery_OX!E86)*(1-Recovery_OX!F86)</f>
        <v>0</v>
      </c>
      <c r="N86" s="513">
        <f>K86*(1-Recovery_OX!E86)*(1-Recovery_OX!F86)</f>
        <v>1.2176390840730091E-4</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6.5185038434524811</v>
      </c>
      <c r="H87" s="510">
        <f>H86+HWP!E87</f>
        <v>0</v>
      </c>
      <c r="I87" s="493"/>
      <c r="J87" s="512">
        <f>Garden!J94</f>
        <v>0</v>
      </c>
      <c r="K87" s="513">
        <f>Paper!J94</f>
        <v>1.1353191568656131E-4</v>
      </c>
      <c r="L87" s="514">
        <f>Wood!J94</f>
        <v>0</v>
      </c>
      <c r="M87" s="515">
        <f>J87*(1-Recovery_OX!E87)*(1-Recovery_OX!F87)</f>
        <v>0</v>
      </c>
      <c r="N87" s="513">
        <f>K87*(1-Recovery_OX!E87)*(1-Recovery_OX!F87)</f>
        <v>1.1353191568656131E-4</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6.5185038434524811</v>
      </c>
      <c r="H88" s="510">
        <f>H87+HWP!E88</f>
        <v>0</v>
      </c>
      <c r="I88" s="493"/>
      <c r="J88" s="512">
        <f>Garden!J95</f>
        <v>0</v>
      </c>
      <c r="K88" s="513">
        <f>Paper!J95</f>
        <v>1.0585645654823295E-4</v>
      </c>
      <c r="L88" s="514">
        <f>Wood!J95</f>
        <v>0</v>
      </c>
      <c r="M88" s="515">
        <f>J88*(1-Recovery_OX!E88)*(1-Recovery_OX!F88)</f>
        <v>0</v>
      </c>
      <c r="N88" s="513">
        <f>K88*(1-Recovery_OX!E88)*(1-Recovery_OX!F88)</f>
        <v>1.0585645654823295E-4</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6.5185038434524811</v>
      </c>
      <c r="H89" s="510">
        <f>H88+HWP!E89</f>
        <v>0</v>
      </c>
      <c r="I89" s="493"/>
      <c r="J89" s="512">
        <f>Garden!J96</f>
        <v>0</v>
      </c>
      <c r="K89" s="513">
        <f>Paper!J96</f>
        <v>9.8699905882714949E-5</v>
      </c>
      <c r="L89" s="514">
        <f>Wood!J96</f>
        <v>0</v>
      </c>
      <c r="M89" s="515">
        <f>J89*(1-Recovery_OX!E89)*(1-Recovery_OX!F89)</f>
        <v>0</v>
      </c>
      <c r="N89" s="513">
        <f>K89*(1-Recovery_OX!E89)*(1-Recovery_OX!F89)</f>
        <v>9.8699905882714949E-5</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6.5185038434524811</v>
      </c>
      <c r="H90" s="510">
        <f>H89+HWP!E90</f>
        <v>0</v>
      </c>
      <c r="I90" s="493"/>
      <c r="J90" s="512">
        <f>Garden!J97</f>
        <v>0</v>
      </c>
      <c r="K90" s="513">
        <f>Paper!J97</f>
        <v>9.2027182270342162E-5</v>
      </c>
      <c r="L90" s="514">
        <f>Wood!J97</f>
        <v>0</v>
      </c>
      <c r="M90" s="515">
        <f>J90*(1-Recovery_OX!E90)*(1-Recovery_OX!F90)</f>
        <v>0</v>
      </c>
      <c r="N90" s="513">
        <f>K90*(1-Recovery_OX!E90)*(1-Recovery_OX!F90)</f>
        <v>9.2027182270342162E-5</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6.5185038434524811</v>
      </c>
      <c r="H91" s="510">
        <f>H90+HWP!E91</f>
        <v>0</v>
      </c>
      <c r="I91" s="493"/>
      <c r="J91" s="512">
        <f>Garden!J98</f>
        <v>0</v>
      </c>
      <c r="K91" s="513">
        <f>Paper!J98</f>
        <v>8.5805576012225272E-5</v>
      </c>
      <c r="L91" s="514">
        <f>Wood!J98</f>
        <v>0</v>
      </c>
      <c r="M91" s="515">
        <f>J91*(1-Recovery_OX!E91)*(1-Recovery_OX!F91)</f>
        <v>0</v>
      </c>
      <c r="N91" s="513">
        <f>K91*(1-Recovery_OX!E91)*(1-Recovery_OX!F91)</f>
        <v>8.5805576012225272E-5</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6.5185038434524811</v>
      </c>
      <c r="H92" s="519">
        <f>H91+HWP!E92</f>
        <v>0</v>
      </c>
      <c r="I92" s="493"/>
      <c r="J92" s="521">
        <f>Garden!J99</f>
        <v>0</v>
      </c>
      <c r="K92" s="522">
        <f>Paper!J99</f>
        <v>8.0004588787268929E-5</v>
      </c>
      <c r="L92" s="523">
        <f>Wood!J99</f>
        <v>0</v>
      </c>
      <c r="M92" s="524">
        <f>J92*(1-Recovery_OX!E92)*(1-Recovery_OX!F92)</f>
        <v>0</v>
      </c>
      <c r="N92" s="522">
        <f>K92*(1-Recovery_OX!E92)*(1-Recovery_OX!F92)</f>
        <v>8.0004588787268929E-5</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2017-09-14T05:06:19Z</dcterms:modified>
</cp:coreProperties>
</file>