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alikpapan\"/>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E25" i="4" s="1"/>
  <c r="O25" i="4" s="1"/>
  <c r="D24" i="4"/>
  <c r="E24" i="4" s="1"/>
  <c r="O24" i="4" s="1"/>
  <c r="D23" i="4"/>
  <c r="E23" i="4" s="1"/>
  <c r="O23" i="4" s="1"/>
  <c r="D22" i="4"/>
  <c r="E22" i="4"/>
  <c r="O22" i="4" s="1"/>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29" i="37"/>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G52"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R21" i="18" l="1"/>
  <c r="F19" i="32"/>
  <c r="R26" i="33"/>
  <c r="T26" i="33" s="1"/>
  <c r="F25" i="34"/>
  <c r="G25" i="34" s="1"/>
  <c r="F21" i="34"/>
  <c r="H21" i="34" s="1"/>
  <c r="F28" i="32"/>
  <c r="F48" i="34"/>
  <c r="R42" i="33"/>
  <c r="T42" i="33" s="1"/>
  <c r="R34" i="33"/>
  <c r="S34" i="33" s="1"/>
  <c r="F48" i="35"/>
  <c r="H48" i="35" s="1"/>
  <c r="R28" i="18"/>
  <c r="S28" i="18" s="1"/>
  <c r="R34" i="31"/>
  <c r="S34" i="31" s="1"/>
  <c r="F32" i="35"/>
  <c r="H32" i="35" s="1"/>
  <c r="S36" i="35"/>
  <c r="R44" i="33"/>
  <c r="F45" i="34"/>
  <c r="F31" i="34"/>
  <c r="H88" i="31"/>
  <c r="R59" i="3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F34" i="18"/>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S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G58" i="37"/>
  <c r="T33" i="33"/>
  <c r="S33" i="33"/>
  <c r="T48" i="33"/>
  <c r="S48" i="33"/>
  <c r="S29" i="33"/>
  <c r="T29" i="33"/>
  <c r="G69" i="34"/>
  <c r="T45" i="33"/>
  <c r="T73" i="33"/>
  <c r="G33" i="35"/>
  <c r="T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H69" i="31"/>
  <c r="H92"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H36" i="31"/>
  <c r="G36" i="36"/>
  <c r="G19" i="37"/>
  <c r="I19" i="37" s="1"/>
  <c r="G96" i="37"/>
  <c r="H36" i="37"/>
  <c r="G35" i="37"/>
  <c r="H25" i="34"/>
  <c r="T57" i="31"/>
  <c r="S57" i="31"/>
  <c r="T48" i="18"/>
  <c r="S48" i="18"/>
  <c r="S33" i="31"/>
  <c r="T33" i="31"/>
  <c r="S31" i="31"/>
  <c r="T31" i="31"/>
  <c r="G93" i="34"/>
  <c r="H93" i="34"/>
  <c r="T59" i="31"/>
  <c r="S59" i="31"/>
  <c r="H81" i="34"/>
  <c r="S81" i="31"/>
  <c r="T81" i="31"/>
  <c r="H57" i="35"/>
  <c r="G57" i="35"/>
  <c r="G48"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H38" i="37"/>
  <c r="S91" i="35"/>
  <c r="S76" i="35"/>
  <c r="T73" i="35"/>
  <c r="S59" i="35"/>
  <c r="D40" i="38"/>
  <c r="H22" i="31"/>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H58" i="18"/>
  <c r="T86" i="35"/>
  <c r="S86" i="35"/>
  <c r="G28" i="18"/>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8" i="18"/>
  <c r="G98" i="18"/>
  <c r="G86" i="18"/>
  <c r="H34" i="18"/>
  <c r="G34" i="18"/>
  <c r="H99" i="18"/>
  <c r="G99" i="18"/>
  <c r="K9" i="40"/>
  <c r="K12" i="40"/>
  <c r="K10" i="40"/>
  <c r="G30" i="37"/>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3" i="33" l="1"/>
  <c r="G21" i="34"/>
  <c r="H20" i="35"/>
  <c r="J20" i="35" s="1"/>
  <c r="K20" i="35" s="1"/>
  <c r="E18" i="17"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I20" i="34" s="1"/>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G16" i="38" l="1"/>
  <c r="G17" i="38" s="1"/>
  <c r="G18" i="38" s="1"/>
  <c r="G19" i="38" s="1"/>
  <c r="G20" i="38" s="1"/>
  <c r="V20" i="18"/>
  <c r="W20" i="18" s="1"/>
  <c r="T18" i="17" s="1"/>
  <c r="I21" i="34"/>
  <c r="J21" i="34"/>
  <c r="L14" i="38" s="1"/>
  <c r="K13" i="38"/>
  <c r="K20" i="34"/>
  <c r="G18" i="17"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4" i="35" l="1"/>
  <c r="W24" i="35" s="1"/>
  <c r="V22" i="17" s="1"/>
  <c r="E12" i="28"/>
  <c r="M12" i="38"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E14" i="28"/>
  <c r="M14" i="38" s="1"/>
  <c r="I23" i="40"/>
  <c r="J23" i="40"/>
  <c r="K23" i="40" s="1"/>
  <c r="K21" i="17" s="1"/>
  <c r="V24" i="34"/>
  <c r="W24" i="34" s="1"/>
  <c r="X22" i="17" s="1"/>
  <c r="U24" i="34"/>
  <c r="J22" i="32"/>
  <c r="I22" i="32"/>
  <c r="V25" i="35"/>
  <c r="W25" i="35" s="1"/>
  <c r="V23" i="17" s="1"/>
  <c r="U25" i="35"/>
  <c r="I24" i="37"/>
  <c r="J24" i="37"/>
  <c r="K24" i="37" s="1"/>
  <c r="J22" i="17" s="1"/>
  <c r="J24" i="34" l="1"/>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J25" i="34" l="1"/>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AC60" i="17" s="1"/>
  <c r="AF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J64" i="34" l="1"/>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<sst xmlns="http://schemas.openxmlformats.org/spreadsheetml/2006/main" count="1446" uniqueCount="343">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</sst>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PP_Hitungan%20BaU-skenario-Rekap%20Emisi_200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Balikpapan</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7" t="s">
        <v>52</v>
      </c>
      <c r="C2" s="827"/>
      <c r="D2" s="827"/>
      <c r="E2" s="827"/>
      <c r="F2" s="827"/>
      <c r="G2" s="827"/>
      <c r="H2" s="827"/>
    </row>
    <row r="3" spans="1:35" ht="13.5" thickBot="1">
      <c r="B3" s="827"/>
      <c r="C3" s="827"/>
      <c r="D3" s="827"/>
      <c r="E3" s="827"/>
      <c r="F3" s="827"/>
      <c r="G3" s="827"/>
      <c r="H3" s="827"/>
    </row>
    <row r="4" spans="1:35" ht="13.5" thickBot="1">
      <c r="P4" s="831" t="s">
        <v>242</v>
      </c>
      <c r="Q4" s="832"/>
      <c r="R4" s="833" t="s">
        <v>243</v>
      </c>
      <c r="S4" s="834"/>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8" t="s">
        <v>47</v>
      </c>
      <c r="E5" s="829"/>
      <c r="F5" s="829"/>
      <c r="G5" s="830"/>
      <c r="H5" s="829" t="s">
        <v>57</v>
      </c>
      <c r="I5" s="829"/>
      <c r="J5" s="829"/>
      <c r="K5" s="830"/>
      <c r="L5" s="162"/>
      <c r="M5" s="162"/>
      <c r="N5" s="162"/>
      <c r="O5" s="202"/>
      <c r="P5" s="248" t="s">
        <v>116</v>
      </c>
      <c r="Q5" s="249" t="s">
        <v>113</v>
      </c>
      <c r="R5" s="248" t="s">
        <v>116</v>
      </c>
      <c r="S5" s="249" t="s">
        <v>113</v>
      </c>
      <c r="V5" s="403" t="s">
        <v>118</v>
      </c>
      <c r="W5" s="404">
        <v>3</v>
      </c>
      <c r="AF5" s="819" t="s">
        <v>126</v>
      </c>
      <c r="AG5" s="819" t="s">
        <v>129</v>
      </c>
      <c r="AH5" s="819" t="s">
        <v>154</v>
      </c>
      <c r="AI5"/>
    </row>
    <row r="6" spans="1:35" ht="13.5" thickBot="1">
      <c r="B6" s="205"/>
      <c r="C6" s="191"/>
      <c r="D6" s="824" t="s">
        <v>45</v>
      </c>
      <c r="E6" s="824"/>
      <c r="F6" s="824" t="s">
        <v>46</v>
      </c>
      <c r="G6" s="824"/>
      <c r="H6" s="824" t="s">
        <v>45</v>
      </c>
      <c r="I6" s="824"/>
      <c r="J6" s="824" t="s">
        <v>99</v>
      </c>
      <c r="K6" s="824"/>
      <c r="L6" s="162"/>
      <c r="M6" s="162"/>
      <c r="N6" s="162"/>
      <c r="O6" s="244" t="s">
        <v>6</v>
      </c>
      <c r="P6" s="201">
        <v>0.38</v>
      </c>
      <c r="Q6" s="203" t="s">
        <v>234</v>
      </c>
      <c r="R6" s="201">
        <v>0.15</v>
      </c>
      <c r="S6" s="203" t="s">
        <v>244</v>
      </c>
      <c r="W6" s="794" t="s">
        <v>125</v>
      </c>
      <c r="X6" s="826"/>
      <c r="Y6" s="826"/>
      <c r="Z6" s="826"/>
      <c r="AA6" s="826"/>
      <c r="AB6" s="826"/>
      <c r="AC6" s="826"/>
      <c r="AD6" s="826"/>
      <c r="AE6" s="826"/>
      <c r="AF6" s="820"/>
      <c r="AG6" s="820"/>
      <c r="AH6" s="820"/>
      <c r="AI6"/>
    </row>
    <row r="7" spans="1:35" ht="26.25" thickBot="1">
      <c r="B7" s="794" t="s">
        <v>133</v>
      </c>
      <c r="C7" s="82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21"/>
      <c r="AG7" s="821"/>
      <c r="AH7" s="821"/>
      <c r="AI7"/>
    </row>
    <row r="8" spans="1:35" ht="25.5" customHeight="1">
      <c r="B8" s="822"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3"/>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4" t="s">
        <v>264</v>
      </c>
      <c r="P13" s="845"/>
      <c r="Q13" s="845"/>
      <c r="R13" s="845"/>
      <c r="S13" s="846"/>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7" t="s">
        <v>70</v>
      </c>
      <c r="C26" s="837"/>
      <c r="D26" s="837"/>
      <c r="E26" s="837"/>
      <c r="F26" s="837"/>
      <c r="G26" s="837"/>
      <c r="H26" s="837"/>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8"/>
      <c r="C27" s="838"/>
      <c r="D27" s="838"/>
      <c r="E27" s="838"/>
      <c r="F27" s="838"/>
      <c r="G27" s="838"/>
      <c r="H27" s="838"/>
      <c r="O27" s="111"/>
      <c r="P27" s="515"/>
      <c r="Q27" s="111"/>
      <c r="R27" s="111"/>
      <c r="S27" s="111"/>
      <c r="U27" s="210"/>
      <c r="V27" s="212"/>
    </row>
    <row r="28" spans="1:35">
      <c r="B28" s="838"/>
      <c r="C28" s="838"/>
      <c r="D28" s="838"/>
      <c r="E28" s="838"/>
      <c r="F28" s="838"/>
      <c r="G28" s="838"/>
      <c r="H28" s="838"/>
      <c r="O28" s="111"/>
      <c r="P28" s="515"/>
      <c r="Q28" s="111"/>
      <c r="R28" s="111"/>
      <c r="S28" s="111"/>
      <c r="V28" s="212"/>
    </row>
    <row r="29" spans="1:35">
      <c r="B29" s="838"/>
      <c r="C29" s="838"/>
      <c r="D29" s="838"/>
      <c r="E29" s="838"/>
      <c r="F29" s="838"/>
      <c r="G29" s="838"/>
      <c r="H29" s="838"/>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8"/>
      <c r="C30" s="838"/>
      <c r="D30" s="838"/>
      <c r="E30" s="838"/>
      <c r="F30" s="838"/>
      <c r="G30" s="838"/>
      <c r="H30" s="838"/>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9" t="s">
        <v>75</v>
      </c>
      <c r="D38" s="830"/>
      <c r="O38" s="507"/>
      <c r="P38" s="508"/>
      <c r="Q38" s="509"/>
      <c r="R38" s="111"/>
    </row>
    <row r="39" spans="2:18">
      <c r="B39" s="169">
        <v>35</v>
      </c>
      <c r="C39" s="842">
        <f>LN(2)/B39</f>
        <v>1.980420515885558E-2</v>
      </c>
      <c r="D39" s="843"/>
    </row>
    <row r="40" spans="2:18" ht="27">
      <c r="B40" s="462" t="s">
        <v>76</v>
      </c>
      <c r="C40" s="840" t="s">
        <v>77</v>
      </c>
      <c r="D40" s="841"/>
    </row>
    <row r="41" spans="2:18" ht="13.5" thickBot="1">
      <c r="B41" s="170">
        <v>0.05</v>
      </c>
      <c r="C41" s="835">
        <f>LN(2)/B41</f>
        <v>13.862943611198904</v>
      </c>
      <c r="D41" s="8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0.123</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2.8000000000000001E-2</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2.8000000000000001E-2</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2.5000000000000001E-2</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2.5000000000000001E-2</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5.0000000000000001E-3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1"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8" t="s">
        <v>18</v>
      </c>
      <c r="D9" s="769"/>
      <c r="E9" s="775" t="s">
        <v>100</v>
      </c>
      <c r="F9" s="776"/>
      <c r="H9" s="768" t="s">
        <v>18</v>
      </c>
      <c r="I9" s="769"/>
      <c r="J9" s="775" t="s">
        <v>100</v>
      </c>
      <c r="K9" s="776"/>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3" t="s">
        <v>250</v>
      </c>
      <c r="D12" s="774"/>
      <c r="E12" s="773" t="s">
        <v>250</v>
      </c>
      <c r="F12" s="774"/>
      <c r="H12" s="773" t="s">
        <v>251</v>
      </c>
      <c r="I12" s="774"/>
      <c r="J12" s="773" t="s">
        <v>251</v>
      </c>
      <c r="K12" s="774"/>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v>0.123</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0.123</v>
      </c>
      <c r="Q15" s="61" t="s">
        <v>6</v>
      </c>
      <c r="R15" s="499">
        <f>IF(Select2=1,J15,0)</f>
        <v>0.15</v>
      </c>
    </row>
    <row r="16" spans="1:18">
      <c r="B16" s="8" t="str">
        <f>IF(Select2=1,"Paper/cardboard","Sewage sludge")</f>
        <v>Paper/cardboard</v>
      </c>
      <c r="C16" s="197" t="str">
        <f>INDEX(DOC_table,IF(Select2=1,2,13),2)</f>
        <v>0.40-0.50</v>
      </c>
      <c r="D16" s="48">
        <f>INDEX(DOC_table,IF(Select2=1,2,13),1)</f>
        <v>0.44</v>
      </c>
      <c r="E16" s="308">
        <v>2.8000000000000001E-2</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2.8000000000000001E-2</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v>2.5000000000000001E-2</v>
      </c>
      <c r="F17" s="288"/>
      <c r="H17" s="197" t="str">
        <f>INDEX(DOC_table,IF(Select2=1,3,15),4)</f>
        <v>0.18-0.22</v>
      </c>
      <c r="I17" s="48">
        <f>INDEX(DOC_table,IF(Select2=1,3,15),3)</f>
        <v>0.2</v>
      </c>
      <c r="J17" s="308">
        <f>I17</f>
        <v>0.2</v>
      </c>
      <c r="K17" s="288"/>
      <c r="L17" s="6"/>
      <c r="N17" s="524" t="s">
        <v>261</v>
      </c>
      <c r="O17" s="2">
        <f>IF(Select2=1,E17,E62)</f>
        <v>2.5000000000000001E-2</v>
      </c>
      <c r="Q17" s="524" t="s">
        <v>261</v>
      </c>
      <c r="R17" s="500">
        <f>IF(Select2=1,J17,J62)</f>
        <v>0.2</v>
      </c>
    </row>
    <row r="18" spans="2:18">
      <c r="B18" s="2" t="str">
        <f>IF(Select2=1,"Textiles","")</f>
        <v>Textiles</v>
      </c>
      <c r="C18" s="198" t="str">
        <f>IF(Select2=1,INDEX(DOC_table,4,2),"")</f>
        <v>0.25-0.50</v>
      </c>
      <c r="D18" s="19">
        <f>IF(Select2=1,INDEX(DOC_table,4,1),"")</f>
        <v>0.3</v>
      </c>
      <c r="E18" s="308">
        <v>5.0000000000000001E-3</v>
      </c>
      <c r="F18" s="288"/>
      <c r="H18" s="198" t="str">
        <f>IF(Select2=1,INDEX(DOC_table,4,4),"")</f>
        <v>0.20-0.40</v>
      </c>
      <c r="I18" s="19">
        <f>IF(Select2=1,INDEX(DOC_table,4,3),"")</f>
        <v>0.24</v>
      </c>
      <c r="J18" s="308">
        <f>I18</f>
        <v>0.24</v>
      </c>
      <c r="K18" s="288"/>
      <c r="L18" s="6"/>
      <c r="N18" s="2" t="s">
        <v>16</v>
      </c>
      <c r="O18" s="2">
        <f>IF(Select2=1,E18,0)</f>
        <v>5.0000000000000001E-3</v>
      </c>
      <c r="Q18" s="2" t="s">
        <v>16</v>
      </c>
      <c r="R18" s="500">
        <f>IF(Select2=1,J18,0)</f>
        <v>0.24</v>
      </c>
    </row>
    <row r="19" spans="2:18">
      <c r="B19" s="2" t="str">
        <f>IF(Select2=1,"Rubber and Leather","")</f>
        <v>Rubber and Leather</v>
      </c>
      <c r="C19" s="198" t="str">
        <f>IF(Select2=1,INDEX(DOC_table,5,2),"")</f>
        <v>0.47</v>
      </c>
      <c r="D19" s="19">
        <f>IF(Select2=1,INDEX(DOC_table,5,1),"")</f>
        <v>0.47</v>
      </c>
      <c r="E19" s="308">
        <v>1E-3</v>
      </c>
      <c r="F19" s="288"/>
      <c r="H19" s="198" t="str">
        <f>IF(Select2=1,INDEX(DOC_table,5,4),"")</f>
        <v>0.39</v>
      </c>
      <c r="I19" s="19">
        <f>IF(Select2=1,INDEX(DOC_table,5,3),"")</f>
        <v>0.39</v>
      </c>
      <c r="J19" s="308">
        <f t="shared" ref="J19:J25" si="0">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1E-3</v>
      </c>
      <c r="Q19" s="2" t="s">
        <v>229</v>
      </c>
      <c r="R19" s="500">
        <f>IF(Select2=1,J19,0)</f>
        <v>0.39</v>
      </c>
    </row>
    <row r="20" spans="2:18">
      <c r="B20" s="2" t="str">
        <f>IF(Select2=1,"Wood","")</f>
        <v>Wood</v>
      </c>
      <c r="C20" s="198" t="str">
        <f>IF(Select2=1,INDEX(DOC_table,6,2),"")</f>
        <v>0.46-0.54</v>
      </c>
      <c r="D20" s="19">
        <f>IF(Select2=1,INDEX(DOC_table,6,1),"")</f>
        <v>0.5</v>
      </c>
      <c r="E20" s="308">
        <v>2.5000000000000001E-2</v>
      </c>
      <c r="F20" s="288"/>
      <c r="H20" s="198" t="str">
        <f>IF(Select2=1,INDEX(DOC_table,6,4),"")</f>
        <v>0.39-0.46</v>
      </c>
      <c r="I20" s="19">
        <f>IF(Select2=1,INDEX(DOC_table,6,3),"")</f>
        <v>0.43</v>
      </c>
      <c r="J20" s="308">
        <f t="shared" si="0"/>
        <v>0.43</v>
      </c>
      <c r="K20" s="288"/>
      <c r="L20" s="681"/>
      <c r="N20" s="522" t="s">
        <v>2</v>
      </c>
      <c r="O20" s="2">
        <f>IF(Select2=1,E20,E64)</f>
        <v>2.5000000000000001E-2</v>
      </c>
      <c r="Q20" s="522" t="s">
        <v>2</v>
      </c>
      <c r="R20" s="500">
        <f>IF(Select2=1,J20,J64)</f>
        <v>0.43</v>
      </c>
    </row>
    <row r="21" spans="2:18">
      <c r="B21" s="2" t="str">
        <f>IF(Select2=1,"Nappies","")</f>
        <v>Nappies</v>
      </c>
      <c r="C21" s="198" t="str">
        <f>IF(Select2=1,INDEX(DOC_table,7,2),"")</f>
        <v>0.44-0.80</v>
      </c>
      <c r="D21" s="19">
        <f>IF(Select2=1,INDEX(DOC_table,7,1),"")</f>
        <v>0.6</v>
      </c>
      <c r="E21" s="308">
        <v>2.8000000000000001E-2</v>
      </c>
      <c r="F21" s="288"/>
      <c r="H21" s="198" t="str">
        <f>IF(Select2=1,INDEX(DOC_table,7,4),"")</f>
        <v>0.18-0.32</v>
      </c>
      <c r="I21" s="19">
        <f>IF(Select2=1,INDEX(DOC_table,7,3),"")</f>
        <v>0.24</v>
      </c>
      <c r="J21" s="308">
        <f t="shared" si="0"/>
        <v>0.24</v>
      </c>
      <c r="K21" s="288"/>
      <c r="L21" s="681"/>
      <c r="N21" s="522" t="s">
        <v>267</v>
      </c>
      <c r="O21" s="2">
        <f>IF(Select2=1,E21,0)</f>
        <v>2.8000000000000001E-2</v>
      </c>
      <c r="Q21" s="522" t="s">
        <v>267</v>
      </c>
      <c r="R21" s="500">
        <f>IF(Select2=1,J21,0)</f>
        <v>0.24</v>
      </c>
    </row>
    <row r="22" spans="2:18">
      <c r="B22" s="173" t="str">
        <f>IF(Select2=1,"Plastics","")</f>
        <v>Plastics</v>
      </c>
      <c r="C22" s="199">
        <f>IF(Select2=1,INDEX(DOC_table,9,2),"")</f>
        <v>0</v>
      </c>
      <c r="D22" s="234">
        <f>IF(Select2=1,INDEX(DOC_table,9,1),"")</f>
        <v>0</v>
      </c>
      <c r="E22" s="308">
        <f t="shared" ref="E22:E28" si="1">D22</f>
        <v>0</v>
      </c>
      <c r="F22" s="288"/>
      <c r="H22" s="199">
        <f>IF(Select2=1,INDEX(DOC_table,9,4),"")</f>
        <v>0</v>
      </c>
      <c r="I22" s="234">
        <f>IF(Select2=1,INDEX(DOC_table,9,3),"")</f>
        <v>0</v>
      </c>
      <c r="J22" s="308">
        <f t="shared" si="0"/>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1"/>
        <v>0</v>
      </c>
      <c r="F23" s="288"/>
      <c r="H23" s="199">
        <f>IF(Select2=1,INDEX(DOC_table,10,4),"")</f>
        <v>0</v>
      </c>
      <c r="I23" s="234">
        <f>IF(Select2=1,INDEX(DOC_table,10,3),"")</f>
        <v>0</v>
      </c>
      <c r="J23" s="308">
        <f t="shared" si="0"/>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1"/>
        <v>0</v>
      </c>
      <c r="F24" s="288"/>
      <c r="H24" s="199">
        <f>IF(Select2=1,INDEX(DOC_table,11,4),"")</f>
        <v>0</v>
      </c>
      <c r="I24" s="234">
        <f>IF(Select2=1,INDEX(DOC_table,11,3),"")</f>
        <v>0</v>
      </c>
      <c r="J24" s="308">
        <f t="shared" si="0"/>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1"/>
        <v>0</v>
      </c>
      <c r="F25" s="288"/>
      <c r="H25" s="199">
        <f>IF(Select2=1,INDEX(DOC_table,12,4),"")</f>
        <v>0</v>
      </c>
      <c r="I25" s="234">
        <f>IF(Select2=1,INDEX(DOC_table,12,3),"")</f>
        <v>0</v>
      </c>
      <c r="J25" s="308">
        <f t="shared" si="0"/>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si="1"/>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1"/>
        <v>0</v>
      </c>
      <c r="F28" s="679"/>
      <c r="H28" s="677" t="str">
        <f>IF(Select2=1,INDEX(DOC_table,15,4),"")</f>
        <v>0-0.54</v>
      </c>
      <c r="I28" s="678">
        <f>IF(Select2=1,INDEX(DOC_table,15,3),"")</f>
        <v>0.15</v>
      </c>
      <c r="J28" s="309">
        <f t="shared" ref="J28" si="2">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3">D34</f>
        <v>0.4</v>
      </c>
      <c r="F34" s="159"/>
      <c r="L34" s="447" t="str">
        <f>IF(Select2=1,"May include garden waste provided that a suitable value of DOC is used","")</f>
        <v>May include garden waste provided that a suitable value of DOC is used</v>
      </c>
      <c r="N34" s="61" t="s">
        <v>6</v>
      </c>
      <c r="O34" s="61">
        <f t="shared" ref="O34:O44" si="4">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3"/>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4"/>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3"/>
        <v>0.17</v>
      </c>
      <c r="F36" s="64"/>
      <c r="L36" s="6"/>
      <c r="N36" s="524" t="s">
        <v>261</v>
      </c>
      <c r="O36" s="2">
        <f t="shared" si="4"/>
        <v>0.17</v>
      </c>
    </row>
    <row r="37" spans="2:15">
      <c r="B37" s="2" t="str">
        <f>IF(Select2=1,"Textiles","")</f>
        <v>Textiles</v>
      </c>
      <c r="C37" s="198" t="str">
        <f>IF(Select2=1,INDEX(half_life,1,selected*2),"")</f>
        <v>0.06–0.085</v>
      </c>
      <c r="D37" s="97">
        <f>IF(Select2=1,INDEX(half_life,1,selected*2-1),"")</f>
        <v>7.0000000000000007E-2</v>
      </c>
      <c r="E37" s="730">
        <f t="shared" si="3"/>
        <v>7.0000000000000007E-2</v>
      </c>
      <c r="F37" s="64"/>
      <c r="L37" s="6"/>
      <c r="N37" s="2" t="s">
        <v>16</v>
      </c>
      <c r="O37" s="2">
        <f t="shared" si="4"/>
        <v>7.0000000000000007E-2</v>
      </c>
    </row>
    <row r="38" spans="2:15">
      <c r="B38" s="2" t="str">
        <f>IF(Select2=1,"Rubber and Leather","")</f>
        <v>Rubber and Leather</v>
      </c>
      <c r="C38" s="198" t="str">
        <f>IF(Select2=1,INDEX(half_life,2,selected*2),"")</f>
        <v>0.03–0.05</v>
      </c>
      <c r="D38" s="97">
        <f>IF(Select2=1,INDEX(half_life,2,selected*2-1),"")</f>
        <v>3.5000000000000003E-2</v>
      </c>
      <c r="E38" s="731">
        <f t="shared" si="3"/>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4"/>
        <v>3.5000000000000003E-2</v>
      </c>
    </row>
    <row r="39" spans="2:15">
      <c r="B39" s="2" t="str">
        <f>IF(Select2=1,"Wood","")</f>
        <v>Wood</v>
      </c>
      <c r="C39" s="198" t="str">
        <f>IF(Select2=1,INDEX(half_life,2,selected*2),"")</f>
        <v>0.03–0.05</v>
      </c>
      <c r="D39" s="97">
        <f>IF(Select2=1,INDEX(half_life,2,selected*2-1),"")</f>
        <v>3.5000000000000003E-2</v>
      </c>
      <c r="E39" s="731">
        <f t="shared" si="3"/>
        <v>3.5000000000000003E-2</v>
      </c>
      <c r="F39" s="288"/>
      <c r="N39" s="522" t="s">
        <v>2</v>
      </c>
      <c r="O39" s="2">
        <f t="shared" si="4"/>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4"/>
        <v>0.17</v>
      </c>
    </row>
    <row r="41" spans="2:15">
      <c r="B41" s="173" t="str">
        <f>IF(Select2=1,"Plastics","")</f>
        <v>Plastics</v>
      </c>
      <c r="C41" s="198">
        <f t="shared" ref="C41:D44" si="5">IF(Select2=1,0,"")</f>
        <v>0</v>
      </c>
      <c r="D41" s="554">
        <f t="shared" si="5"/>
        <v>0</v>
      </c>
      <c r="E41" s="731">
        <f>D41</f>
        <v>0</v>
      </c>
      <c r="F41" s="288"/>
      <c r="N41" s="173" t="s">
        <v>230</v>
      </c>
      <c r="O41" s="2">
        <f t="shared" si="4"/>
        <v>0</v>
      </c>
    </row>
    <row r="42" spans="2:15">
      <c r="B42" s="173" t="str">
        <f>IF(Select2=1,"Metal","")</f>
        <v>Metal</v>
      </c>
      <c r="C42" s="198">
        <f t="shared" si="5"/>
        <v>0</v>
      </c>
      <c r="D42" s="554">
        <f t="shared" si="5"/>
        <v>0</v>
      </c>
      <c r="E42" s="731">
        <f>D42</f>
        <v>0</v>
      </c>
      <c r="F42" s="288"/>
      <c r="N42" s="173" t="s">
        <v>231</v>
      </c>
      <c r="O42" s="2">
        <f t="shared" si="4"/>
        <v>0</v>
      </c>
    </row>
    <row r="43" spans="2:15">
      <c r="B43" s="173" t="str">
        <f>IF(Select2=1,"Glass","")</f>
        <v>Glass</v>
      </c>
      <c r="C43" s="198">
        <f t="shared" si="5"/>
        <v>0</v>
      </c>
      <c r="D43" s="554">
        <f t="shared" si="5"/>
        <v>0</v>
      </c>
      <c r="E43" s="731">
        <f>D43</f>
        <v>0</v>
      </c>
      <c r="F43" s="288"/>
      <c r="N43" s="173" t="s">
        <v>232</v>
      </c>
      <c r="O43" s="2">
        <f t="shared" si="4"/>
        <v>0</v>
      </c>
    </row>
    <row r="44" spans="2:15">
      <c r="B44" s="173" t="str">
        <f>IF(Select2=1,"Other","")</f>
        <v>Other</v>
      </c>
      <c r="C44" s="198">
        <f t="shared" si="5"/>
        <v>0</v>
      </c>
      <c r="D44" s="554">
        <f t="shared" si="5"/>
        <v>0</v>
      </c>
      <c r="E44" s="731">
        <f>D44</f>
        <v>0</v>
      </c>
      <c r="F44" s="288"/>
      <c r="N44" s="173" t="s">
        <v>233</v>
      </c>
      <c r="O44" s="2">
        <f t="shared" si="4"/>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6">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70" t="s">
        <v>250</v>
      </c>
      <c r="E61" s="771"/>
      <c r="F61" s="772"/>
      <c r="H61" s="59"/>
      <c r="I61" s="770" t="s">
        <v>251</v>
      </c>
      <c r="J61" s="771"/>
      <c r="K61" s="772"/>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57" t="s">
        <v>317</v>
      </c>
      <c r="C71" s="757"/>
      <c r="D71" s="758" t="s">
        <v>318</v>
      </c>
      <c r="E71" s="758"/>
      <c r="F71" s="758"/>
      <c r="G71" s="758"/>
      <c r="H71" s="758"/>
    </row>
    <row r="72" spans="2:8">
      <c r="B72" s="757" t="s">
        <v>319</v>
      </c>
      <c r="C72" s="757"/>
      <c r="D72" s="758" t="s">
        <v>320</v>
      </c>
      <c r="E72" s="758"/>
      <c r="F72" s="758"/>
      <c r="G72" s="758"/>
      <c r="H72" s="758"/>
    </row>
    <row r="73" spans="2:8">
      <c r="B73" s="757" t="s">
        <v>321</v>
      </c>
      <c r="C73" s="757"/>
      <c r="D73" s="758" t="s">
        <v>322</v>
      </c>
      <c r="E73" s="758"/>
      <c r="F73" s="758"/>
      <c r="G73" s="758"/>
      <c r="H73" s="758"/>
    </row>
    <row r="74" spans="2:8">
      <c r="B74" s="757" t="s">
        <v>323</v>
      </c>
      <c r="C74" s="757"/>
      <c r="D74" s="758" t="s">
        <v>324</v>
      </c>
      <c r="E74" s="758"/>
      <c r="F74" s="758"/>
      <c r="G74" s="758"/>
      <c r="H74" s="758"/>
    </row>
    <row r="75" spans="2:8">
      <c r="B75" s="711"/>
      <c r="C75" s="712"/>
      <c r="D75" s="712"/>
      <c r="E75" s="712"/>
      <c r="F75" s="712"/>
      <c r="G75" s="712"/>
      <c r="H75" s="712"/>
    </row>
    <row r="76" spans="2:8">
      <c r="B76" s="714"/>
      <c r="C76" s="715" t="s">
        <v>325</v>
      </c>
      <c r="D76" s="716" t="s">
        <v>87</v>
      </c>
      <c r="E76" s="716" t="s">
        <v>88</v>
      </c>
    </row>
    <row r="77" spans="2:8">
      <c r="B77" s="759" t="s">
        <v>133</v>
      </c>
      <c r="C77" s="717" t="s">
        <v>326</v>
      </c>
      <c r="D77" s="718" t="s">
        <v>327</v>
      </c>
      <c r="E77" s="718" t="s">
        <v>9</v>
      </c>
      <c r="F77" s="616"/>
      <c r="G77" s="697"/>
      <c r="H77" s="6"/>
    </row>
    <row r="78" spans="2:8">
      <c r="B78" s="760"/>
      <c r="C78" s="719"/>
      <c r="D78" s="720"/>
      <c r="E78" s="721"/>
      <c r="F78" s="6"/>
      <c r="G78" s="616"/>
      <c r="H78" s="6"/>
    </row>
    <row r="79" spans="2:8">
      <c r="B79" s="760"/>
      <c r="C79" s="719"/>
      <c r="D79" s="720"/>
      <c r="E79" s="721"/>
      <c r="F79" s="6"/>
      <c r="G79" s="616"/>
      <c r="H79" s="6"/>
    </row>
    <row r="80" spans="2:8">
      <c r="B80" s="760"/>
      <c r="C80" s="719"/>
      <c r="D80" s="720"/>
      <c r="E80" s="721"/>
      <c r="F80" s="6"/>
      <c r="G80" s="616"/>
      <c r="H80" s="6"/>
    </row>
    <row r="81" spans="2:8">
      <c r="B81" s="760"/>
      <c r="C81" s="719"/>
      <c r="D81" s="720"/>
      <c r="E81" s="721"/>
      <c r="F81" s="6"/>
      <c r="G81" s="616"/>
      <c r="H81" s="6"/>
    </row>
    <row r="82" spans="2:8">
      <c r="B82" s="760"/>
      <c r="C82" s="719"/>
      <c r="D82" s="720" t="s">
        <v>328</v>
      </c>
      <c r="E82" s="721"/>
      <c r="F82" s="6"/>
      <c r="G82" s="616"/>
      <c r="H82" s="6"/>
    </row>
    <row r="83" spans="2:8" ht="13.5" thickBot="1">
      <c r="B83" s="761"/>
      <c r="C83" s="722"/>
      <c r="D83" s="722"/>
      <c r="E83" s="723" t="s">
        <v>329</v>
      </c>
      <c r="F83" s="6"/>
      <c r="G83" s="6"/>
      <c r="H83" s="6"/>
    </row>
    <row r="84" spans="2:8" ht="13.5" thickTop="1">
      <c r="B84" s="714"/>
      <c r="C84" s="721"/>
      <c r="D84" s="714"/>
      <c r="E84" s="724"/>
      <c r="F84" s="6"/>
      <c r="G84" s="6"/>
      <c r="H84" s="6"/>
    </row>
    <row r="85" spans="2:8">
      <c r="B85" s="753" t="s">
        <v>330</v>
      </c>
      <c r="C85" s="754"/>
      <c r="D85" s="754"/>
      <c r="E85" s="755"/>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7">C87*D87</f>
        <v>4.1680000000000002E-2</v>
      </c>
      <c r="F87" s="6"/>
      <c r="G87" s="6"/>
      <c r="H87" s="6"/>
    </row>
    <row r="88" spans="2:8">
      <c r="B88" s="725" t="s">
        <v>2</v>
      </c>
      <c r="C88" s="726">
        <v>0</v>
      </c>
      <c r="D88" s="727">
        <v>0.43</v>
      </c>
      <c r="E88" s="727">
        <f t="shared" si="7"/>
        <v>0</v>
      </c>
      <c r="F88" s="6"/>
      <c r="G88" s="6"/>
      <c r="H88" s="6"/>
    </row>
    <row r="89" spans="2:8">
      <c r="B89" s="725" t="s">
        <v>16</v>
      </c>
      <c r="C89" s="726">
        <v>0</v>
      </c>
      <c r="D89" s="727">
        <v>0.24</v>
      </c>
      <c r="E89" s="727">
        <f t="shared" si="7"/>
        <v>0</v>
      </c>
      <c r="F89" s="6"/>
      <c r="G89" s="6"/>
      <c r="H89" s="6"/>
    </row>
    <row r="90" spans="2:8">
      <c r="B90" s="725" t="s">
        <v>331</v>
      </c>
      <c r="C90" s="726">
        <v>0</v>
      </c>
      <c r="D90" s="727">
        <v>0.39</v>
      </c>
      <c r="E90" s="727">
        <f t="shared" si="7"/>
        <v>0</v>
      </c>
    </row>
    <row r="91" spans="2:8">
      <c r="B91" s="725" t="s">
        <v>332</v>
      </c>
      <c r="C91" s="726">
        <v>1.4500000000000001E-2</v>
      </c>
      <c r="D91" s="727">
        <v>0</v>
      </c>
      <c r="E91" s="727">
        <f t="shared" si="7"/>
        <v>0</v>
      </c>
    </row>
    <row r="92" spans="2:8">
      <c r="B92" s="725" t="s">
        <v>231</v>
      </c>
      <c r="C92" s="726">
        <v>9.7600000000000006E-2</v>
      </c>
      <c r="D92" s="727">
        <v>0</v>
      </c>
      <c r="E92" s="727">
        <f t="shared" si="7"/>
        <v>0</v>
      </c>
    </row>
    <row r="93" spans="2:8">
      <c r="B93" s="725" t="s">
        <v>232</v>
      </c>
      <c r="C93" s="726">
        <v>1.7000000000000001E-2</v>
      </c>
      <c r="D93" s="727">
        <v>0</v>
      </c>
      <c r="E93" s="727">
        <f t="shared" si="7"/>
        <v>0</v>
      </c>
    </row>
    <row r="94" spans="2:8">
      <c r="B94" s="725" t="s">
        <v>233</v>
      </c>
      <c r="C94" s="726">
        <f>(0.95+12.16)/100</f>
        <v>0.13109999999999999</v>
      </c>
      <c r="D94" s="727">
        <v>0</v>
      </c>
      <c r="E94" s="727">
        <f t="shared" si="7"/>
        <v>0</v>
      </c>
    </row>
    <row r="95" spans="2:8">
      <c r="B95" s="756" t="s">
        <v>333</v>
      </c>
      <c r="C95" s="756"/>
      <c r="D95" s="756"/>
      <c r="E95" s="728">
        <f>SUM(E86:E94)</f>
        <v>0.13702</v>
      </c>
    </row>
    <row r="96" spans="2:8">
      <c r="B96" s="753" t="s">
        <v>334</v>
      </c>
      <c r="C96" s="754"/>
      <c r="D96" s="754"/>
      <c r="E96" s="755"/>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8">C98*D98</f>
        <v>3.4279999999999998E-2</v>
      </c>
    </row>
    <row r="99" spans="2:5">
      <c r="B99" s="725" t="s">
        <v>2</v>
      </c>
      <c r="C99" s="726">
        <f>0.75/100</f>
        <v>7.4999999999999997E-3</v>
      </c>
      <c r="D99" s="727">
        <v>0.43</v>
      </c>
      <c r="E99" s="727">
        <f t="shared" si="8"/>
        <v>3.225E-3</v>
      </c>
    </row>
    <row r="100" spans="2:5">
      <c r="B100" s="725" t="s">
        <v>16</v>
      </c>
      <c r="C100" s="726">
        <f>0.79/100</f>
        <v>7.9000000000000008E-3</v>
      </c>
      <c r="D100" s="727">
        <v>0.24</v>
      </c>
      <c r="E100" s="727">
        <f t="shared" si="8"/>
        <v>1.8960000000000001E-3</v>
      </c>
    </row>
    <row r="101" spans="2:5">
      <c r="B101" s="725" t="s">
        <v>331</v>
      </c>
      <c r="C101" s="726">
        <f>0.35/100</f>
        <v>3.4999999999999996E-3</v>
      </c>
      <c r="D101" s="727">
        <v>0.39</v>
      </c>
      <c r="E101" s="727">
        <f t="shared" si="8"/>
        <v>1.3649999999999999E-3</v>
      </c>
    </row>
    <row r="102" spans="2:5">
      <c r="B102" s="725" t="s">
        <v>332</v>
      </c>
      <c r="C102" s="726">
        <f>6.51/100</f>
        <v>6.5099999999999991E-2</v>
      </c>
      <c r="D102" s="727">
        <v>0</v>
      </c>
      <c r="E102" s="727">
        <f t="shared" si="8"/>
        <v>0</v>
      </c>
    </row>
    <row r="103" spans="2:5">
      <c r="B103" s="725" t="s">
        <v>231</v>
      </c>
      <c r="C103" s="726">
        <f>1.45/100</f>
        <v>1.4499999999999999E-2</v>
      </c>
      <c r="D103" s="727">
        <v>0</v>
      </c>
      <c r="E103" s="727">
        <f t="shared" si="8"/>
        <v>0</v>
      </c>
    </row>
    <row r="104" spans="2:5">
      <c r="B104" s="725" t="s">
        <v>232</v>
      </c>
      <c r="C104" s="726">
        <f>1.54/100</f>
        <v>1.54E-2</v>
      </c>
      <c r="D104" s="727">
        <v>0</v>
      </c>
      <c r="E104" s="727">
        <f t="shared" si="8"/>
        <v>0</v>
      </c>
    </row>
    <row r="105" spans="2:5">
      <c r="B105" s="725" t="s">
        <v>233</v>
      </c>
      <c r="C105" s="726">
        <f>0.67/100</f>
        <v>6.7000000000000002E-3</v>
      </c>
      <c r="D105" s="727">
        <v>0</v>
      </c>
      <c r="E105" s="727">
        <f t="shared" si="8"/>
        <v>0</v>
      </c>
    </row>
    <row r="106" spans="2:5">
      <c r="B106" s="756" t="s">
        <v>333</v>
      </c>
      <c r="C106" s="756"/>
      <c r="D106" s="756"/>
      <c r="E106" s="728">
        <f>SUM(E97:E105)</f>
        <v>0.15982100000000002</v>
      </c>
    </row>
    <row r="107" spans="2:5">
      <c r="B107" s="753" t="s">
        <v>335</v>
      </c>
      <c r="C107" s="754"/>
      <c r="D107" s="754"/>
      <c r="E107" s="755"/>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9">C109*D109</f>
        <v>5.1400000000000001E-2</v>
      </c>
    </row>
    <row r="110" spans="2:5">
      <c r="B110" s="725" t="s">
        <v>2</v>
      </c>
      <c r="C110" s="726">
        <v>0</v>
      </c>
      <c r="D110" s="727">
        <v>0.43</v>
      </c>
      <c r="E110" s="727">
        <f t="shared" si="9"/>
        <v>0</v>
      </c>
    </row>
    <row r="111" spans="2:5">
      <c r="B111" s="725" t="s">
        <v>16</v>
      </c>
      <c r="C111" s="726">
        <f>0.81/100</f>
        <v>8.1000000000000013E-3</v>
      </c>
      <c r="D111" s="727">
        <v>0.24</v>
      </c>
      <c r="E111" s="727">
        <f t="shared" si="9"/>
        <v>1.9440000000000002E-3</v>
      </c>
    </row>
    <row r="112" spans="2:5">
      <c r="B112" s="725" t="s">
        <v>331</v>
      </c>
      <c r="C112" s="726">
        <v>0</v>
      </c>
      <c r="D112" s="727">
        <v>0.39</v>
      </c>
      <c r="E112" s="727">
        <f t="shared" si="9"/>
        <v>0</v>
      </c>
    </row>
    <row r="113" spans="2:5">
      <c r="B113" s="725" t="s">
        <v>332</v>
      </c>
      <c r="C113" s="726">
        <f>10.71/100</f>
        <v>0.10710000000000001</v>
      </c>
      <c r="D113" s="727">
        <v>0</v>
      </c>
      <c r="E113" s="727">
        <f t="shared" si="9"/>
        <v>0</v>
      </c>
    </row>
    <row r="114" spans="2:5">
      <c r="B114" s="725" t="s">
        <v>231</v>
      </c>
      <c r="C114" s="726">
        <f>1.77/100</f>
        <v>1.77E-2</v>
      </c>
      <c r="D114" s="727">
        <v>0</v>
      </c>
      <c r="E114" s="727">
        <f t="shared" si="9"/>
        <v>0</v>
      </c>
    </row>
    <row r="115" spans="2:5">
      <c r="B115" s="725" t="s">
        <v>232</v>
      </c>
      <c r="C115" s="726">
        <f>1.33/100</f>
        <v>1.3300000000000001E-2</v>
      </c>
      <c r="D115" s="727">
        <v>0</v>
      </c>
      <c r="E115" s="727">
        <f t="shared" si="9"/>
        <v>0</v>
      </c>
    </row>
    <row r="116" spans="2:5">
      <c r="B116" s="725" t="s">
        <v>233</v>
      </c>
      <c r="C116" s="726">
        <f>6.21/100</f>
        <v>6.2100000000000002E-2</v>
      </c>
      <c r="D116" s="727">
        <v>0</v>
      </c>
      <c r="E116" s="727">
        <f t="shared" si="9"/>
        <v>0</v>
      </c>
    </row>
    <row r="117" spans="2:5">
      <c r="B117" s="756" t="s">
        <v>333</v>
      </c>
      <c r="C117" s="756"/>
      <c r="D117" s="756"/>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E15:E28 J15:J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4" t="s">
        <v>41</v>
      </c>
      <c r="F9" s="795"/>
      <c r="G9" s="795"/>
      <c r="H9" s="795"/>
      <c r="I9" s="795"/>
      <c r="J9" s="795"/>
      <c r="K9" s="795"/>
      <c r="L9" s="795"/>
      <c r="M9" s="795"/>
      <c r="N9" s="795"/>
      <c r="O9" s="795"/>
      <c r="P9" s="95"/>
      <c r="AC9" t="s">
        <v>232</v>
      </c>
      <c r="AD9" s="737">
        <v>1.3300000000000001E-2</v>
      </c>
    </row>
    <row r="10" spans="2:30" ht="21.75" customHeight="1" thickBot="1">
      <c r="B10" s="792" t="s">
        <v>1</v>
      </c>
      <c r="C10" s="792" t="s">
        <v>33</v>
      </c>
      <c r="D10" s="792" t="s">
        <v>40</v>
      </c>
      <c r="E10" s="792" t="s">
        <v>228</v>
      </c>
      <c r="F10" s="792" t="s">
        <v>271</v>
      </c>
      <c r="G10" s="796" t="s">
        <v>267</v>
      </c>
      <c r="H10" s="792" t="s">
        <v>270</v>
      </c>
      <c r="I10" s="796" t="s">
        <v>2</v>
      </c>
      <c r="J10" s="792" t="s">
        <v>16</v>
      </c>
      <c r="K10" s="796" t="s">
        <v>229</v>
      </c>
      <c r="L10" s="781" t="s">
        <v>273</v>
      </c>
      <c r="M10" s="782"/>
      <c r="N10" s="782"/>
      <c r="O10" s="783"/>
      <c r="P10" s="792" t="s">
        <v>27</v>
      </c>
      <c r="AC10" t="s">
        <v>233</v>
      </c>
      <c r="AD10" s="737">
        <v>6.2100000000000002E-2</v>
      </c>
    </row>
    <row r="11" spans="2:30" s="51" customFormat="1" ht="42" customHeight="1" thickBot="1">
      <c r="B11" s="793"/>
      <c r="C11" s="793"/>
      <c r="D11" s="793"/>
      <c r="E11" s="793"/>
      <c r="F11" s="793"/>
      <c r="G11" s="797"/>
      <c r="H11" s="793"/>
      <c r="I11" s="797"/>
      <c r="J11" s="793"/>
      <c r="K11" s="797"/>
      <c r="L11" s="490" t="s">
        <v>230</v>
      </c>
      <c r="M11" s="490" t="s">
        <v>231</v>
      </c>
      <c r="N11" s="490" t="s">
        <v>232</v>
      </c>
      <c r="O11" s="490" t="s">
        <v>233</v>
      </c>
      <c r="P11" s="793"/>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Balikpapan</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Balikpapan</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2017-09-14T05:06:27Z</dcterms:modified>
</cp:coreProperties>
</file>