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Z_GELAMAI\8_RAD GRK Revisi\Perhitungan BAU Baseline dan Mitigasi_Hitung Ulang\Limbah\Hitungan Limbah_Historis_IW\Kukar\"/>
    </mc:Choice>
  </mc:AlternateContent>
  <bookViews>
    <workbookView xWindow="360" yWindow="45" windowWidth="21015" windowHeight="9975" tabRatio="843" activeTab="4"/>
  </bookViews>
  <sheets>
    <sheet name="timbulan sampah" sheetId="4" r:id="rId1"/>
    <sheet name="Fraksi pengelolaan sampah BaU" sheetId="1" r:id="rId2"/>
    <sheet name="Frksi pengelolaan smph Mitigasi" sheetId="2" state="hidden" r:id="rId3"/>
    <sheet name="Rekapitulasi BaU Emisi GRK" sheetId="3" r:id="rId4"/>
    <sheet name="Rekap Emisi GRK dari Sawit" sheetId="6" r:id="rId5"/>
    <sheet name="Rekaptlasi Mitigasi Emisi GRK" sheetId="5" state="hidden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52511"/>
</workbook>
</file>

<file path=xl/calcChain.xml><?xml version="1.0" encoding="utf-8"?>
<calcChain xmlns="http://schemas.openxmlformats.org/spreadsheetml/2006/main">
  <c r="C25" i="1" l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6" i="6" l="1"/>
  <c r="C7" i="6"/>
  <c r="C8" i="6"/>
  <c r="C9" i="6"/>
  <c r="C10" i="6"/>
  <c r="C11" i="6"/>
  <c r="C12" i="6"/>
  <c r="C13" i="6"/>
  <c r="C14" i="6"/>
  <c r="C15" i="6"/>
  <c r="C5" i="6"/>
  <c r="D15" i="6" l="1"/>
  <c r="D14" i="6"/>
  <c r="D13" i="6"/>
  <c r="D12" i="6"/>
  <c r="D11" i="6"/>
  <c r="D10" i="6"/>
  <c r="D9" i="6"/>
  <c r="D8" i="6"/>
  <c r="D7" i="6"/>
  <c r="D6" i="6"/>
  <c r="D5" i="6"/>
  <c r="D82" i="3" l="1"/>
  <c r="D83" i="3"/>
  <c r="D84" i="3"/>
  <c r="D85" i="3"/>
  <c r="D86" i="3"/>
  <c r="D87" i="3"/>
  <c r="D88" i="3"/>
  <c r="D89" i="3"/>
  <c r="D90" i="3"/>
  <c r="D91" i="3"/>
  <c r="D81" i="3"/>
  <c r="B82" i="3"/>
  <c r="B83" i="3"/>
  <c r="B84" i="3"/>
  <c r="B85" i="3"/>
  <c r="B86" i="3"/>
  <c r="B87" i="3"/>
  <c r="B88" i="3"/>
  <c r="B89" i="3"/>
  <c r="B90" i="3"/>
  <c r="B91" i="3"/>
  <c r="B81" i="3"/>
  <c r="D53" i="3"/>
  <c r="D54" i="3"/>
  <c r="D55" i="3"/>
  <c r="D56" i="3"/>
  <c r="D57" i="3"/>
  <c r="D58" i="3"/>
  <c r="D59" i="3"/>
  <c r="D60" i="3"/>
  <c r="D61" i="3"/>
  <c r="D62" i="3"/>
  <c r="D52" i="3"/>
  <c r="B53" i="3"/>
  <c r="B54" i="3"/>
  <c r="B55" i="3"/>
  <c r="B56" i="3"/>
  <c r="B57" i="3"/>
  <c r="B58" i="3"/>
  <c r="B59" i="3"/>
  <c r="B60" i="3"/>
  <c r="B61" i="3"/>
  <c r="B62" i="3"/>
  <c r="B52" i="3"/>
  <c r="D27" i="3"/>
  <c r="D28" i="3"/>
  <c r="D29" i="3"/>
  <c r="D30" i="3"/>
  <c r="D31" i="3"/>
  <c r="D32" i="3"/>
  <c r="D33" i="3"/>
  <c r="D34" i="3"/>
  <c r="D35" i="3"/>
  <c r="D36" i="3"/>
  <c r="D26" i="3"/>
  <c r="B27" i="3"/>
  <c r="B28" i="3"/>
  <c r="B29" i="3"/>
  <c r="B30" i="3"/>
  <c r="B31" i="3"/>
  <c r="B32" i="3"/>
  <c r="B33" i="3"/>
  <c r="B34" i="3"/>
  <c r="B35" i="3"/>
  <c r="B36" i="3"/>
  <c r="B26" i="3"/>
  <c r="Q10" i="3"/>
  <c r="Q11" i="3"/>
  <c r="Q12" i="3"/>
  <c r="Q13" i="3"/>
  <c r="Q14" i="3"/>
  <c r="Q15" i="3"/>
  <c r="Q16" i="3"/>
  <c r="Q17" i="3"/>
  <c r="Q18" i="3"/>
  <c r="Q19" i="3"/>
  <c r="Q9" i="3"/>
  <c r="L10" i="3"/>
  <c r="L11" i="3"/>
  <c r="L12" i="3"/>
  <c r="L13" i="3"/>
  <c r="L14" i="3"/>
  <c r="L15" i="3"/>
  <c r="L16" i="3"/>
  <c r="L17" i="3"/>
  <c r="L18" i="3"/>
  <c r="L19" i="3"/>
  <c r="L9" i="3"/>
  <c r="B10" i="3"/>
  <c r="B11" i="3"/>
  <c r="B12" i="3"/>
  <c r="B13" i="3"/>
  <c r="B14" i="3"/>
  <c r="B15" i="3"/>
  <c r="B16" i="3"/>
  <c r="B17" i="3"/>
  <c r="B18" i="3"/>
  <c r="B19" i="3"/>
  <c r="B9" i="3"/>
  <c r="F53" i="5" l="1"/>
  <c r="F52" i="5"/>
  <c r="F51" i="5"/>
  <c r="F50" i="5"/>
  <c r="F49" i="5"/>
  <c r="F48" i="5"/>
  <c r="F47" i="5"/>
  <c r="F46" i="5"/>
  <c r="F45" i="5"/>
  <c r="F44" i="5"/>
  <c r="F43" i="5"/>
  <c r="D101" i="3"/>
  <c r="B101" i="3"/>
  <c r="D100" i="3"/>
  <c r="B100" i="3"/>
  <c r="D99" i="3"/>
  <c r="B99" i="3"/>
  <c r="D98" i="3"/>
  <c r="B98" i="3"/>
  <c r="D97" i="3"/>
  <c r="B97" i="3"/>
  <c r="D96" i="3"/>
  <c r="B96" i="3"/>
  <c r="D95" i="3"/>
  <c r="B95" i="3"/>
  <c r="D94" i="3"/>
  <c r="B94" i="3"/>
  <c r="D93" i="3"/>
  <c r="B93" i="3"/>
  <c r="D92" i="3"/>
  <c r="B92" i="3"/>
  <c r="E82" i="3" l="1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81" i="3"/>
  <c r="F98" i="3" l="1"/>
  <c r="F89" i="3"/>
  <c r="G89" i="3" s="1"/>
  <c r="F88" i="3"/>
  <c r="G88" i="3" s="1"/>
  <c r="F87" i="3"/>
  <c r="G87" i="3" s="1"/>
  <c r="F86" i="3"/>
  <c r="G86" i="3" s="1"/>
  <c r="F97" i="3"/>
  <c r="F96" i="3"/>
  <c r="F95" i="3"/>
  <c r="F101" i="3"/>
  <c r="F93" i="3"/>
  <c r="F100" i="3"/>
  <c r="F92" i="3"/>
  <c r="F94" i="3"/>
  <c r="F99" i="3"/>
  <c r="F85" i="3"/>
  <c r="G85" i="3" s="1"/>
  <c r="F84" i="3"/>
  <c r="G84" i="3" s="1"/>
  <c r="F83" i="3"/>
  <c r="G83" i="3" s="1"/>
  <c r="F90" i="3"/>
  <c r="G90" i="3" s="1"/>
  <c r="F82" i="3"/>
  <c r="G82" i="3" s="1"/>
  <c r="F91" i="3"/>
  <c r="G91" i="3" s="1"/>
  <c r="F81" i="3"/>
  <c r="G81" i="3" s="1"/>
  <c r="E53" i="3" l="1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C54" i="3"/>
  <c r="C55" i="3"/>
  <c r="C56" i="3"/>
  <c r="C57" i="3"/>
  <c r="C58" i="3"/>
  <c r="C59" i="3"/>
  <c r="C60" i="3"/>
  <c r="C61" i="3"/>
  <c r="C62" i="3"/>
  <c r="C63" i="3"/>
  <c r="F63" i="3" s="1"/>
  <c r="C64" i="3"/>
  <c r="F64" i="3" s="1"/>
  <c r="C65" i="3"/>
  <c r="C66" i="3"/>
  <c r="C67" i="3"/>
  <c r="C68" i="3"/>
  <c r="F68" i="3" s="1"/>
  <c r="C69" i="3"/>
  <c r="F69" i="3" s="1"/>
  <c r="C70" i="3"/>
  <c r="F70" i="3" s="1"/>
  <c r="C71" i="3"/>
  <c r="F71" i="3" s="1"/>
  <c r="C72" i="3"/>
  <c r="F72" i="3" s="1"/>
  <c r="C37" i="3"/>
  <c r="E37" i="3"/>
  <c r="C38" i="3"/>
  <c r="E38" i="3"/>
  <c r="C39" i="3"/>
  <c r="E39" i="3"/>
  <c r="F39" i="3" s="1"/>
  <c r="C40" i="3"/>
  <c r="E40" i="3"/>
  <c r="F40" i="3" s="1"/>
  <c r="C41" i="3"/>
  <c r="E41" i="3"/>
  <c r="C42" i="3"/>
  <c r="E42" i="3"/>
  <c r="C43" i="3"/>
  <c r="E43" i="3"/>
  <c r="F43" i="3" s="1"/>
  <c r="C44" i="3"/>
  <c r="E44" i="3"/>
  <c r="F44" i="3"/>
  <c r="C45" i="3"/>
  <c r="E45" i="3"/>
  <c r="F45" i="3" s="1"/>
  <c r="C46" i="3"/>
  <c r="E46" i="3"/>
  <c r="F54" i="3" l="1"/>
  <c r="F62" i="3"/>
  <c r="F61" i="3"/>
  <c r="F57" i="3"/>
  <c r="F56" i="3"/>
  <c r="F55" i="3"/>
  <c r="F60" i="3"/>
  <c r="F59" i="3"/>
  <c r="F58" i="3"/>
  <c r="F67" i="3"/>
  <c r="F66" i="3"/>
  <c r="F65" i="3"/>
  <c r="F42" i="3"/>
  <c r="F41" i="3"/>
  <c r="F37" i="3"/>
  <c r="F38" i="3"/>
  <c r="F46" i="3"/>
  <c r="I17" i="1" l="1"/>
  <c r="I18" i="1"/>
  <c r="I19" i="1"/>
  <c r="I20" i="1"/>
  <c r="I21" i="1"/>
  <c r="I22" i="1"/>
  <c r="I23" i="1"/>
  <c r="I24" i="1"/>
  <c r="I25" i="1"/>
  <c r="I26" i="1"/>
  <c r="D16" i="4" l="1"/>
  <c r="E16" i="4" s="1"/>
  <c r="I41" i="1" s="1"/>
  <c r="D17" i="4"/>
  <c r="E17" i="4" s="1"/>
  <c r="I42" i="1" s="1"/>
  <c r="D18" i="4"/>
  <c r="E18" i="4" s="1"/>
  <c r="I43" i="1" s="1"/>
  <c r="D19" i="4"/>
  <c r="E19" i="4" s="1"/>
  <c r="I44" i="1" s="1"/>
  <c r="D20" i="4"/>
  <c r="E20" i="4" s="1"/>
  <c r="I45" i="1" s="1"/>
  <c r="D21" i="4"/>
  <c r="E21" i="4" s="1"/>
  <c r="I46" i="1" s="1"/>
  <c r="D22" i="4"/>
  <c r="E22" i="4" s="1"/>
  <c r="I47" i="1" s="1"/>
  <c r="D23" i="4"/>
  <c r="E23" i="4" s="1"/>
  <c r="I48" i="1" s="1"/>
  <c r="D24" i="4"/>
  <c r="E24" i="4" s="1"/>
  <c r="I49" i="1" s="1"/>
  <c r="D25" i="4"/>
  <c r="E25" i="4" s="1"/>
  <c r="I50" i="1" s="1"/>
  <c r="H50" i="1" l="1"/>
  <c r="F50" i="1"/>
  <c r="B50" i="1"/>
  <c r="G50" i="1"/>
  <c r="E50" i="1"/>
  <c r="C50" i="1"/>
  <c r="D50" i="1"/>
  <c r="H42" i="1"/>
  <c r="F42" i="1"/>
  <c r="E42" i="1"/>
  <c r="B42" i="1"/>
  <c r="G42" i="1"/>
  <c r="C42" i="1"/>
  <c r="D42" i="1"/>
  <c r="D41" i="1"/>
  <c r="H41" i="1"/>
  <c r="F41" i="1"/>
  <c r="G41" i="1"/>
  <c r="E41" i="1"/>
  <c r="B41" i="1"/>
  <c r="C41" i="1"/>
  <c r="G48" i="1"/>
  <c r="E48" i="1"/>
  <c r="C48" i="1"/>
  <c r="D48" i="1"/>
  <c r="B48" i="1"/>
  <c r="H48" i="1"/>
  <c r="F48" i="1"/>
  <c r="G44" i="1"/>
  <c r="E44" i="1"/>
  <c r="C44" i="1"/>
  <c r="D44" i="1"/>
  <c r="H44" i="1"/>
  <c r="F44" i="1"/>
  <c r="B44" i="1"/>
  <c r="H46" i="1"/>
  <c r="F46" i="1"/>
  <c r="B46" i="1"/>
  <c r="D46" i="1"/>
  <c r="G46" i="1"/>
  <c r="E46" i="1"/>
  <c r="C46" i="1"/>
  <c r="D49" i="1"/>
  <c r="G49" i="1"/>
  <c r="H49" i="1"/>
  <c r="F49" i="1"/>
  <c r="B49" i="1"/>
  <c r="E49" i="1"/>
  <c r="C49" i="1"/>
  <c r="D45" i="1"/>
  <c r="H45" i="1"/>
  <c r="F45" i="1"/>
  <c r="E45" i="1"/>
  <c r="C45" i="1"/>
  <c r="B45" i="1"/>
  <c r="G45" i="1"/>
  <c r="B47" i="1"/>
  <c r="G47" i="1"/>
  <c r="E47" i="1"/>
  <c r="C47" i="1"/>
  <c r="H47" i="1"/>
  <c r="F47" i="1"/>
  <c r="D47" i="1"/>
  <c r="B43" i="1"/>
  <c r="G43" i="1"/>
  <c r="E43" i="1"/>
  <c r="C43" i="1"/>
  <c r="F43" i="1"/>
  <c r="D43" i="1"/>
  <c r="H43" i="1"/>
  <c r="M15" i="1" l="1"/>
  <c r="M14" i="1" s="1"/>
  <c r="M13" i="1" s="1"/>
  <c r="M12" i="1" s="1"/>
  <c r="M11" i="1" s="1"/>
  <c r="M10" i="1" s="1"/>
  <c r="M9" i="1" s="1"/>
  <c r="M8" i="1" s="1"/>
  <c r="M7" i="1" s="1"/>
  <c r="C53" i="3" l="1"/>
  <c r="F53" i="3" s="1"/>
  <c r="E52" i="3"/>
  <c r="C52" i="3"/>
  <c r="E36" i="3"/>
  <c r="C36" i="3"/>
  <c r="E35" i="3"/>
  <c r="C35" i="3"/>
  <c r="E34" i="3"/>
  <c r="C34" i="3"/>
  <c r="E33" i="3"/>
  <c r="C33" i="3"/>
  <c r="E32" i="3"/>
  <c r="C32" i="3"/>
  <c r="E31" i="3"/>
  <c r="C31" i="3"/>
  <c r="E30" i="3"/>
  <c r="C30" i="3"/>
  <c r="E29" i="3"/>
  <c r="C29" i="3"/>
  <c r="E28" i="3"/>
  <c r="C28" i="3"/>
  <c r="E27" i="3"/>
  <c r="C27" i="3"/>
  <c r="E26" i="3"/>
  <c r="C26" i="3"/>
  <c r="R19" i="3"/>
  <c r="S19" i="3" s="1"/>
  <c r="M19" i="3"/>
  <c r="N19" i="3" s="1"/>
  <c r="C19" i="3"/>
  <c r="D19" i="3" s="1"/>
  <c r="R18" i="3"/>
  <c r="S18" i="3" s="1"/>
  <c r="M18" i="3"/>
  <c r="N18" i="3" s="1"/>
  <c r="C18" i="3"/>
  <c r="D18" i="3" s="1"/>
  <c r="R17" i="3"/>
  <c r="S17" i="3" s="1"/>
  <c r="M17" i="3"/>
  <c r="N17" i="3" s="1"/>
  <c r="C17" i="3"/>
  <c r="D17" i="3" s="1"/>
  <c r="R16" i="3"/>
  <c r="S16" i="3" s="1"/>
  <c r="M16" i="3"/>
  <c r="N16" i="3" s="1"/>
  <c r="C16" i="3"/>
  <c r="D16" i="3" s="1"/>
  <c r="R15" i="3"/>
  <c r="S15" i="3" s="1"/>
  <c r="M15" i="3"/>
  <c r="N15" i="3" s="1"/>
  <c r="C15" i="3"/>
  <c r="D15" i="3" s="1"/>
  <c r="R14" i="3"/>
  <c r="S14" i="3" s="1"/>
  <c r="M14" i="3"/>
  <c r="N14" i="3" s="1"/>
  <c r="C14" i="3"/>
  <c r="D14" i="3" s="1"/>
  <c r="R13" i="3"/>
  <c r="S13" i="3" s="1"/>
  <c r="M13" i="3"/>
  <c r="N13" i="3" s="1"/>
  <c r="C13" i="3"/>
  <c r="D13" i="3" s="1"/>
  <c r="R12" i="3"/>
  <c r="S12" i="3" s="1"/>
  <c r="M12" i="3"/>
  <c r="N12" i="3" s="1"/>
  <c r="C12" i="3"/>
  <c r="D12" i="3" s="1"/>
  <c r="R11" i="3"/>
  <c r="S11" i="3" s="1"/>
  <c r="M11" i="3"/>
  <c r="N11" i="3" s="1"/>
  <c r="C11" i="3"/>
  <c r="D11" i="3" s="1"/>
  <c r="R10" i="3"/>
  <c r="S10" i="3" s="1"/>
  <c r="M10" i="3"/>
  <c r="N10" i="3" s="1"/>
  <c r="C10" i="3"/>
  <c r="D10" i="3" s="1"/>
  <c r="R9" i="3"/>
  <c r="S9" i="3" s="1"/>
  <c r="M9" i="3"/>
  <c r="N9" i="3" s="1"/>
  <c r="C9" i="3"/>
  <c r="D9" i="3" s="1"/>
  <c r="E72" i="5"/>
  <c r="C72" i="5"/>
  <c r="E71" i="5"/>
  <c r="C71" i="5"/>
  <c r="E70" i="5"/>
  <c r="C70" i="5"/>
  <c r="E69" i="5"/>
  <c r="C69" i="5"/>
  <c r="E68" i="5"/>
  <c r="F68" i="5" s="1"/>
  <c r="C68" i="5"/>
  <c r="E67" i="5"/>
  <c r="C67" i="5"/>
  <c r="E66" i="5"/>
  <c r="C66" i="5"/>
  <c r="E65" i="5"/>
  <c r="C65" i="5"/>
  <c r="F64" i="5"/>
  <c r="E64" i="5"/>
  <c r="C64" i="5"/>
  <c r="E63" i="5"/>
  <c r="C63" i="5"/>
  <c r="E62" i="5"/>
  <c r="C62" i="5"/>
  <c r="F62" i="5" s="1"/>
  <c r="E53" i="5"/>
  <c r="C53" i="5"/>
  <c r="E52" i="5"/>
  <c r="C52" i="5"/>
  <c r="E51" i="5"/>
  <c r="C51" i="5"/>
  <c r="E50" i="5"/>
  <c r="C50" i="5"/>
  <c r="E49" i="5"/>
  <c r="C49" i="5"/>
  <c r="E48" i="5"/>
  <c r="C48" i="5"/>
  <c r="E47" i="5"/>
  <c r="C47" i="5"/>
  <c r="E46" i="5"/>
  <c r="C46" i="5"/>
  <c r="E45" i="5"/>
  <c r="C45" i="5"/>
  <c r="E44" i="5"/>
  <c r="C44" i="5"/>
  <c r="E43" i="5"/>
  <c r="C43" i="5"/>
  <c r="E36" i="5"/>
  <c r="C36" i="5"/>
  <c r="E35" i="5"/>
  <c r="C35" i="5"/>
  <c r="F34" i="5"/>
  <c r="E34" i="5"/>
  <c r="C34" i="5"/>
  <c r="E33" i="5"/>
  <c r="C33" i="5"/>
  <c r="E32" i="5"/>
  <c r="C32" i="5"/>
  <c r="F32" i="5" s="1"/>
  <c r="E31" i="5"/>
  <c r="C31" i="5"/>
  <c r="E30" i="5"/>
  <c r="C30" i="5"/>
  <c r="E29" i="5"/>
  <c r="C29" i="5"/>
  <c r="E28" i="5"/>
  <c r="C28" i="5"/>
  <c r="F28" i="5" s="1"/>
  <c r="E27" i="5"/>
  <c r="C27" i="5"/>
  <c r="E26" i="5"/>
  <c r="C26" i="5"/>
  <c r="R19" i="5"/>
  <c r="S19" i="5" s="1"/>
  <c r="M19" i="5"/>
  <c r="N19" i="5" s="1"/>
  <c r="H19" i="5"/>
  <c r="I19" i="5" s="1"/>
  <c r="C19" i="5"/>
  <c r="D19" i="5" s="1"/>
  <c r="R18" i="5"/>
  <c r="S18" i="5" s="1"/>
  <c r="M18" i="5"/>
  <c r="N18" i="5" s="1"/>
  <c r="H18" i="5"/>
  <c r="I18" i="5" s="1"/>
  <c r="C18" i="5"/>
  <c r="D18" i="5" s="1"/>
  <c r="R17" i="5"/>
  <c r="S17" i="5" s="1"/>
  <c r="M17" i="5"/>
  <c r="N17" i="5" s="1"/>
  <c r="H17" i="5"/>
  <c r="I17" i="5" s="1"/>
  <c r="C17" i="5"/>
  <c r="D17" i="5" s="1"/>
  <c r="R16" i="5"/>
  <c r="S16" i="5" s="1"/>
  <c r="M16" i="5"/>
  <c r="N16" i="5" s="1"/>
  <c r="H16" i="5"/>
  <c r="I16" i="5" s="1"/>
  <c r="C16" i="5"/>
  <c r="D16" i="5" s="1"/>
  <c r="R15" i="5"/>
  <c r="S15" i="5" s="1"/>
  <c r="M15" i="5"/>
  <c r="N15" i="5" s="1"/>
  <c r="H15" i="5"/>
  <c r="I15" i="5" s="1"/>
  <c r="C15" i="5"/>
  <c r="D15" i="5" s="1"/>
  <c r="R14" i="5"/>
  <c r="S14" i="5" s="1"/>
  <c r="M14" i="5"/>
  <c r="N14" i="5" s="1"/>
  <c r="H14" i="5"/>
  <c r="I14" i="5" s="1"/>
  <c r="C14" i="5"/>
  <c r="D14" i="5" s="1"/>
  <c r="R13" i="5"/>
  <c r="S13" i="5" s="1"/>
  <c r="M13" i="5"/>
  <c r="N13" i="5" s="1"/>
  <c r="H13" i="5"/>
  <c r="I13" i="5" s="1"/>
  <c r="C13" i="5"/>
  <c r="D13" i="5" s="1"/>
  <c r="R12" i="5"/>
  <c r="S12" i="5" s="1"/>
  <c r="M12" i="5"/>
  <c r="N12" i="5" s="1"/>
  <c r="H12" i="5"/>
  <c r="I12" i="5" s="1"/>
  <c r="C12" i="5"/>
  <c r="D12" i="5" s="1"/>
  <c r="R11" i="5"/>
  <c r="S11" i="5" s="1"/>
  <c r="M11" i="5"/>
  <c r="N11" i="5" s="1"/>
  <c r="H11" i="5"/>
  <c r="I11" i="5" s="1"/>
  <c r="C11" i="5"/>
  <c r="D11" i="5" s="1"/>
  <c r="R10" i="5"/>
  <c r="S10" i="5" s="1"/>
  <c r="M10" i="5"/>
  <c r="N10" i="5" s="1"/>
  <c r="H10" i="5"/>
  <c r="I10" i="5" s="1"/>
  <c r="C10" i="5"/>
  <c r="D10" i="5" s="1"/>
  <c r="R9" i="5"/>
  <c r="S9" i="5" s="1"/>
  <c r="M9" i="5"/>
  <c r="N9" i="5" s="1"/>
  <c r="H9" i="5"/>
  <c r="I9" i="5" s="1"/>
  <c r="C9" i="5"/>
  <c r="D9" i="5" s="1"/>
  <c r="L34" i="2"/>
  <c r="L33" i="2"/>
  <c r="R33" i="2" s="1"/>
  <c r="L32" i="2"/>
  <c r="R32" i="2" s="1"/>
  <c r="R25" i="2"/>
  <c r="T24" i="2"/>
  <c r="R24" i="2"/>
  <c r="D6" i="4"/>
  <c r="E6" i="4" s="1"/>
  <c r="I31" i="1" s="1"/>
  <c r="D7" i="4"/>
  <c r="E7" i="4" s="1"/>
  <c r="I41" i="2" s="1"/>
  <c r="D8" i="4"/>
  <c r="E8" i="4" s="1"/>
  <c r="I33" i="1" s="1"/>
  <c r="C33" i="1" s="1"/>
  <c r="D9" i="4"/>
  <c r="E9" i="4" s="1"/>
  <c r="I34" i="1" s="1"/>
  <c r="C34" i="1" s="1"/>
  <c r="D10" i="4"/>
  <c r="E10" i="4" s="1"/>
  <c r="I44" i="2" s="1"/>
  <c r="D11" i="4"/>
  <c r="E11" i="4" s="1"/>
  <c r="I45" i="2" s="1"/>
  <c r="D12" i="4"/>
  <c r="E12" i="4" s="1"/>
  <c r="I46" i="2" s="1"/>
  <c r="D13" i="4"/>
  <c r="E13" i="4" s="1"/>
  <c r="D14" i="4"/>
  <c r="E14" i="4" s="1"/>
  <c r="I48" i="2" s="1"/>
  <c r="D15" i="4"/>
  <c r="E15" i="4" s="1"/>
  <c r="D5" i="4"/>
  <c r="E5" i="4" s="1"/>
  <c r="L7" i="4"/>
  <c r="L8" i="4" s="1"/>
  <c r="J7" i="4"/>
  <c r="J8" i="4" s="1"/>
  <c r="F52" i="3" l="1"/>
  <c r="I39" i="2"/>
  <c r="I30" i="1"/>
  <c r="F31" i="3"/>
  <c r="F27" i="5"/>
  <c r="F29" i="5"/>
  <c r="F65" i="5"/>
  <c r="F69" i="5"/>
  <c r="I49" i="2"/>
  <c r="I40" i="1"/>
  <c r="C40" i="1" s="1"/>
  <c r="F26" i="5"/>
  <c r="F30" i="5"/>
  <c r="F70" i="5"/>
  <c r="F72" i="5"/>
  <c r="F26" i="3"/>
  <c r="F28" i="3"/>
  <c r="F30" i="3"/>
  <c r="F34" i="3"/>
  <c r="F36" i="3"/>
  <c r="F33" i="3"/>
  <c r="F35" i="3"/>
  <c r="F27" i="3"/>
  <c r="D31" i="1"/>
  <c r="C31" i="1"/>
  <c r="I32" i="1"/>
  <c r="I40" i="2"/>
  <c r="I37" i="1"/>
  <c r="I36" i="1"/>
  <c r="F33" i="1"/>
  <c r="E33" i="1"/>
  <c r="I42" i="2"/>
  <c r="B31" i="1"/>
  <c r="F31" i="1"/>
  <c r="E31" i="1"/>
  <c r="I35" i="1"/>
  <c r="I38" i="1"/>
  <c r="C38" i="1" s="1"/>
  <c r="I47" i="2"/>
  <c r="F34" i="1"/>
  <c r="B34" i="1"/>
  <c r="D34" i="1"/>
  <c r="G34" i="1"/>
  <c r="H34" i="1"/>
  <c r="I43" i="2"/>
  <c r="F31" i="5"/>
  <c r="F33" i="5"/>
  <c r="F63" i="5"/>
  <c r="I39" i="1"/>
  <c r="C39" i="1" s="1"/>
  <c r="F35" i="5"/>
  <c r="F67" i="5"/>
  <c r="F29" i="3"/>
  <c r="F32" i="3"/>
  <c r="G31" i="1"/>
  <c r="F36" i="5"/>
  <c r="F66" i="5"/>
  <c r="F71" i="5"/>
  <c r="B33" i="1"/>
  <c r="E34" i="1"/>
  <c r="G33" i="1"/>
  <c r="H33" i="1"/>
  <c r="D33" i="1"/>
  <c r="H31" i="1"/>
  <c r="E30" i="1" l="1"/>
  <c r="B30" i="1"/>
  <c r="F35" i="1"/>
  <c r="C35" i="1"/>
  <c r="F37" i="1"/>
  <c r="C37" i="1"/>
  <c r="E32" i="1"/>
  <c r="C32" i="1"/>
  <c r="E36" i="1"/>
  <c r="C36" i="1"/>
  <c r="G36" i="1"/>
  <c r="H37" i="1"/>
  <c r="G37" i="1"/>
  <c r="E37" i="1"/>
  <c r="D36" i="1"/>
  <c r="D32" i="1"/>
  <c r="H36" i="1"/>
  <c r="D30" i="1"/>
  <c r="G32" i="1"/>
  <c r="H35" i="1"/>
  <c r="G35" i="1"/>
  <c r="B37" i="1"/>
  <c r="F32" i="1"/>
  <c r="H32" i="1"/>
  <c r="D37" i="1"/>
  <c r="B32" i="1"/>
  <c r="E35" i="1"/>
  <c r="F36" i="1"/>
  <c r="B36" i="1"/>
  <c r="D35" i="1"/>
  <c r="B35" i="1"/>
  <c r="D39" i="1"/>
  <c r="B39" i="1"/>
  <c r="E39" i="1"/>
  <c r="F39" i="1"/>
  <c r="G39" i="1"/>
  <c r="F38" i="1"/>
  <c r="D38" i="1"/>
  <c r="E38" i="1"/>
  <c r="B38" i="1"/>
  <c r="G38" i="1"/>
  <c r="H38" i="1"/>
  <c r="H30" i="1"/>
  <c r="C30" i="1"/>
  <c r="G30" i="1"/>
  <c r="H39" i="1"/>
  <c r="E40" i="1"/>
  <c r="G40" i="1"/>
  <c r="F40" i="1"/>
  <c r="H40" i="1"/>
  <c r="D40" i="1"/>
  <c r="B40" i="1"/>
  <c r="F30" i="1"/>
  <c r="I7" i="1"/>
  <c r="I8" i="1"/>
  <c r="I9" i="1"/>
  <c r="I10" i="1"/>
  <c r="I11" i="1"/>
  <c r="I12" i="1"/>
  <c r="I13" i="1"/>
  <c r="I14" i="1"/>
  <c r="I15" i="1"/>
  <c r="I16" i="1"/>
  <c r="I6" i="1"/>
  <c r="G9" i="3" l="1"/>
  <c r="H9" i="3" s="1"/>
  <c r="I9" i="3" s="1"/>
  <c r="I52" i="3" s="1"/>
  <c r="J52" i="3" s="1"/>
  <c r="G10" i="3" l="1"/>
  <c r="H10" i="3" s="1"/>
  <c r="I10" i="3" s="1"/>
  <c r="I53" i="3" s="1"/>
  <c r="J53" i="3" s="1"/>
  <c r="G12" i="3"/>
  <c r="H12" i="3" s="1"/>
  <c r="I12" i="3" s="1"/>
  <c r="I55" i="3" s="1"/>
  <c r="J55" i="3" s="1"/>
  <c r="G11" i="3"/>
  <c r="H11" i="3" s="1"/>
  <c r="I11" i="3" s="1"/>
  <c r="I54" i="3" s="1"/>
  <c r="J54" i="3" s="1"/>
  <c r="G13" i="3" l="1"/>
  <c r="H13" i="3" s="1"/>
  <c r="I13" i="3" s="1"/>
  <c r="I56" i="3" s="1"/>
  <c r="J56" i="3" s="1"/>
  <c r="G14" i="3" l="1"/>
  <c r="H14" i="3" s="1"/>
  <c r="I14" i="3" s="1"/>
  <c r="I57" i="3" s="1"/>
  <c r="J57" i="3" s="1"/>
  <c r="G15" i="3" l="1"/>
  <c r="H15" i="3" s="1"/>
  <c r="I15" i="3" s="1"/>
  <c r="I58" i="3" s="1"/>
  <c r="J58" i="3" s="1"/>
  <c r="G16" i="3" l="1"/>
  <c r="H16" i="3" s="1"/>
  <c r="I16" i="3" s="1"/>
  <c r="I59" i="3" s="1"/>
  <c r="J59" i="3" s="1"/>
  <c r="G17" i="3" l="1"/>
  <c r="H17" i="3" s="1"/>
  <c r="I17" i="3" s="1"/>
  <c r="I60" i="3" s="1"/>
  <c r="J60" i="3" s="1"/>
  <c r="G18" i="3" l="1"/>
  <c r="H18" i="3" s="1"/>
  <c r="I18" i="3" s="1"/>
  <c r="I61" i="3" s="1"/>
  <c r="J61" i="3" s="1"/>
  <c r="G19" i="3" l="1"/>
  <c r="H19" i="3" s="1"/>
  <c r="I19" i="3" s="1"/>
  <c r="I62" i="3" s="1"/>
  <c r="J62" i="3" s="1"/>
</calcChain>
</file>

<file path=xl/sharedStrings.xml><?xml version="1.0" encoding="utf-8"?>
<sst xmlns="http://schemas.openxmlformats.org/spreadsheetml/2006/main" count="302" uniqueCount="152">
  <si>
    <t>Fraksi Pengelolaan Sampah (%)</t>
  </si>
  <si>
    <t>Diangkut ke TPA</t>
  </si>
  <si>
    <t>Open dumping</t>
  </si>
  <si>
    <t>kompos</t>
  </si>
  <si>
    <t>Dibakar</t>
  </si>
  <si>
    <t>Dibuang ke sungai</t>
  </si>
  <si>
    <t>Dibuang semba- rangan</t>
  </si>
  <si>
    <t>Lainnya</t>
  </si>
  <si>
    <t>tahun</t>
  </si>
  <si>
    <t>KONDISI Business As Usual (BaU)</t>
  </si>
  <si>
    <t>total</t>
  </si>
  <si>
    <t>Tahun</t>
  </si>
  <si>
    <t>timbulan sampah</t>
  </si>
  <si>
    <t>kg/kapita/hari</t>
  </si>
  <si>
    <t>ton/tahun</t>
  </si>
  <si>
    <t>Giga gram/tahun</t>
  </si>
  <si>
    <t>1000 kg = 1 ton</t>
  </si>
  <si>
    <t>1 000 ton = 1 Gg (Giga gram)</t>
  </si>
  <si>
    <t>catatan</t>
  </si>
  <si>
    <t>kg sampah tercampur/hari/unit</t>
  </si>
  <si>
    <t>membagun TPA</t>
  </si>
  <si>
    <t>ton  sampah tercampur/hari/unit</t>
  </si>
  <si>
    <t>aksi mitigasi persampahan</t>
  </si>
  <si>
    <t>recovery metan</t>
  </si>
  <si>
    <t>kg CH4/hari/unit</t>
  </si>
  <si>
    <t xml:space="preserve">Asumsi pengurangan ke TPA </t>
  </si>
  <si>
    <t xml:space="preserve">komposting </t>
  </si>
  <si>
    <t>di daur ulang</t>
  </si>
  <si>
    <t>kg/hari/unit</t>
  </si>
  <si>
    <t xml:space="preserve">residu dan dibuang ke TPA </t>
  </si>
  <si>
    <t>SUBTOTAL</t>
  </si>
  <si>
    <t>ton/tahun/unit - dikompos</t>
  </si>
  <si>
    <t xml:space="preserve">ton/tahun/unit - pengurangan sampah </t>
  </si>
  <si>
    <t>-</t>
  </si>
  <si>
    <t xml:space="preserve">densitas sampah : </t>
  </si>
  <si>
    <t>250 kg/m3 di sumber</t>
  </si>
  <si>
    <t>750 kg/m3 di TPA</t>
  </si>
  <si>
    <t xml:space="preserve">laju timbulan sampah : </t>
  </si>
  <si>
    <t xml:space="preserve"> L/kapita/hari</t>
  </si>
  <si>
    <t>ton/kap/th</t>
  </si>
  <si>
    <t>total timbulan sampah (Gg/tahun)</t>
  </si>
  <si>
    <t xml:space="preserve">I. </t>
  </si>
  <si>
    <t xml:space="preserve">II. </t>
  </si>
  <si>
    <t xml:space="preserve">Membangun 1  TPST berbasis institusi asumsinya : </t>
  </si>
  <si>
    <t>Membangun TPS T3R berbasis masyarakat</t>
  </si>
  <si>
    <t>ton/tahun/unit - daur ulang pengurangan sampah nol emisi</t>
  </si>
  <si>
    <t>KATAGORI AKSI</t>
  </si>
  <si>
    <t>DESKRIPSI</t>
  </si>
  <si>
    <t>Peningkatan FasiIitas Pemrosesan Akhir sampah</t>
  </si>
  <si>
    <t xml:space="preserve">Pelaksanaan kegiatan 3R </t>
  </si>
  <si>
    <t xml:space="preserve">Rehabilitasi TPA menjadi TPA semi-aerobik. </t>
  </si>
  <si>
    <t xml:space="preserve">Mengoperasikan TPA baru </t>
  </si>
  <si>
    <t>membangun TPST (dana dari institusi/pemerintah)</t>
  </si>
  <si>
    <t> membangun TPST /TPS 3R dana dari masyarakat)</t>
  </si>
  <si>
    <t>volume sampah tertangani</t>
  </si>
  <si>
    <t xml:space="preserve">jumlah sarana  yang dibangun </t>
  </si>
  <si>
    <t xml:space="preserve">1. Merubah nilai MCF pada perhitungan emisi CH4 dari TPA </t>
  </si>
  <si>
    <t xml:space="preserve">2. Menyesuaikan perubahan fraksi jenis TPA </t>
  </si>
  <si>
    <t>isi dengan volume gas metan yg direcovery</t>
  </si>
  <si>
    <t>recovery metan di TPA Anaeobik</t>
  </si>
  <si>
    <t xml:space="preserve">isi dengan volume sam pah yg akan dikelola di TPA baru </t>
  </si>
  <si>
    <t>Mengis data metan yang akan direcovery</t>
  </si>
  <si>
    <t>Menyesuaikan perubahan fraksi jenis TPA</t>
  </si>
  <si>
    <t>Menyesuaikan nilai MCF sesuai jenis TPA</t>
  </si>
  <si>
    <t>prinsip  perhitungan emisi menggunakan metoda IPCC</t>
  </si>
  <si>
    <t>Deskripsi aksi mitigasi yang dipilih</t>
  </si>
  <si>
    <t>perubahan pada fraksi pengelolaan sampah, Menambah angka  volume sampah yang masuk ke TPA</t>
  </si>
  <si>
    <t>perubahan pada fraksi pengelolaan sampah, Menambah angka  volume sampah yang dikompos</t>
  </si>
  <si>
    <t>PERUBAHAN PADA FRAKSI DISTRIBUSI PENGELOLAAN SAMPAH</t>
  </si>
  <si>
    <t>VOLUME SAMPAH YANG DIKELOLA DARI AKSI MITIGASI (SELISIH TERHADAP BaU)</t>
  </si>
  <si>
    <t>isi dengan volume sampah di TPA tsb</t>
  </si>
  <si>
    <t xml:space="preserve">isi dengan volume sampah di TPA-TPA  baru </t>
  </si>
  <si>
    <t>dalam contoh perhitungan diambil 15.000 ton/tahun</t>
  </si>
  <si>
    <t xml:space="preserve">sampah yang dikompos = jumlah TPST x 15000 ton/tahun               atau         jumlah TPS 3R x  900 ton/tahun </t>
  </si>
  <si>
    <t>PERUBAHAN FRAKSI PENGELOLAAN SAMPAH PADA SKENARIO MITIGASI</t>
  </si>
  <si>
    <t>BaU + aksi mitigasi</t>
  </si>
  <si>
    <t>BaU - aksi mitigasi</t>
  </si>
  <si>
    <t xml:space="preserve">prosentase  menyesuaikan ke perubahan fraksi volume sampah </t>
  </si>
  <si>
    <t>sampah yang dikelola (Gg/tahun)</t>
  </si>
  <si>
    <t xml:space="preserve">Menyesuaiakn dengan pengurangan dari sampah yang dikompos dan yang didaur ulang. Catatan : Sampah yang didaur ulang dalam 1 TPST = 2740 ton/hari. Sampah yang didaur ulang dalam 1 TPS 3R  = 164  ton/hari. </t>
  </si>
  <si>
    <t>Rekapitulasi   BaU Baseline Emisi GRK dari Pengomposan Sampah</t>
  </si>
  <si>
    <t xml:space="preserve"> Emisi GRK dari komposting </t>
  </si>
  <si>
    <r>
      <t>Emisi CH</t>
    </r>
    <r>
      <rPr>
        <vertAlign val="subscript"/>
        <sz val="9"/>
        <color indexed="9"/>
        <rFont val="Calibri"/>
        <family val="2"/>
      </rPr>
      <t>4</t>
    </r>
  </si>
  <si>
    <r>
      <t>Emisi N</t>
    </r>
    <r>
      <rPr>
        <vertAlign val="subscript"/>
        <sz val="9"/>
        <color indexed="9"/>
        <rFont val="Calibri"/>
        <family val="2"/>
      </rPr>
      <t>2</t>
    </r>
    <r>
      <rPr>
        <sz val="9"/>
        <color indexed="9"/>
        <rFont val="Calibri"/>
        <family val="2"/>
      </rPr>
      <t>O</t>
    </r>
  </si>
  <si>
    <r>
      <t>Total Gg CO</t>
    </r>
    <r>
      <rPr>
        <vertAlign val="subscript"/>
        <sz val="9"/>
        <color indexed="9"/>
        <rFont val="Calibri"/>
        <family val="2"/>
      </rPr>
      <t>2</t>
    </r>
    <r>
      <rPr>
        <sz val="9"/>
        <color indexed="9"/>
        <rFont val="Calibri"/>
        <family val="2"/>
      </rPr>
      <t>eq</t>
    </r>
  </si>
  <si>
    <r>
      <t>Gg CH</t>
    </r>
    <r>
      <rPr>
        <vertAlign val="subscript"/>
        <sz val="9"/>
        <color indexed="9"/>
        <rFont val="Calibri"/>
        <family val="2"/>
      </rPr>
      <t>4</t>
    </r>
  </si>
  <si>
    <r>
      <t>Gg CO</t>
    </r>
    <r>
      <rPr>
        <vertAlign val="subscript"/>
        <sz val="9"/>
        <color indexed="9"/>
        <rFont val="Calibri"/>
        <family val="2"/>
      </rPr>
      <t>2</t>
    </r>
    <r>
      <rPr>
        <sz val="9"/>
        <color indexed="9"/>
        <rFont val="Calibri"/>
        <family val="2"/>
      </rPr>
      <t>eq</t>
    </r>
  </si>
  <si>
    <r>
      <t>Gg N</t>
    </r>
    <r>
      <rPr>
        <vertAlign val="subscript"/>
        <sz val="9"/>
        <color indexed="9"/>
        <rFont val="Calibri"/>
        <family val="2"/>
      </rPr>
      <t>2</t>
    </r>
    <r>
      <rPr>
        <sz val="9"/>
        <color indexed="9"/>
        <rFont val="Calibri"/>
        <family val="2"/>
      </rPr>
      <t>O</t>
    </r>
  </si>
  <si>
    <t xml:space="preserve"> Rekapitulasi BaU Baseline Emisi GRK dari Aktifitas Pembakaran Terbuka </t>
  </si>
  <si>
    <t xml:space="preserve"> Emisi GRK Dari Pembakaran Sampah</t>
  </si>
  <si>
    <r>
      <t>Emisi CO</t>
    </r>
    <r>
      <rPr>
        <vertAlign val="subscript"/>
        <sz val="9"/>
        <color indexed="9"/>
        <rFont val="Calibri"/>
        <family val="2"/>
      </rPr>
      <t>2</t>
    </r>
  </si>
  <si>
    <r>
      <t>Gg CO</t>
    </r>
    <r>
      <rPr>
        <vertAlign val="subscript"/>
        <sz val="9"/>
        <color indexed="9"/>
        <rFont val="Calibri"/>
        <family val="2"/>
      </rPr>
      <t>2</t>
    </r>
  </si>
  <si>
    <t>Rekapitulasi   BaU Baseline Emisi GRK dari Pengelolaan Air Limbah Domestik</t>
  </si>
  <si>
    <r>
      <t>Emisi CH</t>
    </r>
    <r>
      <rPr>
        <vertAlign val="subscript"/>
        <sz val="9"/>
        <rFont val="Calibri"/>
        <family val="2"/>
      </rPr>
      <t>4</t>
    </r>
  </si>
  <si>
    <r>
      <t>Emisi N</t>
    </r>
    <r>
      <rPr>
        <vertAlign val="subscript"/>
        <sz val="9"/>
        <rFont val="Calibri"/>
        <family val="2"/>
      </rPr>
      <t>2</t>
    </r>
    <r>
      <rPr>
        <sz val="9"/>
        <rFont val="Calibri"/>
        <family val="2"/>
      </rPr>
      <t>O</t>
    </r>
  </si>
  <si>
    <t>TOTAL</t>
  </si>
  <si>
    <r>
      <t>Gg CH</t>
    </r>
    <r>
      <rPr>
        <vertAlign val="subscript"/>
        <sz val="9"/>
        <rFont val="Calibri"/>
        <family val="2"/>
      </rPr>
      <t>4</t>
    </r>
  </si>
  <si>
    <r>
      <t>Gg CO</t>
    </r>
    <r>
      <rPr>
        <vertAlign val="subscript"/>
        <sz val="9"/>
        <rFont val="Calibri"/>
        <family val="2"/>
      </rPr>
      <t>2</t>
    </r>
    <r>
      <rPr>
        <sz val="9"/>
        <rFont val="Calibri"/>
        <family val="2"/>
      </rPr>
      <t>eq (hasil konversi dari Gg CH</t>
    </r>
    <r>
      <rPr>
        <vertAlign val="subscript"/>
        <sz val="9"/>
        <rFont val="Calibri"/>
        <family val="2"/>
      </rPr>
      <t>4</t>
    </r>
    <r>
      <rPr>
        <sz val="9"/>
        <rFont val="Calibri"/>
        <family val="2"/>
      </rPr>
      <t>)</t>
    </r>
  </si>
  <si>
    <r>
      <t>Gg N</t>
    </r>
    <r>
      <rPr>
        <vertAlign val="subscript"/>
        <sz val="9"/>
        <rFont val="Calibri"/>
        <family val="2"/>
      </rPr>
      <t>2</t>
    </r>
    <r>
      <rPr>
        <sz val="9"/>
        <rFont val="Calibri"/>
        <family val="2"/>
      </rPr>
      <t>O</t>
    </r>
  </si>
  <si>
    <r>
      <t>Gg CO</t>
    </r>
    <r>
      <rPr>
        <vertAlign val="subscript"/>
        <sz val="9"/>
        <rFont val="Calibri"/>
        <family val="2"/>
      </rPr>
      <t>2</t>
    </r>
    <r>
      <rPr>
        <sz val="9"/>
        <rFont val="Calibri"/>
        <family val="2"/>
      </rPr>
      <t>eq (hasil konversi dari Gg N</t>
    </r>
    <r>
      <rPr>
        <vertAlign val="subscript"/>
        <sz val="9"/>
        <rFont val="Calibri"/>
        <family val="2"/>
      </rPr>
      <t>2</t>
    </r>
    <r>
      <rPr>
        <sz val="9"/>
        <rFont val="Calibri"/>
        <family val="2"/>
      </rPr>
      <t>O)</t>
    </r>
  </si>
  <si>
    <r>
      <t>Gg CO</t>
    </r>
    <r>
      <rPr>
        <vertAlign val="subscript"/>
        <sz val="9"/>
        <rFont val="Calibri"/>
        <family val="2"/>
      </rPr>
      <t>2</t>
    </r>
    <r>
      <rPr>
        <sz val="9"/>
        <rFont val="Calibri"/>
        <family val="2"/>
      </rPr>
      <t>eq (hasil perjum-lahan)</t>
    </r>
  </si>
  <si>
    <t>A</t>
  </si>
  <si>
    <t>B</t>
  </si>
  <si>
    <t>C</t>
  </si>
  <si>
    <t>D</t>
  </si>
  <si>
    <t>E</t>
  </si>
  <si>
    <t>B = A x 21</t>
  </si>
  <si>
    <t>D = C x 310</t>
  </si>
  <si>
    <t>E = B+D</t>
  </si>
  <si>
    <t>Rekapitulasi   BaU Baseline Emisi GRK dari Penimbunan Sampah</t>
  </si>
  <si>
    <t xml:space="preserve"> Emisi GRK TPA+TERHAMPAR+BADAN AIR (BILA PERHITUNGANNYA DISATUKAN)</t>
  </si>
  <si>
    <t xml:space="preserve"> Emisi GRK dari sampah terhampar sembarangan</t>
  </si>
  <si>
    <t xml:space="preserve"> Emisi GRK dari sampah ditimbun di lubang</t>
  </si>
  <si>
    <t xml:space="preserve"> Emisi GRK dari sampah dibuang ke badan air</t>
  </si>
  <si>
    <t>atau</t>
  </si>
  <si>
    <t>dan</t>
  </si>
  <si>
    <t>REKAPITULASI EMISI GRK SETELAH MITIGASI</t>
  </si>
  <si>
    <t>REKAPITULASI EMISI GRK BaU BASELINE</t>
  </si>
  <si>
    <t xml:space="preserve"> Emisi GRK TPA</t>
  </si>
  <si>
    <t>ton/kapita/tahun</t>
  </si>
  <si>
    <t xml:space="preserve">TPA </t>
  </si>
  <si>
    <t>TPS 3 R</t>
  </si>
  <si>
    <t>TPST</t>
  </si>
  <si>
    <t>ton/unit/tahun</t>
  </si>
  <si>
    <t xml:space="preserve">Jumlah Penduduk </t>
  </si>
  <si>
    <t>Rekapitulasi BAU Baseline Emisi GRK dari Penimbunan Sampah</t>
  </si>
  <si>
    <t>Rekapitulasi BaU Baseline Emisi GRK dari Pengomposan Sampah</t>
  </si>
  <si>
    <t>Dibuang sembarangan</t>
  </si>
  <si>
    <r>
      <t>Emisi CH</t>
    </r>
    <r>
      <rPr>
        <vertAlign val="subscript"/>
        <sz val="11"/>
        <color indexed="9"/>
        <rFont val="Calibri"/>
        <family val="2"/>
        <scheme val="minor"/>
      </rPr>
      <t>4</t>
    </r>
  </si>
  <si>
    <r>
      <t>Total Gg CO</t>
    </r>
    <r>
      <rPr>
        <vertAlign val="subscript"/>
        <sz val="11"/>
        <color indexed="9"/>
        <rFont val="Calibri"/>
        <family val="2"/>
        <scheme val="minor"/>
      </rPr>
      <t>2</t>
    </r>
    <r>
      <rPr>
        <sz val="11"/>
        <color indexed="9"/>
        <rFont val="Calibri"/>
        <family val="2"/>
        <scheme val="minor"/>
      </rPr>
      <t>eq</t>
    </r>
  </si>
  <si>
    <r>
      <t>Gg CH</t>
    </r>
    <r>
      <rPr>
        <vertAlign val="subscript"/>
        <sz val="11"/>
        <color indexed="9"/>
        <rFont val="Calibri"/>
        <family val="2"/>
        <scheme val="minor"/>
      </rPr>
      <t>4</t>
    </r>
  </si>
  <si>
    <r>
      <t>Gg CO</t>
    </r>
    <r>
      <rPr>
        <vertAlign val="subscript"/>
        <sz val="11"/>
        <color indexed="9"/>
        <rFont val="Calibri"/>
        <family val="2"/>
        <scheme val="minor"/>
      </rPr>
      <t>2</t>
    </r>
    <r>
      <rPr>
        <sz val="11"/>
        <color indexed="9"/>
        <rFont val="Calibri"/>
        <family val="2"/>
        <scheme val="minor"/>
      </rPr>
      <t>eq</t>
    </r>
  </si>
  <si>
    <r>
      <t>Emisi N</t>
    </r>
    <r>
      <rPr>
        <vertAlign val="subscript"/>
        <sz val="11"/>
        <color indexed="9"/>
        <rFont val="Calibri"/>
        <family val="2"/>
        <scheme val="minor"/>
      </rPr>
      <t>2</t>
    </r>
    <r>
      <rPr>
        <sz val="11"/>
        <color indexed="9"/>
        <rFont val="Calibri"/>
        <family val="2"/>
        <scheme val="minor"/>
      </rPr>
      <t>O</t>
    </r>
  </si>
  <si>
    <r>
      <t>Gg N</t>
    </r>
    <r>
      <rPr>
        <vertAlign val="subscript"/>
        <sz val="11"/>
        <color indexed="9"/>
        <rFont val="Calibri"/>
        <family val="2"/>
        <scheme val="minor"/>
      </rPr>
      <t>2</t>
    </r>
    <r>
      <rPr>
        <sz val="11"/>
        <color indexed="9"/>
        <rFont val="Calibri"/>
        <family val="2"/>
        <scheme val="minor"/>
      </rPr>
      <t>O</t>
    </r>
  </si>
  <si>
    <r>
      <t>Emisi CO</t>
    </r>
    <r>
      <rPr>
        <vertAlign val="subscript"/>
        <sz val="11"/>
        <color indexed="9"/>
        <rFont val="Calibri"/>
        <family val="2"/>
        <scheme val="minor"/>
      </rPr>
      <t>2</t>
    </r>
  </si>
  <si>
    <r>
      <t>Gg CO</t>
    </r>
    <r>
      <rPr>
        <vertAlign val="subscript"/>
        <sz val="11"/>
        <color indexed="9"/>
        <rFont val="Calibri"/>
        <family val="2"/>
        <scheme val="minor"/>
      </rPr>
      <t>2</t>
    </r>
  </si>
  <si>
    <r>
      <t>Emisi CH</t>
    </r>
    <r>
      <rPr>
        <vertAlign val="subscript"/>
        <sz val="11"/>
        <rFont val="Calibri"/>
        <family val="2"/>
        <scheme val="minor"/>
      </rPr>
      <t>4</t>
    </r>
  </si>
  <si>
    <r>
      <t>Emisi N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</si>
  <si>
    <r>
      <t>Gg CH</t>
    </r>
    <r>
      <rPr>
        <vertAlign val="subscript"/>
        <sz val="11"/>
        <rFont val="Calibri"/>
        <family val="2"/>
        <scheme val="minor"/>
      </rPr>
      <t>4</t>
    </r>
  </si>
  <si>
    <r>
      <t>Gg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eq (hasil konversi dari Gg CH</t>
    </r>
    <r>
      <rPr>
        <vertAlign val="sub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>)</t>
    </r>
  </si>
  <si>
    <r>
      <t>Gg N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</si>
  <si>
    <r>
      <t>Gg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eq (hasil konversi dari Gg N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O)</t>
    </r>
  </si>
  <si>
    <r>
      <t>Gg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eq (hasil perjumlahan)</t>
    </r>
  </si>
  <si>
    <t>Rekapitulasi BAU Baseline Emisi GRK dari Pengelolaan Air Limbah Domestik</t>
  </si>
  <si>
    <r>
      <t>Emisi CO</t>
    </r>
    <r>
      <rPr>
        <vertAlign val="subscript"/>
        <sz val="11"/>
        <rFont val="Calibri"/>
        <family val="2"/>
        <scheme val="minor"/>
      </rPr>
      <t>2</t>
    </r>
  </si>
  <si>
    <r>
      <t>Gg CO</t>
    </r>
    <r>
      <rPr>
        <vertAlign val="subscript"/>
        <sz val="11"/>
        <rFont val="Calibri"/>
        <family val="2"/>
        <scheme val="minor"/>
      </rPr>
      <t>2</t>
    </r>
  </si>
  <si>
    <t>ton CO2</t>
  </si>
  <si>
    <r>
      <t>ton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eq (hasil perjumlahan)</t>
    </r>
  </si>
  <si>
    <t>KOTA BONTANG</t>
  </si>
  <si>
    <t>Emisi GRK dari Limbah Cair Industri Sawit</t>
  </si>
  <si>
    <t>kg CH4</t>
  </si>
  <si>
    <t>KAB. KUTAI KERTANEGARA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</si>
</sst>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#,##0.0000"/>
    <numFmt numFmtId="165" formatCode="0.0000"/>
    <numFmt numFmtId="166" formatCode="0.00000"/>
    <numFmt numFmtId="167" formatCode="0.000000"/>
    <numFmt numFmtId="168" formatCode="_-* #,##0_-;\-* #,##0_-;_-* &quot;-&quot;??_-;_-@_-"/>
    <numFmt numFmtId="169" formatCode="_-* #,##0.000_-;\-* #,##0.000_-;_-* &quot;-&quot;??_-;_-@_-"/>
    <numFmt numFmtId="170" formatCode="_-* #,##0.0000_-;\-* #,##0.0000_-;_-* &quot;-&quot;??_-;_-@_-"/>
    <numFmt numFmtId="171" formatCode="0.0%"/>
  </numFmts>
  <fonts count="5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name val="Arial"/>
      <family val="2"/>
    </font>
    <font>
      <sz val="9"/>
      <color theme="0"/>
      <name val="Calibri"/>
      <family val="2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z val="16"/>
      <color theme="0"/>
      <name val="Calibri"/>
      <family val="2"/>
      <charset val="1"/>
      <scheme val="minor"/>
    </font>
    <font>
      <sz val="9"/>
      <color rgb="FF000000"/>
      <name val="Lucida Sans Unicode"/>
      <family val="2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name val="Calibri"/>
      <family val="2"/>
      <charset val="1"/>
      <scheme val="minor"/>
    </font>
    <font>
      <sz val="14"/>
      <name val="Calibri"/>
      <family val="2"/>
      <charset val="1"/>
      <scheme val="minor"/>
    </font>
    <font>
      <vertAlign val="subscript"/>
      <sz val="9"/>
      <color indexed="9"/>
      <name val="Calibri"/>
      <family val="2"/>
    </font>
    <font>
      <sz val="9"/>
      <color indexed="9"/>
      <name val="Calibri"/>
      <family val="2"/>
    </font>
    <font>
      <sz val="9"/>
      <name val="Calibri"/>
      <family val="2"/>
    </font>
    <font>
      <sz val="9"/>
      <name val="Arial"/>
      <family val="2"/>
    </font>
    <font>
      <b/>
      <sz val="10"/>
      <color rgb="FFC00000"/>
      <name val="Arial"/>
      <family val="2"/>
    </font>
    <font>
      <sz val="10"/>
      <name val="Calibri"/>
      <family val="2"/>
    </font>
    <font>
      <b/>
      <sz val="10"/>
      <color rgb="FF0070C0"/>
      <name val="Arial"/>
      <family val="2"/>
    </font>
    <font>
      <vertAlign val="subscript"/>
      <sz val="9"/>
      <name val="Calibri"/>
      <family val="2"/>
    </font>
    <font>
      <b/>
      <sz val="9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C00000"/>
      <name val="Calibri"/>
      <family val="2"/>
    </font>
    <font>
      <sz val="11"/>
      <color rgb="FFC00000"/>
      <name val="Calibri"/>
      <family val="2"/>
      <charset val="1"/>
      <scheme val="minor"/>
    </font>
    <font>
      <b/>
      <sz val="10"/>
      <color rgb="FF00682F"/>
      <name val="Arial"/>
      <family val="2"/>
    </font>
    <font>
      <b/>
      <sz val="10"/>
      <color rgb="FF7030A0"/>
      <name val="Arial"/>
      <family val="2"/>
    </font>
    <font>
      <sz val="18"/>
      <color theme="0"/>
      <name val="Calibri"/>
      <family val="2"/>
      <charset val="1"/>
      <scheme val="minor"/>
    </font>
    <font>
      <sz val="18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vertAlign val="subscript"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rgb="FF00682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F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9" fillId="0" borderId="0" applyFont="0" applyFill="0" applyBorder="0" applyAlignment="0" applyProtection="0"/>
  </cellStyleXfs>
  <cellXfs count="255">
    <xf numFmtId="0" fontId="0" fillId="0" borderId="0" xfId="0"/>
    <xf numFmtId="0" fontId="5" fillId="3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/>
    </xf>
    <xf numFmtId="9" fontId="0" fillId="7" borderId="1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/>
    <xf numFmtId="0" fontId="8" fillId="0" borderId="0" xfId="0" applyFont="1"/>
    <xf numFmtId="0" fontId="0" fillId="0" borderId="0" xfId="0" applyAlignment="1">
      <alignment horizontal="right"/>
    </xf>
    <xf numFmtId="0" fontId="5" fillId="3" borderId="0" xfId="0" applyFont="1" applyFill="1" applyBorder="1" applyAlignment="1">
      <alignment horizontal="left" vertical="top" wrapText="1"/>
    </xf>
    <xf numFmtId="0" fontId="0" fillId="11" borderId="0" xfId="0" applyFill="1"/>
    <xf numFmtId="0" fontId="12" fillId="0" borderId="0" xfId="0" applyFont="1"/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3" fontId="14" fillId="11" borderId="0" xfId="0" applyNumberFormat="1" applyFont="1" applyFill="1" applyBorder="1" applyAlignment="1">
      <alignment horizontal="center" vertical="top" wrapText="1"/>
    </xf>
    <xf numFmtId="3" fontId="14" fillId="11" borderId="0" xfId="0" quotePrefix="1" applyNumberFormat="1" applyFont="1" applyFill="1" applyBorder="1" applyAlignment="1">
      <alignment horizontal="center" vertical="top" wrapText="1"/>
    </xf>
    <xf numFmtId="0" fontId="11" fillId="11" borderId="0" xfId="0" applyFont="1" applyFill="1"/>
    <xf numFmtId="3" fontId="0" fillId="11" borderId="0" xfId="0" applyNumberFormat="1" applyFill="1"/>
    <xf numFmtId="0" fontId="0" fillId="11" borderId="0" xfId="0" quotePrefix="1" applyFill="1"/>
    <xf numFmtId="0" fontId="0" fillId="0" borderId="0" xfId="0" applyAlignment="1">
      <alignment vertical="top"/>
    </xf>
    <xf numFmtId="0" fontId="15" fillId="3" borderId="1" xfId="0" applyFont="1" applyFill="1" applyBorder="1" applyAlignment="1">
      <alignment vertical="top" wrapText="1"/>
    </xf>
    <xf numFmtId="0" fontId="16" fillId="14" borderId="1" xfId="0" applyFont="1" applyFill="1" applyBorder="1" applyAlignment="1">
      <alignment vertical="top"/>
    </xf>
    <xf numFmtId="0" fontId="16" fillId="8" borderId="1" xfId="0" applyFont="1" applyFill="1" applyBorder="1" applyAlignment="1">
      <alignment vertical="top" wrapText="1"/>
    </xf>
    <xf numFmtId="0" fontId="16" fillId="14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left" vertical="top" wrapText="1"/>
    </xf>
    <xf numFmtId="0" fontId="16" fillId="12" borderId="1" xfId="0" applyFont="1" applyFill="1" applyBorder="1" applyAlignment="1">
      <alignment vertical="top" wrapText="1"/>
    </xf>
    <xf numFmtId="0" fontId="18" fillId="12" borderId="1" xfId="0" applyFont="1" applyFill="1" applyBorder="1" applyAlignment="1">
      <alignment vertical="top" wrapText="1"/>
    </xf>
    <xf numFmtId="0" fontId="16" fillId="11" borderId="1" xfId="0" applyFont="1" applyFill="1" applyBorder="1" applyAlignment="1">
      <alignment vertical="top" wrapText="1"/>
    </xf>
    <xf numFmtId="0" fontId="7" fillId="5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9" fillId="0" borderId="0" xfId="0" applyFont="1" applyFill="1" applyAlignment="1">
      <alignment horizontal="left"/>
    </xf>
    <xf numFmtId="0" fontId="20" fillId="0" borderId="0" xfId="0" applyFont="1" applyFill="1" applyAlignment="1">
      <alignment horizontal="left"/>
    </xf>
    <xf numFmtId="2" fontId="0" fillId="0" borderId="0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/>
    </xf>
    <xf numFmtId="2" fontId="24" fillId="0" borderId="1" xfId="0" applyNumberFormat="1" applyFont="1" applyBorder="1" applyAlignment="1">
      <alignment wrapText="1"/>
    </xf>
    <xf numFmtId="2" fontId="24" fillId="0" borderId="1" xfId="0" applyNumberFormat="1" applyFont="1" applyBorder="1" applyAlignment="1">
      <alignment vertical="top" wrapText="1"/>
    </xf>
    <xf numFmtId="2" fontId="24" fillId="0" borderId="1" xfId="0" applyNumberFormat="1" applyFont="1" applyBorder="1"/>
    <xf numFmtId="0" fontId="25" fillId="0" borderId="0" xfId="0" applyFont="1"/>
    <xf numFmtId="0" fontId="4" fillId="15" borderId="19" xfId="0" applyFont="1" applyFill="1" applyBorder="1" applyAlignment="1">
      <alignment horizontal="center" vertical="top"/>
    </xf>
    <xf numFmtId="0" fontId="4" fillId="15" borderId="20" xfId="0" applyFont="1" applyFill="1" applyBorder="1" applyAlignment="1">
      <alignment horizontal="center" vertical="top"/>
    </xf>
    <xf numFmtId="0" fontId="4" fillId="15" borderId="9" xfId="0" applyFont="1" applyFill="1" applyBorder="1" applyAlignment="1">
      <alignment horizontal="center" vertical="top"/>
    </xf>
    <xf numFmtId="0" fontId="4" fillId="15" borderId="10" xfId="0" applyFont="1" applyFill="1" applyBorder="1" applyAlignment="1">
      <alignment vertical="top"/>
    </xf>
    <xf numFmtId="0" fontId="4" fillId="15" borderId="11" xfId="0" applyFont="1" applyFill="1" applyBorder="1" applyAlignment="1">
      <alignment horizontal="center" vertical="top" wrapText="1"/>
    </xf>
    <xf numFmtId="0" fontId="24" fillId="0" borderId="1" xfId="0" applyFont="1" applyBorder="1" applyAlignment="1">
      <alignment wrapText="1"/>
    </xf>
    <xf numFmtId="0" fontId="24" fillId="0" borderId="1" xfId="0" applyFont="1" applyBorder="1"/>
    <xf numFmtId="0" fontId="26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27" fillId="0" borderId="0" xfId="0" applyFont="1"/>
    <xf numFmtId="0" fontId="23" fillId="10" borderId="19" xfId="0" applyFont="1" applyFill="1" applyBorder="1" applyAlignment="1">
      <alignment horizontal="center" vertical="top" wrapText="1"/>
    </xf>
    <xf numFmtId="0" fontId="23" fillId="10" borderId="9" xfId="0" applyFont="1" applyFill="1" applyBorder="1" applyAlignment="1">
      <alignment horizontal="center" vertical="top" wrapText="1"/>
    </xf>
    <xf numFmtId="0" fontId="29" fillId="13" borderId="9" xfId="0" applyFont="1" applyFill="1" applyBorder="1" applyAlignment="1">
      <alignment horizontal="center" vertical="top" wrapText="1"/>
    </xf>
    <xf numFmtId="0" fontId="23" fillId="16" borderId="10" xfId="0" applyFont="1" applyFill="1" applyBorder="1" applyAlignment="1">
      <alignment horizontal="center" vertical="top" wrapText="1"/>
    </xf>
    <xf numFmtId="0" fontId="23" fillId="10" borderId="10" xfId="0" applyFont="1" applyFill="1" applyBorder="1" applyAlignment="1">
      <alignment horizontal="center" vertical="top" wrapText="1"/>
    </xf>
    <xf numFmtId="0" fontId="23" fillId="13" borderId="10" xfId="0" applyFont="1" applyFill="1" applyBorder="1" applyAlignment="1">
      <alignment horizontal="center" vertical="top" wrapText="1"/>
    </xf>
    <xf numFmtId="0" fontId="30" fillId="16" borderId="10" xfId="0" applyFont="1" applyFill="1" applyBorder="1" applyAlignment="1">
      <alignment horizontal="center" vertical="top" wrapText="1"/>
    </xf>
    <xf numFmtId="0" fontId="30" fillId="10" borderId="3" xfId="0" applyFont="1" applyFill="1" applyBorder="1" applyAlignment="1">
      <alignment horizontal="center" vertical="top" wrapText="1"/>
    </xf>
    <xf numFmtId="0" fontId="30" fillId="10" borderId="10" xfId="0" applyFont="1" applyFill="1" applyBorder="1" applyAlignment="1">
      <alignment horizontal="center" vertical="top" wrapText="1"/>
    </xf>
    <xf numFmtId="0" fontId="31" fillId="13" borderId="10" xfId="0" applyFont="1" applyFill="1" applyBorder="1" applyAlignment="1">
      <alignment horizontal="center" vertical="top" wrapText="1"/>
    </xf>
    <xf numFmtId="0" fontId="30" fillId="16" borderId="11" xfId="0" applyFont="1" applyFill="1" applyBorder="1" applyAlignment="1">
      <alignment horizontal="center" wrapText="1"/>
    </xf>
    <xf numFmtId="0" fontId="30" fillId="10" borderId="2" xfId="0" applyFont="1" applyFill="1" applyBorder="1" applyAlignment="1">
      <alignment horizontal="center" vertical="top" wrapText="1"/>
    </xf>
    <xf numFmtId="0" fontId="30" fillId="10" borderId="11" xfId="0" applyFont="1" applyFill="1" applyBorder="1" applyAlignment="1">
      <alignment horizontal="center" wrapText="1"/>
    </xf>
    <xf numFmtId="0" fontId="31" fillId="13" borderId="11" xfId="0" applyFont="1" applyFill="1" applyBorder="1" applyAlignment="1">
      <alignment horizontal="center" vertical="top" wrapText="1"/>
    </xf>
    <xf numFmtId="0" fontId="32" fillId="0" borderId="1" xfId="0" applyFont="1" applyBorder="1" applyAlignment="1">
      <alignment horizontal="right" vertical="top" wrapText="1"/>
    </xf>
    <xf numFmtId="2" fontId="32" fillId="0" borderId="1" xfId="0" applyNumberFormat="1" applyFont="1" applyBorder="1" applyAlignment="1">
      <alignment horizontal="right" vertical="top" wrapText="1"/>
    </xf>
    <xf numFmtId="0" fontId="4" fillId="0" borderId="0" xfId="0" applyFont="1" applyFill="1" applyBorder="1" applyAlignment="1">
      <alignment horizontal="center" vertical="top"/>
    </xf>
    <xf numFmtId="2" fontId="24" fillId="0" borderId="0" xfId="0" applyNumberFormat="1" applyFont="1" applyFill="1" applyBorder="1" applyAlignment="1">
      <alignment vertical="top" wrapText="1"/>
    </xf>
    <xf numFmtId="0" fontId="33" fillId="0" borderId="0" xfId="0" applyFont="1" applyFill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5" fillId="0" borderId="0" xfId="0" applyFont="1"/>
    <xf numFmtId="0" fontId="4" fillId="17" borderId="1" xfId="0" applyFont="1" applyFill="1" applyBorder="1" applyAlignment="1">
      <alignment horizontal="center" vertical="top" wrapText="1"/>
    </xf>
    <xf numFmtId="0" fontId="36" fillId="0" borderId="0" xfId="0" applyFont="1"/>
    <xf numFmtId="0" fontId="37" fillId="3" borderId="0" xfId="0" applyFont="1" applyFill="1"/>
    <xf numFmtId="0" fontId="38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0" fillId="8" borderId="1" xfId="0" applyFill="1" applyBorder="1" applyAlignment="1">
      <alignment vertical="center"/>
    </xf>
    <xf numFmtId="43" fontId="0" fillId="0" borderId="1" xfId="1" applyFont="1" applyBorder="1" applyAlignment="1">
      <alignment horizontal="center" vertical="center"/>
    </xf>
    <xf numFmtId="0" fontId="0" fillId="9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quotePrefix="1" applyFill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2" fontId="0" fillId="9" borderId="0" xfId="0" quotePrefix="1" applyNumberForma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8" fontId="0" fillId="8" borderId="1" xfId="1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0" fillId="7" borderId="1" xfId="0" applyFill="1" applyBorder="1" applyAlignment="1">
      <alignment horizontal="center" vertical="center"/>
    </xf>
    <xf numFmtId="10" fontId="6" fillId="8" borderId="1" xfId="0" applyNumberFormat="1" applyFont="1" applyFill="1" applyBorder="1" applyAlignment="1">
      <alignment horizontal="center" vertical="center" wrapText="1"/>
    </xf>
    <xf numFmtId="9" fontId="0" fillId="7" borderId="1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3" fontId="5" fillId="0" borderId="0" xfId="0" quotePrefix="1" applyNumberFormat="1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3" fontId="0" fillId="0" borderId="0" xfId="0" applyNumberFormat="1" applyFill="1" applyAlignment="1">
      <alignment vertical="center"/>
    </xf>
    <xf numFmtId="0" fontId="0" fillId="0" borderId="0" xfId="0" quotePrefix="1" applyFill="1" applyAlignment="1">
      <alignment vertical="center"/>
    </xf>
    <xf numFmtId="3" fontId="0" fillId="0" borderId="0" xfId="0" applyNumberFormat="1" applyFill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0" fillId="0" borderId="0" xfId="0" applyFont="1" applyAlignment="1">
      <alignment horizontal="center" vertical="center"/>
    </xf>
    <xf numFmtId="166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18" borderId="2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66" fontId="1" fillId="0" borderId="1" xfId="0" applyNumberFormat="1" applyFont="1" applyBorder="1" applyAlignment="1">
      <alignment vertical="center"/>
    </xf>
    <xf numFmtId="0" fontId="41" fillId="0" borderId="0" xfId="0" applyFont="1" applyBorder="1" applyAlignment="1">
      <alignment vertical="center" wrapText="1"/>
    </xf>
    <xf numFmtId="0" fontId="41" fillId="0" borderId="0" xfId="0" applyFont="1" applyBorder="1" applyAlignment="1">
      <alignment vertical="center"/>
    </xf>
    <xf numFmtId="0" fontId="15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0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166" fontId="41" fillId="0" borderId="1" xfId="0" applyNumberFormat="1" applyFont="1" applyBorder="1" applyAlignment="1">
      <alignment vertical="center" wrapText="1"/>
    </xf>
    <xf numFmtId="166" fontId="41" fillId="0" borderId="1" xfId="0" applyNumberFormat="1" applyFont="1" applyBorder="1" applyAlignment="1">
      <alignment vertical="center"/>
    </xf>
    <xf numFmtId="2" fontId="41" fillId="0" borderId="0" xfId="0" applyNumberFormat="1" applyFont="1" applyFill="1" applyBorder="1" applyAlignment="1">
      <alignment vertical="center" wrapText="1"/>
    </xf>
    <xf numFmtId="165" fontId="41" fillId="0" borderId="1" xfId="0" applyNumberFormat="1" applyFont="1" applyBorder="1" applyAlignment="1">
      <alignment vertical="center" wrapText="1"/>
    </xf>
    <xf numFmtId="165" fontId="41" fillId="0" borderId="1" xfId="0" applyNumberFormat="1" applyFont="1" applyBorder="1" applyAlignment="1">
      <alignment vertical="center"/>
    </xf>
    <xf numFmtId="166" fontId="41" fillId="0" borderId="8" xfId="0" applyNumberFormat="1" applyFont="1" applyBorder="1" applyAlignment="1">
      <alignment vertical="center"/>
    </xf>
    <xf numFmtId="0" fontId="46" fillId="0" borderId="0" xfId="0" applyFont="1" applyAlignment="1">
      <alignment vertical="center"/>
    </xf>
    <xf numFmtId="0" fontId="15" fillId="2" borderId="11" xfId="0" applyFont="1" applyFill="1" applyBorder="1" applyAlignment="1">
      <alignment horizontal="center" vertical="center" wrapText="1"/>
    </xf>
    <xf numFmtId="0" fontId="15" fillId="15" borderId="10" xfId="0" applyFont="1" applyFill="1" applyBorder="1" applyAlignment="1">
      <alignment horizontal="center" vertical="center"/>
    </xf>
    <xf numFmtId="0" fontId="15" fillId="15" borderId="1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vertical="center" wrapText="1"/>
    </xf>
    <xf numFmtId="2" fontId="41" fillId="0" borderId="1" xfId="0" applyNumberFormat="1" applyFont="1" applyBorder="1" applyAlignment="1">
      <alignment vertical="center" wrapText="1"/>
    </xf>
    <xf numFmtId="167" fontId="41" fillId="0" borderId="1" xfId="0" applyNumberFormat="1" applyFont="1" applyBorder="1" applyAlignment="1">
      <alignment vertical="center"/>
    </xf>
    <xf numFmtId="0" fontId="41" fillId="0" borderId="0" xfId="0" applyFont="1" applyBorder="1" applyAlignment="1">
      <alignment horizontal="center" vertical="center"/>
    </xf>
    <xf numFmtId="0" fontId="47" fillId="0" borderId="0" xfId="0" applyFont="1" applyAlignment="1">
      <alignment vertical="center"/>
    </xf>
    <xf numFmtId="0" fontId="41" fillId="16" borderId="10" xfId="0" applyFont="1" applyFill="1" applyBorder="1" applyAlignment="1">
      <alignment horizontal="center" vertical="center" wrapText="1"/>
    </xf>
    <xf numFmtId="0" fontId="41" fillId="10" borderId="10" xfId="0" applyFont="1" applyFill="1" applyBorder="1" applyAlignment="1">
      <alignment horizontal="center" vertical="center" wrapText="1"/>
    </xf>
    <xf numFmtId="0" fontId="41" fillId="13" borderId="10" xfId="0" applyFont="1" applyFill="1" applyBorder="1" applyAlignment="1">
      <alignment horizontal="center" vertical="center" wrapText="1"/>
    </xf>
    <xf numFmtId="0" fontId="18" fillId="16" borderId="10" xfId="0" applyFont="1" applyFill="1" applyBorder="1" applyAlignment="1">
      <alignment horizontal="center" vertical="center" wrapText="1"/>
    </xf>
    <xf numFmtId="0" fontId="18" fillId="10" borderId="3" xfId="0" applyFont="1" applyFill="1" applyBorder="1" applyAlignment="1">
      <alignment horizontal="center" vertical="center" wrapText="1"/>
    </xf>
    <xf numFmtId="0" fontId="18" fillId="10" borderId="10" xfId="0" applyFont="1" applyFill="1" applyBorder="1" applyAlignment="1">
      <alignment horizontal="center" vertical="center" wrapText="1"/>
    </xf>
    <xf numFmtId="0" fontId="50" fillId="13" borderId="10" xfId="0" applyFont="1" applyFill="1" applyBorder="1" applyAlignment="1">
      <alignment horizontal="center" vertical="center" wrapText="1"/>
    </xf>
    <xf numFmtId="0" fontId="18" fillId="16" borderId="11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50" fillId="13" borderId="11" xfId="0" applyFont="1" applyFill="1" applyBorder="1" applyAlignment="1">
      <alignment horizontal="center" vertical="center" wrapText="1"/>
    </xf>
    <xf numFmtId="43" fontId="41" fillId="0" borderId="1" xfId="1" applyFont="1" applyBorder="1" applyAlignment="1">
      <alignment vertical="center" wrapText="1"/>
    </xf>
    <xf numFmtId="170" fontId="41" fillId="0" borderId="1" xfId="1" applyNumberFormat="1" applyFont="1" applyBorder="1" applyAlignment="1">
      <alignment vertical="center" wrapText="1"/>
    </xf>
    <xf numFmtId="169" fontId="41" fillId="0" borderId="1" xfId="1" applyNumberFormat="1" applyFont="1" applyBorder="1" applyAlignment="1">
      <alignment vertical="center"/>
    </xf>
    <xf numFmtId="43" fontId="18" fillId="0" borderId="1" xfId="1" applyFont="1" applyBorder="1" applyAlignment="1">
      <alignment horizontal="right" vertical="center" wrapText="1"/>
    </xf>
    <xf numFmtId="170" fontId="18" fillId="0" borderId="1" xfId="1" applyNumberFormat="1" applyFont="1" applyBorder="1" applyAlignment="1">
      <alignment horizontal="right" vertical="center" wrapText="1"/>
    </xf>
    <xf numFmtId="43" fontId="41" fillId="0" borderId="1" xfId="1" applyNumberFormat="1" applyFont="1" applyBorder="1" applyAlignment="1">
      <alignment vertical="center" wrapText="1"/>
    </xf>
    <xf numFmtId="0" fontId="41" fillId="8" borderId="1" xfId="0" applyFont="1" applyFill="1" applyBorder="1" applyAlignment="1">
      <alignment horizontal="center" vertical="center"/>
    </xf>
    <xf numFmtId="0" fontId="41" fillId="8" borderId="1" xfId="0" applyFont="1" applyFill="1" applyBorder="1" applyAlignment="1">
      <alignment horizontal="center" vertical="center" wrapText="1"/>
    </xf>
    <xf numFmtId="43" fontId="41" fillId="8" borderId="1" xfId="1" applyNumberFormat="1" applyFont="1" applyFill="1" applyBorder="1" applyAlignment="1">
      <alignment vertical="center"/>
    </xf>
    <xf numFmtId="43" fontId="1" fillId="8" borderId="1" xfId="1" applyFont="1" applyFill="1" applyBorder="1" applyAlignment="1">
      <alignment vertical="center" wrapText="1"/>
    </xf>
    <xf numFmtId="43" fontId="1" fillId="0" borderId="1" xfId="0" applyNumberFormat="1" applyFont="1" applyBorder="1" applyAlignment="1">
      <alignment vertical="center"/>
    </xf>
    <xf numFmtId="0" fontId="51" fillId="19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/>
    </xf>
    <xf numFmtId="43" fontId="52" fillId="0" borderId="1" xfId="1" applyFont="1" applyBorder="1" applyAlignment="1">
      <alignment vertical="center"/>
    </xf>
    <xf numFmtId="171" fontId="6" fillId="8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top" wrapText="1"/>
    </xf>
    <xf numFmtId="2" fontId="0" fillId="0" borderId="12" xfId="0" applyNumberFormat="1" applyBorder="1" applyAlignment="1">
      <alignment horizontal="center" vertical="top" wrapText="1"/>
    </xf>
    <xf numFmtId="2" fontId="0" fillId="0" borderId="5" xfId="0" applyNumberFormat="1" applyBorder="1" applyAlignment="1">
      <alignment horizontal="center" vertical="top" wrapText="1"/>
    </xf>
    <xf numFmtId="10" fontId="6" fillId="0" borderId="4" xfId="0" applyNumberFormat="1" applyFont="1" applyFill="1" applyBorder="1" applyAlignment="1">
      <alignment horizontal="center" vertical="top" wrapText="1"/>
    </xf>
    <xf numFmtId="10" fontId="6" fillId="0" borderId="12" xfId="0" applyNumberFormat="1" applyFont="1" applyFill="1" applyBorder="1" applyAlignment="1">
      <alignment horizontal="center" vertical="top" wrapText="1"/>
    </xf>
    <xf numFmtId="10" fontId="6" fillId="0" borderId="5" xfId="0" applyNumberFormat="1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 wrapText="1"/>
    </xf>
    <xf numFmtId="0" fontId="16" fillId="11" borderId="1" xfId="0" applyFont="1" applyFill="1" applyBorder="1" applyAlignment="1">
      <alignment vertical="top" wrapText="1"/>
    </xf>
    <xf numFmtId="0" fontId="17" fillId="8" borderId="1" xfId="0" applyFont="1" applyFill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 wrapText="1"/>
    </xf>
    <xf numFmtId="0" fontId="16" fillId="0" borderId="15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left" vertical="top" wrapText="1"/>
    </xf>
    <xf numFmtId="0" fontId="16" fillId="0" borderId="14" xfId="0" applyFont="1" applyBorder="1" applyAlignment="1">
      <alignment horizontal="left" vertical="top" wrapText="1"/>
    </xf>
    <xf numFmtId="0" fontId="16" fillId="0" borderId="17" xfId="0" applyFont="1" applyBorder="1" applyAlignment="1">
      <alignment horizontal="left" vertical="top" wrapText="1"/>
    </xf>
    <xf numFmtId="0" fontId="16" fillId="0" borderId="18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wrapText="1"/>
    </xf>
    <xf numFmtId="0" fontId="16" fillId="12" borderId="1" xfId="0" applyFont="1" applyFill="1" applyBorder="1" applyAlignment="1">
      <alignment vertical="top" wrapText="1"/>
    </xf>
    <xf numFmtId="0" fontId="16" fillId="14" borderId="1" xfId="0" applyFont="1" applyFill="1" applyBorder="1" applyAlignment="1">
      <alignment horizontal="center" vertical="top" wrapText="1"/>
    </xf>
    <xf numFmtId="0" fontId="7" fillId="5" borderId="0" xfId="0" applyFont="1" applyFill="1" applyAlignment="1">
      <alignment horizontal="center"/>
    </xf>
    <xf numFmtId="0" fontId="10" fillId="3" borderId="1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3" fontId="14" fillId="11" borderId="0" xfId="0" applyNumberFormat="1" applyFont="1" applyFill="1" applyBorder="1" applyAlignment="1">
      <alignment horizontal="center" vertical="top" wrapText="1"/>
    </xf>
    <xf numFmtId="3" fontId="0" fillId="11" borderId="0" xfId="0" applyNumberFormat="1" applyFill="1" applyAlignment="1">
      <alignment horizontal="right"/>
    </xf>
    <xf numFmtId="2" fontId="0" fillId="0" borderId="1" xfId="0" applyNumberFormat="1" applyBorder="1" applyAlignment="1">
      <alignment horizontal="center" vertical="top" wrapText="1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 wrapText="1"/>
    </xf>
    <xf numFmtId="0" fontId="15" fillId="15" borderId="3" xfId="0" applyFont="1" applyFill="1" applyBorder="1" applyAlignment="1">
      <alignment horizontal="center" vertical="center"/>
    </xf>
    <xf numFmtId="0" fontId="15" fillId="15" borderId="2" xfId="0" applyFont="1" applyFill="1" applyBorder="1" applyAlignment="1">
      <alignment horizontal="center" vertical="center"/>
    </xf>
    <xf numFmtId="0" fontId="15" fillId="15" borderId="19" xfId="0" applyFont="1" applyFill="1" applyBorder="1" applyAlignment="1">
      <alignment horizontal="center" vertical="center"/>
    </xf>
    <xf numFmtId="0" fontId="15" fillId="15" borderId="20" xfId="0" applyFont="1" applyFill="1" applyBorder="1" applyAlignment="1">
      <alignment horizontal="center" vertical="center"/>
    </xf>
    <xf numFmtId="0" fontId="15" fillId="15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41" fillId="10" borderId="19" xfId="0" applyFont="1" applyFill="1" applyBorder="1" applyAlignment="1">
      <alignment horizontal="center" vertical="center" wrapText="1"/>
    </xf>
    <xf numFmtId="0" fontId="41" fillId="10" borderId="9" xfId="0" applyFont="1" applyFill="1" applyBorder="1" applyAlignment="1">
      <alignment horizontal="center" vertical="center" wrapText="1"/>
    </xf>
    <xf numFmtId="0" fontId="41" fillId="8" borderId="1" xfId="0" applyFont="1" applyFill="1" applyBorder="1" applyAlignment="1">
      <alignment horizontal="center" vertical="center"/>
    </xf>
    <xf numFmtId="0" fontId="49" fillId="13" borderId="19" xfId="0" applyFont="1" applyFill="1" applyBorder="1" applyAlignment="1">
      <alignment horizontal="center" vertical="center" wrapText="1"/>
    </xf>
    <xf numFmtId="0" fontId="49" fillId="13" borderId="9" xfId="0" applyFont="1" applyFill="1" applyBorder="1" applyAlignment="1">
      <alignment horizontal="center" vertical="center" wrapText="1"/>
    </xf>
    <xf numFmtId="0" fontId="41" fillId="13" borderId="3" xfId="0" applyFont="1" applyFill="1" applyBorder="1" applyAlignment="1">
      <alignment horizontal="center" vertical="center" wrapText="1"/>
    </xf>
    <xf numFmtId="0" fontId="41" fillId="13" borderId="2" xfId="0" applyFont="1" applyFill="1" applyBorder="1" applyAlignment="1">
      <alignment horizontal="center" vertical="center" wrapText="1"/>
    </xf>
    <xf numFmtId="0" fontId="41" fillId="16" borderId="19" xfId="0" applyFont="1" applyFill="1" applyBorder="1" applyAlignment="1">
      <alignment horizontal="center" vertical="center"/>
    </xf>
    <xf numFmtId="0" fontId="41" fillId="16" borderId="9" xfId="0" applyFont="1" applyFill="1" applyBorder="1" applyAlignment="1">
      <alignment horizontal="center" vertical="center"/>
    </xf>
    <xf numFmtId="0" fontId="18" fillId="16" borderId="3" xfId="0" applyFont="1" applyFill="1" applyBorder="1" applyAlignment="1">
      <alignment horizontal="center" vertical="center" wrapText="1"/>
    </xf>
    <xf numFmtId="0" fontId="18" fillId="16" borderId="2" xfId="0" applyFont="1" applyFill="1" applyBorder="1" applyAlignment="1">
      <alignment horizontal="center" vertical="center" wrapText="1"/>
    </xf>
    <xf numFmtId="0" fontId="51" fillId="19" borderId="1" xfId="0" applyFont="1" applyFill="1" applyBorder="1" applyAlignment="1">
      <alignment horizontal="center" vertical="center"/>
    </xf>
    <xf numFmtId="0" fontId="23" fillId="13" borderId="3" xfId="0" applyFont="1" applyFill="1" applyBorder="1" applyAlignment="1">
      <alignment horizontal="center" vertical="top" wrapText="1"/>
    </xf>
    <xf numFmtId="0" fontId="23" fillId="13" borderId="2" xfId="0" applyFont="1" applyFill="1" applyBorder="1" applyAlignment="1">
      <alignment horizontal="center" vertical="top" wrapText="1"/>
    </xf>
    <xf numFmtId="0" fontId="23" fillId="16" borderId="19" xfId="0" applyFont="1" applyFill="1" applyBorder="1" applyAlignment="1">
      <alignment horizontal="center"/>
    </xf>
    <xf numFmtId="0" fontId="23" fillId="16" borderId="9" xfId="0" applyFont="1" applyFill="1" applyBorder="1" applyAlignment="1">
      <alignment horizontal="center"/>
    </xf>
    <xf numFmtId="0" fontId="30" fillId="16" borderId="3" xfId="0" applyFont="1" applyFill="1" applyBorder="1" applyAlignment="1">
      <alignment horizontal="center" vertical="top" wrapText="1"/>
    </xf>
    <xf numFmtId="0" fontId="30" fillId="16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19" xfId="0" applyFont="1" applyFill="1" applyBorder="1" applyAlignment="1">
      <alignment horizontal="center" vertical="top"/>
    </xf>
    <xf numFmtId="0" fontId="4" fillId="2" borderId="20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15" borderId="3" xfId="0" applyFont="1" applyFill="1" applyBorder="1" applyAlignment="1">
      <alignment horizontal="center" vertical="top"/>
    </xf>
    <xf numFmtId="0" fontId="4" fillId="15" borderId="2" xfId="0" applyFont="1" applyFill="1" applyBorder="1" applyAlignment="1">
      <alignment horizontal="center" vertical="top"/>
    </xf>
    <xf numFmtId="0" fontId="4" fillId="17" borderId="1" xfId="0" applyFont="1" applyFill="1" applyBorder="1" applyAlignment="1">
      <alignment horizontal="center" vertical="top"/>
    </xf>
    <xf numFmtId="0" fontId="4" fillId="17" borderId="1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0068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Profil BaU Baseline Pengelolaan Sampah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3"/>
          <c:order val="0"/>
          <c:tx>
            <c:strRef>
              <c:f>'Rekapitulasi BaU Emisi GRK'!$B$23:$F$23</c:f>
              <c:strCache>
                <c:ptCount val="1"/>
                <c:pt idx="0">
                  <c:v> Emisi GRK dari komposting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  <a:sp3d contourW="9525">
              <a:contourClr>
                <a:schemeClr val="accent4">
                  <a:shade val="95000"/>
                </a:schemeClr>
              </a:contourClr>
            </a:sp3d>
          </c:spPr>
          <c:invertIfNegative val="0"/>
          <c:cat>
            <c:numRef>
              <c:f>'Rekapitulasi BaU Emisi GRK'!$A$26:$A$36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'Rekapitulasi BaU Emisi GRK'!$F$26:$F$36</c:f>
              <c:numCache>
                <c:formatCode>0.00000</c:formatCode>
                <c:ptCount val="11"/>
                <c:pt idx="0">
                  <c:v>0.22313017188000001</c:v>
                </c:pt>
                <c:pt idx="1">
                  <c:v>0.22727891736000005</c:v>
                </c:pt>
                <c:pt idx="2">
                  <c:v>0.23412234977999996</c:v>
                </c:pt>
                <c:pt idx="3">
                  <c:v>0.25259351930999996</c:v>
                </c:pt>
                <c:pt idx="4">
                  <c:v>0.25515678375</c:v>
                </c:pt>
                <c:pt idx="5">
                  <c:v>0.26210377709999999</c:v>
                </c:pt>
                <c:pt idx="6">
                  <c:v>0.26739957815999998</c:v>
                </c:pt>
                <c:pt idx="7">
                  <c:v>0.27268696817999993</c:v>
                </c:pt>
                <c:pt idx="8">
                  <c:v>0.27793335438</c:v>
                </c:pt>
                <c:pt idx="9">
                  <c:v>0.28309931000999999</c:v>
                </c:pt>
                <c:pt idx="10">
                  <c:v>0.32943940920000003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A3D-4E3C-8DEE-62A0A2CA5931}"/>
            </c:ext>
          </c:extLst>
        </c:ser>
        <c:ser>
          <c:idx val="2"/>
          <c:order val="1"/>
          <c:tx>
            <c:strRef>
              <c:f>'Rekapitulasi BaU Emisi GRK'!$Q$6:$S$6</c:f>
              <c:strCache>
                <c:ptCount val="1"/>
                <c:pt idx="0">
                  <c:v> Emisi GRK dari sampah dibuang ke badan air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  <a:sp3d contourW="9525">
              <a:contourClr>
                <a:schemeClr val="accent3">
                  <a:shade val="95000"/>
                </a:schemeClr>
              </a:contourClr>
            </a:sp3d>
          </c:spPr>
          <c:invertIfNegative val="0"/>
          <c:cat>
            <c:numRef>
              <c:f>'Rekapitulasi BaU Emisi GRK'!$A$26:$A$36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'Rekapitulasi BaU Emisi GRK'!$S$9:$S$19</c:f>
              <c:numCache>
                <c:formatCode>0.0000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A3D-4E3C-8DEE-62A0A2CA5931}"/>
            </c:ext>
          </c:extLst>
        </c:ser>
        <c:ser>
          <c:idx val="1"/>
          <c:order val="2"/>
          <c:tx>
            <c:strRef>
              <c:f>'Rekapitulasi BaU Emisi GRK'!$G$6:$I$6</c:f>
              <c:strCache>
                <c:ptCount val="1"/>
                <c:pt idx="0">
                  <c:v> Emisi GRK dari sampah terhampar sembarangan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  <a:sp3d contourW="9525">
              <a:contourClr>
                <a:schemeClr val="accent2">
                  <a:shade val="95000"/>
                </a:schemeClr>
              </a:contourClr>
            </a:sp3d>
          </c:spPr>
          <c:invertIfNegative val="0"/>
          <c:cat>
            <c:numRef>
              <c:f>'Rekapitulasi BaU Emisi GRK'!$A$26:$A$36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'Rekapitulasi BaU Emisi GRK'!$I$9:$I$19</c:f>
              <c:numCache>
                <c:formatCode>0.00000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A3D-4E3C-8DEE-62A0A2CA5931}"/>
            </c:ext>
          </c:extLst>
        </c:ser>
        <c:ser>
          <c:idx val="0"/>
          <c:order val="3"/>
          <c:tx>
            <c:strRef>
              <c:f>'Rekapitulasi BaU Emisi GRK'!$B$6:$D$6</c:f>
              <c:strCache>
                <c:ptCount val="1"/>
                <c:pt idx="0">
                  <c:v> Emisi GRK TPA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cat>
            <c:numRef>
              <c:f>'Rekapitulasi BaU Emisi GRK'!$A$26:$A$36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'Rekapitulasi BaU Emisi GRK'!$D$9:$D$19</c:f>
              <c:numCache>
                <c:formatCode>0.00000</c:formatCode>
                <c:ptCount val="11"/>
                <c:pt idx="0">
                  <c:v>0</c:v>
                </c:pt>
                <c:pt idx="1">
                  <c:v>11.60732796702176</c:v>
                </c:pt>
                <c:pt idx="2">
                  <c:v>19.891293620580875</c:v>
                </c:pt>
                <c:pt idx="3">
                  <c:v>26.056775017546745</c:v>
                </c:pt>
                <c:pt idx="4">
                  <c:v>31.38401327156835</c:v>
                </c:pt>
                <c:pt idx="5">
                  <c:v>35.317061058858741</c:v>
                </c:pt>
                <c:pt idx="6">
                  <c:v>38.51926107097453</c:v>
                </c:pt>
                <c:pt idx="7">
                  <c:v>41.130329984069327</c:v>
                </c:pt>
                <c:pt idx="8">
                  <c:v>43.329401207107146</c:v>
                </c:pt>
                <c:pt idx="9">
                  <c:v>45.236942753478132</c:v>
                </c:pt>
                <c:pt idx="10">
                  <c:v>46.933394011727195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A3D-4E3C-8DEE-62A0A2CA5931}"/>
            </c:ext>
          </c:extLst>
        </c:ser>
        <c:ser>
          <c:idx val="4"/>
          <c:order val="4"/>
          <c:tx>
            <c:strRef>
              <c:f>'Rekapitulasi BaU Emisi GRK'!$B$49</c:f>
              <c:strCache>
                <c:ptCount val="1"/>
                <c:pt idx="0">
                  <c:v> Emisi GRK Dari Pembakaran Sampah</c:v>
                </c:pt>
              </c:strCache>
            </c:strRef>
          </c:tx>
          <c:invertIfNegative val="0"/>
          <c:cat>
            <c:numRef>
              <c:f>'Rekapitulasi BaU Emisi GRK'!$A$26:$A$36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'Rekapitulasi BaU Emisi GRK'!$F$52:$F$62</c:f>
              <c:numCache>
                <c:formatCode>0.000000</c:formatCode>
                <c:ptCount val="11"/>
                <c:pt idx="0">
                  <c:v>1.2168932684554803</c:v>
                </c:pt>
                <c:pt idx="1">
                  <c:v>1.2395194350765601</c:v>
                </c:pt>
                <c:pt idx="2">
                  <c:v>1.2768417154963803</c:v>
                </c:pt>
                <c:pt idx="3">
                  <c:v>1.3775786157200098</c:v>
                </c:pt>
                <c:pt idx="4">
                  <c:v>1.3915579857712499</c:v>
                </c:pt>
                <c:pt idx="5">
                  <c:v>1.4294450602641002</c:v>
                </c:pt>
                <c:pt idx="6">
                  <c:v>1.4583269663133598</c:v>
                </c:pt>
                <c:pt idx="7">
                  <c:v>1.4871630007627803</c:v>
                </c:pt>
                <c:pt idx="8">
                  <c:v>1.5157754111629802</c:v>
                </c:pt>
                <c:pt idx="9">
                  <c:v>1.5439491743897105</c:v>
                </c:pt>
                <c:pt idx="10">
                  <c:v>1.7966758867331998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68385824"/>
        <c:axId val="265526248"/>
        <c:axId val="0"/>
      </c:bar3DChart>
      <c:catAx>
        <c:axId val="26838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65526248"/>
        <c:crosses val="autoZero"/>
        <c:auto val="1"/>
        <c:lblAlgn val="ctr"/>
        <c:lblOffset val="100"/>
        <c:noMultiLvlLbl val="0"/>
      </c:catAx>
      <c:valAx>
        <c:axId val="26552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GG CO2eq</a:t>
                </a:r>
              </a:p>
            </c:rich>
          </c:tx>
          <c:layout>
            <c:manualLayout>
              <c:xMode val="edge"/>
              <c:yMode val="edge"/>
              <c:x val="4.9674414960116375E-2"/>
              <c:y val="0.256329515538726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683858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Proyeksi</a:t>
            </a:r>
            <a:r>
              <a:rPr lang="en-US" baseline="0"/>
              <a:t> BaU Baseline Pengelolaan Air Limbah Domestik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1"/>
          <c:order val="0"/>
          <c:tx>
            <c:strRef>
              <c:f>'Rekapitulasi BaU Emisi GRK'!$D$77</c:f>
              <c:strCache>
                <c:ptCount val="1"/>
                <c:pt idx="0">
                  <c:v>Emisi N2O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  <a:sp3d contourW="9525">
              <a:contourClr>
                <a:schemeClr val="accent2">
                  <a:shade val="95000"/>
                </a:schemeClr>
              </a:contourClr>
            </a:sp3d>
          </c:spPr>
          <c:invertIfNegative val="0"/>
          <c:cat>
            <c:numRef>
              <c:f>'Rekapitulasi BaU Emisi GRK'!$A$81:$A$91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'Rekapitulasi BaU Emisi GRK'!$E$81:$E$91</c:f>
              <c:numCache>
                <c:formatCode>_(* #,##0.00_);_(* \(#,##0.00\);_(* "-"??_);_(@_)</c:formatCode>
                <c:ptCount val="11"/>
                <c:pt idx="0">
                  <c:v>4.8082007450399997</c:v>
                </c:pt>
                <c:pt idx="1">
                  <c:v>4.8976014788800004</c:v>
                </c:pt>
                <c:pt idx="2">
                  <c:v>5.0450696432399988</c:v>
                </c:pt>
                <c:pt idx="3">
                  <c:v>5.4431022819800017</c:v>
                </c:pt>
                <c:pt idx="4">
                  <c:v>5.4983377075000002</c:v>
                </c:pt>
                <c:pt idx="5">
                  <c:v>5.6480374917999994</c:v>
                </c:pt>
                <c:pt idx="6">
                  <c:v>5.7621559652800007</c:v>
                </c:pt>
                <c:pt idx="7">
                  <c:v>5.8760931904399998</c:v>
                </c:pt>
                <c:pt idx="8">
                  <c:v>5.9891468300400001</c:v>
                </c:pt>
                <c:pt idx="9">
                  <c:v>6.1004672825800021</c:v>
                </c:pt>
                <c:pt idx="10">
                  <c:v>7.0990435736000013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1B6-4E3B-B66E-53C1BCC44E9F}"/>
            </c:ext>
          </c:extLst>
        </c:ser>
        <c:ser>
          <c:idx val="0"/>
          <c:order val="1"/>
          <c:tx>
            <c:strRef>
              <c:f>'Rekapitulasi BaU Emisi GRK'!$B$77:$C$77</c:f>
              <c:strCache>
                <c:ptCount val="1"/>
                <c:pt idx="0">
                  <c:v>Emisi CH4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cat>
            <c:numRef>
              <c:f>'Rekapitulasi BaU Emisi GRK'!$A$81:$A$91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'Rekapitulasi BaU Emisi GRK'!$C$81:$C$91</c:f>
              <c:numCache>
                <c:formatCode>_(* #,##0.00_);_(* \(#,##0.00\);_(* "-"??_);_(@_)</c:formatCode>
                <c:ptCount val="11"/>
                <c:pt idx="0">
                  <c:v>9.3120819698592019</c:v>
                </c:pt>
                <c:pt idx="1">
                  <c:v>9.4852251071423996</c:v>
                </c:pt>
                <c:pt idx="2">
                  <c:v>9.7708279151952002</c:v>
                </c:pt>
                <c:pt idx="3">
                  <c:v>10.541701003730399</c:v>
                </c:pt>
                <c:pt idx="4">
                  <c:v>10.648675907100001</c:v>
                </c:pt>
                <c:pt idx="5">
                  <c:v>10.938600711864</c:v>
                </c:pt>
                <c:pt idx="6">
                  <c:v>11.159614899014398</c:v>
                </c:pt>
                <c:pt idx="7">
                  <c:v>11.380278061051198</c:v>
                </c:pt>
                <c:pt idx="8">
                  <c:v>11.599229975659201</c:v>
                </c:pt>
                <c:pt idx="9">
                  <c:v>11.814825212618398</c:v>
                </c:pt>
                <c:pt idx="10">
                  <c:v>13.748776136927999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1B6-4E3B-B66E-53C1BCC44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65527424"/>
        <c:axId val="265527816"/>
        <c:axId val="0"/>
      </c:bar3DChart>
      <c:catAx>
        <c:axId val="26552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27816"/>
        <c:crosses val="autoZero"/>
        <c:auto val="1"/>
        <c:lblAlgn val="ctr"/>
        <c:lblOffset val="100"/>
        <c:noMultiLvlLbl val="0"/>
      </c:catAx>
      <c:valAx>
        <c:axId val="26552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Gg</a:t>
                </a:r>
                <a:r>
                  <a:rPr lang="en-US" sz="2000" baseline="0"/>
                  <a:t> CO2 EQ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274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'Rekapitulasi BaU Emisi GRK'!$A$81:$A$91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'Rekapitulasi BaU Emisi GRK'!$G$81:$G$91</c:f>
              <c:numCache>
                <c:formatCode>_(* #,##0.00_);_(* \(#,##0.00\);_(* "-"??_);_(@_)</c:formatCode>
                <c:ptCount val="11"/>
                <c:pt idx="0">
                  <c:v>14120.2827148992</c:v>
                </c:pt>
                <c:pt idx="1">
                  <c:v>14382.8265860224</c:v>
                </c:pt>
                <c:pt idx="2">
                  <c:v>14815.897558435199</c:v>
                </c:pt>
                <c:pt idx="3">
                  <c:v>15984.803285710401</c:v>
                </c:pt>
                <c:pt idx="4">
                  <c:v>16147.013614600002</c:v>
                </c:pt>
                <c:pt idx="5">
                  <c:v>16586.638203663999</c:v>
                </c:pt>
                <c:pt idx="6">
                  <c:v>16921.770864294398</c:v>
                </c:pt>
                <c:pt idx="7">
                  <c:v>17256.3712514912</c:v>
                </c:pt>
                <c:pt idx="8">
                  <c:v>17588.376805699201</c:v>
                </c:pt>
                <c:pt idx="9">
                  <c:v>17915.292495198402</c:v>
                </c:pt>
                <c:pt idx="10">
                  <c:v>20847.819710528001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528992"/>
        <c:axId val="265529384"/>
      </c:lineChart>
      <c:catAx>
        <c:axId val="26552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29384"/>
        <c:crosses val="autoZero"/>
        <c:auto val="1"/>
        <c:lblAlgn val="ctr"/>
        <c:lblOffset val="100"/>
        <c:noMultiLvlLbl val="0"/>
      </c:catAx>
      <c:valAx>
        <c:axId val="26552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2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'Rekapitulasi BaU Emisi GRK'!$H$52:$H$62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'Rekapitulasi BaU Emisi GRK'!$J$52:$J$62</c:f>
              <c:numCache>
                <c:formatCode>_(* #,##0.00_);_(* \(#,##0.00\);_(* "-"??_);_(@_)</c:formatCode>
                <c:ptCount val="11"/>
                <c:pt idx="0">
                  <c:v>1440.0234403354802</c:v>
                </c:pt>
                <c:pt idx="1">
                  <c:v>21305.377939476028</c:v>
                </c:pt>
                <c:pt idx="2">
                  <c:v>35508.022880382436</c:v>
                </c:pt>
                <c:pt idx="3">
                  <c:v>46164.918326044899</c:v>
                </c:pt>
                <c:pt idx="4">
                  <c:v>55286.471207665883</c:v>
                </c:pt>
                <c:pt idx="5">
                  <c:v>62053.445096962416</c:v>
                </c:pt>
                <c:pt idx="6">
                  <c:v>67560.639503045648</c:v>
                </c:pt>
                <c:pt idx="7">
                  <c:v>72057.452237823803</c:v>
                </c:pt>
                <c:pt idx="8">
                  <c:v>75849.837510091253</c:v>
                </c:pt>
                <c:pt idx="9">
                  <c:v>79143.437892796093</c:v>
                </c:pt>
                <c:pt idx="10">
                  <c:v>82341.981948181652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530168"/>
        <c:axId val="265530560"/>
      </c:lineChart>
      <c:catAx>
        <c:axId val="265530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30560"/>
        <c:crosses val="autoZero"/>
        <c:auto val="1"/>
        <c:lblAlgn val="ctr"/>
        <c:lblOffset val="100"/>
        <c:noMultiLvlLbl val="0"/>
      </c:catAx>
      <c:valAx>
        <c:axId val="26553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30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581025</xdr:colOff>
      <xdr:row>23</xdr:row>
      <xdr:rowOff>114300</xdr:rowOff>
    </xdr:from>
    <xdr:to>
      <xdr:col>16</xdr:col>
      <xdr:colOff>571500</xdr:colOff>
      <xdr:row>23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3411200" y="4381500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24</xdr:row>
      <xdr:rowOff>104775</xdr:rowOff>
    </xdr:from>
    <xdr:to>
      <xdr:col>16</xdr:col>
      <xdr:colOff>590550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CxnSpPr/>
      </xdr:nvCxnSpPr>
      <xdr:spPr>
        <a:xfrm flipV="1">
          <a:off x="13430250" y="4562475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31</xdr:row>
      <xdr:rowOff>114300</xdr:rowOff>
    </xdr:from>
    <xdr:to>
      <xdr:col>16</xdr:col>
      <xdr:colOff>590550</xdr:colOff>
      <xdr:row>31</xdr:row>
      <xdr:rowOff>114301</xdr:rowOff>
    </xdr:to>
    <xdr:cxnSp macro="">
      <xdr:nvCxnSpPr>
        <xdr:cNvPr id="5" name="Straight Arrow Connector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2858750" y="5905500"/>
          <a:ext cx="117157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32</xdr:row>
      <xdr:rowOff>85725</xdr:rowOff>
    </xdr:from>
    <xdr:to>
      <xdr:col>16</xdr:col>
      <xdr:colOff>600075</xdr:colOff>
      <xdr:row>32</xdr:row>
      <xdr:rowOff>95251</xdr:rowOff>
    </xdr:to>
    <xdr:cxnSp macro="">
      <xdr:nvCxnSpPr>
        <xdr:cNvPr id="6" name="Straight Arrow Connector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12858750" y="6067425"/>
          <a:ext cx="1181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257734</xdr:colOff>
      <xdr:row>20</xdr:row>
      <xdr:rowOff>118582</xdr:rowOff>
    </xdr:from>
    <xdr:to>
      <xdr:col>18</xdr:col>
      <xdr:colOff>95757</xdr:colOff>
      <xdr:row>33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260935</xdr:colOff>
      <xdr:row>77</xdr:row>
      <xdr:rowOff>11998</xdr:rowOff>
    </xdr:from>
    <xdr:to>
      <xdr:col>24</xdr:col>
      <xdr:colOff>207818</xdr:colOff>
      <xdr:row>88</xdr:row>
      <xdr:rowOff>103909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241726</xdr:colOff>
      <xdr:row>89</xdr:row>
      <xdr:rowOff>23132</xdr:rowOff>
    </xdr:from>
    <xdr:to>
      <xdr:col>17</xdr:col>
      <xdr:colOff>393004</xdr:colOff>
      <xdr:row>103</xdr:row>
      <xdr:rowOff>99332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112057</xdr:colOff>
      <xdr:row>48</xdr:row>
      <xdr:rowOff>169209</xdr:rowOff>
    </xdr:from>
    <xdr:to>
      <xdr:col>18</xdr:col>
      <xdr:colOff>44823</xdr:colOff>
      <xdr:row>62</xdr:row>
      <xdr:rowOff>155762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UKAR_IPCC%204A-TPA%20-%201_Diangkut%20TP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KUKAR_IPCC%204A-TPA%20-%203_Dibuang%20Sembaranga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UKAR_IPCC%204A-TPA%20-%202_Open%20Dumpin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KAR_IPCC%204A-TPA%20-%204_Buang%20ke%20sunga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KUKAR_IPCC%204A-TPA%20-%205_Peng%20biologi%20sampah%20+%20pembakaran%20sampah%20+%20Air%20Limbah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IZ_GELAMAI/8_RAD%20GRK%20Revisi/Perhitungan%20BAU%20Baseline%20dan%20Mitigasi_Hitung%20Ulang/Limbah/Hitungan%20Limbah_Historis_IW/Berau/BERAU_IPCC%204A-TPA%20-%205_Peng%20biologi%20sampah%20+%20pembakaran%20sampah%20+%20Air%20Limbah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KUKAR_Palm%20Oil%20Wastewater%20Industry_2000-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arameters"/>
      <sheetName val="MCF"/>
      <sheetName val="Activity"/>
      <sheetName val="Dry_Matter_Content"/>
      <sheetName val="Amnt_Deposited"/>
      <sheetName val="Recovery_OX"/>
      <sheetName val="Results"/>
      <sheetName val="HWP"/>
      <sheetName val="Stored_C"/>
      <sheetName val="Theory"/>
      <sheetName val="Defaults"/>
      <sheetName val="Food"/>
      <sheetName val="Paper"/>
      <sheetName val="Nappies"/>
      <sheetName val="Garden"/>
      <sheetName val="Wood"/>
      <sheetName val="Textiles"/>
      <sheetName val="Sludge"/>
      <sheetName val="MSW"/>
      <sheetName val="Indust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7">
          <cell r="O17">
            <v>0</v>
          </cell>
        </row>
        <row r="18">
          <cell r="O18">
            <v>0.55272990319151238</v>
          </cell>
        </row>
        <row r="19">
          <cell r="O19">
            <v>0.94720445812289877</v>
          </cell>
        </row>
        <row r="20">
          <cell r="O20">
            <v>1.2407988103593688</v>
          </cell>
        </row>
        <row r="21">
          <cell r="O21">
            <v>1.4944768224556357</v>
          </cell>
        </row>
        <row r="22">
          <cell r="O22">
            <v>1.6817648123266067</v>
          </cell>
        </row>
        <row r="23">
          <cell r="O23">
            <v>1.8342505271892633</v>
          </cell>
        </row>
        <row r="24">
          <cell r="O24">
            <v>1.9585871420985392</v>
          </cell>
        </row>
        <row r="25">
          <cell r="O25">
            <v>2.0633048193860546</v>
          </cell>
        </row>
        <row r="26">
          <cell r="O26">
            <v>2.1541401311180062</v>
          </cell>
        </row>
        <row r="27">
          <cell r="O27">
            <v>2.2349235243679617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arameters"/>
      <sheetName val="MCF"/>
      <sheetName val="Activity"/>
      <sheetName val="Dry_Matter_Content"/>
      <sheetName val="Amnt_Deposited"/>
      <sheetName val="Recovery_OX"/>
      <sheetName val="Results"/>
      <sheetName val="HWP"/>
      <sheetName val="Stored_C"/>
      <sheetName val="Theory"/>
      <sheetName val="Defaults"/>
      <sheetName val="Food"/>
      <sheetName val="Paper"/>
      <sheetName val="Nappies"/>
      <sheetName val="Garden"/>
      <sheetName val="Wood"/>
      <sheetName val="Textiles"/>
      <sheetName val="Sludge"/>
      <sheetName val="MSW"/>
      <sheetName val="Indust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7">
          <cell r="O17">
            <v>0</v>
          </cell>
        </row>
        <row r="18">
          <cell r="O18">
            <v>0</v>
          </cell>
        </row>
        <row r="19">
          <cell r="O19">
            <v>0</v>
          </cell>
        </row>
        <row r="20">
          <cell r="O20">
            <v>0</v>
          </cell>
        </row>
        <row r="21">
          <cell r="O21">
            <v>0</v>
          </cell>
        </row>
        <row r="22">
          <cell r="O22">
            <v>0</v>
          </cell>
        </row>
        <row r="23">
          <cell r="O23">
            <v>0</v>
          </cell>
        </row>
        <row r="24">
          <cell r="O24">
            <v>0</v>
          </cell>
        </row>
        <row r="25">
          <cell r="O25">
            <v>0</v>
          </cell>
        </row>
        <row r="26">
          <cell r="O26">
            <v>0</v>
          </cell>
        </row>
        <row r="27">
          <cell r="O27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arameters"/>
      <sheetName val="MCF"/>
      <sheetName val="Activity"/>
      <sheetName val="Dry_Matter_Content"/>
      <sheetName val="Amnt_Deposited"/>
      <sheetName val="Recovery_OX"/>
      <sheetName val="Results"/>
      <sheetName val="HWP"/>
      <sheetName val="Stored_C"/>
      <sheetName val="Theory"/>
      <sheetName val="Defaults"/>
      <sheetName val="Food"/>
      <sheetName val="Paper"/>
      <sheetName val="Nappies"/>
      <sheetName val="Garden"/>
      <sheetName val="Wood"/>
      <sheetName val="Textiles"/>
      <sheetName val="Sludge"/>
      <sheetName val="MSW"/>
      <sheetName val="Indust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7">
          <cell r="O17">
            <v>0</v>
          </cell>
        </row>
        <row r="18">
          <cell r="O18">
            <v>0.39196436285798619</v>
          </cell>
        </row>
        <row r="19">
          <cell r="O19">
            <v>0.67170310450119886</v>
          </cell>
        </row>
        <row r="20">
          <cell r="O20">
            <v>0.87990338921276867</v>
          </cell>
        </row>
        <row r="21">
          <cell r="O21">
            <v>1.0597972936464897</v>
          </cell>
        </row>
        <row r="22">
          <cell r="O22">
            <v>1.1926112000352174</v>
          </cell>
        </row>
        <row r="23">
          <cell r="O23">
            <v>1.3007453279808459</v>
          </cell>
        </row>
        <row r="24">
          <cell r="O24">
            <v>1.3889177278481768</v>
          </cell>
        </row>
        <row r="25">
          <cell r="O25">
            <v>1.4631775017829107</v>
          </cell>
        </row>
        <row r="26">
          <cell r="O26">
            <v>1.5275926978532499</v>
          </cell>
        </row>
        <row r="27">
          <cell r="O27">
            <v>1.5848796495486313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arameters"/>
      <sheetName val="MCF"/>
      <sheetName val="Activity"/>
      <sheetName val="Dry_Matter_Content"/>
      <sheetName val="Amnt_Deposited"/>
      <sheetName val="Recovery_OX"/>
      <sheetName val="Results"/>
      <sheetName val="HWP"/>
      <sheetName val="Stored_C"/>
      <sheetName val="Theory"/>
      <sheetName val="Defaults"/>
      <sheetName val="Food"/>
      <sheetName val="Paper"/>
      <sheetName val="Nappies"/>
      <sheetName val="Garden"/>
      <sheetName val="Wood"/>
      <sheetName val="Textiles"/>
      <sheetName val="Sludge"/>
      <sheetName val="MSW"/>
      <sheetName val="Indust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7">
          <cell r="O17">
            <v>0</v>
          </cell>
        </row>
        <row r="18">
          <cell r="O18">
            <v>0</v>
          </cell>
        </row>
        <row r="19">
          <cell r="O19">
            <v>0</v>
          </cell>
        </row>
        <row r="20">
          <cell r="O20">
            <v>0</v>
          </cell>
        </row>
        <row r="21">
          <cell r="O21">
            <v>0</v>
          </cell>
        </row>
        <row r="22">
          <cell r="O22">
            <v>0</v>
          </cell>
        </row>
        <row r="23">
          <cell r="O23">
            <v>0</v>
          </cell>
        </row>
        <row r="24">
          <cell r="O24">
            <v>0</v>
          </cell>
        </row>
        <row r="25">
          <cell r="O25">
            <v>0</v>
          </cell>
        </row>
        <row r="26">
          <cell r="O26">
            <v>0</v>
          </cell>
        </row>
        <row r="27">
          <cell r="O27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A_DOC"/>
      <sheetName val="4B_CH4 emissions"/>
      <sheetName val="4B_N2O emission"/>
      <sheetName val="4C1_Amount_Waste_OpenBurned"/>
      <sheetName val="4C2_CO2_OpenBurning"/>
      <sheetName val="4C2_CH4_OpenBurning"/>
      <sheetName val="4C2_N2O_OpenBurning"/>
      <sheetName val="4D1_TOW_DomesticWastewater"/>
      <sheetName val="4D1_CH4_EF_DomesticWastewater"/>
      <sheetName val="4D1_CH4_Domestic_Wastewater"/>
      <sheetName val="4D1_N_effluent"/>
      <sheetName val="4D1_Indirect_N2O"/>
      <sheetName val="REKAPITULA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6">
          <cell r="B6">
            <v>5.0424897600000003E-3</v>
          </cell>
          <cell r="D6">
            <v>3.7818673200000003E-4</v>
          </cell>
        </row>
        <row r="7">
          <cell r="B7">
            <v>5.1362467200000012E-3</v>
          </cell>
          <cell r="D7">
            <v>3.852185040000001E-4</v>
          </cell>
        </row>
        <row r="8">
          <cell r="B8">
            <v>5.2909005599999998E-3</v>
          </cell>
          <cell r="D8">
            <v>3.9681754199999994E-4</v>
          </cell>
        </row>
        <row r="9">
          <cell r="B9">
            <v>5.7083281199999999E-3</v>
          </cell>
          <cell r="D9">
            <v>4.28124609E-4</v>
          </cell>
        </row>
        <row r="10">
          <cell r="B10">
            <v>5.7662550000000005E-3</v>
          </cell>
          <cell r="D10">
            <v>4.3246912499999998E-4</v>
          </cell>
        </row>
        <row r="11">
          <cell r="B11">
            <v>5.9232492000000003E-3</v>
          </cell>
          <cell r="D11">
            <v>4.4424368999999999E-4</v>
          </cell>
        </row>
        <row r="12">
          <cell r="B12">
            <v>6.04292832E-3</v>
          </cell>
          <cell r="D12">
            <v>4.5321962399999993E-4</v>
          </cell>
        </row>
        <row r="13">
          <cell r="B13">
            <v>6.1624173599999993E-3</v>
          </cell>
          <cell r="D13">
            <v>4.6218130199999992E-4</v>
          </cell>
        </row>
        <row r="14">
          <cell r="B14">
            <v>6.2809797600000003E-3</v>
          </cell>
          <cell r="D14">
            <v>4.7107348199999999E-4</v>
          </cell>
        </row>
        <row r="15">
          <cell r="B15">
            <v>6.397724520000001E-3</v>
          </cell>
          <cell r="D15">
            <v>4.7982933900000003E-4</v>
          </cell>
        </row>
        <row r="16">
          <cell r="B16">
            <v>7.4449584000000008E-3</v>
          </cell>
          <cell r="D16">
            <v>5.5837188000000006E-4</v>
          </cell>
        </row>
        <row r="23">
          <cell r="B23">
            <v>4.3222984945140007E-2</v>
          </cell>
          <cell r="D23">
            <v>9.974534987340002E-4</v>
          </cell>
        </row>
        <row r="24">
          <cell r="B24">
            <v>4.4026646601080001E-2</v>
          </cell>
          <cell r="D24">
            <v>1.015999536948E-3</v>
          </cell>
        </row>
        <row r="25">
          <cell r="B25">
            <v>4.5352301370090005E-2</v>
          </cell>
          <cell r="D25">
            <v>1.0465915700790002E-3</v>
          </cell>
        </row>
        <row r="26">
          <cell r="B26">
            <v>4.8930387990054995E-2</v>
          </cell>
          <cell r="D26">
            <v>1.1291627997705E-3</v>
          </cell>
        </row>
        <row r="27">
          <cell r="B27">
            <v>4.9426922991874997E-2</v>
          </cell>
          <cell r="D27">
            <v>1.1406212998125E-3</v>
          </cell>
        </row>
        <row r="28">
          <cell r="B28">
            <v>5.0772638752550003E-2</v>
          </cell>
          <cell r="D28">
            <v>1.1716762789050002E-3</v>
          </cell>
        </row>
        <row r="29">
          <cell r="B29">
            <v>5.1798498803479996E-2</v>
          </cell>
          <cell r="D29">
            <v>1.195349972388E-3</v>
          </cell>
        </row>
        <row r="30">
          <cell r="B30">
            <v>5.2822729535290006E-2</v>
          </cell>
          <cell r="D30">
            <v>1.2189860661990001E-3</v>
          </cell>
        </row>
        <row r="31">
          <cell r="B31">
            <v>5.3839017336390009E-2</v>
          </cell>
          <cell r="D31">
            <v>1.2424388616090003E-3</v>
          </cell>
        </row>
        <row r="32">
          <cell r="B32">
            <v>5.4839724773405013E-2</v>
          </cell>
          <cell r="D32">
            <v>1.2655321101555004E-3</v>
          </cell>
        </row>
        <row r="33">
          <cell r="B33">
            <v>6.3816356632599991E-2</v>
          </cell>
          <cell r="D33">
            <v>1.4726851530599998E-3</v>
          </cell>
        </row>
        <row r="43">
          <cell r="B43">
            <v>0.44343247475520009</v>
          </cell>
          <cell r="D43">
            <v>1.5510324984E-2</v>
          </cell>
        </row>
        <row r="44">
          <cell r="B44">
            <v>0.4516773860544</v>
          </cell>
          <cell r="D44">
            <v>1.5798714448E-2</v>
          </cell>
        </row>
        <row r="45">
          <cell r="B45">
            <v>0.46527751977120002</v>
          </cell>
          <cell r="D45">
            <v>1.6274418203999996E-2</v>
          </cell>
        </row>
        <row r="46">
          <cell r="B46">
            <v>0.50198576208239998</v>
          </cell>
          <cell r="D46">
            <v>1.7558394458000004E-2</v>
          </cell>
        </row>
        <row r="47">
          <cell r="B47">
            <v>0.50707980510000006</v>
          </cell>
          <cell r="D47">
            <v>1.7736573250000002E-2</v>
          </cell>
        </row>
        <row r="48">
          <cell r="B48">
            <v>0.52088574818400002</v>
          </cell>
          <cell r="D48">
            <v>1.8219475779999997E-2</v>
          </cell>
        </row>
        <row r="49">
          <cell r="B49">
            <v>0.53141023328639991</v>
          </cell>
          <cell r="D49">
            <v>1.8587599888000003E-2</v>
          </cell>
        </row>
        <row r="50">
          <cell r="B50">
            <v>0.54191800290719994</v>
          </cell>
          <cell r="D50">
            <v>1.8955139324E-2</v>
          </cell>
        </row>
        <row r="51">
          <cell r="B51">
            <v>0.55234428455520002</v>
          </cell>
          <cell r="D51">
            <v>1.9319828484E-2</v>
          </cell>
        </row>
        <row r="52">
          <cell r="B52">
            <v>0.56261072441039994</v>
          </cell>
          <cell r="D52">
            <v>1.9678926718000006E-2</v>
          </cell>
        </row>
        <row r="53">
          <cell r="B53">
            <v>0.65470362556799999</v>
          </cell>
          <cell r="D53">
            <v>2.2900140560000004E-2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A_DOC"/>
      <sheetName val="4B_CH4 emissions"/>
      <sheetName val="4B_N2O emission"/>
      <sheetName val="4C1_Amount_Waste_OpenBurned"/>
      <sheetName val="4C2_CO2_OpenBurning"/>
      <sheetName val="4C2_CH4_OpenBurning"/>
      <sheetName val="4C2_N2O_OpenBurning"/>
      <sheetName val="4D1_TOW_DomesticWastewater"/>
      <sheetName val="4D1_CH4_EF_DomesticWastewater"/>
      <sheetName val="4D1_CH4_Domestic_Wastewater"/>
      <sheetName val="4D1_N_effluent"/>
      <sheetName val="4D1_Indirect_N2O"/>
      <sheetName val="REKAPITULASI"/>
      <sheetName val="BERAU_IPCC 4A-TPA - 5_Peng biol"/>
    </sheetNames>
    <sheetDataSet>
      <sheetData sheetId="0"/>
      <sheetData sheetId="1"/>
      <sheetData sheetId="2"/>
      <sheetData sheetId="3"/>
      <sheetData sheetId="4">
        <row r="14">
          <cell r="M14">
            <v>0.33665653641995902</v>
          </cell>
        </row>
        <row r="15">
          <cell r="M15">
            <v>0.35570334418972999</v>
          </cell>
        </row>
        <row r="16">
          <cell r="M16">
            <v>0.36221521260032469</v>
          </cell>
        </row>
        <row r="17">
          <cell r="M17">
            <v>0.3821608645919084</v>
          </cell>
        </row>
        <row r="18">
          <cell r="M18">
            <v>0.40964485966431397</v>
          </cell>
        </row>
        <row r="19">
          <cell r="M19">
            <v>0.42631556866041098</v>
          </cell>
        </row>
        <row r="20">
          <cell r="M20">
            <v>0.44347235957706521</v>
          </cell>
        </row>
        <row r="21">
          <cell r="M21">
            <v>0.46107993037535372</v>
          </cell>
        </row>
        <row r="22">
          <cell r="M22">
            <v>0.47908125468470808</v>
          </cell>
        </row>
        <row r="23">
          <cell r="M23">
            <v>0.48629644833231028</v>
          </cell>
        </row>
        <row r="24">
          <cell r="M24"/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>
        <row r="54">
          <cell r="B54">
            <v>0</v>
          </cell>
          <cell r="D54">
            <v>0</v>
          </cell>
        </row>
        <row r="55">
          <cell r="B55">
            <v>0</v>
          </cell>
          <cell r="D55">
            <v>0</v>
          </cell>
        </row>
        <row r="56">
          <cell r="B56">
            <v>0</v>
          </cell>
          <cell r="D56">
            <v>0</v>
          </cell>
        </row>
        <row r="57">
          <cell r="B57">
            <v>0</v>
          </cell>
          <cell r="D57">
            <v>0</v>
          </cell>
        </row>
        <row r="58">
          <cell r="B58">
            <v>0</v>
          </cell>
          <cell r="D58">
            <v>0</v>
          </cell>
        </row>
        <row r="59">
          <cell r="B59">
            <v>0</v>
          </cell>
          <cell r="D59">
            <v>0</v>
          </cell>
        </row>
        <row r="60">
          <cell r="B60">
            <v>0</v>
          </cell>
          <cell r="D60">
            <v>0</v>
          </cell>
        </row>
        <row r="61">
          <cell r="B61">
            <v>0</v>
          </cell>
          <cell r="D61">
            <v>0</v>
          </cell>
        </row>
        <row r="62">
          <cell r="B62">
            <v>0</v>
          </cell>
          <cell r="D62">
            <v>0</v>
          </cell>
        </row>
        <row r="63">
          <cell r="B63">
            <v>0</v>
          </cell>
          <cell r="D63">
            <v>0</v>
          </cell>
        </row>
      </sheetData>
      <sheetData sheetId="1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B_CH4 emissions"/>
      <sheetName val="4B_N2O emission"/>
      <sheetName val="4C1_CO2_Incineration"/>
      <sheetName val="4C2_Amount_Waste_OpenBurned"/>
      <sheetName val="4C2_CO2_OpenBurning"/>
      <sheetName val="4C1_CO2_fossil_liquid"/>
      <sheetName val="4C1_CH4_Incineration"/>
      <sheetName val="4C2_CH4_OpenBurning"/>
      <sheetName val="4C1_N2O_Incineration"/>
      <sheetName val="4C2_N2O_OpenBurning"/>
      <sheetName val="4D1_TOW_DomesticWastewater"/>
      <sheetName val="4D1_CH4_EF_DomesticWastewater"/>
      <sheetName val="4D1_CH4_Domestic_Wastewater"/>
      <sheetName val="4D2_TOW_IndustryWastewater"/>
      <sheetName val="4D2_CH4_EF_IndustrialWastewater"/>
      <sheetName val="4D2_CH4_Industrial_Wastewater"/>
      <sheetName val="4D1_N_effluent"/>
      <sheetName val="4D1_Indirect_N2O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2">
          <cell r="G12">
            <v>0</v>
          </cell>
        </row>
        <row r="13">
          <cell r="G13">
            <v>0</v>
          </cell>
        </row>
        <row r="14">
          <cell r="G14">
            <v>0</v>
          </cell>
        </row>
        <row r="15">
          <cell r="G15">
            <v>1274580</v>
          </cell>
        </row>
        <row r="16">
          <cell r="G16">
            <v>1277070</v>
          </cell>
        </row>
        <row r="17">
          <cell r="G17">
            <v>1514820</v>
          </cell>
        </row>
        <row r="18">
          <cell r="G18">
            <v>1516440</v>
          </cell>
        </row>
        <row r="19">
          <cell r="G19">
            <v>1541130</v>
          </cell>
        </row>
        <row r="20">
          <cell r="G20">
            <v>1553610</v>
          </cell>
        </row>
        <row r="21">
          <cell r="G21">
            <v>3153210</v>
          </cell>
        </row>
        <row r="22">
          <cell r="G22">
            <v>1727316</v>
          </cell>
        </row>
      </sheetData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Normal="100" workbookViewId="0">
      <selection activeCell="G17" sqref="G17"/>
    </sheetView>
  </sheetViews>
  <sheetFormatPr defaultRowHeight="15" x14ac:dyDescent="0.25"/>
  <cols>
    <col min="1" max="1" width="9.140625" style="79"/>
    <col min="2" max="2" width="18.42578125" style="79" customWidth="1"/>
    <col min="3" max="3" width="19.42578125" style="79" customWidth="1"/>
    <col min="4" max="4" width="14" style="79" customWidth="1"/>
    <col min="5" max="5" width="16.7109375" style="79" customWidth="1"/>
    <col min="6" max="9" width="9.140625" style="79"/>
    <col min="10" max="10" width="7.5703125" style="79" customWidth="1"/>
    <col min="11" max="11" width="2" style="79" customWidth="1"/>
    <col min="12" max="12" width="5.7109375" style="79" customWidth="1"/>
    <col min="13" max="16384" width="9.140625" style="79"/>
  </cols>
  <sheetData>
    <row r="1" spans="1:14" x14ac:dyDescent="0.25">
      <c r="A1" s="79" t="s">
        <v>148</v>
      </c>
    </row>
    <row r="2" spans="1:14" ht="21" x14ac:dyDescent="0.25">
      <c r="G2" s="80" t="s">
        <v>18</v>
      </c>
    </row>
    <row r="3" spans="1:14" ht="15.75" customHeight="1" x14ac:dyDescent="0.25">
      <c r="A3" s="167" t="s">
        <v>11</v>
      </c>
      <c r="B3" s="167" t="s">
        <v>124</v>
      </c>
      <c r="C3" s="78" t="s">
        <v>12</v>
      </c>
      <c r="D3" s="166" t="s">
        <v>12</v>
      </c>
      <c r="E3" s="166"/>
      <c r="G3" s="81" t="s">
        <v>16</v>
      </c>
      <c r="H3" s="81"/>
      <c r="I3" s="81"/>
    </row>
    <row r="4" spans="1:14" x14ac:dyDescent="0.25">
      <c r="A4" s="168"/>
      <c r="B4" s="168"/>
      <c r="C4" s="78" t="s">
        <v>119</v>
      </c>
      <c r="D4" s="78" t="s">
        <v>14</v>
      </c>
      <c r="E4" s="78" t="s">
        <v>15</v>
      </c>
      <c r="G4" s="81" t="s">
        <v>17</v>
      </c>
      <c r="H4" s="81"/>
      <c r="I4" s="81"/>
    </row>
    <row r="5" spans="1:14" x14ac:dyDescent="0.25">
      <c r="A5" s="90">
        <v>2000</v>
      </c>
      <c r="B5" s="92">
        <v>424452</v>
      </c>
      <c r="C5" s="82">
        <v>0.22</v>
      </c>
      <c r="D5" s="83">
        <f t="shared" ref="D5:D25" si="0">C5*B5</f>
        <v>93379.44</v>
      </c>
      <c r="E5" s="83">
        <f>D5/1000</f>
        <v>93.379440000000002</v>
      </c>
    </row>
    <row r="6" spans="1:14" x14ac:dyDescent="0.25">
      <c r="A6" s="90">
        <v>2001</v>
      </c>
      <c r="B6" s="92">
        <v>432344</v>
      </c>
      <c r="C6" s="82">
        <v>0.22</v>
      </c>
      <c r="D6" s="83">
        <f t="shared" si="0"/>
        <v>95115.680000000008</v>
      </c>
      <c r="E6" s="83">
        <f t="shared" ref="E6:E25" si="1">D6/1000</f>
        <v>95.115680000000012</v>
      </c>
      <c r="G6" s="84" t="s">
        <v>37</v>
      </c>
      <c r="H6" s="84"/>
      <c r="I6" s="84"/>
      <c r="J6" s="85">
        <v>2</v>
      </c>
      <c r="K6" s="86" t="s">
        <v>33</v>
      </c>
      <c r="L6" s="85">
        <v>3</v>
      </c>
      <c r="M6" s="84" t="s">
        <v>38</v>
      </c>
      <c r="N6" s="84"/>
    </row>
    <row r="7" spans="1:14" x14ac:dyDescent="0.25">
      <c r="A7" s="90">
        <v>2002</v>
      </c>
      <c r="B7" s="92">
        <v>445362</v>
      </c>
      <c r="C7" s="82">
        <v>0.22</v>
      </c>
      <c r="D7" s="83">
        <f t="shared" si="0"/>
        <v>97979.64</v>
      </c>
      <c r="E7" s="83">
        <f t="shared" si="1"/>
        <v>97.979640000000003</v>
      </c>
      <c r="G7" s="84"/>
      <c r="H7" s="84"/>
      <c r="I7" s="84"/>
      <c r="J7" s="85">
        <f>(2*250)/1000</f>
        <v>0.5</v>
      </c>
      <c r="K7" s="86" t="s">
        <v>33</v>
      </c>
      <c r="L7" s="85">
        <f>(3*250)/1000</f>
        <v>0.75</v>
      </c>
      <c r="M7" s="84" t="s">
        <v>13</v>
      </c>
      <c r="N7" s="84"/>
    </row>
    <row r="8" spans="1:14" x14ac:dyDescent="0.25">
      <c r="A8" s="90">
        <v>2003</v>
      </c>
      <c r="B8" s="92">
        <v>480499</v>
      </c>
      <c r="C8" s="82">
        <v>0.22</v>
      </c>
      <c r="D8" s="83">
        <f t="shared" si="0"/>
        <v>105709.78</v>
      </c>
      <c r="E8" s="83">
        <f t="shared" si="1"/>
        <v>105.70977999999999</v>
      </c>
      <c r="G8" s="84"/>
      <c r="H8" s="84"/>
      <c r="I8" s="84"/>
      <c r="J8" s="87">
        <f>J7*(365/1000)</f>
        <v>0.1825</v>
      </c>
      <c r="K8" s="88" t="s">
        <v>33</v>
      </c>
      <c r="L8" s="87">
        <f>L7*(365/1000)</f>
        <v>0.27374999999999999</v>
      </c>
      <c r="M8" s="84" t="s">
        <v>39</v>
      </c>
      <c r="N8" s="84"/>
    </row>
    <row r="9" spans="1:14" x14ac:dyDescent="0.25">
      <c r="A9" s="90">
        <v>2004</v>
      </c>
      <c r="B9" s="92">
        <v>485375</v>
      </c>
      <c r="C9" s="82">
        <v>0.22</v>
      </c>
      <c r="D9" s="83">
        <f t="shared" si="0"/>
        <v>106782.5</v>
      </c>
      <c r="E9" s="83">
        <f t="shared" si="1"/>
        <v>106.7825</v>
      </c>
    </row>
    <row r="10" spans="1:14" x14ac:dyDescent="0.25">
      <c r="A10" s="90">
        <v>2005</v>
      </c>
      <c r="B10" s="92">
        <v>498590</v>
      </c>
      <c r="C10" s="82">
        <v>0.22</v>
      </c>
      <c r="D10" s="83">
        <f t="shared" si="0"/>
        <v>109689.8</v>
      </c>
      <c r="E10" s="83">
        <f t="shared" si="1"/>
        <v>109.68980000000001</v>
      </c>
      <c r="G10" s="89" t="s">
        <v>34</v>
      </c>
      <c r="H10" s="89"/>
      <c r="I10" s="89" t="s">
        <v>35</v>
      </c>
      <c r="J10" s="89"/>
      <c r="K10" s="89"/>
    </row>
    <row r="11" spans="1:14" x14ac:dyDescent="0.25">
      <c r="A11" s="90">
        <v>2006</v>
      </c>
      <c r="B11" s="92">
        <v>508664</v>
      </c>
      <c r="C11" s="82">
        <v>0.22</v>
      </c>
      <c r="D11" s="83">
        <f t="shared" si="0"/>
        <v>111906.08</v>
      </c>
      <c r="E11" s="83">
        <f t="shared" si="1"/>
        <v>111.90608</v>
      </c>
      <c r="G11" s="89"/>
      <c r="H11" s="89"/>
      <c r="I11" s="89" t="s">
        <v>36</v>
      </c>
      <c r="J11" s="89"/>
      <c r="K11" s="89"/>
    </row>
    <row r="12" spans="1:14" x14ac:dyDescent="0.25">
      <c r="A12" s="90">
        <v>2007</v>
      </c>
      <c r="B12" s="92">
        <v>518722</v>
      </c>
      <c r="C12" s="82">
        <v>0.22</v>
      </c>
      <c r="D12" s="83">
        <f t="shared" si="0"/>
        <v>114118.84</v>
      </c>
      <c r="E12" s="83">
        <f t="shared" si="1"/>
        <v>114.11883999999999</v>
      </c>
    </row>
    <row r="13" spans="1:14" x14ac:dyDescent="0.25">
      <c r="A13" s="90">
        <v>2008</v>
      </c>
      <c r="B13" s="92">
        <v>528702</v>
      </c>
      <c r="C13" s="82">
        <v>0.22</v>
      </c>
      <c r="D13" s="83">
        <f t="shared" si="0"/>
        <v>116314.44</v>
      </c>
      <c r="E13" s="83">
        <f t="shared" si="1"/>
        <v>116.31444</v>
      </c>
    </row>
    <row r="14" spans="1:14" x14ac:dyDescent="0.25">
      <c r="A14" s="90">
        <v>2009</v>
      </c>
      <c r="B14" s="92">
        <v>538529</v>
      </c>
      <c r="C14" s="82">
        <v>0.22</v>
      </c>
      <c r="D14" s="83">
        <f t="shared" si="0"/>
        <v>118476.38</v>
      </c>
      <c r="E14" s="83">
        <f t="shared" si="1"/>
        <v>118.47638000000001</v>
      </c>
    </row>
    <row r="15" spans="1:14" x14ac:dyDescent="0.25">
      <c r="A15" s="90">
        <v>2010</v>
      </c>
      <c r="B15" s="92">
        <v>626680</v>
      </c>
      <c r="C15" s="82">
        <v>0.22</v>
      </c>
      <c r="D15" s="83">
        <f t="shared" si="0"/>
        <v>137869.6</v>
      </c>
      <c r="E15" s="83">
        <f t="shared" si="1"/>
        <v>137.86960000000002</v>
      </c>
    </row>
    <row r="16" spans="1:14" x14ac:dyDescent="0.25">
      <c r="A16" s="90">
        <v>2011</v>
      </c>
      <c r="B16" s="82"/>
      <c r="C16" s="82">
        <v>0.22</v>
      </c>
      <c r="D16" s="90">
        <f t="shared" si="0"/>
        <v>0</v>
      </c>
      <c r="E16" s="91">
        <f t="shared" si="1"/>
        <v>0</v>
      </c>
    </row>
    <row r="17" spans="1:10" x14ac:dyDescent="0.25">
      <c r="A17" s="90">
        <v>2012</v>
      </c>
      <c r="B17" s="82"/>
      <c r="C17" s="82">
        <v>0.22</v>
      </c>
      <c r="D17" s="90">
        <f t="shared" si="0"/>
        <v>0</v>
      </c>
      <c r="E17" s="91">
        <f t="shared" si="1"/>
        <v>0</v>
      </c>
      <c r="G17" s="93"/>
      <c r="H17" s="93"/>
      <c r="I17" s="93"/>
      <c r="J17" s="93"/>
    </row>
    <row r="18" spans="1:10" x14ac:dyDescent="0.25">
      <c r="A18" s="90">
        <v>2013</v>
      </c>
      <c r="B18" s="82"/>
      <c r="C18" s="82">
        <v>0.22</v>
      </c>
      <c r="D18" s="90">
        <f t="shared" si="0"/>
        <v>0</v>
      </c>
      <c r="E18" s="91">
        <f t="shared" si="1"/>
        <v>0</v>
      </c>
      <c r="G18" s="93"/>
      <c r="H18" s="93"/>
      <c r="I18" s="93"/>
      <c r="J18" s="93"/>
    </row>
    <row r="19" spans="1:10" x14ac:dyDescent="0.25">
      <c r="A19" s="90">
        <v>2014</v>
      </c>
      <c r="B19" s="82"/>
      <c r="C19" s="82">
        <v>0.22</v>
      </c>
      <c r="D19" s="90">
        <f t="shared" si="0"/>
        <v>0</v>
      </c>
      <c r="E19" s="91">
        <f t="shared" si="1"/>
        <v>0</v>
      </c>
      <c r="G19" s="93"/>
      <c r="H19" s="93"/>
      <c r="I19" s="93"/>
      <c r="J19" s="93"/>
    </row>
    <row r="20" spans="1:10" x14ac:dyDescent="0.25">
      <c r="A20" s="90">
        <v>2015</v>
      </c>
      <c r="B20" s="82"/>
      <c r="C20" s="82">
        <v>0.22</v>
      </c>
      <c r="D20" s="90">
        <f t="shared" si="0"/>
        <v>0</v>
      </c>
      <c r="E20" s="91">
        <f t="shared" si="1"/>
        <v>0</v>
      </c>
      <c r="G20" s="93"/>
      <c r="H20" s="93"/>
      <c r="I20" s="93"/>
      <c r="J20" s="93"/>
    </row>
    <row r="21" spans="1:10" x14ac:dyDescent="0.25">
      <c r="A21" s="90">
        <v>2016</v>
      </c>
      <c r="B21" s="82"/>
      <c r="C21" s="82">
        <v>0.22</v>
      </c>
      <c r="D21" s="90">
        <f t="shared" si="0"/>
        <v>0</v>
      </c>
      <c r="E21" s="91">
        <f t="shared" si="1"/>
        <v>0</v>
      </c>
      <c r="G21" s="93"/>
      <c r="H21" s="93"/>
      <c r="I21" s="93"/>
      <c r="J21" s="93"/>
    </row>
    <row r="22" spans="1:10" x14ac:dyDescent="0.25">
      <c r="A22" s="90">
        <v>2017</v>
      </c>
      <c r="B22" s="82"/>
      <c r="C22" s="82">
        <v>0.22</v>
      </c>
      <c r="D22" s="90">
        <f t="shared" si="0"/>
        <v>0</v>
      </c>
      <c r="E22" s="91">
        <f t="shared" si="1"/>
        <v>0</v>
      </c>
      <c r="G22" s="93"/>
      <c r="H22" s="93"/>
      <c r="I22" s="93"/>
      <c r="J22" s="93"/>
    </row>
    <row r="23" spans="1:10" x14ac:dyDescent="0.25">
      <c r="A23" s="90">
        <v>2018</v>
      </c>
      <c r="B23" s="82"/>
      <c r="C23" s="82">
        <v>0.22</v>
      </c>
      <c r="D23" s="90">
        <f t="shared" si="0"/>
        <v>0</v>
      </c>
      <c r="E23" s="91">
        <f t="shared" si="1"/>
        <v>0</v>
      </c>
      <c r="G23" s="93"/>
      <c r="H23" s="93"/>
      <c r="I23" s="93"/>
      <c r="J23" s="93"/>
    </row>
    <row r="24" spans="1:10" x14ac:dyDescent="0.25">
      <c r="A24" s="90">
        <v>2019</v>
      </c>
      <c r="B24" s="82"/>
      <c r="C24" s="82">
        <v>0.22</v>
      </c>
      <c r="D24" s="90">
        <f t="shared" si="0"/>
        <v>0</v>
      </c>
      <c r="E24" s="91">
        <f t="shared" si="1"/>
        <v>0</v>
      </c>
      <c r="G24" s="93"/>
      <c r="H24" s="93"/>
      <c r="I24" s="93"/>
      <c r="J24" s="93"/>
    </row>
    <row r="25" spans="1:10" x14ac:dyDescent="0.25">
      <c r="A25" s="90">
        <v>2020</v>
      </c>
      <c r="B25" s="82"/>
      <c r="C25" s="82">
        <v>0.22</v>
      </c>
      <c r="D25" s="90">
        <f t="shared" si="0"/>
        <v>0</v>
      </c>
      <c r="E25" s="91">
        <f t="shared" si="1"/>
        <v>0</v>
      </c>
      <c r="G25" s="93"/>
      <c r="H25" s="93"/>
      <c r="I25" s="93"/>
      <c r="J25" s="93"/>
    </row>
    <row r="26" spans="1:10" x14ac:dyDescent="0.25">
      <c r="G26" s="93"/>
      <c r="H26" s="93"/>
      <c r="I26" s="93"/>
      <c r="J26" s="93"/>
    </row>
    <row r="27" spans="1:10" x14ac:dyDescent="0.25">
      <c r="G27" s="93"/>
      <c r="H27" s="93"/>
      <c r="I27" s="93"/>
      <c r="J27" s="93"/>
    </row>
  </sheetData>
  <mergeCells count="3">
    <mergeCell ref="D3:E3"/>
    <mergeCell ref="B3:B4"/>
    <mergeCell ref="A3:A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0"/>
  <sheetViews>
    <sheetView zoomScaleNormal="100" workbookViewId="0">
      <selection activeCell="A4" sqref="A4:A5"/>
    </sheetView>
  </sheetViews>
  <sheetFormatPr defaultRowHeight="15" x14ac:dyDescent="0.25"/>
  <cols>
    <col min="1" max="1" width="9.140625" style="79"/>
    <col min="2" max="2" width="15.5703125" style="79" customWidth="1"/>
    <col min="3" max="3" width="11" style="79" customWidth="1"/>
    <col min="4" max="6" width="9.140625" style="79"/>
    <col min="7" max="7" width="12.28515625" style="79" customWidth="1"/>
    <col min="8" max="8" width="9.140625" style="79"/>
    <col min="9" max="9" width="16.85546875" style="79" customWidth="1"/>
    <col min="10" max="11" width="9.140625" style="79"/>
    <col min="12" max="12" width="9" style="95" bestFit="1" customWidth="1"/>
    <col min="13" max="13" width="12" style="95" bestFit="1" customWidth="1"/>
    <col min="14" max="14" width="2.42578125" style="95" customWidth="1"/>
    <col min="15" max="15" width="7.140625" style="95" customWidth="1"/>
    <col min="16" max="19" width="9.140625" style="95"/>
    <col min="20" max="20" width="1.42578125" style="95" customWidth="1"/>
    <col min="21" max="21" width="7.140625" style="95" customWidth="1"/>
    <col min="22" max="22" width="50.28515625" style="95" customWidth="1"/>
    <col min="23" max="25" width="9.140625" style="95"/>
    <col min="26" max="16384" width="9.140625" style="79"/>
  </cols>
  <sheetData>
    <row r="2" spans="1:21" ht="21" x14ac:dyDescent="0.25">
      <c r="A2" s="169" t="s">
        <v>9</v>
      </c>
      <c r="B2" s="169"/>
      <c r="C2" s="169"/>
      <c r="D2" s="169"/>
      <c r="E2" s="169"/>
      <c r="F2" s="169"/>
      <c r="G2" s="169"/>
      <c r="H2" s="169"/>
      <c r="I2" s="169"/>
    </row>
    <row r="3" spans="1:21" x14ac:dyDescent="0.25">
      <c r="A3" s="96" t="s">
        <v>151</v>
      </c>
    </row>
    <row r="4" spans="1:21" x14ac:dyDescent="0.25">
      <c r="A4" s="170" t="s">
        <v>8</v>
      </c>
      <c r="B4" s="176" t="s">
        <v>0</v>
      </c>
      <c r="C4" s="176"/>
      <c r="D4" s="176"/>
      <c r="E4" s="176"/>
      <c r="F4" s="176"/>
      <c r="G4" s="176"/>
      <c r="H4" s="176"/>
      <c r="I4" s="174" t="s">
        <v>10</v>
      </c>
    </row>
    <row r="5" spans="1:21" ht="25.5" x14ac:dyDescent="0.25">
      <c r="A5" s="170"/>
      <c r="B5" s="94" t="s">
        <v>1</v>
      </c>
      <c r="C5" s="94" t="s">
        <v>2</v>
      </c>
      <c r="D5" s="94" t="s">
        <v>3</v>
      </c>
      <c r="E5" s="94" t="s">
        <v>4</v>
      </c>
      <c r="F5" s="94" t="s">
        <v>5</v>
      </c>
      <c r="G5" s="94" t="s">
        <v>127</v>
      </c>
      <c r="H5" s="94" t="s">
        <v>7</v>
      </c>
      <c r="I5" s="175"/>
      <c r="P5" s="97"/>
    </row>
    <row r="6" spans="1:21" ht="17.25" customHeight="1" x14ac:dyDescent="0.25">
      <c r="A6" s="98">
        <v>2000</v>
      </c>
      <c r="B6" s="165">
        <v>0.31609999999999999</v>
      </c>
      <c r="C6" s="165">
        <f>4%+9.35%+8.46%+6.21%</f>
        <v>0.2802</v>
      </c>
      <c r="D6" s="165">
        <v>1.35E-2</v>
      </c>
      <c r="E6" s="165">
        <v>0.39019999999999999</v>
      </c>
      <c r="F6" s="99"/>
      <c r="G6" s="99"/>
      <c r="H6" s="99"/>
      <c r="I6" s="100">
        <f>SUM(B6:H6)</f>
        <v>1</v>
      </c>
      <c r="L6" s="101"/>
    </row>
    <row r="7" spans="1:21" x14ac:dyDescent="0.25">
      <c r="A7" s="98">
        <v>2001</v>
      </c>
      <c r="B7" s="165">
        <v>0.31609999999999999</v>
      </c>
      <c r="C7" s="165">
        <f t="shared" ref="C7:C25" si="0">4%+9.35%+8.46%+6.21%</f>
        <v>0.2802</v>
      </c>
      <c r="D7" s="165">
        <v>1.35E-2</v>
      </c>
      <c r="E7" s="165">
        <v>0.39019999999999999</v>
      </c>
      <c r="F7" s="99"/>
      <c r="G7" s="99"/>
      <c r="H7" s="99"/>
      <c r="I7" s="100">
        <f t="shared" ref="I7:I26" si="1">SUM(B7:H7)</f>
        <v>1</v>
      </c>
      <c r="L7" s="95">
        <v>2000</v>
      </c>
      <c r="M7" s="95">
        <f>M8-(M8*0.024)</f>
        <v>0</v>
      </c>
      <c r="N7" s="102"/>
      <c r="O7" s="103"/>
      <c r="P7" s="97"/>
      <c r="S7" s="104"/>
      <c r="T7" s="105"/>
      <c r="U7" s="104"/>
    </row>
    <row r="8" spans="1:21" x14ac:dyDescent="0.25">
      <c r="A8" s="98">
        <v>2002</v>
      </c>
      <c r="B8" s="165">
        <v>0.31609999999999999</v>
      </c>
      <c r="C8" s="165">
        <f t="shared" si="0"/>
        <v>0.2802</v>
      </c>
      <c r="D8" s="165">
        <v>1.35E-2</v>
      </c>
      <c r="E8" s="165">
        <v>0.39019999999999999</v>
      </c>
      <c r="F8" s="99"/>
      <c r="G8" s="99"/>
      <c r="H8" s="99"/>
      <c r="I8" s="100">
        <f t="shared" si="1"/>
        <v>1</v>
      </c>
      <c r="L8" s="95">
        <v>2001</v>
      </c>
      <c r="M8" s="95">
        <f t="shared" ref="M8:M10" si="2">M9-(M9*0.024)</f>
        <v>0</v>
      </c>
      <c r="N8" s="103"/>
      <c r="O8" s="103"/>
      <c r="P8" s="97"/>
      <c r="S8" s="106"/>
      <c r="T8" s="106"/>
      <c r="U8" s="106"/>
    </row>
    <row r="9" spans="1:21" x14ac:dyDescent="0.25">
      <c r="A9" s="98">
        <v>2003</v>
      </c>
      <c r="B9" s="165">
        <v>0.31609999999999999</v>
      </c>
      <c r="C9" s="165">
        <f t="shared" si="0"/>
        <v>0.2802</v>
      </c>
      <c r="D9" s="165">
        <v>1.35E-2</v>
      </c>
      <c r="E9" s="165">
        <v>0.39019999999999999</v>
      </c>
      <c r="F9" s="99"/>
      <c r="G9" s="99"/>
      <c r="H9" s="99"/>
      <c r="I9" s="100">
        <f t="shared" si="1"/>
        <v>1</v>
      </c>
      <c r="L9" s="95">
        <v>2002</v>
      </c>
      <c r="M9" s="95">
        <f t="shared" si="2"/>
        <v>0</v>
      </c>
      <c r="N9" s="103"/>
      <c r="O9" s="103"/>
      <c r="P9" s="97"/>
    </row>
    <row r="10" spans="1:21" x14ac:dyDescent="0.25">
      <c r="A10" s="98">
        <v>2004</v>
      </c>
      <c r="B10" s="165">
        <v>0.31609999999999999</v>
      </c>
      <c r="C10" s="165">
        <f t="shared" si="0"/>
        <v>0.2802</v>
      </c>
      <c r="D10" s="165">
        <v>1.35E-2</v>
      </c>
      <c r="E10" s="165">
        <v>0.39019999999999999</v>
      </c>
      <c r="F10" s="99"/>
      <c r="G10" s="99"/>
      <c r="H10" s="99"/>
      <c r="I10" s="100">
        <f t="shared" si="1"/>
        <v>1</v>
      </c>
      <c r="L10" s="95">
        <v>2003</v>
      </c>
      <c r="M10" s="95">
        <f t="shared" si="2"/>
        <v>0</v>
      </c>
      <c r="N10" s="102"/>
      <c r="O10" s="103"/>
      <c r="P10" s="97"/>
    </row>
    <row r="11" spans="1:21" x14ac:dyDescent="0.25">
      <c r="A11" s="98">
        <v>2005</v>
      </c>
      <c r="B11" s="165">
        <v>0.31609999999999999</v>
      </c>
      <c r="C11" s="165">
        <f t="shared" si="0"/>
        <v>0.2802</v>
      </c>
      <c r="D11" s="165">
        <v>1.35E-2</v>
      </c>
      <c r="E11" s="165">
        <v>0.39019999999999999</v>
      </c>
      <c r="F11" s="99"/>
      <c r="G11" s="99"/>
      <c r="H11" s="99"/>
      <c r="I11" s="100">
        <f t="shared" si="1"/>
        <v>1</v>
      </c>
      <c r="L11" s="95">
        <v>2004</v>
      </c>
      <c r="M11" s="95">
        <f>M12-(M12*0.024)</f>
        <v>0</v>
      </c>
    </row>
    <row r="12" spans="1:21" x14ac:dyDescent="0.25">
      <c r="A12" s="98">
        <v>2006</v>
      </c>
      <c r="B12" s="165">
        <v>0.31609999999999999</v>
      </c>
      <c r="C12" s="165">
        <f t="shared" si="0"/>
        <v>0.2802</v>
      </c>
      <c r="D12" s="165">
        <v>1.35E-2</v>
      </c>
      <c r="E12" s="165">
        <v>0.39019999999999999</v>
      </c>
      <c r="F12" s="99"/>
      <c r="G12" s="99"/>
      <c r="H12" s="99"/>
      <c r="I12" s="100">
        <f t="shared" si="1"/>
        <v>1</v>
      </c>
      <c r="L12" s="95">
        <v>2005</v>
      </c>
      <c r="M12" s="95">
        <f>M13-(M13*O30)</f>
        <v>0</v>
      </c>
    </row>
    <row r="13" spans="1:21" x14ac:dyDescent="0.25">
      <c r="A13" s="98">
        <v>2007</v>
      </c>
      <c r="B13" s="165">
        <v>0.31609999999999999</v>
      </c>
      <c r="C13" s="165">
        <f t="shared" si="0"/>
        <v>0.2802</v>
      </c>
      <c r="D13" s="165">
        <v>1.35E-2</v>
      </c>
      <c r="E13" s="165">
        <v>0.39019999999999999</v>
      </c>
      <c r="F13" s="99"/>
      <c r="G13" s="99"/>
      <c r="H13" s="99"/>
      <c r="I13" s="100">
        <f t="shared" si="1"/>
        <v>1</v>
      </c>
      <c r="L13" s="95">
        <v>2006</v>
      </c>
      <c r="M13" s="95">
        <f>M14-(M14*O30)</f>
        <v>0</v>
      </c>
    </row>
    <row r="14" spans="1:21" x14ac:dyDescent="0.25">
      <c r="A14" s="98">
        <v>2008</v>
      </c>
      <c r="B14" s="165">
        <v>0.31609999999999999</v>
      </c>
      <c r="C14" s="165">
        <f t="shared" si="0"/>
        <v>0.2802</v>
      </c>
      <c r="D14" s="165">
        <v>1.35E-2</v>
      </c>
      <c r="E14" s="165">
        <v>0.39019999999999999</v>
      </c>
      <c r="F14" s="99"/>
      <c r="G14" s="99"/>
      <c r="H14" s="99"/>
      <c r="I14" s="100">
        <f t="shared" si="1"/>
        <v>1</v>
      </c>
      <c r="L14" s="95">
        <v>2007</v>
      </c>
      <c r="M14" s="95">
        <f>M15-(M15*O30)</f>
        <v>0</v>
      </c>
      <c r="P14" s="97"/>
    </row>
    <row r="15" spans="1:21" x14ac:dyDescent="0.25">
      <c r="A15" s="98">
        <v>2009</v>
      </c>
      <c r="B15" s="165">
        <v>0.31609999999999999</v>
      </c>
      <c r="C15" s="165">
        <f t="shared" si="0"/>
        <v>0.2802</v>
      </c>
      <c r="D15" s="165">
        <v>1.35E-2</v>
      </c>
      <c r="E15" s="165">
        <v>0.39019999999999999</v>
      </c>
      <c r="F15" s="99"/>
      <c r="G15" s="99"/>
      <c r="H15" s="99"/>
      <c r="I15" s="100">
        <f t="shared" si="1"/>
        <v>1</v>
      </c>
      <c r="L15" s="95">
        <v>2008</v>
      </c>
      <c r="M15" s="95">
        <f>M28-(M28*O30)</f>
        <v>0</v>
      </c>
      <c r="S15" s="104"/>
    </row>
    <row r="16" spans="1:21" x14ac:dyDescent="0.25">
      <c r="A16" s="98">
        <v>2010</v>
      </c>
      <c r="B16" s="165">
        <v>0.31609999999999999</v>
      </c>
      <c r="C16" s="165">
        <f t="shared" si="0"/>
        <v>0.2802</v>
      </c>
      <c r="D16" s="165">
        <v>1.35E-2</v>
      </c>
      <c r="E16" s="165">
        <v>0.39019999999999999</v>
      </c>
      <c r="F16" s="99"/>
      <c r="G16" s="99"/>
      <c r="H16" s="99"/>
      <c r="I16" s="100">
        <f t="shared" si="1"/>
        <v>1</v>
      </c>
      <c r="S16" s="104"/>
    </row>
    <row r="17" spans="1:19" x14ac:dyDescent="0.25">
      <c r="A17" s="98">
        <v>2011</v>
      </c>
      <c r="B17" s="165">
        <v>0.31609999999999999</v>
      </c>
      <c r="C17" s="165">
        <f t="shared" si="0"/>
        <v>0.2802</v>
      </c>
      <c r="D17" s="165">
        <v>1.35E-2</v>
      </c>
      <c r="E17" s="165">
        <v>0.39019999999999999</v>
      </c>
      <c r="F17" s="99"/>
      <c r="G17" s="99"/>
      <c r="H17" s="99"/>
      <c r="I17" s="100">
        <f t="shared" si="1"/>
        <v>1</v>
      </c>
      <c r="S17" s="104"/>
    </row>
    <row r="18" spans="1:19" x14ac:dyDescent="0.25">
      <c r="A18" s="98">
        <v>2012</v>
      </c>
      <c r="B18" s="165">
        <v>0.31609999999999999</v>
      </c>
      <c r="C18" s="165">
        <f t="shared" si="0"/>
        <v>0.2802</v>
      </c>
      <c r="D18" s="165">
        <v>1.35E-2</v>
      </c>
      <c r="E18" s="165">
        <v>0.39019999999999999</v>
      </c>
      <c r="F18" s="99"/>
      <c r="G18" s="99"/>
      <c r="H18" s="99"/>
      <c r="I18" s="100">
        <f t="shared" si="1"/>
        <v>1</v>
      </c>
      <c r="S18" s="104"/>
    </row>
    <row r="19" spans="1:19" x14ac:dyDescent="0.25">
      <c r="A19" s="98">
        <v>2013</v>
      </c>
      <c r="B19" s="165">
        <v>0.31609999999999999</v>
      </c>
      <c r="C19" s="165">
        <f t="shared" si="0"/>
        <v>0.2802</v>
      </c>
      <c r="D19" s="165">
        <v>1.35E-2</v>
      </c>
      <c r="E19" s="165">
        <v>0.39019999999999999</v>
      </c>
      <c r="F19" s="99"/>
      <c r="G19" s="99"/>
      <c r="H19" s="99"/>
      <c r="I19" s="100">
        <f t="shared" si="1"/>
        <v>1</v>
      </c>
      <c r="S19" s="104"/>
    </row>
    <row r="20" spans="1:19" x14ac:dyDescent="0.25">
      <c r="A20" s="98">
        <v>2014</v>
      </c>
      <c r="B20" s="165">
        <v>0.31609999999999999</v>
      </c>
      <c r="C20" s="165">
        <f t="shared" si="0"/>
        <v>0.2802</v>
      </c>
      <c r="D20" s="165">
        <v>1.35E-2</v>
      </c>
      <c r="E20" s="165">
        <v>0.39019999999999999</v>
      </c>
      <c r="F20" s="99"/>
      <c r="G20" s="99"/>
      <c r="H20" s="99"/>
      <c r="I20" s="100">
        <f t="shared" si="1"/>
        <v>1</v>
      </c>
      <c r="S20" s="104"/>
    </row>
    <row r="21" spans="1:19" x14ac:dyDescent="0.25">
      <c r="A21" s="98">
        <v>2015</v>
      </c>
      <c r="B21" s="165">
        <v>0.31609999999999999</v>
      </c>
      <c r="C21" s="165">
        <f t="shared" si="0"/>
        <v>0.2802</v>
      </c>
      <c r="D21" s="165">
        <v>1.35E-2</v>
      </c>
      <c r="E21" s="165">
        <v>0.39019999999999999</v>
      </c>
      <c r="F21" s="99"/>
      <c r="G21" s="99"/>
      <c r="H21" s="99"/>
      <c r="I21" s="100">
        <f t="shared" si="1"/>
        <v>1</v>
      </c>
      <c r="S21" s="104"/>
    </row>
    <row r="22" spans="1:19" x14ac:dyDescent="0.25">
      <c r="A22" s="98">
        <v>2016</v>
      </c>
      <c r="B22" s="165">
        <v>0.31609999999999999</v>
      </c>
      <c r="C22" s="165">
        <f t="shared" si="0"/>
        <v>0.2802</v>
      </c>
      <c r="D22" s="165">
        <v>1.35E-2</v>
      </c>
      <c r="E22" s="165">
        <v>0.39019999999999999</v>
      </c>
      <c r="F22" s="99"/>
      <c r="G22" s="99"/>
      <c r="H22" s="99"/>
      <c r="I22" s="100">
        <f t="shared" si="1"/>
        <v>1</v>
      </c>
      <c r="S22" s="104"/>
    </row>
    <row r="23" spans="1:19" x14ac:dyDescent="0.25">
      <c r="A23" s="98">
        <v>2017</v>
      </c>
      <c r="B23" s="165">
        <v>0.31609999999999999</v>
      </c>
      <c r="C23" s="165">
        <f t="shared" si="0"/>
        <v>0.2802</v>
      </c>
      <c r="D23" s="165">
        <v>1.35E-2</v>
      </c>
      <c r="E23" s="165">
        <v>0.39019999999999999</v>
      </c>
      <c r="F23" s="99"/>
      <c r="G23" s="99"/>
      <c r="H23" s="99"/>
      <c r="I23" s="100">
        <f t="shared" si="1"/>
        <v>1</v>
      </c>
      <c r="S23" s="104"/>
    </row>
    <row r="24" spans="1:19" x14ac:dyDescent="0.25">
      <c r="A24" s="98">
        <v>2018</v>
      </c>
      <c r="B24" s="165">
        <v>0.31609999999999999</v>
      </c>
      <c r="C24" s="165">
        <f t="shared" si="0"/>
        <v>0.2802</v>
      </c>
      <c r="D24" s="165">
        <v>1.35E-2</v>
      </c>
      <c r="E24" s="165">
        <v>0.39019999999999999</v>
      </c>
      <c r="F24" s="99"/>
      <c r="G24" s="99"/>
      <c r="H24" s="99"/>
      <c r="I24" s="100">
        <f t="shared" si="1"/>
        <v>1</v>
      </c>
      <c r="S24" s="104"/>
    </row>
    <row r="25" spans="1:19" x14ac:dyDescent="0.25">
      <c r="A25" s="98">
        <v>2019</v>
      </c>
      <c r="B25" s="165">
        <v>0.31609999999999999</v>
      </c>
      <c r="C25" s="165">
        <f t="shared" si="0"/>
        <v>0.2802</v>
      </c>
      <c r="D25" s="165">
        <v>1.35E-2</v>
      </c>
      <c r="E25" s="165">
        <v>0.39019999999999999</v>
      </c>
      <c r="F25" s="99"/>
      <c r="G25" s="99"/>
      <c r="H25" s="99"/>
      <c r="I25" s="100">
        <f t="shared" si="1"/>
        <v>1</v>
      </c>
      <c r="S25" s="104"/>
    </row>
    <row r="26" spans="1:19" x14ac:dyDescent="0.25">
      <c r="A26" s="98">
        <v>2020</v>
      </c>
      <c r="B26" s="99">
        <v>0.31609999999999999</v>
      </c>
      <c r="C26" s="99">
        <v>0.04</v>
      </c>
      <c r="D26" s="99">
        <v>1.35E-2</v>
      </c>
      <c r="E26" s="99">
        <v>0.39019999999999999</v>
      </c>
      <c r="F26" s="99">
        <v>6.2100000000000002E-2</v>
      </c>
      <c r="G26" s="99">
        <v>9.35E-2</v>
      </c>
      <c r="H26" s="99">
        <v>8.4599999999999995E-2</v>
      </c>
      <c r="I26" s="100">
        <f t="shared" si="1"/>
        <v>1</v>
      </c>
      <c r="S26" s="104"/>
    </row>
    <row r="27" spans="1:19" ht="14.25" customHeight="1" x14ac:dyDescent="0.25"/>
    <row r="28" spans="1:19" x14ac:dyDescent="0.25">
      <c r="A28" s="170" t="s">
        <v>11</v>
      </c>
      <c r="B28" s="171" t="s">
        <v>40</v>
      </c>
      <c r="C28" s="172"/>
      <c r="D28" s="172"/>
      <c r="E28" s="172"/>
      <c r="F28" s="172"/>
      <c r="G28" s="172"/>
      <c r="H28" s="173"/>
      <c r="I28" s="174" t="s">
        <v>40</v>
      </c>
    </row>
    <row r="29" spans="1:19" ht="25.5" x14ac:dyDescent="0.25">
      <c r="A29" s="170"/>
      <c r="B29" s="94" t="s">
        <v>1</v>
      </c>
      <c r="C29" s="94" t="s">
        <v>2</v>
      </c>
      <c r="D29" s="94" t="s">
        <v>3</v>
      </c>
      <c r="E29" s="94" t="s">
        <v>4</v>
      </c>
      <c r="F29" s="94" t="s">
        <v>5</v>
      </c>
      <c r="G29" s="94" t="s">
        <v>127</v>
      </c>
      <c r="H29" s="94" t="s">
        <v>7</v>
      </c>
      <c r="I29" s="175"/>
    </row>
    <row r="30" spans="1:19" x14ac:dyDescent="0.25">
      <c r="A30" s="98">
        <v>2000</v>
      </c>
      <c r="B30" s="91">
        <f>$I$30*B6</f>
        <v>29.517240984000001</v>
      </c>
      <c r="C30" s="91">
        <f t="shared" ref="C30:H30" si="3">$I$30*C6</f>
        <v>26.164919088000001</v>
      </c>
      <c r="D30" s="91">
        <f t="shared" si="3"/>
        <v>1.2606224400000001</v>
      </c>
      <c r="E30" s="91">
        <f t="shared" si="3"/>
        <v>36.436657488000002</v>
      </c>
      <c r="F30" s="91">
        <f t="shared" si="3"/>
        <v>0</v>
      </c>
      <c r="G30" s="91">
        <f t="shared" si="3"/>
        <v>0</v>
      </c>
      <c r="H30" s="91">
        <f t="shared" si="3"/>
        <v>0</v>
      </c>
      <c r="I30" s="107">
        <f>'timbulan sampah'!E5</f>
        <v>93.379440000000002</v>
      </c>
    </row>
    <row r="31" spans="1:19" x14ac:dyDescent="0.25">
      <c r="A31" s="98">
        <v>2001</v>
      </c>
      <c r="B31" s="91">
        <f>$I$31*B7</f>
        <v>30.066066448000004</v>
      </c>
      <c r="C31" s="91">
        <f>$I$31*C7</f>
        <v>26.651413536000003</v>
      </c>
      <c r="D31" s="91">
        <f t="shared" ref="D31:H31" si="4">$I$31*D7</f>
        <v>1.2840616800000002</v>
      </c>
      <c r="E31" s="91">
        <f t="shared" si="4"/>
        <v>37.114138336000003</v>
      </c>
      <c r="F31" s="91">
        <f t="shared" si="4"/>
        <v>0</v>
      </c>
      <c r="G31" s="91">
        <f t="shared" si="4"/>
        <v>0</v>
      </c>
      <c r="H31" s="91">
        <f t="shared" si="4"/>
        <v>0</v>
      </c>
      <c r="I31" s="107">
        <f>'timbulan sampah'!E6</f>
        <v>95.115680000000012</v>
      </c>
    </row>
    <row r="32" spans="1:19" x14ac:dyDescent="0.25">
      <c r="A32" s="98">
        <v>2002</v>
      </c>
      <c r="B32" s="91">
        <f>$I$32*B8</f>
        <v>30.971364204</v>
      </c>
      <c r="C32" s="91">
        <f t="shared" ref="C32:H32" si="5">$I$32*C8</f>
        <v>27.453895128000003</v>
      </c>
      <c r="D32" s="91">
        <f t="shared" si="5"/>
        <v>1.32272514</v>
      </c>
      <c r="E32" s="91">
        <f t="shared" si="5"/>
        <v>38.231655527999997</v>
      </c>
      <c r="F32" s="91">
        <f t="shared" si="5"/>
        <v>0</v>
      </c>
      <c r="G32" s="91">
        <f t="shared" si="5"/>
        <v>0</v>
      </c>
      <c r="H32" s="91">
        <f t="shared" si="5"/>
        <v>0</v>
      </c>
      <c r="I32" s="107">
        <f>'timbulan sampah'!E7</f>
        <v>97.979640000000003</v>
      </c>
    </row>
    <row r="33" spans="1:16" x14ac:dyDescent="0.25">
      <c r="A33" s="98">
        <v>2003</v>
      </c>
      <c r="B33" s="91">
        <f>$I$33*B9</f>
        <v>33.414861457999997</v>
      </c>
      <c r="C33" s="91">
        <f t="shared" ref="C33:H33" si="6">$I$33*C9</f>
        <v>29.619880355999999</v>
      </c>
      <c r="D33" s="91">
        <f t="shared" si="6"/>
        <v>1.42708203</v>
      </c>
      <c r="E33" s="91">
        <f t="shared" si="6"/>
        <v>41.247956155999994</v>
      </c>
      <c r="F33" s="91">
        <f t="shared" si="6"/>
        <v>0</v>
      </c>
      <c r="G33" s="91">
        <f t="shared" si="6"/>
        <v>0</v>
      </c>
      <c r="H33" s="91">
        <f t="shared" si="6"/>
        <v>0</v>
      </c>
      <c r="I33" s="107">
        <f>'timbulan sampah'!E8</f>
        <v>105.70977999999999</v>
      </c>
      <c r="P33" s="97"/>
    </row>
    <row r="34" spans="1:16" x14ac:dyDescent="0.25">
      <c r="A34" s="98">
        <v>2004</v>
      </c>
      <c r="B34" s="91">
        <f>$I$34*B10</f>
        <v>33.753948250000001</v>
      </c>
      <c r="C34" s="91">
        <f t="shared" ref="C34:H34" si="7">$I$34*C10</f>
        <v>29.9204565</v>
      </c>
      <c r="D34" s="91">
        <f t="shared" si="7"/>
        <v>1.44156375</v>
      </c>
      <c r="E34" s="91">
        <f t="shared" si="7"/>
        <v>41.666531499999998</v>
      </c>
      <c r="F34" s="91">
        <f t="shared" si="7"/>
        <v>0</v>
      </c>
      <c r="G34" s="91">
        <f t="shared" si="7"/>
        <v>0</v>
      </c>
      <c r="H34" s="91">
        <f t="shared" si="7"/>
        <v>0</v>
      </c>
      <c r="I34" s="107">
        <f>'timbulan sampah'!E9</f>
        <v>106.7825</v>
      </c>
      <c r="P34" s="97"/>
    </row>
    <row r="35" spans="1:16" x14ac:dyDescent="0.25">
      <c r="A35" s="98">
        <v>2005</v>
      </c>
      <c r="B35" s="91">
        <f>$I$35*B11</f>
        <v>34.672945779999999</v>
      </c>
      <c r="C35" s="91">
        <f t="shared" ref="C35:H35" si="8">$I$35*C11</f>
        <v>30.735081960000002</v>
      </c>
      <c r="D35" s="91">
        <f t="shared" si="8"/>
        <v>1.4808123</v>
      </c>
      <c r="E35" s="91">
        <f t="shared" si="8"/>
        <v>42.80095996</v>
      </c>
      <c r="F35" s="91">
        <f t="shared" si="8"/>
        <v>0</v>
      </c>
      <c r="G35" s="91">
        <f t="shared" si="8"/>
        <v>0</v>
      </c>
      <c r="H35" s="91">
        <f t="shared" si="8"/>
        <v>0</v>
      </c>
      <c r="I35" s="107">
        <f>'timbulan sampah'!E10</f>
        <v>109.68980000000001</v>
      </c>
    </row>
    <row r="36" spans="1:16" x14ac:dyDescent="0.25">
      <c r="A36" s="98">
        <v>2006</v>
      </c>
      <c r="B36" s="91">
        <f>$I$36*B12</f>
        <v>35.373511888000003</v>
      </c>
      <c r="C36" s="91">
        <f t="shared" ref="C36:H36" si="9">$I$36*C12</f>
        <v>31.356083616000003</v>
      </c>
      <c r="D36" s="91">
        <f t="shared" si="9"/>
        <v>1.5107320799999999</v>
      </c>
      <c r="E36" s="91">
        <f t="shared" si="9"/>
        <v>43.665752416000004</v>
      </c>
      <c r="F36" s="91">
        <f t="shared" si="9"/>
        <v>0</v>
      </c>
      <c r="G36" s="91">
        <f t="shared" si="9"/>
        <v>0</v>
      </c>
      <c r="H36" s="91">
        <f t="shared" si="9"/>
        <v>0</v>
      </c>
      <c r="I36" s="107">
        <f>'timbulan sampah'!E11</f>
        <v>111.90608</v>
      </c>
    </row>
    <row r="37" spans="1:16" x14ac:dyDescent="0.25">
      <c r="A37" s="98">
        <v>2007</v>
      </c>
      <c r="B37" s="91">
        <f>$I$37*B13</f>
        <v>36.072965323999995</v>
      </c>
      <c r="C37" s="91">
        <f t="shared" ref="C37:H37" si="10">$I$37*C13</f>
        <v>31.976098967999999</v>
      </c>
      <c r="D37" s="91">
        <f t="shared" si="10"/>
        <v>1.5406043399999998</v>
      </c>
      <c r="E37" s="91">
        <f t="shared" si="10"/>
        <v>44.529171367999993</v>
      </c>
      <c r="F37" s="91">
        <f t="shared" si="10"/>
        <v>0</v>
      </c>
      <c r="G37" s="91">
        <f t="shared" si="10"/>
        <v>0</v>
      </c>
      <c r="H37" s="91">
        <f t="shared" si="10"/>
        <v>0</v>
      </c>
      <c r="I37" s="107">
        <f>'timbulan sampah'!E12</f>
        <v>114.11883999999999</v>
      </c>
    </row>
    <row r="38" spans="1:16" x14ac:dyDescent="0.25">
      <c r="A38" s="98">
        <v>2008</v>
      </c>
      <c r="B38" s="91">
        <f>$I$38*B14</f>
        <v>36.766994484000001</v>
      </c>
      <c r="C38" s="91">
        <f t="shared" ref="C38:H38" si="11">$I$38*C14</f>
        <v>32.591306088000003</v>
      </c>
      <c r="D38" s="91">
        <f t="shared" si="11"/>
        <v>1.57024494</v>
      </c>
      <c r="E38" s="91">
        <f t="shared" si="11"/>
        <v>45.385894487999998</v>
      </c>
      <c r="F38" s="91">
        <f t="shared" si="11"/>
        <v>0</v>
      </c>
      <c r="G38" s="91">
        <f t="shared" si="11"/>
        <v>0</v>
      </c>
      <c r="H38" s="91">
        <f t="shared" si="11"/>
        <v>0</v>
      </c>
      <c r="I38" s="107">
        <f>'timbulan sampah'!E13</f>
        <v>116.31444</v>
      </c>
    </row>
    <row r="39" spans="1:16" x14ac:dyDescent="0.25">
      <c r="A39" s="98">
        <v>2009</v>
      </c>
      <c r="B39" s="91">
        <f>$I$39*B15</f>
        <v>37.450383717999998</v>
      </c>
      <c r="C39" s="91">
        <f t="shared" ref="C39:H39" si="12">$I$39*C15</f>
        <v>33.197081676000003</v>
      </c>
      <c r="D39" s="91">
        <f t="shared" si="12"/>
        <v>1.5994311300000001</v>
      </c>
      <c r="E39" s="91">
        <f t="shared" si="12"/>
        <v>46.229483475999999</v>
      </c>
      <c r="F39" s="91">
        <f t="shared" si="12"/>
        <v>0</v>
      </c>
      <c r="G39" s="91">
        <f t="shared" si="12"/>
        <v>0</v>
      </c>
      <c r="H39" s="91">
        <f t="shared" si="12"/>
        <v>0</v>
      </c>
      <c r="I39" s="107">
        <f>'timbulan sampah'!E14</f>
        <v>118.47638000000001</v>
      </c>
    </row>
    <row r="40" spans="1:16" x14ac:dyDescent="0.25">
      <c r="A40" s="98">
        <v>2010</v>
      </c>
      <c r="B40" s="91">
        <f>$I$40*B16</f>
        <v>43.580580560000008</v>
      </c>
      <c r="C40" s="91">
        <f>$I$40*C16</f>
        <v>38.631061920000008</v>
      </c>
      <c r="D40" s="91">
        <f>$I$40*D16</f>
        <v>1.8612396000000002</v>
      </c>
      <c r="E40" s="91">
        <f t="shared" ref="E40:H40" si="13">$I$40*E16</f>
        <v>53.796717920000006</v>
      </c>
      <c r="F40" s="91">
        <f>$I$40*F16</f>
        <v>0</v>
      </c>
      <c r="G40" s="91">
        <f t="shared" si="13"/>
        <v>0</v>
      </c>
      <c r="H40" s="91">
        <f t="shared" si="13"/>
        <v>0</v>
      </c>
      <c r="I40" s="107">
        <f>'timbulan sampah'!E15</f>
        <v>137.86960000000002</v>
      </c>
    </row>
    <row r="41" spans="1:16" x14ac:dyDescent="0.25">
      <c r="A41" s="98">
        <v>2011</v>
      </c>
      <c r="B41" s="91">
        <f t="shared" ref="B41:H41" si="14">$I$41*B17</f>
        <v>0</v>
      </c>
      <c r="C41" s="91">
        <f t="shared" si="14"/>
        <v>0</v>
      </c>
      <c r="D41" s="91">
        <f t="shared" si="14"/>
        <v>0</v>
      </c>
      <c r="E41" s="91">
        <f t="shared" si="14"/>
        <v>0</v>
      </c>
      <c r="F41" s="91">
        <f t="shared" si="14"/>
        <v>0</v>
      </c>
      <c r="G41" s="91">
        <f t="shared" si="14"/>
        <v>0</v>
      </c>
      <c r="H41" s="91">
        <f t="shared" si="14"/>
        <v>0</v>
      </c>
      <c r="I41" s="107">
        <f>'timbulan sampah'!E16</f>
        <v>0</v>
      </c>
    </row>
    <row r="42" spans="1:16" x14ac:dyDescent="0.25">
      <c r="A42" s="98">
        <v>2012</v>
      </c>
      <c r="B42" s="91">
        <f t="shared" ref="B42:H42" si="15">$I$42*B18</f>
        <v>0</v>
      </c>
      <c r="C42" s="91">
        <f t="shared" si="15"/>
        <v>0</v>
      </c>
      <c r="D42" s="91">
        <f t="shared" si="15"/>
        <v>0</v>
      </c>
      <c r="E42" s="91">
        <f t="shared" si="15"/>
        <v>0</v>
      </c>
      <c r="F42" s="91">
        <f t="shared" si="15"/>
        <v>0</v>
      </c>
      <c r="G42" s="91">
        <f t="shared" si="15"/>
        <v>0</v>
      </c>
      <c r="H42" s="91">
        <f t="shared" si="15"/>
        <v>0</v>
      </c>
      <c r="I42" s="107">
        <f>'timbulan sampah'!E17</f>
        <v>0</v>
      </c>
    </row>
    <row r="43" spans="1:16" x14ac:dyDescent="0.25">
      <c r="A43" s="98">
        <v>2013</v>
      </c>
      <c r="B43" s="91">
        <f t="shared" ref="B43:H43" si="16">$I$43*B19</f>
        <v>0</v>
      </c>
      <c r="C43" s="91">
        <f t="shared" si="16"/>
        <v>0</v>
      </c>
      <c r="D43" s="91">
        <f t="shared" si="16"/>
        <v>0</v>
      </c>
      <c r="E43" s="91">
        <f t="shared" si="16"/>
        <v>0</v>
      </c>
      <c r="F43" s="91">
        <f t="shared" si="16"/>
        <v>0</v>
      </c>
      <c r="G43" s="91">
        <f t="shared" si="16"/>
        <v>0</v>
      </c>
      <c r="H43" s="91">
        <f t="shared" si="16"/>
        <v>0</v>
      </c>
      <c r="I43" s="107">
        <f>'timbulan sampah'!E18</f>
        <v>0</v>
      </c>
    </row>
    <row r="44" spans="1:16" x14ac:dyDescent="0.25">
      <c r="A44" s="98">
        <v>2014</v>
      </c>
      <c r="B44" s="91">
        <f t="shared" ref="B44:H44" si="17">$I$44*B20</f>
        <v>0</v>
      </c>
      <c r="C44" s="91">
        <f t="shared" si="17"/>
        <v>0</v>
      </c>
      <c r="D44" s="91">
        <f t="shared" si="17"/>
        <v>0</v>
      </c>
      <c r="E44" s="91">
        <f t="shared" si="17"/>
        <v>0</v>
      </c>
      <c r="F44" s="91">
        <f t="shared" si="17"/>
        <v>0</v>
      </c>
      <c r="G44" s="91">
        <f t="shared" si="17"/>
        <v>0</v>
      </c>
      <c r="H44" s="91">
        <f t="shared" si="17"/>
        <v>0</v>
      </c>
      <c r="I44" s="107">
        <f>'timbulan sampah'!E19</f>
        <v>0</v>
      </c>
    </row>
    <row r="45" spans="1:16" x14ac:dyDescent="0.25">
      <c r="A45" s="98">
        <v>2015</v>
      </c>
      <c r="B45" s="91">
        <f t="shared" ref="B45:H45" si="18">$I$45*B21</f>
        <v>0</v>
      </c>
      <c r="C45" s="91">
        <f t="shared" si="18"/>
        <v>0</v>
      </c>
      <c r="D45" s="91">
        <f t="shared" si="18"/>
        <v>0</v>
      </c>
      <c r="E45" s="91">
        <f t="shared" si="18"/>
        <v>0</v>
      </c>
      <c r="F45" s="91">
        <f t="shared" si="18"/>
        <v>0</v>
      </c>
      <c r="G45" s="91">
        <f t="shared" si="18"/>
        <v>0</v>
      </c>
      <c r="H45" s="91">
        <f t="shared" si="18"/>
        <v>0</v>
      </c>
      <c r="I45" s="107">
        <f>'timbulan sampah'!E20</f>
        <v>0</v>
      </c>
    </row>
    <row r="46" spans="1:16" x14ac:dyDescent="0.25">
      <c r="A46" s="98">
        <v>2016</v>
      </c>
      <c r="B46" s="91">
        <f t="shared" ref="B46:H46" si="19">$I$46*B22</f>
        <v>0</v>
      </c>
      <c r="C46" s="91">
        <f t="shared" si="19"/>
        <v>0</v>
      </c>
      <c r="D46" s="91">
        <f t="shared" si="19"/>
        <v>0</v>
      </c>
      <c r="E46" s="91">
        <f t="shared" si="19"/>
        <v>0</v>
      </c>
      <c r="F46" s="91">
        <f t="shared" si="19"/>
        <v>0</v>
      </c>
      <c r="G46" s="91">
        <f t="shared" si="19"/>
        <v>0</v>
      </c>
      <c r="H46" s="91">
        <f t="shared" si="19"/>
        <v>0</v>
      </c>
      <c r="I46" s="107">
        <f>'timbulan sampah'!E21</f>
        <v>0</v>
      </c>
    </row>
    <row r="47" spans="1:16" x14ac:dyDescent="0.25">
      <c r="A47" s="98">
        <v>2017</v>
      </c>
      <c r="B47" s="91">
        <f t="shared" ref="B47:H47" si="20">$I$47*B23</f>
        <v>0</v>
      </c>
      <c r="C47" s="91">
        <f t="shared" si="20"/>
        <v>0</v>
      </c>
      <c r="D47" s="91">
        <f t="shared" si="20"/>
        <v>0</v>
      </c>
      <c r="E47" s="91">
        <f t="shared" si="20"/>
        <v>0</v>
      </c>
      <c r="F47" s="91">
        <f t="shared" si="20"/>
        <v>0</v>
      </c>
      <c r="G47" s="91">
        <f t="shared" si="20"/>
        <v>0</v>
      </c>
      <c r="H47" s="91">
        <f t="shared" si="20"/>
        <v>0</v>
      </c>
      <c r="I47" s="107">
        <f>'timbulan sampah'!E22</f>
        <v>0</v>
      </c>
    </row>
    <row r="48" spans="1:16" x14ac:dyDescent="0.25">
      <c r="A48" s="98">
        <v>2018</v>
      </c>
      <c r="B48" s="91">
        <f t="shared" ref="B48:H48" si="21">$I$48*B24</f>
        <v>0</v>
      </c>
      <c r="C48" s="91">
        <f t="shared" si="21"/>
        <v>0</v>
      </c>
      <c r="D48" s="91">
        <f t="shared" si="21"/>
        <v>0</v>
      </c>
      <c r="E48" s="91">
        <f t="shared" si="21"/>
        <v>0</v>
      </c>
      <c r="F48" s="91">
        <f t="shared" si="21"/>
        <v>0</v>
      </c>
      <c r="G48" s="91">
        <f t="shared" si="21"/>
        <v>0</v>
      </c>
      <c r="H48" s="91">
        <f t="shared" si="21"/>
        <v>0</v>
      </c>
      <c r="I48" s="107">
        <f>'timbulan sampah'!E23</f>
        <v>0</v>
      </c>
    </row>
    <row r="49" spans="1:9" x14ac:dyDescent="0.25">
      <c r="A49" s="98">
        <v>2019</v>
      </c>
      <c r="B49" s="91">
        <f t="shared" ref="B49:H49" si="22">$I$49*B25</f>
        <v>0</v>
      </c>
      <c r="C49" s="91">
        <f t="shared" si="22"/>
        <v>0</v>
      </c>
      <c r="D49" s="91">
        <f t="shared" si="22"/>
        <v>0</v>
      </c>
      <c r="E49" s="91">
        <f t="shared" si="22"/>
        <v>0</v>
      </c>
      <c r="F49" s="91">
        <f t="shared" si="22"/>
        <v>0</v>
      </c>
      <c r="G49" s="91">
        <f t="shared" si="22"/>
        <v>0</v>
      </c>
      <c r="H49" s="91">
        <f t="shared" si="22"/>
        <v>0</v>
      </c>
      <c r="I49" s="107">
        <f>'timbulan sampah'!E24</f>
        <v>0</v>
      </c>
    </row>
    <row r="50" spans="1:9" x14ac:dyDescent="0.25">
      <c r="A50" s="98">
        <v>2020</v>
      </c>
      <c r="B50" s="91">
        <f t="shared" ref="B50:H50" si="23">$I$50*B26</f>
        <v>0</v>
      </c>
      <c r="C50" s="91">
        <f t="shared" si="23"/>
        <v>0</v>
      </c>
      <c r="D50" s="91">
        <f t="shared" si="23"/>
        <v>0</v>
      </c>
      <c r="E50" s="91">
        <f t="shared" si="23"/>
        <v>0</v>
      </c>
      <c r="F50" s="91">
        <f t="shared" si="23"/>
        <v>0</v>
      </c>
      <c r="G50" s="91">
        <f t="shared" si="23"/>
        <v>0</v>
      </c>
      <c r="H50" s="91">
        <f t="shared" si="23"/>
        <v>0</v>
      </c>
      <c r="I50" s="107">
        <f>'timbulan sampah'!E25</f>
        <v>0</v>
      </c>
    </row>
  </sheetData>
  <mergeCells count="7">
    <mergeCell ref="A2:I2"/>
    <mergeCell ref="A28:A29"/>
    <mergeCell ref="B28:H28"/>
    <mergeCell ref="I4:I5"/>
    <mergeCell ref="I28:I29"/>
    <mergeCell ref="A4:A5"/>
    <mergeCell ref="B4:H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76"/>
  <sheetViews>
    <sheetView zoomScale="85" zoomScaleNormal="85" workbookViewId="0">
      <selection activeCell="E24" sqref="E24:H33"/>
    </sheetView>
  </sheetViews>
  <sheetFormatPr defaultRowHeight="15" x14ac:dyDescent="0.25"/>
  <cols>
    <col min="1" max="1" width="18" customWidth="1"/>
    <col min="2" max="2" width="29.5703125" customWidth="1"/>
    <col min="3" max="3" width="16.42578125" customWidth="1"/>
    <col min="4" max="4" width="11.7109375" customWidth="1"/>
    <col min="5" max="8" width="11.5703125" customWidth="1"/>
    <col min="9" max="9" width="19.7109375" customWidth="1"/>
    <col min="11" max="11" width="23.42578125" customWidth="1"/>
    <col min="12" max="12" width="6.42578125" customWidth="1"/>
    <col min="13" max="13" width="2.42578125" customWidth="1"/>
    <col min="14" max="14" width="7.140625" customWidth="1"/>
    <col min="16" max="17" width="4" customWidth="1"/>
    <col min="19" max="19" width="1.42578125" customWidth="1"/>
    <col min="20" max="20" width="7.140625" customWidth="1"/>
    <col min="21" max="21" width="49.85546875" customWidth="1"/>
  </cols>
  <sheetData>
    <row r="3" spans="1:9" ht="18.75" x14ac:dyDescent="0.3">
      <c r="A3" s="12" t="s">
        <v>65</v>
      </c>
    </row>
    <row r="5" spans="1:9" s="20" customFormat="1" ht="47.25" customHeight="1" x14ac:dyDescent="0.25">
      <c r="A5" s="25" t="s">
        <v>46</v>
      </c>
      <c r="B5" s="26" t="s">
        <v>47</v>
      </c>
      <c r="C5" s="21" t="s">
        <v>55</v>
      </c>
      <c r="D5" s="183" t="s">
        <v>54</v>
      </c>
      <c r="E5" s="183"/>
      <c r="F5" s="184" t="s">
        <v>64</v>
      </c>
      <c r="G5" s="184"/>
      <c r="H5" s="184"/>
      <c r="I5" s="184"/>
    </row>
    <row r="6" spans="1:9" s="20" customFormat="1" ht="16.5" customHeight="1" x14ac:dyDescent="0.25">
      <c r="A6" s="200" t="s">
        <v>48</v>
      </c>
      <c r="B6" s="200" t="s">
        <v>50</v>
      </c>
      <c r="C6" s="201"/>
      <c r="D6" s="190" t="s">
        <v>70</v>
      </c>
      <c r="E6" s="190"/>
      <c r="F6" s="185" t="s">
        <v>56</v>
      </c>
      <c r="G6" s="185"/>
      <c r="H6" s="185"/>
      <c r="I6" s="185"/>
    </row>
    <row r="7" spans="1:9" s="20" customFormat="1" ht="29.25" customHeight="1" x14ac:dyDescent="0.25">
      <c r="A7" s="200"/>
      <c r="B7" s="200"/>
      <c r="C7" s="201"/>
      <c r="D7" s="190"/>
      <c r="E7" s="190"/>
      <c r="F7" s="185" t="s">
        <v>57</v>
      </c>
      <c r="G7" s="185"/>
      <c r="H7" s="185"/>
      <c r="I7" s="185"/>
    </row>
    <row r="8" spans="1:9" s="20" customFormat="1" ht="51" customHeight="1" x14ac:dyDescent="0.25">
      <c r="A8" s="200"/>
      <c r="B8" s="29" t="s">
        <v>59</v>
      </c>
      <c r="C8" s="22"/>
      <c r="D8" s="190" t="s">
        <v>58</v>
      </c>
      <c r="E8" s="190"/>
      <c r="F8" s="185" t="s">
        <v>61</v>
      </c>
      <c r="G8" s="185"/>
      <c r="H8" s="185"/>
      <c r="I8" s="185"/>
    </row>
    <row r="9" spans="1:9" s="20" customFormat="1" ht="31.5" customHeight="1" x14ac:dyDescent="0.25">
      <c r="A9" s="200"/>
      <c r="B9" s="189" t="s">
        <v>51</v>
      </c>
      <c r="C9" s="22"/>
      <c r="D9" s="190" t="s">
        <v>60</v>
      </c>
      <c r="E9" s="190"/>
      <c r="F9" s="197" t="s">
        <v>66</v>
      </c>
      <c r="G9" s="198"/>
      <c r="H9" s="198"/>
      <c r="I9" s="199"/>
    </row>
    <row r="10" spans="1:9" s="20" customFormat="1" ht="20.25" customHeight="1" x14ac:dyDescent="0.25">
      <c r="A10" s="200"/>
      <c r="B10" s="189"/>
      <c r="C10" s="22"/>
      <c r="D10" s="190"/>
      <c r="E10" s="190"/>
      <c r="F10" s="185" t="s">
        <v>62</v>
      </c>
      <c r="G10" s="185"/>
      <c r="H10" s="185"/>
      <c r="I10" s="185"/>
    </row>
    <row r="11" spans="1:9" s="20" customFormat="1" ht="17.25" customHeight="1" x14ac:dyDescent="0.25">
      <c r="A11" s="200"/>
      <c r="B11" s="189"/>
      <c r="C11" s="22"/>
      <c r="D11" s="190"/>
      <c r="E11" s="190"/>
      <c r="F11" s="185" t="s">
        <v>63</v>
      </c>
      <c r="G11" s="185"/>
      <c r="H11" s="185"/>
      <c r="I11" s="185"/>
    </row>
    <row r="12" spans="1:9" s="20" customFormat="1" ht="60" customHeight="1" x14ac:dyDescent="0.25">
      <c r="A12" s="200" t="s">
        <v>49</v>
      </c>
      <c r="B12" s="27" t="s">
        <v>52</v>
      </c>
      <c r="C12" s="23"/>
      <c r="D12" s="24"/>
      <c r="E12" s="22"/>
      <c r="F12" s="191" t="s">
        <v>67</v>
      </c>
      <c r="G12" s="192"/>
      <c r="H12" s="192"/>
      <c r="I12" s="193"/>
    </row>
    <row r="13" spans="1:9" s="20" customFormat="1" ht="30" x14ac:dyDescent="0.25">
      <c r="A13" s="200"/>
      <c r="B13" s="28" t="s">
        <v>53</v>
      </c>
      <c r="C13" s="23"/>
      <c r="D13" s="24"/>
      <c r="E13" s="22"/>
      <c r="F13" s="194"/>
      <c r="G13" s="195"/>
      <c r="H13" s="195"/>
      <c r="I13" s="196"/>
    </row>
    <row r="18" spans="1:22" ht="21" x14ac:dyDescent="0.35">
      <c r="A18" s="202" t="s">
        <v>74</v>
      </c>
      <c r="B18" s="202"/>
      <c r="C18" s="202"/>
      <c r="D18" s="202"/>
      <c r="E18" s="202"/>
      <c r="F18" s="202"/>
      <c r="G18" s="202"/>
      <c r="H18" s="202"/>
      <c r="I18" s="202"/>
    </row>
    <row r="19" spans="1:22" ht="21" x14ac:dyDescent="0.35">
      <c r="A19" s="30"/>
      <c r="B19" s="30"/>
      <c r="C19" s="30"/>
      <c r="D19" s="30"/>
      <c r="E19" s="30"/>
      <c r="F19" s="30"/>
      <c r="G19" s="30"/>
      <c r="H19" s="30"/>
      <c r="I19" s="30"/>
    </row>
    <row r="20" spans="1:22" s="4" customFormat="1" ht="21" x14ac:dyDescent="0.35">
      <c r="A20" s="33" t="s">
        <v>69</v>
      </c>
      <c r="B20" s="31"/>
      <c r="C20" s="31"/>
      <c r="D20" s="31"/>
      <c r="E20" s="31"/>
      <c r="F20" s="31"/>
      <c r="G20" s="31"/>
      <c r="H20" s="31"/>
      <c r="I20" s="31"/>
    </row>
    <row r="21" spans="1:22" x14ac:dyDescent="0.25">
      <c r="A21" s="186" t="s">
        <v>8</v>
      </c>
      <c r="B21" s="187" t="s">
        <v>40</v>
      </c>
      <c r="C21" s="187"/>
      <c r="D21" s="187"/>
      <c r="E21" s="187"/>
      <c r="F21" s="187"/>
      <c r="G21" s="187"/>
      <c r="H21" s="187"/>
      <c r="I21" s="188"/>
      <c r="K21" t="s">
        <v>22</v>
      </c>
      <c r="L21" t="s">
        <v>25</v>
      </c>
    </row>
    <row r="22" spans="1:22" ht="38.25" x14ac:dyDescent="0.25">
      <c r="A22" s="186"/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88"/>
      <c r="O22" s="8" t="s">
        <v>19</v>
      </c>
    </row>
    <row r="23" spans="1:22" ht="38.25" x14ac:dyDescent="0.25">
      <c r="A23" s="2">
        <v>2010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34"/>
      <c r="J23" s="9" t="s">
        <v>41</v>
      </c>
      <c r="K23" s="10" t="s">
        <v>43</v>
      </c>
    </row>
    <row r="24" spans="1:22" ht="15" customHeight="1" x14ac:dyDescent="0.25">
      <c r="A24" s="2">
        <v>2011</v>
      </c>
      <c r="B24" s="208" t="s">
        <v>71</v>
      </c>
      <c r="C24" s="35">
        <v>0</v>
      </c>
      <c r="D24" s="208" t="s">
        <v>73</v>
      </c>
      <c r="E24" s="208" t="s">
        <v>79</v>
      </c>
      <c r="F24" s="208"/>
      <c r="G24" s="208"/>
      <c r="H24" s="208"/>
      <c r="I24" s="34"/>
      <c r="K24" t="s">
        <v>26</v>
      </c>
      <c r="L24" s="15">
        <v>4000</v>
      </c>
      <c r="M24" s="16" t="s">
        <v>33</v>
      </c>
      <c r="N24" s="15">
        <v>6000</v>
      </c>
      <c r="O24" s="8" t="s">
        <v>28</v>
      </c>
      <c r="R24" s="18">
        <f>L24*1000/365</f>
        <v>10958.904109589041</v>
      </c>
      <c r="S24" s="19" t="s">
        <v>33</v>
      </c>
      <c r="T24" s="18">
        <f>N24*1000/365</f>
        <v>16438.35616438356</v>
      </c>
      <c r="U24" s="11" t="s">
        <v>31</v>
      </c>
      <c r="V24" t="s">
        <v>72</v>
      </c>
    </row>
    <row r="25" spans="1:22" ht="60" customHeight="1" x14ac:dyDescent="0.25">
      <c r="A25" s="2">
        <v>2012</v>
      </c>
      <c r="B25" s="208"/>
      <c r="C25" s="35">
        <v>0</v>
      </c>
      <c r="D25" s="208"/>
      <c r="E25" s="208"/>
      <c r="F25" s="208"/>
      <c r="G25" s="208"/>
      <c r="H25" s="208"/>
      <c r="I25" s="34"/>
      <c r="K25" t="s">
        <v>27</v>
      </c>
      <c r="L25" s="206">
        <v>1000</v>
      </c>
      <c r="M25" s="206"/>
      <c r="N25" s="206"/>
      <c r="O25" s="8" t="s">
        <v>28</v>
      </c>
      <c r="R25" s="207">
        <f>L25*1000/365</f>
        <v>2739.7260273972602</v>
      </c>
      <c r="S25" s="207"/>
      <c r="T25" s="207"/>
      <c r="U25" s="11" t="s">
        <v>45</v>
      </c>
    </row>
    <row r="26" spans="1:22" x14ac:dyDescent="0.25">
      <c r="A26" s="2">
        <v>2013</v>
      </c>
      <c r="B26" s="208"/>
      <c r="C26" s="35">
        <v>0</v>
      </c>
      <c r="D26" s="208"/>
      <c r="E26" s="208"/>
      <c r="F26" s="208"/>
      <c r="G26" s="208"/>
      <c r="H26" s="208"/>
      <c r="I26" s="34"/>
      <c r="K26" t="s">
        <v>29</v>
      </c>
      <c r="L26" s="206">
        <v>3000</v>
      </c>
      <c r="M26" s="206"/>
      <c r="N26" s="206"/>
      <c r="O26" s="8" t="s">
        <v>28</v>
      </c>
    </row>
    <row r="27" spans="1:22" x14ac:dyDescent="0.25">
      <c r="A27" s="2">
        <v>2014</v>
      </c>
      <c r="B27" s="208"/>
      <c r="C27" s="35">
        <v>0</v>
      </c>
      <c r="D27" s="208"/>
      <c r="E27" s="208"/>
      <c r="F27" s="208"/>
      <c r="G27" s="208"/>
      <c r="H27" s="208"/>
      <c r="I27" s="34"/>
      <c r="K27" s="9" t="s">
        <v>30</v>
      </c>
      <c r="L27" s="15">
        <v>8000</v>
      </c>
      <c r="M27" s="16" t="s">
        <v>33</v>
      </c>
      <c r="N27" s="15">
        <v>10000</v>
      </c>
      <c r="O27" s="8" t="s">
        <v>19</v>
      </c>
    </row>
    <row r="28" spans="1:22" x14ac:dyDescent="0.25">
      <c r="A28" s="2">
        <v>2015</v>
      </c>
      <c r="B28" s="208"/>
      <c r="C28" s="35">
        <v>0</v>
      </c>
      <c r="D28" s="208"/>
      <c r="E28" s="208"/>
      <c r="F28" s="208"/>
      <c r="G28" s="208"/>
      <c r="H28" s="208"/>
      <c r="I28" s="34"/>
    </row>
    <row r="29" spans="1:22" x14ac:dyDescent="0.25">
      <c r="A29" s="2">
        <v>2016</v>
      </c>
      <c r="B29" s="208"/>
      <c r="C29" s="35">
        <v>0</v>
      </c>
      <c r="D29" s="208"/>
      <c r="E29" s="208"/>
      <c r="F29" s="208"/>
      <c r="G29" s="208"/>
      <c r="H29" s="208"/>
      <c r="I29" s="34"/>
    </row>
    <row r="30" spans="1:22" x14ac:dyDescent="0.25">
      <c r="A30" s="2">
        <v>2017</v>
      </c>
      <c r="B30" s="208"/>
      <c r="C30" s="35">
        <v>0</v>
      </c>
      <c r="D30" s="208"/>
      <c r="E30" s="208"/>
      <c r="F30" s="208"/>
      <c r="G30" s="208"/>
      <c r="H30" s="208"/>
      <c r="I30" s="34"/>
    </row>
    <row r="31" spans="1:22" ht="25.5" x14ac:dyDescent="0.25">
      <c r="A31" s="2">
        <v>2018</v>
      </c>
      <c r="B31" s="208"/>
      <c r="C31" s="35">
        <v>0</v>
      </c>
      <c r="D31" s="208"/>
      <c r="E31" s="208"/>
      <c r="F31" s="208"/>
      <c r="G31" s="208"/>
      <c r="H31" s="208"/>
      <c r="I31" s="34"/>
      <c r="J31" s="9" t="s">
        <v>42</v>
      </c>
      <c r="K31" s="10" t="s">
        <v>44</v>
      </c>
    </row>
    <row r="32" spans="1:22" x14ac:dyDescent="0.25">
      <c r="A32" s="2">
        <v>2019</v>
      </c>
      <c r="B32" s="208"/>
      <c r="C32" s="35">
        <v>0</v>
      </c>
      <c r="D32" s="208"/>
      <c r="E32" s="208"/>
      <c r="F32" s="208"/>
      <c r="G32" s="208"/>
      <c r="H32" s="208"/>
      <c r="I32" s="34"/>
      <c r="K32" t="s">
        <v>26</v>
      </c>
      <c r="L32" s="17">
        <f>0.6*L35</f>
        <v>360</v>
      </c>
      <c r="M32" s="8" t="s">
        <v>28</v>
      </c>
      <c r="R32" s="18">
        <f>L32*1000/365</f>
        <v>986.30136986301375</v>
      </c>
      <c r="S32" s="11" t="s">
        <v>31</v>
      </c>
      <c r="T32" s="11"/>
    </row>
    <row r="33" spans="1:20" x14ac:dyDescent="0.25">
      <c r="A33" s="2">
        <v>2020</v>
      </c>
      <c r="B33" s="208"/>
      <c r="C33" s="35">
        <v>0</v>
      </c>
      <c r="D33" s="208"/>
      <c r="E33" s="208"/>
      <c r="F33" s="208"/>
      <c r="G33" s="208"/>
      <c r="H33" s="208"/>
      <c r="I33" s="34"/>
      <c r="K33" t="s">
        <v>27</v>
      </c>
      <c r="L33" s="17">
        <f>0.1*L35</f>
        <v>60</v>
      </c>
      <c r="M33" s="8" t="s">
        <v>28</v>
      </c>
      <c r="R33" s="18">
        <f>L33*1000/365</f>
        <v>164.38356164383561</v>
      </c>
      <c r="S33" s="11" t="s">
        <v>32</v>
      </c>
      <c r="T33" s="11"/>
    </row>
    <row r="34" spans="1:20" s="4" customFormat="1" ht="21" x14ac:dyDescent="0.35">
      <c r="A34" s="31"/>
      <c r="B34" s="31"/>
      <c r="C34" s="31"/>
      <c r="D34" s="31"/>
      <c r="E34" s="31"/>
      <c r="F34" s="31"/>
      <c r="G34" s="31"/>
      <c r="H34" s="31"/>
      <c r="I34" s="31"/>
      <c r="J34"/>
      <c r="K34" t="s">
        <v>29</v>
      </c>
      <c r="L34" s="17">
        <f>0.3*L35</f>
        <v>180</v>
      </c>
      <c r="M34" s="8" t="s">
        <v>28</v>
      </c>
      <c r="N34"/>
      <c r="O34"/>
      <c r="P34"/>
      <c r="Q34"/>
      <c r="R34"/>
      <c r="S34"/>
      <c r="T34"/>
    </row>
    <row r="35" spans="1:20" s="4" customFormat="1" ht="21" x14ac:dyDescent="0.35">
      <c r="A35" s="31"/>
      <c r="B35" s="31"/>
      <c r="C35" s="31"/>
      <c r="D35" s="31"/>
      <c r="E35" s="31"/>
      <c r="F35" s="31"/>
      <c r="G35" s="31"/>
      <c r="H35" s="31"/>
      <c r="I35" s="31"/>
      <c r="J35"/>
      <c r="K35" s="9" t="s">
        <v>30</v>
      </c>
      <c r="L35" s="17">
        <v>600</v>
      </c>
      <c r="M35" s="8" t="s">
        <v>19</v>
      </c>
      <c r="N35"/>
      <c r="O35"/>
      <c r="P35"/>
      <c r="Q35"/>
      <c r="R35"/>
      <c r="S35"/>
      <c r="T35"/>
    </row>
    <row r="36" spans="1:20" s="4" customFormat="1" ht="21" x14ac:dyDescent="0.35">
      <c r="A36" s="32" t="s">
        <v>68</v>
      </c>
      <c r="B36" s="31"/>
      <c r="C36" s="31"/>
      <c r="D36" s="31"/>
      <c r="E36" s="31"/>
      <c r="F36" s="31"/>
      <c r="G36" s="31"/>
      <c r="H36" s="31"/>
      <c r="I36" s="31"/>
      <c r="J36"/>
      <c r="K36"/>
      <c r="L36"/>
      <c r="M36"/>
      <c r="N36"/>
      <c r="O36"/>
      <c r="P36"/>
      <c r="Q36"/>
      <c r="R36"/>
      <c r="S36"/>
      <c r="T36"/>
    </row>
    <row r="37" spans="1:20" x14ac:dyDescent="0.25">
      <c r="A37" s="186" t="s">
        <v>8</v>
      </c>
      <c r="B37" s="209" t="s">
        <v>78</v>
      </c>
      <c r="C37" s="210"/>
      <c r="D37" s="210"/>
      <c r="E37" s="210"/>
      <c r="F37" s="210"/>
      <c r="G37" s="210"/>
      <c r="H37" s="211"/>
      <c r="I37" s="204" t="s">
        <v>40</v>
      </c>
    </row>
    <row r="38" spans="1:20" ht="38.25" x14ac:dyDescent="0.25">
      <c r="A38" s="186"/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205"/>
    </row>
    <row r="39" spans="1:20" x14ac:dyDescent="0.25">
      <c r="A39" s="2">
        <v>2010</v>
      </c>
      <c r="B39" s="177" t="s">
        <v>75</v>
      </c>
      <c r="C39" s="177" t="s">
        <v>76</v>
      </c>
      <c r="D39" s="177" t="s">
        <v>75</v>
      </c>
      <c r="E39" s="177" t="s">
        <v>76</v>
      </c>
      <c r="F39" s="177" t="s">
        <v>76</v>
      </c>
      <c r="G39" s="177" t="s">
        <v>76</v>
      </c>
      <c r="H39" s="177" t="s">
        <v>76</v>
      </c>
      <c r="I39" s="14">
        <f>'timbulan sampah'!E5</f>
        <v>93.379440000000002</v>
      </c>
    </row>
    <row r="40" spans="1:20" x14ac:dyDescent="0.25">
      <c r="A40" s="2">
        <v>2011</v>
      </c>
      <c r="B40" s="178"/>
      <c r="C40" s="178"/>
      <c r="D40" s="178"/>
      <c r="E40" s="178"/>
      <c r="F40" s="178"/>
      <c r="G40" s="178"/>
      <c r="H40" s="178"/>
      <c r="I40" s="14">
        <f>'timbulan sampah'!E6</f>
        <v>95.115680000000012</v>
      </c>
      <c r="K40" t="s">
        <v>20</v>
      </c>
      <c r="O40" s="8" t="s">
        <v>21</v>
      </c>
    </row>
    <row r="41" spans="1:20" x14ac:dyDescent="0.25">
      <c r="A41" s="2">
        <v>2012</v>
      </c>
      <c r="B41" s="178"/>
      <c r="C41" s="178"/>
      <c r="D41" s="178"/>
      <c r="E41" s="178"/>
      <c r="F41" s="178"/>
      <c r="G41" s="178"/>
      <c r="H41" s="178"/>
      <c r="I41" s="14">
        <f>'timbulan sampah'!E7</f>
        <v>97.979640000000003</v>
      </c>
      <c r="K41" t="s">
        <v>23</v>
      </c>
      <c r="O41" s="8" t="s">
        <v>24</v>
      </c>
    </row>
    <row r="42" spans="1:20" x14ac:dyDescent="0.25">
      <c r="A42" s="2">
        <v>2013</v>
      </c>
      <c r="B42" s="178"/>
      <c r="C42" s="178"/>
      <c r="D42" s="178"/>
      <c r="E42" s="178"/>
      <c r="F42" s="178"/>
      <c r="G42" s="178"/>
      <c r="H42" s="178"/>
      <c r="I42" s="14">
        <f>'timbulan sampah'!E8</f>
        <v>105.70977999999999</v>
      </c>
    </row>
    <row r="43" spans="1:20" x14ac:dyDescent="0.25">
      <c r="A43" s="2">
        <v>2014</v>
      </c>
      <c r="B43" s="178"/>
      <c r="C43" s="178"/>
      <c r="D43" s="178"/>
      <c r="E43" s="178"/>
      <c r="F43" s="178"/>
      <c r="G43" s="178"/>
      <c r="H43" s="178"/>
      <c r="I43" s="14">
        <f>'timbulan sampah'!E9</f>
        <v>106.7825</v>
      </c>
    </row>
    <row r="44" spans="1:20" x14ac:dyDescent="0.25">
      <c r="A44" s="2">
        <v>2015</v>
      </c>
      <c r="B44" s="178"/>
      <c r="C44" s="178"/>
      <c r="D44" s="178"/>
      <c r="E44" s="178"/>
      <c r="F44" s="178"/>
      <c r="G44" s="178"/>
      <c r="H44" s="178"/>
      <c r="I44" s="14">
        <f>'timbulan sampah'!E10</f>
        <v>109.68980000000001</v>
      </c>
    </row>
    <row r="45" spans="1:20" x14ac:dyDescent="0.25">
      <c r="A45" s="2">
        <v>2016</v>
      </c>
      <c r="B45" s="178"/>
      <c r="C45" s="178"/>
      <c r="D45" s="178"/>
      <c r="E45" s="178"/>
      <c r="F45" s="178"/>
      <c r="G45" s="178"/>
      <c r="H45" s="178"/>
      <c r="I45" s="14">
        <f>'timbulan sampah'!E11</f>
        <v>111.90608</v>
      </c>
    </row>
    <row r="46" spans="1:20" x14ac:dyDescent="0.25">
      <c r="A46" s="2">
        <v>2017</v>
      </c>
      <c r="B46" s="178"/>
      <c r="C46" s="178"/>
      <c r="D46" s="178"/>
      <c r="E46" s="178"/>
      <c r="F46" s="178"/>
      <c r="G46" s="178"/>
      <c r="H46" s="178"/>
      <c r="I46" s="14">
        <f>'timbulan sampah'!E12</f>
        <v>114.11883999999999</v>
      </c>
    </row>
    <row r="47" spans="1:20" x14ac:dyDescent="0.25">
      <c r="A47" s="2">
        <v>2018</v>
      </c>
      <c r="B47" s="178"/>
      <c r="C47" s="178"/>
      <c r="D47" s="178"/>
      <c r="E47" s="178"/>
      <c r="F47" s="178"/>
      <c r="G47" s="178"/>
      <c r="H47" s="178"/>
      <c r="I47" s="14">
        <f>'timbulan sampah'!E13</f>
        <v>116.31444</v>
      </c>
    </row>
    <row r="48" spans="1:20" x14ac:dyDescent="0.25">
      <c r="A48" s="2">
        <v>2019</v>
      </c>
      <c r="B48" s="178"/>
      <c r="C48" s="178"/>
      <c r="D48" s="178"/>
      <c r="E48" s="178"/>
      <c r="F48" s="178"/>
      <c r="G48" s="178"/>
      <c r="H48" s="178"/>
      <c r="I48" s="14">
        <f>'timbulan sampah'!E14</f>
        <v>118.47638000000001</v>
      </c>
    </row>
    <row r="49" spans="1:21" x14ac:dyDescent="0.25">
      <c r="A49" s="2">
        <v>2020</v>
      </c>
      <c r="B49" s="179"/>
      <c r="C49" s="179"/>
      <c r="D49" s="179"/>
      <c r="E49" s="179"/>
      <c r="F49" s="179"/>
      <c r="G49" s="179"/>
      <c r="H49" s="179"/>
      <c r="I49" s="14">
        <f>'timbulan sampah'!E15</f>
        <v>137.86960000000002</v>
      </c>
    </row>
    <row r="52" spans="1:21" x14ac:dyDescent="0.25">
      <c r="A52" s="186" t="s">
        <v>8</v>
      </c>
      <c r="B52" s="203" t="s">
        <v>0</v>
      </c>
      <c r="C52" s="203"/>
      <c r="D52" s="203"/>
      <c r="E52" s="203"/>
      <c r="F52" s="203"/>
      <c r="G52" s="203"/>
      <c r="H52" s="203"/>
      <c r="I52" s="204" t="s">
        <v>10</v>
      </c>
    </row>
    <row r="53" spans="1:21" ht="42.75" customHeight="1" x14ac:dyDescent="0.25">
      <c r="A53" s="186"/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205"/>
    </row>
    <row r="54" spans="1:21" ht="17.25" customHeight="1" x14ac:dyDescent="0.25">
      <c r="A54" s="2">
        <v>2010</v>
      </c>
      <c r="B54" s="180" t="s">
        <v>77</v>
      </c>
      <c r="C54" s="180" t="s">
        <v>77</v>
      </c>
      <c r="D54" s="180" t="s">
        <v>77</v>
      </c>
      <c r="E54" s="180" t="s">
        <v>77</v>
      </c>
      <c r="F54" s="180" t="s">
        <v>77</v>
      </c>
      <c r="G54" s="180" t="s">
        <v>77</v>
      </c>
      <c r="H54" s="180" t="s">
        <v>77</v>
      </c>
      <c r="I54" s="3">
        <v>1</v>
      </c>
    </row>
    <row r="55" spans="1:21" x14ac:dyDescent="0.25">
      <c r="A55" s="2">
        <v>2011</v>
      </c>
      <c r="B55" s="181"/>
      <c r="C55" s="181"/>
      <c r="D55" s="181"/>
      <c r="E55" s="181"/>
      <c r="F55" s="181"/>
      <c r="G55" s="181"/>
      <c r="H55" s="181"/>
      <c r="I55" s="3">
        <v>1</v>
      </c>
    </row>
    <row r="56" spans="1:21" x14ac:dyDescent="0.25">
      <c r="A56" s="2">
        <v>2012</v>
      </c>
      <c r="B56" s="181"/>
      <c r="C56" s="181"/>
      <c r="D56" s="181"/>
      <c r="E56" s="181"/>
      <c r="F56" s="181"/>
      <c r="G56" s="181"/>
      <c r="H56" s="181"/>
      <c r="I56" s="3">
        <v>1</v>
      </c>
    </row>
    <row r="57" spans="1:21" x14ac:dyDescent="0.25">
      <c r="A57" s="2">
        <v>2013</v>
      </c>
      <c r="B57" s="181"/>
      <c r="C57" s="181"/>
      <c r="D57" s="181"/>
      <c r="E57" s="181"/>
      <c r="F57" s="181"/>
      <c r="G57" s="181"/>
      <c r="H57" s="181"/>
      <c r="I57" s="3">
        <v>1</v>
      </c>
    </row>
    <row r="58" spans="1:21" x14ac:dyDescent="0.25">
      <c r="A58" s="2">
        <v>2014</v>
      </c>
      <c r="B58" s="181"/>
      <c r="C58" s="181"/>
      <c r="D58" s="181"/>
      <c r="E58" s="181"/>
      <c r="F58" s="181"/>
      <c r="G58" s="181"/>
      <c r="H58" s="181"/>
      <c r="I58" s="3">
        <v>1</v>
      </c>
    </row>
    <row r="59" spans="1:21" x14ac:dyDescent="0.25">
      <c r="A59" s="2">
        <v>2015</v>
      </c>
      <c r="B59" s="181"/>
      <c r="C59" s="181"/>
      <c r="D59" s="181"/>
      <c r="E59" s="181"/>
      <c r="F59" s="181"/>
      <c r="G59" s="181"/>
      <c r="H59" s="181"/>
      <c r="I59" s="3">
        <v>1</v>
      </c>
    </row>
    <row r="60" spans="1:21" x14ac:dyDescent="0.25">
      <c r="A60" s="2">
        <v>2016</v>
      </c>
      <c r="B60" s="181"/>
      <c r="C60" s="181"/>
      <c r="D60" s="181"/>
      <c r="E60" s="181"/>
      <c r="F60" s="181"/>
      <c r="G60" s="181"/>
      <c r="H60" s="181"/>
      <c r="I60" s="3">
        <v>1</v>
      </c>
    </row>
    <row r="61" spans="1:21" x14ac:dyDescent="0.25">
      <c r="A61" s="2">
        <v>2017</v>
      </c>
      <c r="B61" s="181"/>
      <c r="C61" s="181"/>
      <c r="D61" s="181"/>
      <c r="E61" s="181"/>
      <c r="F61" s="181"/>
      <c r="G61" s="181"/>
      <c r="H61" s="181"/>
      <c r="I61" s="3">
        <v>1</v>
      </c>
    </row>
    <row r="62" spans="1:21" x14ac:dyDescent="0.25">
      <c r="A62" s="2">
        <v>2018</v>
      </c>
      <c r="B62" s="181"/>
      <c r="C62" s="181"/>
      <c r="D62" s="181"/>
      <c r="E62" s="181"/>
      <c r="F62" s="181"/>
      <c r="G62" s="181"/>
      <c r="H62" s="181"/>
      <c r="I62" s="3">
        <v>1</v>
      </c>
    </row>
    <row r="63" spans="1:21" x14ac:dyDescent="0.25">
      <c r="A63" s="2">
        <v>2019</v>
      </c>
      <c r="B63" s="181"/>
      <c r="C63" s="181"/>
      <c r="D63" s="181"/>
      <c r="E63" s="181"/>
      <c r="F63" s="181"/>
      <c r="G63" s="181"/>
      <c r="H63" s="181"/>
      <c r="I63" s="3">
        <v>1</v>
      </c>
      <c r="U63" s="4"/>
    </row>
    <row r="64" spans="1:21" x14ac:dyDescent="0.25">
      <c r="A64" s="2">
        <v>2020</v>
      </c>
      <c r="B64" s="182"/>
      <c r="C64" s="182"/>
      <c r="D64" s="182"/>
      <c r="E64" s="182"/>
      <c r="F64" s="182"/>
      <c r="G64" s="182"/>
      <c r="H64" s="182"/>
      <c r="I64" s="3">
        <v>1</v>
      </c>
      <c r="U64" s="4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5"/>
      <c r="B76" s="5"/>
      <c r="C76" s="5"/>
    </row>
  </sheetData>
  <mergeCells count="47">
    <mergeCell ref="A52:A53"/>
    <mergeCell ref="B52:H52"/>
    <mergeCell ref="I52:I53"/>
    <mergeCell ref="L25:N25"/>
    <mergeCell ref="R25:T25"/>
    <mergeCell ref="B24:B33"/>
    <mergeCell ref="A37:A38"/>
    <mergeCell ref="B37:H37"/>
    <mergeCell ref="I37:I38"/>
    <mergeCell ref="L26:N26"/>
    <mergeCell ref="D24:D33"/>
    <mergeCell ref="E24:H33"/>
    <mergeCell ref="B39:B49"/>
    <mergeCell ref="C39:C49"/>
    <mergeCell ref="D39:D49"/>
    <mergeCell ref="E39:E49"/>
    <mergeCell ref="A21:A22"/>
    <mergeCell ref="B21:H21"/>
    <mergeCell ref="I21:I22"/>
    <mergeCell ref="B9:B11"/>
    <mergeCell ref="D8:E8"/>
    <mergeCell ref="D9:E11"/>
    <mergeCell ref="F10:I10"/>
    <mergeCell ref="F11:I11"/>
    <mergeCell ref="F12:I13"/>
    <mergeCell ref="F9:I9"/>
    <mergeCell ref="A6:A11"/>
    <mergeCell ref="A12:A13"/>
    <mergeCell ref="B6:B7"/>
    <mergeCell ref="C6:C7"/>
    <mergeCell ref="A18:I18"/>
    <mergeCell ref="D6:E7"/>
    <mergeCell ref="D5:E5"/>
    <mergeCell ref="F5:I5"/>
    <mergeCell ref="F6:I6"/>
    <mergeCell ref="F7:I7"/>
    <mergeCell ref="F8:I8"/>
    <mergeCell ref="F39:F49"/>
    <mergeCell ref="G39:G49"/>
    <mergeCell ref="H39:H49"/>
    <mergeCell ref="B54:B64"/>
    <mergeCell ref="C54:C64"/>
    <mergeCell ref="D54:D64"/>
    <mergeCell ref="E54:E64"/>
    <mergeCell ref="F54:F64"/>
    <mergeCell ref="G54:G64"/>
    <mergeCell ref="H54:H6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01"/>
  <sheetViews>
    <sheetView topLeftCell="A52" zoomScale="85" zoomScaleNormal="85" workbookViewId="0">
      <selection activeCell="H83" sqref="H83"/>
    </sheetView>
  </sheetViews>
  <sheetFormatPr defaultRowHeight="15" x14ac:dyDescent="0.25"/>
  <cols>
    <col min="1" max="1" width="9.42578125" style="108" bestFit="1" customWidth="1"/>
    <col min="2" max="2" width="11.5703125" style="108" bestFit="1" customWidth="1"/>
    <col min="3" max="3" width="11" style="108" bestFit="1" customWidth="1"/>
    <col min="4" max="4" width="12.7109375" style="108" bestFit="1" customWidth="1"/>
    <col min="5" max="5" width="12.42578125" style="108" customWidth="1"/>
    <col min="6" max="6" width="15.28515625" style="108" customWidth="1"/>
    <col min="7" max="7" width="14.7109375" style="108" customWidth="1"/>
    <col min="8" max="8" width="9.42578125" style="108" bestFit="1" customWidth="1"/>
    <col min="9" max="9" width="13.42578125" style="108" customWidth="1"/>
    <col min="10" max="10" width="10.28515625" style="108" bestFit="1" customWidth="1"/>
    <col min="11" max="14" width="9.42578125" style="108" bestFit="1" customWidth="1"/>
    <col min="15" max="15" width="9.140625" style="108"/>
    <col min="16" max="19" width="9.42578125" style="108" bestFit="1" customWidth="1"/>
    <col min="20" max="23" width="9.140625" style="108"/>
    <col min="24" max="24" width="9.5703125" style="108" bestFit="1" customWidth="1"/>
    <col min="25" max="16384" width="9.140625" style="108"/>
  </cols>
  <sheetData>
    <row r="2" spans="1:24" x14ac:dyDescent="0.25">
      <c r="A2" s="117" t="s">
        <v>117</v>
      </c>
      <c r="B2" s="117"/>
      <c r="C2" s="117"/>
      <c r="D2" s="118"/>
      <c r="E2" s="118"/>
      <c r="F2" s="118"/>
      <c r="G2" s="118"/>
      <c r="H2" s="118"/>
      <c r="I2" s="118"/>
    </row>
    <row r="3" spans="1:24" x14ac:dyDescent="0.25">
      <c r="A3" s="119"/>
    </row>
    <row r="4" spans="1:24" x14ac:dyDescent="0.25">
      <c r="A4" s="120" t="s">
        <v>125</v>
      </c>
    </row>
    <row r="6" spans="1:24" ht="35.25" customHeight="1" x14ac:dyDescent="0.25">
      <c r="A6" s="212" t="s">
        <v>11</v>
      </c>
      <c r="B6" s="213" t="s">
        <v>118</v>
      </c>
      <c r="C6" s="213"/>
      <c r="D6" s="213"/>
      <c r="E6" s="121" t="s">
        <v>114</v>
      </c>
      <c r="F6" s="212" t="s">
        <v>11</v>
      </c>
      <c r="G6" s="213" t="s">
        <v>111</v>
      </c>
      <c r="H6" s="213"/>
      <c r="I6" s="213"/>
      <c r="J6" s="109" t="s">
        <v>115</v>
      </c>
      <c r="K6" s="212" t="s">
        <v>11</v>
      </c>
      <c r="L6" s="213" t="s">
        <v>112</v>
      </c>
      <c r="M6" s="213"/>
      <c r="N6" s="213"/>
      <c r="O6" s="109" t="s">
        <v>115</v>
      </c>
      <c r="P6" s="212" t="s">
        <v>11</v>
      </c>
      <c r="Q6" s="213" t="s">
        <v>113</v>
      </c>
      <c r="R6" s="213"/>
      <c r="S6" s="213"/>
      <c r="X6" s="110"/>
    </row>
    <row r="7" spans="1:24" ht="18" x14ac:dyDescent="0.25">
      <c r="A7" s="212"/>
      <c r="B7" s="212" t="s">
        <v>128</v>
      </c>
      <c r="C7" s="212"/>
      <c r="D7" s="213" t="s">
        <v>129</v>
      </c>
      <c r="E7" s="122"/>
      <c r="F7" s="212"/>
      <c r="G7" s="212" t="s">
        <v>128</v>
      </c>
      <c r="H7" s="212"/>
      <c r="I7" s="213" t="s">
        <v>129</v>
      </c>
      <c r="K7" s="212"/>
      <c r="L7" s="212" t="s">
        <v>128</v>
      </c>
      <c r="M7" s="212"/>
      <c r="N7" s="213" t="s">
        <v>129</v>
      </c>
      <c r="P7" s="212"/>
      <c r="Q7" s="212" t="s">
        <v>128</v>
      </c>
      <c r="R7" s="212"/>
      <c r="S7" s="213" t="s">
        <v>129</v>
      </c>
      <c r="X7" s="110"/>
    </row>
    <row r="8" spans="1:24" ht="18" x14ac:dyDescent="0.25">
      <c r="A8" s="212"/>
      <c r="B8" s="123" t="s">
        <v>130</v>
      </c>
      <c r="C8" s="123" t="s">
        <v>131</v>
      </c>
      <c r="D8" s="213"/>
      <c r="E8" s="124"/>
      <c r="F8" s="212"/>
      <c r="G8" s="123" t="s">
        <v>130</v>
      </c>
      <c r="H8" s="123" t="s">
        <v>131</v>
      </c>
      <c r="I8" s="213"/>
      <c r="K8" s="212"/>
      <c r="L8" s="123" t="s">
        <v>130</v>
      </c>
      <c r="M8" s="123" t="s">
        <v>131</v>
      </c>
      <c r="N8" s="213"/>
      <c r="P8" s="212"/>
      <c r="Q8" s="123" t="s">
        <v>130</v>
      </c>
      <c r="R8" s="123" t="s">
        <v>131</v>
      </c>
      <c r="S8" s="213"/>
    </row>
    <row r="9" spans="1:24" x14ac:dyDescent="0.25">
      <c r="A9" s="111">
        <v>2000</v>
      </c>
      <c r="B9" s="125">
        <f>[1]Results!O17</f>
        <v>0</v>
      </c>
      <c r="C9" s="125">
        <f>B9*21</f>
        <v>0</v>
      </c>
      <c r="D9" s="126">
        <f t="shared" ref="D9:D19" si="0">E9+C9</f>
        <v>0</v>
      </c>
      <c r="E9" s="127"/>
      <c r="F9" s="111">
        <v>2000</v>
      </c>
      <c r="G9" s="125">
        <f>[2]Results!O17</f>
        <v>0</v>
      </c>
      <c r="H9" s="125">
        <f>G9*21</f>
        <v>0</v>
      </c>
      <c r="I9" s="126">
        <f t="shared" ref="I9:I19" si="1">J9+H9</f>
        <v>0</v>
      </c>
      <c r="K9" s="111">
        <v>2000</v>
      </c>
      <c r="L9" s="112">
        <f>[3]Results!O17</f>
        <v>0</v>
      </c>
      <c r="M9" s="125">
        <f>L9*21</f>
        <v>0</v>
      </c>
      <c r="N9" s="126">
        <f>O9+M9</f>
        <v>0</v>
      </c>
      <c r="P9" s="111">
        <v>2000</v>
      </c>
      <c r="Q9" s="112">
        <f>[4]Results!O17</f>
        <v>0</v>
      </c>
      <c r="R9" s="128">
        <f>Q9*21</f>
        <v>0</v>
      </c>
      <c r="S9" s="129">
        <f>T9+R9</f>
        <v>0</v>
      </c>
    </row>
    <row r="10" spans="1:24" x14ac:dyDescent="0.25">
      <c r="A10" s="111">
        <v>2001</v>
      </c>
      <c r="B10" s="125">
        <f>[1]Results!O18</f>
        <v>0.55272990319151238</v>
      </c>
      <c r="C10" s="125">
        <f t="shared" ref="C10:C19" si="2">B10*21</f>
        <v>11.60732796702176</v>
      </c>
      <c r="D10" s="126">
        <f t="shared" si="0"/>
        <v>11.60732796702176</v>
      </c>
      <c r="E10" s="127"/>
      <c r="F10" s="111">
        <v>2001</v>
      </c>
      <c r="G10" s="125">
        <f>[2]Results!O18</f>
        <v>0</v>
      </c>
      <c r="H10" s="125">
        <f t="shared" ref="H10:H19" si="3">G10*21</f>
        <v>0</v>
      </c>
      <c r="I10" s="126">
        <f t="shared" si="1"/>
        <v>0</v>
      </c>
      <c r="K10" s="111">
        <v>2001</v>
      </c>
      <c r="L10" s="112">
        <f>[3]Results!O18</f>
        <v>0.39196436285798619</v>
      </c>
      <c r="M10" s="125">
        <f t="shared" ref="M10:M19" si="4">L10*21</f>
        <v>8.2312516200177104</v>
      </c>
      <c r="N10" s="126">
        <f t="shared" ref="N10:N19" si="5">O10+M10</f>
        <v>8.2312516200177104</v>
      </c>
      <c r="P10" s="111">
        <v>2001</v>
      </c>
      <c r="Q10" s="112">
        <f>[4]Results!O18</f>
        <v>0</v>
      </c>
      <c r="R10" s="128">
        <f t="shared" ref="R10:R19" si="6">Q10*21</f>
        <v>0</v>
      </c>
      <c r="S10" s="129">
        <f t="shared" ref="S10:S19" si="7">T10+R10</f>
        <v>0</v>
      </c>
    </row>
    <row r="11" spans="1:24" x14ac:dyDescent="0.25">
      <c r="A11" s="111">
        <v>2002</v>
      </c>
      <c r="B11" s="125">
        <f>[1]Results!O19</f>
        <v>0.94720445812289877</v>
      </c>
      <c r="C11" s="125">
        <f t="shared" si="2"/>
        <v>19.891293620580875</v>
      </c>
      <c r="D11" s="126">
        <f t="shared" si="0"/>
        <v>19.891293620580875</v>
      </c>
      <c r="E11" s="127"/>
      <c r="F11" s="111">
        <v>2002</v>
      </c>
      <c r="G11" s="125">
        <f>[2]Results!O19</f>
        <v>0</v>
      </c>
      <c r="H11" s="125">
        <f t="shared" si="3"/>
        <v>0</v>
      </c>
      <c r="I11" s="126">
        <f t="shared" si="1"/>
        <v>0</v>
      </c>
      <c r="K11" s="111">
        <v>2002</v>
      </c>
      <c r="L11" s="112">
        <f>[3]Results!O19</f>
        <v>0.67170310450119886</v>
      </c>
      <c r="M11" s="125">
        <f t="shared" si="4"/>
        <v>14.105765194525176</v>
      </c>
      <c r="N11" s="126">
        <f t="shared" si="5"/>
        <v>14.105765194525176</v>
      </c>
      <c r="P11" s="111">
        <v>2002</v>
      </c>
      <c r="Q11" s="112">
        <f>[4]Results!O19</f>
        <v>0</v>
      </c>
      <c r="R11" s="128">
        <f t="shared" si="6"/>
        <v>0</v>
      </c>
      <c r="S11" s="129">
        <f t="shared" si="7"/>
        <v>0</v>
      </c>
    </row>
    <row r="12" spans="1:24" x14ac:dyDescent="0.25">
      <c r="A12" s="111">
        <v>2003</v>
      </c>
      <c r="B12" s="125">
        <f>[1]Results!O20</f>
        <v>1.2407988103593688</v>
      </c>
      <c r="C12" s="125">
        <f t="shared" si="2"/>
        <v>26.056775017546745</v>
      </c>
      <c r="D12" s="126">
        <f t="shared" si="0"/>
        <v>26.056775017546745</v>
      </c>
      <c r="E12" s="127"/>
      <c r="F12" s="111">
        <v>2003</v>
      </c>
      <c r="G12" s="125">
        <f>[2]Results!O20</f>
        <v>0</v>
      </c>
      <c r="H12" s="125">
        <f t="shared" si="3"/>
        <v>0</v>
      </c>
      <c r="I12" s="126">
        <f t="shared" si="1"/>
        <v>0</v>
      </c>
      <c r="K12" s="111">
        <v>2003</v>
      </c>
      <c r="L12" s="112">
        <f>[3]Results!O20</f>
        <v>0.87990338921276867</v>
      </c>
      <c r="M12" s="125">
        <f t="shared" si="4"/>
        <v>18.477971173468141</v>
      </c>
      <c r="N12" s="126">
        <f t="shared" si="5"/>
        <v>18.477971173468141</v>
      </c>
      <c r="P12" s="111">
        <v>2003</v>
      </c>
      <c r="Q12" s="112">
        <f>[4]Results!O20</f>
        <v>0</v>
      </c>
      <c r="R12" s="128">
        <f t="shared" si="6"/>
        <v>0</v>
      </c>
      <c r="S12" s="129">
        <f t="shared" si="7"/>
        <v>0</v>
      </c>
    </row>
    <row r="13" spans="1:24" x14ac:dyDescent="0.25">
      <c r="A13" s="111">
        <v>2004</v>
      </c>
      <c r="B13" s="125">
        <f>[1]Results!O21</f>
        <v>1.4944768224556357</v>
      </c>
      <c r="C13" s="125">
        <f t="shared" si="2"/>
        <v>31.38401327156835</v>
      </c>
      <c r="D13" s="126">
        <f t="shared" si="0"/>
        <v>31.38401327156835</v>
      </c>
      <c r="E13" s="127"/>
      <c r="F13" s="111">
        <v>2004</v>
      </c>
      <c r="G13" s="125">
        <f>[2]Results!O21</f>
        <v>0</v>
      </c>
      <c r="H13" s="125">
        <f t="shared" si="3"/>
        <v>0</v>
      </c>
      <c r="I13" s="126">
        <f t="shared" si="1"/>
        <v>0</v>
      </c>
      <c r="K13" s="111">
        <v>2004</v>
      </c>
      <c r="L13" s="112">
        <f>[3]Results!O21</f>
        <v>1.0597972936464897</v>
      </c>
      <c r="M13" s="125">
        <f t="shared" si="4"/>
        <v>22.255743166576284</v>
      </c>
      <c r="N13" s="126">
        <f t="shared" si="5"/>
        <v>22.255743166576284</v>
      </c>
      <c r="P13" s="111">
        <v>2004</v>
      </c>
      <c r="Q13" s="112">
        <f>[4]Results!O21</f>
        <v>0</v>
      </c>
      <c r="R13" s="128">
        <f t="shared" si="6"/>
        <v>0</v>
      </c>
      <c r="S13" s="129">
        <f t="shared" si="7"/>
        <v>0</v>
      </c>
    </row>
    <row r="14" spans="1:24" x14ac:dyDescent="0.25">
      <c r="A14" s="111">
        <v>2005</v>
      </c>
      <c r="B14" s="125">
        <f>[1]Results!O22</f>
        <v>1.6817648123266067</v>
      </c>
      <c r="C14" s="125">
        <f t="shared" si="2"/>
        <v>35.317061058858741</v>
      </c>
      <c r="D14" s="126">
        <f t="shared" si="0"/>
        <v>35.317061058858741</v>
      </c>
      <c r="E14" s="127"/>
      <c r="F14" s="111">
        <v>2005</v>
      </c>
      <c r="G14" s="125">
        <f>[2]Results!O22</f>
        <v>0</v>
      </c>
      <c r="H14" s="125">
        <f t="shared" si="3"/>
        <v>0</v>
      </c>
      <c r="I14" s="126">
        <f t="shared" si="1"/>
        <v>0</v>
      </c>
      <c r="K14" s="111">
        <v>2005</v>
      </c>
      <c r="L14" s="112">
        <f>[3]Results!O22</f>
        <v>1.1926112000352174</v>
      </c>
      <c r="M14" s="125">
        <f t="shared" si="4"/>
        <v>25.044835200739566</v>
      </c>
      <c r="N14" s="126">
        <f t="shared" si="5"/>
        <v>25.044835200739566</v>
      </c>
      <c r="P14" s="111">
        <v>2005</v>
      </c>
      <c r="Q14" s="112">
        <f>[4]Results!O22</f>
        <v>0</v>
      </c>
      <c r="R14" s="128">
        <f t="shared" si="6"/>
        <v>0</v>
      </c>
      <c r="S14" s="129">
        <f t="shared" si="7"/>
        <v>0</v>
      </c>
    </row>
    <row r="15" spans="1:24" x14ac:dyDescent="0.25">
      <c r="A15" s="111">
        <v>2006</v>
      </c>
      <c r="B15" s="125">
        <f>[1]Results!O23</f>
        <v>1.8342505271892633</v>
      </c>
      <c r="C15" s="125">
        <f t="shared" si="2"/>
        <v>38.51926107097453</v>
      </c>
      <c r="D15" s="126">
        <f t="shared" si="0"/>
        <v>38.51926107097453</v>
      </c>
      <c r="E15" s="127"/>
      <c r="F15" s="111">
        <v>2006</v>
      </c>
      <c r="G15" s="125">
        <f>[2]Results!O23</f>
        <v>0</v>
      </c>
      <c r="H15" s="125">
        <f t="shared" si="3"/>
        <v>0</v>
      </c>
      <c r="I15" s="126">
        <f t="shared" si="1"/>
        <v>0</v>
      </c>
      <c r="K15" s="111">
        <v>2006</v>
      </c>
      <c r="L15" s="112">
        <f>[3]Results!O23</f>
        <v>1.3007453279808459</v>
      </c>
      <c r="M15" s="125">
        <f t="shared" si="4"/>
        <v>27.315651887597763</v>
      </c>
      <c r="N15" s="126">
        <f t="shared" si="5"/>
        <v>27.315651887597763</v>
      </c>
      <c r="P15" s="111">
        <v>2006</v>
      </c>
      <c r="Q15" s="112">
        <f>[4]Results!O23</f>
        <v>0</v>
      </c>
      <c r="R15" s="128">
        <f t="shared" si="6"/>
        <v>0</v>
      </c>
      <c r="S15" s="129">
        <f t="shared" si="7"/>
        <v>0</v>
      </c>
    </row>
    <row r="16" spans="1:24" x14ac:dyDescent="0.25">
      <c r="A16" s="111">
        <v>2007</v>
      </c>
      <c r="B16" s="125">
        <f>[1]Results!O24</f>
        <v>1.9585871420985392</v>
      </c>
      <c r="C16" s="125">
        <f t="shared" si="2"/>
        <v>41.130329984069327</v>
      </c>
      <c r="D16" s="126">
        <f t="shared" si="0"/>
        <v>41.130329984069327</v>
      </c>
      <c r="E16" s="127"/>
      <c r="F16" s="111">
        <v>2007</v>
      </c>
      <c r="G16" s="125">
        <f>[2]Results!O24</f>
        <v>0</v>
      </c>
      <c r="H16" s="125">
        <f t="shared" si="3"/>
        <v>0</v>
      </c>
      <c r="I16" s="126">
        <f t="shared" si="1"/>
        <v>0</v>
      </c>
      <c r="K16" s="111">
        <v>2007</v>
      </c>
      <c r="L16" s="112">
        <f>[3]Results!O24</f>
        <v>1.3889177278481768</v>
      </c>
      <c r="M16" s="125">
        <f t="shared" si="4"/>
        <v>29.167272284811713</v>
      </c>
      <c r="N16" s="126">
        <f t="shared" si="5"/>
        <v>29.167272284811713</v>
      </c>
      <c r="P16" s="111">
        <v>2007</v>
      </c>
      <c r="Q16" s="112">
        <f>[4]Results!O24</f>
        <v>0</v>
      </c>
      <c r="R16" s="128">
        <f t="shared" si="6"/>
        <v>0</v>
      </c>
      <c r="S16" s="129">
        <f t="shared" si="7"/>
        <v>0</v>
      </c>
    </row>
    <row r="17" spans="1:19" x14ac:dyDescent="0.25">
      <c r="A17" s="111">
        <v>2008</v>
      </c>
      <c r="B17" s="125">
        <f>[1]Results!O25</f>
        <v>2.0633048193860546</v>
      </c>
      <c r="C17" s="125">
        <f t="shared" si="2"/>
        <v>43.329401207107146</v>
      </c>
      <c r="D17" s="130">
        <f t="shared" si="0"/>
        <v>43.329401207107146</v>
      </c>
      <c r="E17" s="127"/>
      <c r="F17" s="111">
        <v>2008</v>
      </c>
      <c r="G17" s="125">
        <f>[2]Results!O25</f>
        <v>0</v>
      </c>
      <c r="H17" s="125">
        <f t="shared" si="3"/>
        <v>0</v>
      </c>
      <c r="I17" s="126">
        <f t="shared" si="1"/>
        <v>0</v>
      </c>
      <c r="K17" s="111">
        <v>2008</v>
      </c>
      <c r="L17" s="112">
        <f>[3]Results!O25</f>
        <v>1.4631775017829107</v>
      </c>
      <c r="M17" s="125">
        <f t="shared" si="4"/>
        <v>30.726727537441125</v>
      </c>
      <c r="N17" s="126">
        <f t="shared" si="5"/>
        <v>30.726727537441125</v>
      </c>
      <c r="P17" s="111">
        <v>2008</v>
      </c>
      <c r="Q17" s="112">
        <f>[4]Results!O25</f>
        <v>0</v>
      </c>
      <c r="R17" s="128">
        <f t="shared" si="6"/>
        <v>0</v>
      </c>
      <c r="S17" s="129">
        <f t="shared" si="7"/>
        <v>0</v>
      </c>
    </row>
    <row r="18" spans="1:19" x14ac:dyDescent="0.25">
      <c r="A18" s="111">
        <v>2009</v>
      </c>
      <c r="B18" s="125">
        <f>[1]Results!O26</f>
        <v>2.1541401311180062</v>
      </c>
      <c r="C18" s="125">
        <f t="shared" si="2"/>
        <v>45.236942753478132</v>
      </c>
      <c r="D18" s="130">
        <f t="shared" si="0"/>
        <v>45.236942753478132</v>
      </c>
      <c r="E18" s="127"/>
      <c r="F18" s="111">
        <v>2009</v>
      </c>
      <c r="G18" s="125">
        <f>[2]Results!O26</f>
        <v>0</v>
      </c>
      <c r="H18" s="125">
        <f t="shared" si="3"/>
        <v>0</v>
      </c>
      <c r="I18" s="126">
        <f t="shared" si="1"/>
        <v>0</v>
      </c>
      <c r="K18" s="111">
        <v>2009</v>
      </c>
      <c r="L18" s="112">
        <f>[3]Results!O26</f>
        <v>1.5275926978532499</v>
      </c>
      <c r="M18" s="125">
        <f t="shared" si="4"/>
        <v>32.07944665491825</v>
      </c>
      <c r="N18" s="126">
        <f t="shared" si="5"/>
        <v>32.07944665491825</v>
      </c>
      <c r="P18" s="111">
        <v>2009</v>
      </c>
      <c r="Q18" s="112">
        <f>[4]Results!O26</f>
        <v>0</v>
      </c>
      <c r="R18" s="128">
        <f t="shared" si="6"/>
        <v>0</v>
      </c>
      <c r="S18" s="129">
        <f t="shared" si="7"/>
        <v>0</v>
      </c>
    </row>
    <row r="19" spans="1:19" x14ac:dyDescent="0.25">
      <c r="A19" s="111">
        <v>2010</v>
      </c>
      <c r="B19" s="125">
        <f>[1]Results!O27</f>
        <v>2.2349235243679617</v>
      </c>
      <c r="C19" s="125">
        <f t="shared" si="2"/>
        <v>46.933394011727195</v>
      </c>
      <c r="D19" s="130">
        <f t="shared" si="0"/>
        <v>46.933394011727195</v>
      </c>
      <c r="E19" s="127"/>
      <c r="F19" s="111">
        <v>2010</v>
      </c>
      <c r="G19" s="125">
        <f>[2]Results!O27</f>
        <v>0</v>
      </c>
      <c r="H19" s="125">
        <f t="shared" si="3"/>
        <v>0</v>
      </c>
      <c r="I19" s="126">
        <f t="shared" si="1"/>
        <v>0</v>
      </c>
      <c r="K19" s="111">
        <v>2010</v>
      </c>
      <c r="L19" s="112">
        <f>[3]Results!O27</f>
        <v>1.5848796495486313</v>
      </c>
      <c r="M19" s="125">
        <f t="shared" si="4"/>
        <v>33.282472640521256</v>
      </c>
      <c r="N19" s="126">
        <f t="shared" si="5"/>
        <v>33.282472640521256</v>
      </c>
      <c r="P19" s="111">
        <v>2010</v>
      </c>
      <c r="Q19" s="112">
        <f>[4]Results!O27</f>
        <v>0</v>
      </c>
      <c r="R19" s="128">
        <f t="shared" si="6"/>
        <v>0</v>
      </c>
      <c r="S19" s="129">
        <f t="shared" si="7"/>
        <v>0</v>
      </c>
    </row>
    <row r="20" spans="1:19" x14ac:dyDescent="0.25">
      <c r="B20" s="113"/>
      <c r="C20" s="113"/>
    </row>
    <row r="22" spans="1:19" ht="15.75" thickBot="1" x14ac:dyDescent="0.3">
      <c r="A22" s="131" t="s">
        <v>126</v>
      </c>
    </row>
    <row r="23" spans="1:19" ht="15.75" thickBot="1" x14ac:dyDescent="0.3">
      <c r="A23" s="219" t="s">
        <v>11</v>
      </c>
      <c r="B23" s="221" t="s">
        <v>81</v>
      </c>
      <c r="C23" s="222"/>
      <c r="D23" s="222"/>
      <c r="E23" s="222"/>
      <c r="F23" s="223"/>
    </row>
    <row r="24" spans="1:19" ht="18.75" thickBot="1" x14ac:dyDescent="0.3">
      <c r="A24" s="220"/>
      <c r="B24" s="221" t="s">
        <v>128</v>
      </c>
      <c r="C24" s="223"/>
      <c r="D24" s="221" t="s">
        <v>132</v>
      </c>
      <c r="E24" s="223"/>
      <c r="F24" s="224" t="s">
        <v>129</v>
      </c>
    </row>
    <row r="25" spans="1:19" ht="18" x14ac:dyDescent="0.25">
      <c r="A25" s="220"/>
      <c r="B25" s="132" t="s">
        <v>130</v>
      </c>
      <c r="C25" s="132" t="s">
        <v>131</v>
      </c>
      <c r="D25" s="132" t="s">
        <v>133</v>
      </c>
      <c r="E25" s="132" t="s">
        <v>131</v>
      </c>
      <c r="F25" s="225"/>
    </row>
    <row r="26" spans="1:19" x14ac:dyDescent="0.25">
      <c r="A26" s="111">
        <v>2000</v>
      </c>
      <c r="B26" s="125">
        <f>[5]REKAPITULASI!B6</f>
        <v>5.0424897600000003E-3</v>
      </c>
      <c r="C26" s="125">
        <f>B26*21</f>
        <v>0.10589228496</v>
      </c>
      <c r="D26" s="125">
        <f>[5]REKAPITULASI!D6</f>
        <v>3.7818673200000003E-4</v>
      </c>
      <c r="E26" s="125">
        <f>D26*310</f>
        <v>0.11723788692000001</v>
      </c>
      <c r="F26" s="126">
        <f>E26+C26</f>
        <v>0.22313017188000001</v>
      </c>
    </row>
    <row r="27" spans="1:19" x14ac:dyDescent="0.25">
      <c r="A27" s="111">
        <v>2001</v>
      </c>
      <c r="B27" s="125">
        <f>[5]REKAPITULASI!B7</f>
        <v>5.1362467200000012E-3</v>
      </c>
      <c r="C27" s="125">
        <f t="shared" ref="C27:C36" si="8">B27*21</f>
        <v>0.10786118112000002</v>
      </c>
      <c r="D27" s="125">
        <f>[5]REKAPITULASI!D7</f>
        <v>3.852185040000001E-4</v>
      </c>
      <c r="E27" s="125">
        <f t="shared" ref="E27:E36" si="9">D27*310</f>
        <v>0.11941773624000003</v>
      </c>
      <c r="F27" s="126">
        <f t="shared" ref="F27:F36" si="10">E27+C27</f>
        <v>0.22727891736000005</v>
      </c>
    </row>
    <row r="28" spans="1:19" x14ac:dyDescent="0.25">
      <c r="A28" s="111">
        <v>2002</v>
      </c>
      <c r="B28" s="125">
        <f>[5]REKAPITULASI!B8</f>
        <v>5.2909005599999998E-3</v>
      </c>
      <c r="C28" s="125">
        <f t="shared" si="8"/>
        <v>0.11110891176</v>
      </c>
      <c r="D28" s="125">
        <f>[5]REKAPITULASI!D8</f>
        <v>3.9681754199999994E-4</v>
      </c>
      <c r="E28" s="125">
        <f t="shared" si="9"/>
        <v>0.12301343801999998</v>
      </c>
      <c r="F28" s="126">
        <f t="shared" si="10"/>
        <v>0.23412234977999996</v>
      </c>
    </row>
    <row r="29" spans="1:19" x14ac:dyDescent="0.25">
      <c r="A29" s="111">
        <v>2003</v>
      </c>
      <c r="B29" s="125">
        <f>[5]REKAPITULASI!B9</f>
        <v>5.7083281199999999E-3</v>
      </c>
      <c r="C29" s="125">
        <f t="shared" si="8"/>
        <v>0.11987489052</v>
      </c>
      <c r="D29" s="125">
        <f>[5]REKAPITULASI!D9</f>
        <v>4.28124609E-4</v>
      </c>
      <c r="E29" s="125">
        <f t="shared" si="9"/>
        <v>0.13271862878999999</v>
      </c>
      <c r="F29" s="126">
        <f t="shared" si="10"/>
        <v>0.25259351930999996</v>
      </c>
    </row>
    <row r="30" spans="1:19" x14ac:dyDescent="0.25">
      <c r="A30" s="111">
        <v>2004</v>
      </c>
      <c r="B30" s="125">
        <f>[5]REKAPITULASI!B10</f>
        <v>5.7662550000000005E-3</v>
      </c>
      <c r="C30" s="125">
        <f t="shared" si="8"/>
        <v>0.12109135500000001</v>
      </c>
      <c r="D30" s="125">
        <f>[5]REKAPITULASI!D10</f>
        <v>4.3246912499999998E-4</v>
      </c>
      <c r="E30" s="125">
        <f t="shared" si="9"/>
        <v>0.13406542874999999</v>
      </c>
      <c r="F30" s="126">
        <f t="shared" si="10"/>
        <v>0.25515678375</v>
      </c>
    </row>
    <row r="31" spans="1:19" x14ac:dyDescent="0.25">
      <c r="A31" s="111">
        <v>2005</v>
      </c>
      <c r="B31" s="125">
        <f>[5]REKAPITULASI!B11</f>
        <v>5.9232492000000003E-3</v>
      </c>
      <c r="C31" s="125">
        <f t="shared" si="8"/>
        <v>0.1243882332</v>
      </c>
      <c r="D31" s="125">
        <f>[5]REKAPITULASI!D11</f>
        <v>4.4424368999999999E-4</v>
      </c>
      <c r="E31" s="125">
        <f t="shared" si="9"/>
        <v>0.13771554389999999</v>
      </c>
      <c r="F31" s="126">
        <f t="shared" si="10"/>
        <v>0.26210377709999999</v>
      </c>
    </row>
    <row r="32" spans="1:19" x14ac:dyDescent="0.25">
      <c r="A32" s="111">
        <v>2006</v>
      </c>
      <c r="B32" s="125">
        <f>[5]REKAPITULASI!B12</f>
        <v>6.04292832E-3</v>
      </c>
      <c r="C32" s="125">
        <f t="shared" si="8"/>
        <v>0.12690149472000001</v>
      </c>
      <c r="D32" s="125">
        <f>[5]REKAPITULASI!D12</f>
        <v>4.5321962399999993E-4</v>
      </c>
      <c r="E32" s="125">
        <f t="shared" si="9"/>
        <v>0.14049808343999998</v>
      </c>
      <c r="F32" s="126">
        <f t="shared" si="10"/>
        <v>0.26739957815999998</v>
      </c>
    </row>
    <row r="33" spans="1:10" x14ac:dyDescent="0.25">
      <c r="A33" s="111">
        <v>2007</v>
      </c>
      <c r="B33" s="125">
        <f>[5]REKAPITULASI!B13</f>
        <v>6.1624173599999993E-3</v>
      </c>
      <c r="C33" s="125">
        <f t="shared" si="8"/>
        <v>0.12941076455999997</v>
      </c>
      <c r="D33" s="125">
        <f>[5]REKAPITULASI!D13</f>
        <v>4.6218130199999992E-4</v>
      </c>
      <c r="E33" s="125">
        <f t="shared" si="9"/>
        <v>0.14327620361999999</v>
      </c>
      <c r="F33" s="126">
        <f t="shared" si="10"/>
        <v>0.27268696817999993</v>
      </c>
    </row>
    <row r="34" spans="1:10" x14ac:dyDescent="0.25">
      <c r="A34" s="111">
        <v>2008</v>
      </c>
      <c r="B34" s="125">
        <f>[5]REKAPITULASI!B14</f>
        <v>6.2809797600000003E-3</v>
      </c>
      <c r="C34" s="125">
        <f t="shared" si="8"/>
        <v>0.13190057496000002</v>
      </c>
      <c r="D34" s="125">
        <f>[5]REKAPITULASI!D14</f>
        <v>4.7107348199999999E-4</v>
      </c>
      <c r="E34" s="125">
        <f t="shared" si="9"/>
        <v>0.14603277942000001</v>
      </c>
      <c r="F34" s="126">
        <f t="shared" si="10"/>
        <v>0.27793335438</v>
      </c>
    </row>
    <row r="35" spans="1:10" x14ac:dyDescent="0.25">
      <c r="A35" s="111">
        <v>2009</v>
      </c>
      <c r="B35" s="125">
        <f>[5]REKAPITULASI!B15</f>
        <v>6.397724520000001E-3</v>
      </c>
      <c r="C35" s="125">
        <f t="shared" si="8"/>
        <v>0.13435221492000002</v>
      </c>
      <c r="D35" s="125">
        <f>[5]REKAPITULASI!D15</f>
        <v>4.7982933900000003E-4</v>
      </c>
      <c r="E35" s="125">
        <f t="shared" si="9"/>
        <v>0.14874709509</v>
      </c>
      <c r="F35" s="126">
        <f t="shared" si="10"/>
        <v>0.28309931000999999</v>
      </c>
    </row>
    <row r="36" spans="1:10" x14ac:dyDescent="0.25">
      <c r="A36" s="111">
        <v>2010</v>
      </c>
      <c r="B36" s="125">
        <f>[5]REKAPITULASI!B16</f>
        <v>7.4449584000000008E-3</v>
      </c>
      <c r="C36" s="125">
        <f t="shared" si="8"/>
        <v>0.15634412640000001</v>
      </c>
      <c r="D36" s="125">
        <f>[5]REKAPITULASI!D16</f>
        <v>5.5837188000000006E-4</v>
      </c>
      <c r="E36" s="125">
        <f t="shared" si="9"/>
        <v>0.17309528280000003</v>
      </c>
      <c r="F36" s="126">
        <f t="shared" si="10"/>
        <v>0.32943940920000003</v>
      </c>
    </row>
    <row r="37" spans="1:10" x14ac:dyDescent="0.25">
      <c r="A37" s="111">
        <v>2011</v>
      </c>
      <c r="B37" s="125"/>
      <c r="C37" s="125">
        <f t="shared" ref="C37:C46" si="11">B37*21</f>
        <v>0</v>
      </c>
      <c r="D37" s="125"/>
      <c r="E37" s="125">
        <f t="shared" ref="E37:E46" si="12">D37*310</f>
        <v>0</v>
      </c>
      <c r="F37" s="126">
        <f t="shared" ref="F37:F46" si="13">E37+C37</f>
        <v>0</v>
      </c>
    </row>
    <row r="38" spans="1:10" x14ac:dyDescent="0.25">
      <c r="A38" s="111">
        <v>2012</v>
      </c>
      <c r="B38" s="125"/>
      <c r="C38" s="125">
        <f t="shared" si="11"/>
        <v>0</v>
      </c>
      <c r="D38" s="125"/>
      <c r="E38" s="125">
        <f t="shared" si="12"/>
        <v>0</v>
      </c>
      <c r="F38" s="126">
        <f t="shared" si="13"/>
        <v>0</v>
      </c>
    </row>
    <row r="39" spans="1:10" x14ac:dyDescent="0.25">
      <c r="A39" s="111">
        <v>2013</v>
      </c>
      <c r="B39" s="125"/>
      <c r="C39" s="125">
        <f t="shared" si="11"/>
        <v>0</v>
      </c>
      <c r="D39" s="125"/>
      <c r="E39" s="125">
        <f t="shared" si="12"/>
        <v>0</v>
      </c>
      <c r="F39" s="126">
        <f t="shared" si="13"/>
        <v>0</v>
      </c>
    </row>
    <row r="40" spans="1:10" x14ac:dyDescent="0.25">
      <c r="A40" s="111">
        <v>2014</v>
      </c>
      <c r="B40" s="125"/>
      <c r="C40" s="125">
        <f t="shared" si="11"/>
        <v>0</v>
      </c>
      <c r="D40" s="125"/>
      <c r="E40" s="125">
        <f t="shared" si="12"/>
        <v>0</v>
      </c>
      <c r="F40" s="126">
        <f t="shared" si="13"/>
        <v>0</v>
      </c>
    </row>
    <row r="41" spans="1:10" x14ac:dyDescent="0.25">
      <c r="A41" s="111">
        <v>2015</v>
      </c>
      <c r="B41" s="125"/>
      <c r="C41" s="125">
        <f t="shared" si="11"/>
        <v>0</v>
      </c>
      <c r="D41" s="125"/>
      <c r="E41" s="125">
        <f t="shared" si="12"/>
        <v>0</v>
      </c>
      <c r="F41" s="126">
        <f t="shared" si="13"/>
        <v>0</v>
      </c>
    </row>
    <row r="42" spans="1:10" x14ac:dyDescent="0.25">
      <c r="A42" s="111">
        <v>2016</v>
      </c>
      <c r="B42" s="125"/>
      <c r="C42" s="125">
        <f t="shared" si="11"/>
        <v>0</v>
      </c>
      <c r="D42" s="125"/>
      <c r="E42" s="125">
        <f t="shared" si="12"/>
        <v>0</v>
      </c>
      <c r="F42" s="126">
        <f t="shared" si="13"/>
        <v>0</v>
      </c>
    </row>
    <row r="43" spans="1:10" x14ac:dyDescent="0.25">
      <c r="A43" s="111">
        <v>2017</v>
      </c>
      <c r="B43" s="125"/>
      <c r="C43" s="125">
        <f t="shared" si="11"/>
        <v>0</v>
      </c>
      <c r="D43" s="125"/>
      <c r="E43" s="125">
        <f t="shared" si="12"/>
        <v>0</v>
      </c>
      <c r="F43" s="126">
        <f t="shared" si="13"/>
        <v>0</v>
      </c>
    </row>
    <row r="44" spans="1:10" x14ac:dyDescent="0.25">
      <c r="A44" s="111">
        <v>2018</v>
      </c>
      <c r="B44" s="125"/>
      <c r="C44" s="125">
        <f t="shared" si="11"/>
        <v>0</v>
      </c>
      <c r="D44" s="125"/>
      <c r="E44" s="125">
        <f t="shared" si="12"/>
        <v>0</v>
      </c>
      <c r="F44" s="126">
        <f t="shared" si="13"/>
        <v>0</v>
      </c>
    </row>
    <row r="45" spans="1:10" x14ac:dyDescent="0.25">
      <c r="A45" s="111">
        <v>2019</v>
      </c>
      <c r="B45" s="125"/>
      <c r="C45" s="125">
        <f t="shared" si="11"/>
        <v>0</v>
      </c>
      <c r="D45" s="125"/>
      <c r="E45" s="125">
        <f t="shared" si="12"/>
        <v>0</v>
      </c>
      <c r="F45" s="126">
        <f t="shared" si="13"/>
        <v>0</v>
      </c>
    </row>
    <row r="46" spans="1:10" x14ac:dyDescent="0.25">
      <c r="A46" s="111">
        <v>2020</v>
      </c>
      <c r="B46" s="114"/>
      <c r="C46" s="125">
        <f t="shared" si="11"/>
        <v>0</v>
      </c>
      <c r="D46" s="125"/>
      <c r="E46" s="125">
        <f t="shared" si="12"/>
        <v>0</v>
      </c>
      <c r="F46" s="126">
        <f t="shared" si="13"/>
        <v>0</v>
      </c>
    </row>
    <row r="48" spans="1:10" ht="15.75" thickBot="1" x14ac:dyDescent="0.3">
      <c r="A48" s="119" t="s">
        <v>88</v>
      </c>
      <c r="J48" s="108">
        <v>1000</v>
      </c>
    </row>
    <row r="49" spans="1:10" ht="15.75" thickBot="1" x14ac:dyDescent="0.3">
      <c r="A49" s="214" t="s">
        <v>11</v>
      </c>
      <c r="B49" s="216" t="s">
        <v>89</v>
      </c>
      <c r="C49" s="217"/>
      <c r="D49" s="217"/>
      <c r="E49" s="217"/>
      <c r="F49" s="217"/>
    </row>
    <row r="50" spans="1:10" ht="18.75" thickBot="1" x14ac:dyDescent="0.3">
      <c r="A50" s="215"/>
      <c r="B50" s="216" t="s">
        <v>128</v>
      </c>
      <c r="C50" s="218"/>
      <c r="D50" s="216" t="s">
        <v>132</v>
      </c>
      <c r="E50" s="218"/>
      <c r="F50" s="133" t="s">
        <v>134</v>
      </c>
      <c r="H50" s="228" t="s">
        <v>11</v>
      </c>
      <c r="I50" s="228" t="s">
        <v>144</v>
      </c>
      <c r="J50" s="228"/>
    </row>
    <row r="51" spans="1:10" ht="18" x14ac:dyDescent="0.25">
      <c r="A51" s="215"/>
      <c r="B51" s="134" t="s">
        <v>130</v>
      </c>
      <c r="C51" s="134" t="s">
        <v>131</v>
      </c>
      <c r="D51" s="134" t="s">
        <v>133</v>
      </c>
      <c r="E51" s="134" t="s">
        <v>131</v>
      </c>
      <c r="F51" s="134" t="s">
        <v>135</v>
      </c>
      <c r="H51" s="228"/>
      <c r="I51" s="158" t="s">
        <v>145</v>
      </c>
      <c r="J51" s="158" t="s">
        <v>146</v>
      </c>
    </row>
    <row r="52" spans="1:10" x14ac:dyDescent="0.25">
      <c r="A52" s="111">
        <v>2000</v>
      </c>
      <c r="B52" s="152">
        <f>[5]REKAPITULASI!B23</f>
        <v>4.3222984945140007E-2</v>
      </c>
      <c r="C52" s="136">
        <f>B52*21</f>
        <v>0.90768268384794015</v>
      </c>
      <c r="D52" s="152">
        <f>[5]REKAPITULASI!D23</f>
        <v>9.974534987340002E-4</v>
      </c>
      <c r="E52" s="136">
        <f>D52*310</f>
        <v>0.30921058460754008</v>
      </c>
      <c r="F52" s="137">
        <f>SUM(C52+E52)</f>
        <v>1.2168932684554803</v>
      </c>
      <c r="H52" s="157">
        <v>2000</v>
      </c>
      <c r="I52" s="159">
        <f>D9+I9+N9+S9+F26+F52</f>
        <v>1.4400234403354804</v>
      </c>
      <c r="J52" s="160">
        <f>I52*$J$48</f>
        <v>1440.0234403354802</v>
      </c>
    </row>
    <row r="53" spans="1:10" x14ac:dyDescent="0.25">
      <c r="A53" s="111">
        <v>2001</v>
      </c>
      <c r="B53" s="152">
        <f>[5]REKAPITULASI!B24</f>
        <v>4.4026646601080001E-2</v>
      </c>
      <c r="C53" s="136">
        <f t="shared" ref="C53:C72" si="14">B53*21</f>
        <v>0.92455957862268001</v>
      </c>
      <c r="D53" s="152">
        <f>[5]REKAPITULASI!D24</f>
        <v>1.015999536948E-3</v>
      </c>
      <c r="E53" s="136">
        <f t="shared" ref="E53:E72" si="15">D53*310</f>
        <v>0.31495985645388003</v>
      </c>
      <c r="F53" s="137">
        <f t="shared" ref="F53:F72" si="16">SUM(C53+E53)</f>
        <v>1.2395194350765601</v>
      </c>
      <c r="H53" s="157">
        <v>2001</v>
      </c>
      <c r="I53" s="159">
        <f t="shared" ref="I53:I62" si="17">D10+I10+N10+S10+F27+F53</f>
        <v>21.305377939476028</v>
      </c>
      <c r="J53" s="160">
        <f t="shared" ref="J53:J62" si="18">I53*$J$48</f>
        <v>21305.377939476028</v>
      </c>
    </row>
    <row r="54" spans="1:10" x14ac:dyDescent="0.25">
      <c r="A54" s="111">
        <v>2002</v>
      </c>
      <c r="B54" s="152">
        <f>[5]REKAPITULASI!B25</f>
        <v>4.5352301370090005E-2</v>
      </c>
      <c r="C54" s="136">
        <f t="shared" si="14"/>
        <v>0.95239832877189012</v>
      </c>
      <c r="D54" s="152">
        <f>[5]REKAPITULASI!D25</f>
        <v>1.0465915700790002E-3</v>
      </c>
      <c r="E54" s="136">
        <f t="shared" si="15"/>
        <v>0.32444338672449008</v>
      </c>
      <c r="F54" s="137">
        <f t="shared" si="16"/>
        <v>1.2768417154963803</v>
      </c>
      <c r="H54" s="157">
        <v>2002</v>
      </c>
      <c r="I54" s="159">
        <f t="shared" si="17"/>
        <v>35.508022880382434</v>
      </c>
      <c r="J54" s="160">
        <f t="shared" si="18"/>
        <v>35508.022880382436</v>
      </c>
    </row>
    <row r="55" spans="1:10" x14ac:dyDescent="0.25">
      <c r="A55" s="111">
        <v>2003</v>
      </c>
      <c r="B55" s="152">
        <f>[5]REKAPITULASI!B26</f>
        <v>4.8930387990054995E-2</v>
      </c>
      <c r="C55" s="136">
        <f t="shared" si="14"/>
        <v>1.0275381477911549</v>
      </c>
      <c r="D55" s="152">
        <f>[5]REKAPITULASI!D26</f>
        <v>1.1291627997705E-3</v>
      </c>
      <c r="E55" s="136">
        <f t="shared" si="15"/>
        <v>0.35004046792885501</v>
      </c>
      <c r="F55" s="137">
        <f t="shared" si="16"/>
        <v>1.3775786157200098</v>
      </c>
      <c r="H55" s="157">
        <v>2003</v>
      </c>
      <c r="I55" s="159">
        <f t="shared" si="17"/>
        <v>46.164918326044898</v>
      </c>
      <c r="J55" s="160">
        <f t="shared" si="18"/>
        <v>46164.918326044899</v>
      </c>
    </row>
    <row r="56" spans="1:10" x14ac:dyDescent="0.25">
      <c r="A56" s="111">
        <v>2004</v>
      </c>
      <c r="B56" s="152">
        <f>[5]REKAPITULASI!B27</f>
        <v>4.9426922991874997E-2</v>
      </c>
      <c r="C56" s="136">
        <f t="shared" si="14"/>
        <v>1.0379653828293749</v>
      </c>
      <c r="D56" s="152">
        <f>[5]REKAPITULASI!D27</f>
        <v>1.1406212998125E-3</v>
      </c>
      <c r="E56" s="136">
        <f t="shared" si="15"/>
        <v>0.353592602941875</v>
      </c>
      <c r="F56" s="137">
        <f t="shared" si="16"/>
        <v>1.3915579857712499</v>
      </c>
      <c r="H56" s="157">
        <v>2004</v>
      </c>
      <c r="I56" s="159">
        <f t="shared" si="17"/>
        <v>55.286471207665883</v>
      </c>
      <c r="J56" s="160">
        <f t="shared" si="18"/>
        <v>55286.471207665883</v>
      </c>
    </row>
    <row r="57" spans="1:10" x14ac:dyDescent="0.25">
      <c r="A57" s="111">
        <v>2005</v>
      </c>
      <c r="B57" s="152">
        <f>[5]REKAPITULASI!B28</f>
        <v>5.0772638752550003E-2</v>
      </c>
      <c r="C57" s="136">
        <f t="shared" si="14"/>
        <v>1.0662254138035501</v>
      </c>
      <c r="D57" s="152">
        <f>[5]REKAPITULASI!D28</f>
        <v>1.1716762789050002E-3</v>
      </c>
      <c r="E57" s="136">
        <f t="shared" si="15"/>
        <v>0.36321964646055005</v>
      </c>
      <c r="F57" s="137">
        <f t="shared" si="16"/>
        <v>1.4294450602641002</v>
      </c>
      <c r="H57" s="157">
        <v>2005</v>
      </c>
      <c r="I57" s="159">
        <f t="shared" si="17"/>
        <v>62.053445096962413</v>
      </c>
      <c r="J57" s="160">
        <f t="shared" si="18"/>
        <v>62053.445096962416</v>
      </c>
    </row>
    <row r="58" spans="1:10" x14ac:dyDescent="0.25">
      <c r="A58" s="111">
        <v>2006</v>
      </c>
      <c r="B58" s="152">
        <f>[5]REKAPITULASI!B29</f>
        <v>5.1798498803479996E-2</v>
      </c>
      <c r="C58" s="136">
        <f t="shared" si="14"/>
        <v>1.0877684748730798</v>
      </c>
      <c r="D58" s="152">
        <f>[5]REKAPITULASI!D29</f>
        <v>1.195349972388E-3</v>
      </c>
      <c r="E58" s="136">
        <f t="shared" si="15"/>
        <v>0.37055849144028002</v>
      </c>
      <c r="F58" s="137">
        <f t="shared" si="16"/>
        <v>1.4583269663133598</v>
      </c>
      <c r="H58" s="157">
        <v>2006</v>
      </c>
      <c r="I58" s="159">
        <f t="shared" si="17"/>
        <v>67.56063950304565</v>
      </c>
      <c r="J58" s="160">
        <f t="shared" si="18"/>
        <v>67560.639503045648</v>
      </c>
    </row>
    <row r="59" spans="1:10" x14ac:dyDescent="0.25">
      <c r="A59" s="111">
        <v>2007</v>
      </c>
      <c r="B59" s="152">
        <f>[5]REKAPITULASI!B30</f>
        <v>5.2822729535290006E-2</v>
      </c>
      <c r="C59" s="136">
        <f t="shared" si="14"/>
        <v>1.1092773202410902</v>
      </c>
      <c r="D59" s="152">
        <f>[5]REKAPITULASI!D30</f>
        <v>1.2189860661990001E-3</v>
      </c>
      <c r="E59" s="136">
        <f t="shared" si="15"/>
        <v>0.37788568052169003</v>
      </c>
      <c r="F59" s="137">
        <f t="shared" si="16"/>
        <v>1.4871630007627803</v>
      </c>
      <c r="H59" s="157">
        <v>2007</v>
      </c>
      <c r="I59" s="159">
        <f t="shared" si="17"/>
        <v>72.05745223782381</v>
      </c>
      <c r="J59" s="160">
        <f t="shared" si="18"/>
        <v>72057.452237823803</v>
      </c>
    </row>
    <row r="60" spans="1:10" x14ac:dyDescent="0.25">
      <c r="A60" s="111">
        <v>2008</v>
      </c>
      <c r="B60" s="152">
        <f>[5]REKAPITULASI!B31</f>
        <v>5.3839017336390009E-2</v>
      </c>
      <c r="C60" s="136">
        <f t="shared" si="14"/>
        <v>1.1306193640641902</v>
      </c>
      <c r="D60" s="152">
        <f>[5]REKAPITULASI!D31</f>
        <v>1.2424388616090003E-3</v>
      </c>
      <c r="E60" s="136">
        <f t="shared" si="15"/>
        <v>0.38515604709879009</v>
      </c>
      <c r="F60" s="137">
        <f t="shared" si="16"/>
        <v>1.5157754111629802</v>
      </c>
      <c r="H60" s="157">
        <v>2008</v>
      </c>
      <c r="I60" s="159">
        <f t="shared" si="17"/>
        <v>75.849837510091248</v>
      </c>
      <c r="J60" s="160">
        <f t="shared" si="18"/>
        <v>75849.837510091253</v>
      </c>
    </row>
    <row r="61" spans="1:10" x14ac:dyDescent="0.25">
      <c r="A61" s="111">
        <v>2009</v>
      </c>
      <c r="B61" s="152">
        <f>[5]REKAPITULASI!B32</f>
        <v>5.4839724773405013E-2</v>
      </c>
      <c r="C61" s="136">
        <f t="shared" si="14"/>
        <v>1.1516342202415053</v>
      </c>
      <c r="D61" s="152">
        <f>[5]REKAPITULASI!D32</f>
        <v>1.2655321101555004E-3</v>
      </c>
      <c r="E61" s="136">
        <f t="shared" si="15"/>
        <v>0.39231495414820511</v>
      </c>
      <c r="F61" s="137">
        <f t="shared" si="16"/>
        <v>1.5439491743897105</v>
      </c>
      <c r="H61" s="157">
        <v>2009</v>
      </c>
      <c r="I61" s="159">
        <f t="shared" si="17"/>
        <v>79.143437892796101</v>
      </c>
      <c r="J61" s="160">
        <f t="shared" si="18"/>
        <v>79143.437892796093</v>
      </c>
    </row>
    <row r="62" spans="1:10" x14ac:dyDescent="0.25">
      <c r="A62" s="111">
        <v>2010</v>
      </c>
      <c r="B62" s="152">
        <f>[5]REKAPITULASI!B33</f>
        <v>6.3816356632599991E-2</v>
      </c>
      <c r="C62" s="136">
        <f t="shared" si="14"/>
        <v>1.3401434892845998</v>
      </c>
      <c r="D62" s="152">
        <f>[5]REKAPITULASI!D33</f>
        <v>1.4726851530599998E-3</v>
      </c>
      <c r="E62" s="136">
        <f t="shared" si="15"/>
        <v>0.45653239744859997</v>
      </c>
      <c r="F62" s="137">
        <f t="shared" si="16"/>
        <v>1.7966758867331998</v>
      </c>
      <c r="H62" s="157">
        <v>2010</v>
      </c>
      <c r="I62" s="159">
        <f t="shared" si="17"/>
        <v>82.341981948181655</v>
      </c>
      <c r="J62" s="160">
        <f t="shared" si="18"/>
        <v>82341.981948181652</v>
      </c>
    </row>
    <row r="63" spans="1:10" x14ac:dyDescent="0.25">
      <c r="A63" s="111">
        <v>2011</v>
      </c>
      <c r="B63" s="135"/>
      <c r="C63" s="136">
        <f t="shared" si="14"/>
        <v>0</v>
      </c>
      <c r="D63" s="135"/>
      <c r="E63" s="136">
        <f t="shared" si="15"/>
        <v>0</v>
      </c>
      <c r="F63" s="137">
        <f t="shared" si="16"/>
        <v>0</v>
      </c>
    </row>
    <row r="64" spans="1:10" x14ac:dyDescent="0.25">
      <c r="A64" s="111">
        <v>2012</v>
      </c>
      <c r="B64" s="135"/>
      <c r="C64" s="136">
        <f t="shared" si="14"/>
        <v>0</v>
      </c>
      <c r="D64" s="135"/>
      <c r="E64" s="136">
        <f t="shared" si="15"/>
        <v>0</v>
      </c>
      <c r="F64" s="137">
        <f t="shared" si="16"/>
        <v>0</v>
      </c>
    </row>
    <row r="65" spans="1:7" x14ac:dyDescent="0.25">
      <c r="A65" s="111">
        <v>2013</v>
      </c>
      <c r="B65" s="135"/>
      <c r="C65" s="136">
        <f t="shared" si="14"/>
        <v>0</v>
      </c>
      <c r="D65" s="135"/>
      <c r="E65" s="136">
        <f t="shared" si="15"/>
        <v>0</v>
      </c>
      <c r="F65" s="137">
        <f t="shared" si="16"/>
        <v>0</v>
      </c>
    </row>
    <row r="66" spans="1:7" x14ac:dyDescent="0.25">
      <c r="A66" s="111">
        <v>2014</v>
      </c>
      <c r="B66" s="135"/>
      <c r="C66" s="136">
        <f t="shared" si="14"/>
        <v>0</v>
      </c>
      <c r="D66" s="135"/>
      <c r="E66" s="136">
        <f t="shared" si="15"/>
        <v>0</v>
      </c>
      <c r="F66" s="137">
        <f t="shared" si="16"/>
        <v>0</v>
      </c>
    </row>
    <row r="67" spans="1:7" x14ac:dyDescent="0.25">
      <c r="A67" s="111">
        <v>2015</v>
      </c>
      <c r="B67" s="135"/>
      <c r="C67" s="136">
        <f t="shared" si="14"/>
        <v>0</v>
      </c>
      <c r="D67" s="135"/>
      <c r="E67" s="136">
        <f t="shared" si="15"/>
        <v>0</v>
      </c>
      <c r="F67" s="137">
        <f t="shared" si="16"/>
        <v>0</v>
      </c>
    </row>
    <row r="68" spans="1:7" x14ac:dyDescent="0.25">
      <c r="A68" s="111">
        <v>2016</v>
      </c>
      <c r="B68" s="135"/>
      <c r="C68" s="136">
        <f t="shared" si="14"/>
        <v>0</v>
      </c>
      <c r="D68" s="135"/>
      <c r="E68" s="136">
        <f t="shared" si="15"/>
        <v>0</v>
      </c>
      <c r="F68" s="137">
        <f t="shared" si="16"/>
        <v>0</v>
      </c>
    </row>
    <row r="69" spans="1:7" x14ac:dyDescent="0.25">
      <c r="A69" s="111">
        <v>2017</v>
      </c>
      <c r="B69" s="135"/>
      <c r="C69" s="136">
        <f t="shared" si="14"/>
        <v>0</v>
      </c>
      <c r="D69" s="135"/>
      <c r="E69" s="136">
        <f t="shared" si="15"/>
        <v>0</v>
      </c>
      <c r="F69" s="137">
        <f t="shared" si="16"/>
        <v>0</v>
      </c>
    </row>
    <row r="70" spans="1:7" x14ac:dyDescent="0.25">
      <c r="A70" s="111">
        <v>2018</v>
      </c>
      <c r="B70" s="135"/>
      <c r="C70" s="136">
        <f t="shared" si="14"/>
        <v>0</v>
      </c>
      <c r="D70" s="135"/>
      <c r="E70" s="136">
        <f t="shared" si="15"/>
        <v>0</v>
      </c>
      <c r="F70" s="137">
        <f t="shared" si="16"/>
        <v>0</v>
      </c>
    </row>
    <row r="71" spans="1:7" x14ac:dyDescent="0.25">
      <c r="A71" s="111">
        <v>2019</v>
      </c>
      <c r="B71" s="135"/>
      <c r="C71" s="136">
        <f t="shared" si="14"/>
        <v>0</v>
      </c>
      <c r="D71" s="135"/>
      <c r="E71" s="136">
        <f t="shared" si="15"/>
        <v>0</v>
      </c>
      <c r="F71" s="137">
        <f t="shared" si="16"/>
        <v>0</v>
      </c>
    </row>
    <row r="72" spans="1:7" x14ac:dyDescent="0.25">
      <c r="A72" s="111">
        <v>2020</v>
      </c>
      <c r="B72" s="135"/>
      <c r="C72" s="136">
        <f t="shared" si="14"/>
        <v>0</v>
      </c>
      <c r="D72" s="135"/>
      <c r="E72" s="136">
        <f t="shared" si="15"/>
        <v>0</v>
      </c>
      <c r="F72" s="137">
        <f t="shared" si="16"/>
        <v>0</v>
      </c>
    </row>
    <row r="75" spans="1:7" x14ac:dyDescent="0.25">
      <c r="A75" s="138"/>
      <c r="B75" s="115"/>
      <c r="C75" s="116"/>
      <c r="D75" s="115"/>
      <c r="E75" s="116"/>
      <c r="F75" s="116"/>
    </row>
    <row r="76" spans="1:7" ht="15.75" thickBot="1" x14ac:dyDescent="0.3">
      <c r="A76" s="139" t="s">
        <v>143</v>
      </c>
      <c r="B76" s="116"/>
      <c r="C76" s="115"/>
      <c r="D76" s="116"/>
      <c r="G76" s="108">
        <v>1000</v>
      </c>
    </row>
    <row r="77" spans="1:7" ht="18.75" thickBot="1" x14ac:dyDescent="0.3">
      <c r="A77" s="231" t="s">
        <v>11</v>
      </c>
      <c r="B77" s="233" t="s">
        <v>136</v>
      </c>
      <c r="C77" s="234"/>
      <c r="D77" s="226" t="s">
        <v>137</v>
      </c>
      <c r="E77" s="227"/>
      <c r="F77" s="229" t="s">
        <v>95</v>
      </c>
      <c r="G77" s="230"/>
    </row>
    <row r="78" spans="1:7" ht="81.75" thickBot="1" x14ac:dyDescent="0.3">
      <c r="A78" s="232"/>
      <c r="B78" s="140" t="s">
        <v>138</v>
      </c>
      <c r="C78" s="140" t="s">
        <v>139</v>
      </c>
      <c r="D78" s="141" t="s">
        <v>140</v>
      </c>
      <c r="E78" s="141" t="s">
        <v>141</v>
      </c>
      <c r="F78" s="142" t="s">
        <v>142</v>
      </c>
      <c r="G78" s="142" t="s">
        <v>147</v>
      </c>
    </row>
    <row r="79" spans="1:7" ht="15.75" thickBot="1" x14ac:dyDescent="0.3">
      <c r="A79" s="232"/>
      <c r="B79" s="235" t="s">
        <v>101</v>
      </c>
      <c r="C79" s="143" t="s">
        <v>102</v>
      </c>
      <c r="D79" s="144" t="s">
        <v>103</v>
      </c>
      <c r="E79" s="145" t="s">
        <v>104</v>
      </c>
      <c r="F79" s="146" t="s">
        <v>105</v>
      </c>
      <c r="G79" s="146" t="s">
        <v>105</v>
      </c>
    </row>
    <row r="80" spans="1:7" x14ac:dyDescent="0.25">
      <c r="A80" s="232"/>
      <c r="B80" s="236"/>
      <c r="C80" s="147" t="s">
        <v>106</v>
      </c>
      <c r="D80" s="148"/>
      <c r="E80" s="149" t="s">
        <v>107</v>
      </c>
      <c r="F80" s="150" t="s">
        <v>108</v>
      </c>
      <c r="G80" s="150" t="s">
        <v>108</v>
      </c>
    </row>
    <row r="81" spans="1:7" x14ac:dyDescent="0.25">
      <c r="A81" s="111">
        <v>2000</v>
      </c>
      <c r="B81" s="153">
        <f>[5]REKAPITULASI!B43</f>
        <v>0.44343247475520009</v>
      </c>
      <c r="C81" s="156">
        <f>B81*21</f>
        <v>9.3120819698592019</v>
      </c>
      <c r="D81" s="155">
        <f>[5]REKAPITULASI!D43</f>
        <v>1.5510324984E-2</v>
      </c>
      <c r="E81" s="151">
        <f>D81*310</f>
        <v>4.8082007450399997</v>
      </c>
      <c r="F81" s="154">
        <f>C81+E81</f>
        <v>14.120282714899201</v>
      </c>
      <c r="G81" s="161">
        <f>F81*$G$76</f>
        <v>14120.2827148992</v>
      </c>
    </row>
    <row r="82" spans="1:7" x14ac:dyDescent="0.25">
      <c r="A82" s="111">
        <v>2001</v>
      </c>
      <c r="B82" s="153">
        <f>[5]REKAPITULASI!B44</f>
        <v>0.4516773860544</v>
      </c>
      <c r="C82" s="156">
        <f t="shared" ref="C82:C101" si="19">B82*21</f>
        <v>9.4852251071423996</v>
      </c>
      <c r="D82" s="155">
        <f>[5]REKAPITULASI!D44</f>
        <v>1.5798714448E-2</v>
      </c>
      <c r="E82" s="151">
        <f t="shared" ref="E82:E101" si="20">D82*310</f>
        <v>4.8976014788800004</v>
      </c>
      <c r="F82" s="154">
        <f t="shared" ref="F82:F101" si="21">C82+E82</f>
        <v>14.3828265860224</v>
      </c>
      <c r="G82" s="161">
        <f t="shared" ref="G82:G91" si="22">F82*$G$76</f>
        <v>14382.8265860224</v>
      </c>
    </row>
    <row r="83" spans="1:7" x14ac:dyDescent="0.25">
      <c r="A83" s="111">
        <v>2002</v>
      </c>
      <c r="B83" s="153">
        <f>[5]REKAPITULASI!B45</f>
        <v>0.46527751977120002</v>
      </c>
      <c r="C83" s="156">
        <f t="shared" si="19"/>
        <v>9.7708279151952002</v>
      </c>
      <c r="D83" s="155">
        <f>[5]REKAPITULASI!D45</f>
        <v>1.6274418203999996E-2</v>
      </c>
      <c r="E83" s="151">
        <f t="shared" si="20"/>
        <v>5.0450696432399988</v>
      </c>
      <c r="F83" s="154">
        <f t="shared" si="21"/>
        <v>14.8158975584352</v>
      </c>
      <c r="G83" s="161">
        <f t="shared" si="22"/>
        <v>14815.897558435199</v>
      </c>
    </row>
    <row r="84" spans="1:7" x14ac:dyDescent="0.25">
      <c r="A84" s="111">
        <v>2003</v>
      </c>
      <c r="B84" s="153">
        <f>[5]REKAPITULASI!B46</f>
        <v>0.50198576208239998</v>
      </c>
      <c r="C84" s="156">
        <f t="shared" si="19"/>
        <v>10.541701003730399</v>
      </c>
      <c r="D84" s="155">
        <f>[5]REKAPITULASI!D46</f>
        <v>1.7558394458000004E-2</v>
      </c>
      <c r="E84" s="151">
        <f t="shared" si="20"/>
        <v>5.4431022819800017</v>
      </c>
      <c r="F84" s="154">
        <f t="shared" si="21"/>
        <v>15.984803285710401</v>
      </c>
      <c r="G84" s="161">
        <f t="shared" si="22"/>
        <v>15984.803285710401</v>
      </c>
    </row>
    <row r="85" spans="1:7" x14ac:dyDescent="0.25">
      <c r="A85" s="111">
        <v>2004</v>
      </c>
      <c r="B85" s="153">
        <f>[5]REKAPITULASI!B47</f>
        <v>0.50707980510000006</v>
      </c>
      <c r="C85" s="156">
        <f t="shared" si="19"/>
        <v>10.648675907100001</v>
      </c>
      <c r="D85" s="155">
        <f>[5]REKAPITULASI!D47</f>
        <v>1.7736573250000002E-2</v>
      </c>
      <c r="E85" s="151">
        <f t="shared" si="20"/>
        <v>5.4983377075000002</v>
      </c>
      <c r="F85" s="154">
        <f t="shared" si="21"/>
        <v>16.147013614600002</v>
      </c>
      <c r="G85" s="161">
        <f t="shared" si="22"/>
        <v>16147.013614600002</v>
      </c>
    </row>
    <row r="86" spans="1:7" x14ac:dyDescent="0.25">
      <c r="A86" s="111">
        <v>2005</v>
      </c>
      <c r="B86" s="153">
        <f>[5]REKAPITULASI!B48</f>
        <v>0.52088574818400002</v>
      </c>
      <c r="C86" s="156">
        <f t="shared" si="19"/>
        <v>10.938600711864</v>
      </c>
      <c r="D86" s="155">
        <f>[5]REKAPITULASI!D48</f>
        <v>1.8219475779999997E-2</v>
      </c>
      <c r="E86" s="151">
        <f t="shared" si="20"/>
        <v>5.6480374917999994</v>
      </c>
      <c r="F86" s="154">
        <f t="shared" si="21"/>
        <v>16.586638203663998</v>
      </c>
      <c r="G86" s="161">
        <f t="shared" si="22"/>
        <v>16586.638203663999</v>
      </c>
    </row>
    <row r="87" spans="1:7" x14ac:dyDescent="0.25">
      <c r="A87" s="111">
        <v>2006</v>
      </c>
      <c r="B87" s="153">
        <f>[5]REKAPITULASI!B49</f>
        <v>0.53141023328639991</v>
      </c>
      <c r="C87" s="156">
        <f t="shared" si="19"/>
        <v>11.159614899014398</v>
      </c>
      <c r="D87" s="155">
        <f>[5]REKAPITULASI!D49</f>
        <v>1.8587599888000003E-2</v>
      </c>
      <c r="E87" s="151">
        <f t="shared" si="20"/>
        <v>5.7621559652800007</v>
      </c>
      <c r="F87" s="154">
        <f t="shared" si="21"/>
        <v>16.921770864294398</v>
      </c>
      <c r="G87" s="161">
        <f t="shared" si="22"/>
        <v>16921.770864294398</v>
      </c>
    </row>
    <row r="88" spans="1:7" x14ac:dyDescent="0.25">
      <c r="A88" s="111">
        <v>2007</v>
      </c>
      <c r="B88" s="153">
        <f>[5]REKAPITULASI!B50</f>
        <v>0.54191800290719994</v>
      </c>
      <c r="C88" s="156">
        <f t="shared" si="19"/>
        <v>11.380278061051198</v>
      </c>
      <c r="D88" s="155">
        <f>[5]REKAPITULASI!D50</f>
        <v>1.8955139324E-2</v>
      </c>
      <c r="E88" s="151">
        <f t="shared" si="20"/>
        <v>5.8760931904399998</v>
      </c>
      <c r="F88" s="154">
        <f t="shared" si="21"/>
        <v>17.256371251491199</v>
      </c>
      <c r="G88" s="161">
        <f t="shared" si="22"/>
        <v>17256.3712514912</v>
      </c>
    </row>
    <row r="89" spans="1:7" x14ac:dyDescent="0.25">
      <c r="A89" s="111">
        <v>2008</v>
      </c>
      <c r="B89" s="153">
        <f>[5]REKAPITULASI!B51</f>
        <v>0.55234428455520002</v>
      </c>
      <c r="C89" s="156">
        <f t="shared" si="19"/>
        <v>11.599229975659201</v>
      </c>
      <c r="D89" s="155">
        <f>[5]REKAPITULASI!D51</f>
        <v>1.9319828484E-2</v>
      </c>
      <c r="E89" s="151">
        <f t="shared" si="20"/>
        <v>5.9891468300400001</v>
      </c>
      <c r="F89" s="154">
        <f t="shared" si="21"/>
        <v>17.588376805699202</v>
      </c>
      <c r="G89" s="161">
        <f t="shared" si="22"/>
        <v>17588.376805699201</v>
      </c>
    </row>
    <row r="90" spans="1:7" x14ac:dyDescent="0.25">
      <c r="A90" s="111">
        <v>2009</v>
      </c>
      <c r="B90" s="153">
        <f>[5]REKAPITULASI!B52</f>
        <v>0.56261072441039994</v>
      </c>
      <c r="C90" s="156">
        <f t="shared" si="19"/>
        <v>11.814825212618398</v>
      </c>
      <c r="D90" s="155">
        <f>[5]REKAPITULASI!D52</f>
        <v>1.9678926718000006E-2</v>
      </c>
      <c r="E90" s="151">
        <f t="shared" si="20"/>
        <v>6.1004672825800021</v>
      </c>
      <c r="F90" s="154">
        <f t="shared" si="21"/>
        <v>17.915292495198401</v>
      </c>
      <c r="G90" s="161">
        <f t="shared" si="22"/>
        <v>17915.292495198402</v>
      </c>
    </row>
    <row r="91" spans="1:7" x14ac:dyDescent="0.25">
      <c r="A91" s="111">
        <v>2010</v>
      </c>
      <c r="B91" s="153">
        <f>[5]REKAPITULASI!B53</f>
        <v>0.65470362556799999</v>
      </c>
      <c r="C91" s="156">
        <f t="shared" si="19"/>
        <v>13.748776136927999</v>
      </c>
      <c r="D91" s="155">
        <f>[5]REKAPITULASI!D53</f>
        <v>2.2900140560000004E-2</v>
      </c>
      <c r="E91" s="151">
        <f t="shared" si="20"/>
        <v>7.0990435736000013</v>
      </c>
      <c r="F91" s="154">
        <f t="shared" si="21"/>
        <v>20.847819710528</v>
      </c>
      <c r="G91" s="161">
        <f t="shared" si="22"/>
        <v>20847.819710528001</v>
      </c>
    </row>
    <row r="92" spans="1:7" x14ac:dyDescent="0.25">
      <c r="A92" s="111">
        <v>2011</v>
      </c>
      <c r="B92" s="153">
        <f>[6]REKAPITULASI!B54</f>
        <v>0</v>
      </c>
      <c r="C92" s="156">
        <f t="shared" si="19"/>
        <v>0</v>
      </c>
      <c r="D92" s="155">
        <f>[6]REKAPITULASI!D54</f>
        <v>0</v>
      </c>
      <c r="E92" s="151">
        <f t="shared" si="20"/>
        <v>0</v>
      </c>
      <c r="F92" s="154">
        <f t="shared" si="21"/>
        <v>0</v>
      </c>
      <c r="G92" s="113"/>
    </row>
    <row r="93" spans="1:7" x14ac:dyDescent="0.25">
      <c r="A93" s="111">
        <v>2012</v>
      </c>
      <c r="B93" s="153">
        <f>[6]REKAPITULASI!B55</f>
        <v>0</v>
      </c>
      <c r="C93" s="156">
        <f t="shared" si="19"/>
        <v>0</v>
      </c>
      <c r="D93" s="155">
        <f>[6]REKAPITULASI!D55</f>
        <v>0</v>
      </c>
      <c r="E93" s="151">
        <f t="shared" si="20"/>
        <v>0</v>
      </c>
      <c r="F93" s="154">
        <f t="shared" si="21"/>
        <v>0</v>
      </c>
      <c r="G93" s="113"/>
    </row>
    <row r="94" spans="1:7" x14ac:dyDescent="0.25">
      <c r="A94" s="111">
        <v>2013</v>
      </c>
      <c r="B94" s="153">
        <f>[6]REKAPITULASI!B56</f>
        <v>0</v>
      </c>
      <c r="C94" s="156">
        <f t="shared" si="19"/>
        <v>0</v>
      </c>
      <c r="D94" s="155">
        <f>[6]REKAPITULASI!D56</f>
        <v>0</v>
      </c>
      <c r="E94" s="151">
        <f t="shared" si="20"/>
        <v>0</v>
      </c>
      <c r="F94" s="154">
        <f t="shared" si="21"/>
        <v>0</v>
      </c>
      <c r="G94" s="113"/>
    </row>
    <row r="95" spans="1:7" x14ac:dyDescent="0.25">
      <c r="A95" s="111">
        <v>2014</v>
      </c>
      <c r="B95" s="153">
        <f>[6]REKAPITULASI!B57</f>
        <v>0</v>
      </c>
      <c r="C95" s="156">
        <f t="shared" si="19"/>
        <v>0</v>
      </c>
      <c r="D95" s="155">
        <f>[6]REKAPITULASI!D57</f>
        <v>0</v>
      </c>
      <c r="E95" s="151">
        <f t="shared" si="20"/>
        <v>0</v>
      </c>
      <c r="F95" s="154">
        <f t="shared" si="21"/>
        <v>0</v>
      </c>
      <c r="G95" s="113"/>
    </row>
    <row r="96" spans="1:7" x14ac:dyDescent="0.25">
      <c r="A96" s="111">
        <v>2015</v>
      </c>
      <c r="B96" s="153">
        <f>[6]REKAPITULASI!B58</f>
        <v>0</v>
      </c>
      <c r="C96" s="156">
        <f t="shared" si="19"/>
        <v>0</v>
      </c>
      <c r="D96" s="155">
        <f>[6]REKAPITULASI!D58</f>
        <v>0</v>
      </c>
      <c r="E96" s="151">
        <f t="shared" si="20"/>
        <v>0</v>
      </c>
      <c r="F96" s="154">
        <f t="shared" si="21"/>
        <v>0</v>
      </c>
      <c r="G96" s="113"/>
    </row>
    <row r="97" spans="1:7" x14ac:dyDescent="0.25">
      <c r="A97" s="111">
        <v>2016</v>
      </c>
      <c r="B97" s="153">
        <f>[6]REKAPITULASI!B59</f>
        <v>0</v>
      </c>
      <c r="C97" s="156">
        <f t="shared" si="19"/>
        <v>0</v>
      </c>
      <c r="D97" s="155">
        <f>[6]REKAPITULASI!D59</f>
        <v>0</v>
      </c>
      <c r="E97" s="151">
        <f t="shared" si="20"/>
        <v>0</v>
      </c>
      <c r="F97" s="154">
        <f t="shared" si="21"/>
        <v>0</v>
      </c>
      <c r="G97" s="113"/>
    </row>
    <row r="98" spans="1:7" x14ac:dyDescent="0.25">
      <c r="A98" s="111">
        <v>2017</v>
      </c>
      <c r="B98" s="153">
        <f>[6]REKAPITULASI!B60</f>
        <v>0</v>
      </c>
      <c r="C98" s="156">
        <f t="shared" si="19"/>
        <v>0</v>
      </c>
      <c r="D98" s="155">
        <f>[6]REKAPITULASI!D60</f>
        <v>0</v>
      </c>
      <c r="E98" s="151">
        <f t="shared" si="20"/>
        <v>0</v>
      </c>
      <c r="F98" s="154">
        <f t="shared" si="21"/>
        <v>0</v>
      </c>
      <c r="G98" s="113"/>
    </row>
    <row r="99" spans="1:7" x14ac:dyDescent="0.25">
      <c r="A99" s="111">
        <v>2018</v>
      </c>
      <c r="B99" s="153">
        <f>[6]REKAPITULASI!B61</f>
        <v>0</v>
      </c>
      <c r="C99" s="156">
        <f t="shared" si="19"/>
        <v>0</v>
      </c>
      <c r="D99" s="155">
        <f>[6]REKAPITULASI!D61</f>
        <v>0</v>
      </c>
      <c r="E99" s="151">
        <f t="shared" si="20"/>
        <v>0</v>
      </c>
      <c r="F99" s="154">
        <f t="shared" si="21"/>
        <v>0</v>
      </c>
      <c r="G99" s="113"/>
    </row>
    <row r="100" spans="1:7" x14ac:dyDescent="0.25">
      <c r="A100" s="111">
        <v>2019</v>
      </c>
      <c r="B100" s="153">
        <f>[6]REKAPITULASI!B62</f>
        <v>0</v>
      </c>
      <c r="C100" s="156">
        <f t="shared" si="19"/>
        <v>0</v>
      </c>
      <c r="D100" s="155">
        <f>[6]REKAPITULASI!D62</f>
        <v>0</v>
      </c>
      <c r="E100" s="151">
        <f t="shared" si="20"/>
        <v>0</v>
      </c>
      <c r="F100" s="154">
        <f t="shared" si="21"/>
        <v>0</v>
      </c>
      <c r="G100" s="113"/>
    </row>
    <row r="101" spans="1:7" x14ac:dyDescent="0.25">
      <c r="A101" s="111">
        <v>2020</v>
      </c>
      <c r="B101" s="153">
        <f>[6]REKAPITULASI!B63</f>
        <v>0</v>
      </c>
      <c r="C101" s="156">
        <f t="shared" si="19"/>
        <v>0</v>
      </c>
      <c r="D101" s="155">
        <f>[6]REKAPITULASI!D63</f>
        <v>0</v>
      </c>
      <c r="E101" s="151">
        <f t="shared" si="20"/>
        <v>0</v>
      </c>
      <c r="F101" s="154">
        <f t="shared" si="21"/>
        <v>0</v>
      </c>
      <c r="G101" s="113"/>
    </row>
  </sheetData>
  <mergeCells count="32">
    <mergeCell ref="D77:E77"/>
    <mergeCell ref="H50:H51"/>
    <mergeCell ref="I50:J50"/>
    <mergeCell ref="F77:G77"/>
    <mergeCell ref="A77:A80"/>
    <mergeCell ref="B77:C77"/>
    <mergeCell ref="B79:B80"/>
    <mergeCell ref="A6:A8"/>
    <mergeCell ref="B7:C7"/>
    <mergeCell ref="A49:A51"/>
    <mergeCell ref="B49:F49"/>
    <mergeCell ref="B50:C50"/>
    <mergeCell ref="D50:E50"/>
    <mergeCell ref="D7:D8"/>
    <mergeCell ref="B6:D6"/>
    <mergeCell ref="A23:A25"/>
    <mergeCell ref="B23:F23"/>
    <mergeCell ref="B24:C24"/>
    <mergeCell ref="D24:E24"/>
    <mergeCell ref="F24:F25"/>
    <mergeCell ref="P6:P8"/>
    <mergeCell ref="Q6:S6"/>
    <mergeCell ref="Q7:R7"/>
    <mergeCell ref="S7:S8"/>
    <mergeCell ref="F6:F8"/>
    <mergeCell ref="G6:I6"/>
    <mergeCell ref="G7:H7"/>
    <mergeCell ref="I7:I8"/>
    <mergeCell ref="K6:K8"/>
    <mergeCell ref="L6:N6"/>
    <mergeCell ref="L7:M7"/>
    <mergeCell ref="N7:N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tabSelected="1" workbookViewId="0">
      <selection activeCell="B3" sqref="B3:D15"/>
    </sheetView>
  </sheetViews>
  <sheetFormatPr defaultRowHeight="15" x14ac:dyDescent="0.25"/>
  <cols>
    <col min="3" max="3" width="18.85546875" customWidth="1"/>
    <col min="4" max="4" width="13.85546875" customWidth="1"/>
  </cols>
  <sheetData>
    <row r="3" spans="2:4" x14ac:dyDescent="0.25">
      <c r="B3" s="237" t="s">
        <v>11</v>
      </c>
      <c r="C3" s="237" t="s">
        <v>149</v>
      </c>
      <c r="D3" s="237"/>
    </row>
    <row r="4" spans="2:4" x14ac:dyDescent="0.25">
      <c r="B4" s="237"/>
      <c r="C4" s="162" t="s">
        <v>150</v>
      </c>
      <c r="D4" s="162" t="s">
        <v>146</v>
      </c>
    </row>
    <row r="5" spans="2:4" x14ac:dyDescent="0.25">
      <c r="B5" s="163">
        <v>2000</v>
      </c>
      <c r="C5" s="164">
        <f>'[7]4D2_CH4_Industrial_Wastewater'!G12</f>
        <v>0</v>
      </c>
      <c r="D5" s="164">
        <f>(C5*21)/1000</f>
        <v>0</v>
      </c>
    </row>
    <row r="6" spans="2:4" x14ac:dyDescent="0.25">
      <c r="B6" s="163">
        <v>2001</v>
      </c>
      <c r="C6" s="164">
        <f>'[7]4D2_CH4_Industrial_Wastewater'!G13</f>
        <v>0</v>
      </c>
      <c r="D6" s="164">
        <f t="shared" ref="D6:D15" si="0">(C6*21)/1000</f>
        <v>0</v>
      </c>
    </row>
    <row r="7" spans="2:4" x14ac:dyDescent="0.25">
      <c r="B7" s="163">
        <v>2002</v>
      </c>
      <c r="C7" s="164">
        <f>'[7]4D2_CH4_Industrial_Wastewater'!G14</f>
        <v>0</v>
      </c>
      <c r="D7" s="164">
        <f t="shared" si="0"/>
        <v>0</v>
      </c>
    </row>
    <row r="8" spans="2:4" x14ac:dyDescent="0.25">
      <c r="B8" s="163">
        <v>2003</v>
      </c>
      <c r="C8" s="164">
        <f>'[7]4D2_CH4_Industrial_Wastewater'!G15</f>
        <v>1274580</v>
      </c>
      <c r="D8" s="164">
        <f t="shared" si="0"/>
        <v>26766.18</v>
      </c>
    </row>
    <row r="9" spans="2:4" x14ac:dyDescent="0.25">
      <c r="B9" s="163">
        <v>2004</v>
      </c>
      <c r="C9" s="164">
        <f>'[7]4D2_CH4_Industrial_Wastewater'!G16</f>
        <v>1277070</v>
      </c>
      <c r="D9" s="164">
        <f t="shared" si="0"/>
        <v>26818.47</v>
      </c>
    </row>
    <row r="10" spans="2:4" x14ac:dyDescent="0.25">
      <c r="B10" s="163">
        <v>2005</v>
      </c>
      <c r="C10" s="164">
        <f>'[7]4D2_CH4_Industrial_Wastewater'!G17</f>
        <v>1514820</v>
      </c>
      <c r="D10" s="164">
        <f t="shared" si="0"/>
        <v>31811.22</v>
      </c>
    </row>
    <row r="11" spans="2:4" x14ac:dyDescent="0.25">
      <c r="B11" s="163">
        <v>2006</v>
      </c>
      <c r="C11" s="164">
        <f>'[7]4D2_CH4_Industrial_Wastewater'!G18</f>
        <v>1516440</v>
      </c>
      <c r="D11" s="164">
        <f t="shared" si="0"/>
        <v>31845.24</v>
      </c>
    </row>
    <row r="12" spans="2:4" x14ac:dyDescent="0.25">
      <c r="B12" s="163">
        <v>2007</v>
      </c>
      <c r="C12" s="164">
        <f>'[7]4D2_CH4_Industrial_Wastewater'!G19</f>
        <v>1541130</v>
      </c>
      <c r="D12" s="164">
        <f t="shared" si="0"/>
        <v>32363.73</v>
      </c>
    </row>
    <row r="13" spans="2:4" x14ac:dyDescent="0.25">
      <c r="B13" s="163">
        <v>2008</v>
      </c>
      <c r="C13" s="164">
        <f>'[7]4D2_CH4_Industrial_Wastewater'!G20</f>
        <v>1553610</v>
      </c>
      <c r="D13" s="164">
        <f t="shared" si="0"/>
        <v>32625.81</v>
      </c>
    </row>
    <row r="14" spans="2:4" x14ac:dyDescent="0.25">
      <c r="B14" s="163">
        <v>2009</v>
      </c>
      <c r="C14" s="164">
        <f>'[7]4D2_CH4_Industrial_Wastewater'!G21</f>
        <v>3153210</v>
      </c>
      <c r="D14" s="164">
        <f t="shared" si="0"/>
        <v>66217.41</v>
      </c>
    </row>
    <row r="15" spans="2:4" x14ac:dyDescent="0.25">
      <c r="B15" s="163">
        <v>2010</v>
      </c>
      <c r="C15" s="164">
        <f>'[7]4D2_CH4_Industrial_Wastewater'!G22</f>
        <v>1727316</v>
      </c>
      <c r="D15" s="164">
        <f t="shared" si="0"/>
        <v>36273.635999999999</v>
      </c>
    </row>
  </sheetData>
  <mergeCells count="2">
    <mergeCell ref="B3:B4"/>
    <mergeCell ref="C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2"/>
  <sheetViews>
    <sheetView zoomScale="85" zoomScaleNormal="85" workbookViewId="0">
      <selection activeCell="F26" sqref="F26"/>
    </sheetView>
  </sheetViews>
  <sheetFormatPr defaultRowHeight="15" x14ac:dyDescent="0.25"/>
  <sheetData>
    <row r="2" spans="1:19" ht="23.25" x14ac:dyDescent="0.35">
      <c r="A2" s="76" t="s">
        <v>116</v>
      </c>
      <c r="B2" s="76"/>
      <c r="C2" s="76"/>
      <c r="D2" s="77"/>
      <c r="E2" s="77"/>
      <c r="F2" s="77"/>
      <c r="G2" s="77"/>
      <c r="H2" s="77"/>
      <c r="I2" s="77"/>
    </row>
    <row r="3" spans="1:19" x14ac:dyDescent="0.25">
      <c r="A3" s="41"/>
    </row>
    <row r="4" spans="1:19" x14ac:dyDescent="0.25">
      <c r="A4" s="75" t="s">
        <v>109</v>
      </c>
    </row>
    <row r="6" spans="1:19" ht="54" customHeight="1" x14ac:dyDescent="0.25">
      <c r="A6" s="253" t="s">
        <v>11</v>
      </c>
      <c r="B6" s="254" t="s">
        <v>110</v>
      </c>
      <c r="C6" s="254"/>
      <c r="D6" s="254"/>
      <c r="E6" s="71" t="s">
        <v>114</v>
      </c>
      <c r="F6" s="253" t="s">
        <v>11</v>
      </c>
      <c r="G6" s="254" t="s">
        <v>111</v>
      </c>
      <c r="H6" s="254"/>
      <c r="I6" s="254"/>
      <c r="J6" s="72" t="s">
        <v>115</v>
      </c>
      <c r="K6" s="253" t="s">
        <v>11</v>
      </c>
      <c r="L6" s="254" t="s">
        <v>112</v>
      </c>
      <c r="M6" s="254"/>
      <c r="N6" s="254"/>
      <c r="O6" s="72" t="s">
        <v>115</v>
      </c>
      <c r="P6" s="253" t="s">
        <v>11</v>
      </c>
      <c r="Q6" s="254" t="s">
        <v>113</v>
      </c>
      <c r="R6" s="254"/>
      <c r="S6" s="254"/>
    </row>
    <row r="7" spans="1:19" x14ac:dyDescent="0.25">
      <c r="A7" s="253"/>
      <c r="B7" s="253" t="s">
        <v>82</v>
      </c>
      <c r="C7" s="253"/>
      <c r="D7" s="254" t="s">
        <v>84</v>
      </c>
      <c r="E7" s="69"/>
      <c r="F7" s="253"/>
      <c r="G7" s="253" t="s">
        <v>82</v>
      </c>
      <c r="H7" s="253"/>
      <c r="I7" s="254" t="s">
        <v>84</v>
      </c>
      <c r="K7" s="253"/>
      <c r="L7" s="253" t="s">
        <v>82</v>
      </c>
      <c r="M7" s="253"/>
      <c r="N7" s="254" t="s">
        <v>84</v>
      </c>
      <c r="P7" s="253"/>
      <c r="Q7" s="253" t="s">
        <v>82</v>
      </c>
      <c r="R7" s="253"/>
      <c r="S7" s="254" t="s">
        <v>84</v>
      </c>
    </row>
    <row r="8" spans="1:19" x14ac:dyDescent="0.25">
      <c r="A8" s="253"/>
      <c r="B8" s="74" t="s">
        <v>85</v>
      </c>
      <c r="C8" s="74" t="s">
        <v>86</v>
      </c>
      <c r="D8" s="254"/>
      <c r="E8" s="6"/>
      <c r="F8" s="253"/>
      <c r="G8" s="74" t="s">
        <v>85</v>
      </c>
      <c r="H8" s="74" t="s">
        <v>86</v>
      </c>
      <c r="I8" s="254"/>
      <c r="K8" s="253"/>
      <c r="L8" s="74" t="s">
        <v>85</v>
      </c>
      <c r="M8" s="74" t="s">
        <v>86</v>
      </c>
      <c r="N8" s="254"/>
      <c r="P8" s="253"/>
      <c r="Q8" s="74" t="s">
        <v>85</v>
      </c>
      <c r="R8" s="74" t="s">
        <v>86</v>
      </c>
      <c r="S8" s="254"/>
    </row>
    <row r="9" spans="1:19" x14ac:dyDescent="0.25">
      <c r="A9" s="37">
        <v>2010</v>
      </c>
      <c r="B9" s="38"/>
      <c r="C9" s="39">
        <f>B9*21</f>
        <v>0</v>
      </c>
      <c r="D9" s="40">
        <f t="shared" ref="D9:D19" si="0">E9+C9</f>
        <v>0</v>
      </c>
      <c r="E9" s="70"/>
      <c r="F9" s="37">
        <v>2010</v>
      </c>
      <c r="G9" s="38"/>
      <c r="H9" s="39">
        <f>G9*21</f>
        <v>0</v>
      </c>
      <c r="I9" s="40">
        <f t="shared" ref="I9:I19" si="1">J9+H9</f>
        <v>0</v>
      </c>
      <c r="K9" s="37">
        <v>2010</v>
      </c>
      <c r="L9" s="38"/>
      <c r="M9" s="39">
        <f>L9*21</f>
        <v>0</v>
      </c>
      <c r="N9" s="40">
        <f t="shared" ref="N9:N19" si="2">O9+M9</f>
        <v>0</v>
      </c>
      <c r="P9" s="37">
        <v>2010</v>
      </c>
      <c r="Q9" s="38"/>
      <c r="R9" s="39">
        <f>Q9*21</f>
        <v>0</v>
      </c>
      <c r="S9" s="40">
        <f t="shared" ref="S9:S19" si="3">T9+R9</f>
        <v>0</v>
      </c>
    </row>
    <row r="10" spans="1:19" x14ac:dyDescent="0.25">
      <c r="A10" s="37">
        <v>2011</v>
      </c>
      <c r="B10" s="38"/>
      <c r="C10" s="39">
        <f t="shared" ref="C10:C19" si="4">B10*21</f>
        <v>0</v>
      </c>
      <c r="D10" s="40">
        <f t="shared" si="0"/>
        <v>0</v>
      </c>
      <c r="E10" s="70"/>
      <c r="F10" s="37">
        <v>2011</v>
      </c>
      <c r="G10" s="38"/>
      <c r="H10" s="39">
        <f t="shared" ref="H10:H19" si="5">G10*21</f>
        <v>0</v>
      </c>
      <c r="I10" s="40">
        <f t="shared" si="1"/>
        <v>0</v>
      </c>
      <c r="K10" s="37">
        <v>2011</v>
      </c>
      <c r="L10" s="38"/>
      <c r="M10" s="39">
        <f t="shared" ref="M10:M19" si="6">L10*21</f>
        <v>0</v>
      </c>
      <c r="N10" s="40">
        <f t="shared" si="2"/>
        <v>0</v>
      </c>
      <c r="P10" s="37">
        <v>2011</v>
      </c>
      <c r="Q10" s="38"/>
      <c r="R10" s="39">
        <f t="shared" ref="R10:R19" si="7">Q10*21</f>
        <v>0</v>
      </c>
      <c r="S10" s="40">
        <f t="shared" si="3"/>
        <v>0</v>
      </c>
    </row>
    <row r="11" spans="1:19" x14ac:dyDescent="0.25">
      <c r="A11" s="37">
        <v>2012</v>
      </c>
      <c r="B11" s="38"/>
      <c r="C11" s="39">
        <f t="shared" si="4"/>
        <v>0</v>
      </c>
      <c r="D11" s="40">
        <f t="shared" si="0"/>
        <v>0</v>
      </c>
      <c r="E11" s="70"/>
      <c r="F11" s="37">
        <v>2012</v>
      </c>
      <c r="G11" s="38"/>
      <c r="H11" s="39">
        <f t="shared" si="5"/>
        <v>0</v>
      </c>
      <c r="I11" s="40">
        <f t="shared" si="1"/>
        <v>0</v>
      </c>
      <c r="K11" s="37">
        <v>2012</v>
      </c>
      <c r="L11" s="38"/>
      <c r="M11" s="39">
        <f t="shared" si="6"/>
        <v>0</v>
      </c>
      <c r="N11" s="40">
        <f t="shared" si="2"/>
        <v>0</v>
      </c>
      <c r="P11" s="37">
        <v>2012</v>
      </c>
      <c r="Q11" s="38"/>
      <c r="R11" s="39">
        <f t="shared" si="7"/>
        <v>0</v>
      </c>
      <c r="S11" s="40">
        <f t="shared" si="3"/>
        <v>0</v>
      </c>
    </row>
    <row r="12" spans="1:19" x14ac:dyDescent="0.25">
      <c r="A12" s="37">
        <v>2013</v>
      </c>
      <c r="B12" s="38"/>
      <c r="C12" s="39">
        <f t="shared" si="4"/>
        <v>0</v>
      </c>
      <c r="D12" s="40">
        <f t="shared" si="0"/>
        <v>0</v>
      </c>
      <c r="E12" s="70"/>
      <c r="F12" s="37">
        <v>2013</v>
      </c>
      <c r="G12" s="38"/>
      <c r="H12" s="39">
        <f t="shared" si="5"/>
        <v>0</v>
      </c>
      <c r="I12" s="40">
        <f t="shared" si="1"/>
        <v>0</v>
      </c>
      <c r="K12" s="37">
        <v>2013</v>
      </c>
      <c r="L12" s="38"/>
      <c r="M12" s="39">
        <f t="shared" si="6"/>
        <v>0</v>
      </c>
      <c r="N12" s="40">
        <f t="shared" si="2"/>
        <v>0</v>
      </c>
      <c r="P12" s="37">
        <v>2013</v>
      </c>
      <c r="Q12" s="38"/>
      <c r="R12" s="39">
        <f t="shared" si="7"/>
        <v>0</v>
      </c>
      <c r="S12" s="40">
        <f t="shared" si="3"/>
        <v>0</v>
      </c>
    </row>
    <row r="13" spans="1:19" x14ac:dyDescent="0.25">
      <c r="A13" s="37">
        <v>2014</v>
      </c>
      <c r="B13" s="38"/>
      <c r="C13" s="39">
        <f t="shared" si="4"/>
        <v>0</v>
      </c>
      <c r="D13" s="40">
        <f t="shared" si="0"/>
        <v>0</v>
      </c>
      <c r="E13" s="70"/>
      <c r="F13" s="37">
        <v>2014</v>
      </c>
      <c r="G13" s="38"/>
      <c r="H13" s="39">
        <f t="shared" si="5"/>
        <v>0</v>
      </c>
      <c r="I13" s="40">
        <f t="shared" si="1"/>
        <v>0</v>
      </c>
      <c r="K13" s="37">
        <v>2014</v>
      </c>
      <c r="L13" s="38"/>
      <c r="M13" s="39">
        <f t="shared" si="6"/>
        <v>0</v>
      </c>
      <c r="N13" s="40">
        <f t="shared" si="2"/>
        <v>0</v>
      </c>
      <c r="P13" s="37">
        <v>2014</v>
      </c>
      <c r="Q13" s="38"/>
      <c r="R13" s="39">
        <f t="shared" si="7"/>
        <v>0</v>
      </c>
      <c r="S13" s="40">
        <f t="shared" si="3"/>
        <v>0</v>
      </c>
    </row>
    <row r="14" spans="1:19" x14ac:dyDescent="0.25">
      <c r="A14" s="37">
        <v>2015</v>
      </c>
      <c r="B14" s="38"/>
      <c r="C14" s="39">
        <f t="shared" si="4"/>
        <v>0</v>
      </c>
      <c r="D14" s="40">
        <f t="shared" si="0"/>
        <v>0</v>
      </c>
      <c r="E14" s="70"/>
      <c r="F14" s="37">
        <v>2015</v>
      </c>
      <c r="G14" s="38"/>
      <c r="H14" s="39">
        <f t="shared" si="5"/>
        <v>0</v>
      </c>
      <c r="I14" s="40">
        <f t="shared" si="1"/>
        <v>0</v>
      </c>
      <c r="K14" s="37">
        <v>2015</v>
      </c>
      <c r="L14" s="38"/>
      <c r="M14" s="39">
        <f t="shared" si="6"/>
        <v>0</v>
      </c>
      <c r="N14" s="40">
        <f t="shared" si="2"/>
        <v>0</v>
      </c>
      <c r="P14" s="37">
        <v>2015</v>
      </c>
      <c r="Q14" s="38"/>
      <c r="R14" s="39">
        <f t="shared" si="7"/>
        <v>0</v>
      </c>
      <c r="S14" s="40">
        <f t="shared" si="3"/>
        <v>0</v>
      </c>
    </row>
    <row r="15" spans="1:19" x14ac:dyDescent="0.25">
      <c r="A15" s="37">
        <v>2016</v>
      </c>
      <c r="B15" s="38"/>
      <c r="C15" s="39">
        <f t="shared" si="4"/>
        <v>0</v>
      </c>
      <c r="D15" s="40">
        <f t="shared" si="0"/>
        <v>0</v>
      </c>
      <c r="E15" s="70"/>
      <c r="F15" s="37">
        <v>2016</v>
      </c>
      <c r="G15" s="38"/>
      <c r="H15" s="39">
        <f t="shared" si="5"/>
        <v>0</v>
      </c>
      <c r="I15" s="40">
        <f t="shared" si="1"/>
        <v>0</v>
      </c>
      <c r="K15" s="37">
        <v>2016</v>
      </c>
      <c r="L15" s="38"/>
      <c r="M15" s="39">
        <f t="shared" si="6"/>
        <v>0</v>
      </c>
      <c r="N15" s="40">
        <f t="shared" si="2"/>
        <v>0</v>
      </c>
      <c r="P15" s="37">
        <v>2016</v>
      </c>
      <c r="Q15" s="38"/>
      <c r="R15" s="39">
        <f t="shared" si="7"/>
        <v>0</v>
      </c>
      <c r="S15" s="40">
        <f t="shared" si="3"/>
        <v>0</v>
      </c>
    </row>
    <row r="16" spans="1:19" x14ac:dyDescent="0.25">
      <c r="A16" s="37">
        <v>2017</v>
      </c>
      <c r="B16" s="38"/>
      <c r="C16" s="39">
        <f t="shared" si="4"/>
        <v>0</v>
      </c>
      <c r="D16" s="40">
        <f t="shared" si="0"/>
        <v>0</v>
      </c>
      <c r="E16" s="70"/>
      <c r="F16" s="37">
        <v>2017</v>
      </c>
      <c r="G16" s="38"/>
      <c r="H16" s="39">
        <f t="shared" si="5"/>
        <v>0</v>
      </c>
      <c r="I16" s="40">
        <f t="shared" si="1"/>
        <v>0</v>
      </c>
      <c r="K16" s="37">
        <v>2017</v>
      </c>
      <c r="L16" s="38"/>
      <c r="M16" s="39">
        <f t="shared" si="6"/>
        <v>0</v>
      </c>
      <c r="N16" s="40">
        <f t="shared" si="2"/>
        <v>0</v>
      </c>
      <c r="P16" s="37">
        <v>2017</v>
      </c>
      <c r="Q16" s="38"/>
      <c r="R16" s="39">
        <f t="shared" si="7"/>
        <v>0</v>
      </c>
      <c r="S16" s="40">
        <f t="shared" si="3"/>
        <v>0</v>
      </c>
    </row>
    <row r="17" spans="1:19" x14ac:dyDescent="0.25">
      <c r="A17" s="37">
        <v>2018</v>
      </c>
      <c r="B17" s="38"/>
      <c r="C17" s="39">
        <f t="shared" si="4"/>
        <v>0</v>
      </c>
      <c r="D17" s="40">
        <f t="shared" si="0"/>
        <v>0</v>
      </c>
      <c r="E17" s="70"/>
      <c r="F17" s="37">
        <v>2018</v>
      </c>
      <c r="G17" s="38"/>
      <c r="H17" s="39">
        <f t="shared" si="5"/>
        <v>0</v>
      </c>
      <c r="I17" s="40">
        <f t="shared" si="1"/>
        <v>0</v>
      </c>
      <c r="K17" s="37">
        <v>2018</v>
      </c>
      <c r="L17" s="38"/>
      <c r="M17" s="39">
        <f t="shared" si="6"/>
        <v>0</v>
      </c>
      <c r="N17" s="40">
        <f t="shared" si="2"/>
        <v>0</v>
      </c>
      <c r="P17" s="37">
        <v>2018</v>
      </c>
      <c r="Q17" s="38"/>
      <c r="R17" s="39">
        <f t="shared" si="7"/>
        <v>0</v>
      </c>
      <c r="S17" s="40">
        <f t="shared" si="3"/>
        <v>0</v>
      </c>
    </row>
    <row r="18" spans="1:19" x14ac:dyDescent="0.25">
      <c r="A18" s="37">
        <v>2019</v>
      </c>
      <c r="B18" s="38"/>
      <c r="C18" s="39">
        <f t="shared" si="4"/>
        <v>0</v>
      </c>
      <c r="D18" s="40">
        <f t="shared" si="0"/>
        <v>0</v>
      </c>
      <c r="E18" s="70"/>
      <c r="F18" s="37">
        <v>2019</v>
      </c>
      <c r="G18" s="38"/>
      <c r="H18" s="39">
        <f t="shared" si="5"/>
        <v>0</v>
      </c>
      <c r="I18" s="40">
        <f t="shared" si="1"/>
        <v>0</v>
      </c>
      <c r="K18" s="37">
        <v>2019</v>
      </c>
      <c r="L18" s="38"/>
      <c r="M18" s="39">
        <f t="shared" si="6"/>
        <v>0</v>
      </c>
      <c r="N18" s="40">
        <f t="shared" si="2"/>
        <v>0</v>
      </c>
      <c r="P18" s="37">
        <v>2019</v>
      </c>
      <c r="Q18" s="38"/>
      <c r="R18" s="39">
        <f t="shared" si="7"/>
        <v>0</v>
      </c>
      <c r="S18" s="40">
        <f t="shared" si="3"/>
        <v>0</v>
      </c>
    </row>
    <row r="19" spans="1:19" x14ac:dyDescent="0.25">
      <c r="A19" s="37">
        <v>2020</v>
      </c>
      <c r="B19" s="38"/>
      <c r="C19" s="39">
        <f t="shared" si="4"/>
        <v>0</v>
      </c>
      <c r="D19" s="40">
        <f t="shared" si="0"/>
        <v>0</v>
      </c>
      <c r="E19" s="70"/>
      <c r="F19" s="37">
        <v>2020</v>
      </c>
      <c r="G19" s="38"/>
      <c r="H19" s="39">
        <f t="shared" si="5"/>
        <v>0</v>
      </c>
      <c r="I19" s="40">
        <f t="shared" si="1"/>
        <v>0</v>
      </c>
      <c r="K19" s="37">
        <v>2020</v>
      </c>
      <c r="L19" s="38"/>
      <c r="M19" s="39">
        <f t="shared" si="6"/>
        <v>0</v>
      </c>
      <c r="N19" s="40">
        <f t="shared" si="2"/>
        <v>0</v>
      </c>
      <c r="P19" s="37">
        <v>2020</v>
      </c>
      <c r="Q19" s="38"/>
      <c r="R19" s="39">
        <f t="shared" si="7"/>
        <v>0</v>
      </c>
      <c r="S19" s="40">
        <f t="shared" si="3"/>
        <v>0</v>
      </c>
    </row>
    <row r="22" spans="1:19" ht="15.75" thickBot="1" x14ac:dyDescent="0.3">
      <c r="A22" s="73" t="s">
        <v>80</v>
      </c>
      <c r="K22" t="s">
        <v>120</v>
      </c>
      <c r="L22">
        <v>16000</v>
      </c>
    </row>
    <row r="23" spans="1:19" ht="15.75" thickBot="1" x14ac:dyDescent="0.3">
      <c r="A23" s="244" t="s">
        <v>11</v>
      </c>
      <c r="B23" s="246" t="s">
        <v>81</v>
      </c>
      <c r="C23" s="247"/>
      <c r="D23" s="247"/>
      <c r="E23" s="247"/>
      <c r="F23" s="248"/>
      <c r="K23" t="s">
        <v>121</v>
      </c>
      <c r="L23">
        <v>280</v>
      </c>
      <c r="M23" t="s">
        <v>123</v>
      </c>
    </row>
    <row r="24" spans="1:19" ht="15.75" thickBot="1" x14ac:dyDescent="0.3">
      <c r="A24" s="245"/>
      <c r="B24" s="246" t="s">
        <v>82</v>
      </c>
      <c r="C24" s="248"/>
      <c r="D24" s="246" t="s">
        <v>83</v>
      </c>
      <c r="E24" s="248"/>
      <c r="F24" s="249" t="s">
        <v>84</v>
      </c>
      <c r="K24" t="s">
        <v>122</v>
      </c>
      <c r="L24">
        <v>4800</v>
      </c>
      <c r="M24" t="s">
        <v>123</v>
      </c>
    </row>
    <row r="25" spans="1:19" x14ac:dyDescent="0.25">
      <c r="A25" s="245"/>
      <c r="B25" s="36" t="s">
        <v>85</v>
      </c>
      <c r="C25" s="36" t="s">
        <v>86</v>
      </c>
      <c r="D25" s="36" t="s">
        <v>87</v>
      </c>
      <c r="E25" s="36" t="s">
        <v>86</v>
      </c>
      <c r="F25" s="250"/>
    </row>
    <row r="26" spans="1:19" x14ac:dyDescent="0.25">
      <c r="A26" s="37">
        <v>2010</v>
      </c>
      <c r="B26" s="38"/>
      <c r="C26" s="39">
        <f>B26*21</f>
        <v>0</v>
      </c>
      <c r="D26" s="38"/>
      <c r="E26" s="39">
        <f>D26*310</f>
        <v>0</v>
      </c>
      <c r="F26" s="40">
        <f>E26+C26</f>
        <v>0</v>
      </c>
    </row>
    <row r="27" spans="1:19" x14ac:dyDescent="0.25">
      <c r="A27" s="37">
        <v>2011</v>
      </c>
      <c r="B27" s="38"/>
      <c r="C27" s="39">
        <f t="shared" ref="C27:C36" si="8">B27*21</f>
        <v>0</v>
      </c>
      <c r="D27" s="38"/>
      <c r="E27" s="39">
        <f t="shared" ref="E27:E36" si="9">D27*310</f>
        <v>0</v>
      </c>
      <c r="F27" s="40">
        <f t="shared" ref="F27:F36" si="10">E27+C27</f>
        <v>0</v>
      </c>
    </row>
    <row r="28" spans="1:19" x14ac:dyDescent="0.25">
      <c r="A28" s="37">
        <v>2012</v>
      </c>
      <c r="B28" s="38"/>
      <c r="C28" s="39">
        <f t="shared" si="8"/>
        <v>0</v>
      </c>
      <c r="D28" s="38"/>
      <c r="E28" s="39">
        <f t="shared" si="9"/>
        <v>0</v>
      </c>
      <c r="F28" s="40">
        <f t="shared" si="10"/>
        <v>0</v>
      </c>
    </row>
    <row r="29" spans="1:19" x14ac:dyDescent="0.25">
      <c r="A29" s="37">
        <v>2013</v>
      </c>
      <c r="B29" s="38"/>
      <c r="C29" s="39">
        <f t="shared" si="8"/>
        <v>0</v>
      </c>
      <c r="D29" s="38"/>
      <c r="E29" s="39">
        <f t="shared" si="9"/>
        <v>0</v>
      </c>
      <c r="F29" s="40">
        <f t="shared" si="10"/>
        <v>0</v>
      </c>
    </row>
    <row r="30" spans="1:19" x14ac:dyDescent="0.25">
      <c r="A30" s="37">
        <v>2014</v>
      </c>
      <c r="B30" s="38"/>
      <c r="C30" s="39">
        <f t="shared" si="8"/>
        <v>0</v>
      </c>
      <c r="D30" s="38"/>
      <c r="E30" s="39">
        <f t="shared" si="9"/>
        <v>0</v>
      </c>
      <c r="F30" s="40">
        <f t="shared" si="10"/>
        <v>0</v>
      </c>
    </row>
    <row r="31" spans="1:19" x14ac:dyDescent="0.25">
      <c r="A31" s="37">
        <v>2015</v>
      </c>
      <c r="B31" s="38"/>
      <c r="C31" s="39">
        <f t="shared" si="8"/>
        <v>0</v>
      </c>
      <c r="D31" s="38"/>
      <c r="E31" s="39">
        <f t="shared" si="9"/>
        <v>0</v>
      </c>
      <c r="F31" s="40">
        <f t="shared" si="10"/>
        <v>0</v>
      </c>
    </row>
    <row r="32" spans="1:19" x14ac:dyDescent="0.25">
      <c r="A32" s="37">
        <v>2016</v>
      </c>
      <c r="B32" s="38"/>
      <c r="C32" s="39">
        <f t="shared" si="8"/>
        <v>0</v>
      </c>
      <c r="D32" s="38"/>
      <c r="E32" s="39">
        <f t="shared" si="9"/>
        <v>0</v>
      </c>
      <c r="F32" s="40">
        <f t="shared" si="10"/>
        <v>0</v>
      </c>
    </row>
    <row r="33" spans="1:6" x14ac:dyDescent="0.25">
      <c r="A33" s="37">
        <v>2017</v>
      </c>
      <c r="B33" s="38"/>
      <c r="C33" s="39">
        <f t="shared" si="8"/>
        <v>0</v>
      </c>
      <c r="D33" s="38"/>
      <c r="E33" s="39">
        <f t="shared" si="9"/>
        <v>0</v>
      </c>
      <c r="F33" s="40">
        <f t="shared" si="10"/>
        <v>0</v>
      </c>
    </row>
    <row r="34" spans="1:6" x14ac:dyDescent="0.25">
      <c r="A34" s="37">
        <v>2018</v>
      </c>
      <c r="B34" s="38"/>
      <c r="C34" s="39">
        <f t="shared" si="8"/>
        <v>0</v>
      </c>
      <c r="D34" s="38"/>
      <c r="E34" s="39">
        <f t="shared" si="9"/>
        <v>0</v>
      </c>
      <c r="F34" s="40">
        <f t="shared" si="10"/>
        <v>0</v>
      </c>
    </row>
    <row r="35" spans="1:6" x14ac:dyDescent="0.25">
      <c r="A35" s="37">
        <v>2019</v>
      </c>
      <c r="B35" s="38"/>
      <c r="C35" s="39">
        <f t="shared" si="8"/>
        <v>0</v>
      </c>
      <c r="D35" s="38"/>
      <c r="E35" s="39">
        <f t="shared" si="9"/>
        <v>0</v>
      </c>
      <c r="F35" s="40">
        <f t="shared" si="10"/>
        <v>0</v>
      </c>
    </row>
    <row r="36" spans="1:6" x14ac:dyDescent="0.25">
      <c r="A36" s="37">
        <v>2020</v>
      </c>
      <c r="B36" s="38"/>
      <c r="C36" s="39">
        <f t="shared" si="8"/>
        <v>0</v>
      </c>
      <c r="D36" s="38"/>
      <c r="E36" s="39">
        <f t="shared" si="9"/>
        <v>0</v>
      </c>
      <c r="F36" s="40">
        <f t="shared" si="10"/>
        <v>0</v>
      </c>
    </row>
    <row r="39" spans="1:6" ht="15.75" thickBot="1" x14ac:dyDescent="0.3">
      <c r="A39" s="41" t="s">
        <v>88</v>
      </c>
    </row>
    <row r="40" spans="1:6" ht="15.75" thickBot="1" x14ac:dyDescent="0.3">
      <c r="A40" s="251" t="s">
        <v>11</v>
      </c>
      <c r="B40" s="42" t="s">
        <v>89</v>
      </c>
      <c r="C40" s="43"/>
      <c r="D40" s="43"/>
      <c r="E40" s="43"/>
      <c r="F40" s="43"/>
    </row>
    <row r="41" spans="1:6" ht="15.75" thickBot="1" x14ac:dyDescent="0.3">
      <c r="A41" s="252"/>
      <c r="B41" s="42" t="s">
        <v>82</v>
      </c>
      <c r="C41" s="44"/>
      <c r="D41" s="42" t="s">
        <v>83</v>
      </c>
      <c r="E41" s="44"/>
      <c r="F41" s="45" t="s">
        <v>90</v>
      </c>
    </row>
    <row r="42" spans="1:6" x14ac:dyDescent="0.25">
      <c r="A42" s="252"/>
      <c r="B42" s="46" t="s">
        <v>85</v>
      </c>
      <c r="C42" s="46" t="s">
        <v>86</v>
      </c>
      <c r="D42" s="46" t="s">
        <v>87</v>
      </c>
      <c r="E42" s="46" t="s">
        <v>86</v>
      </c>
      <c r="F42" s="46" t="s">
        <v>91</v>
      </c>
    </row>
    <row r="43" spans="1:6" x14ac:dyDescent="0.25">
      <c r="A43" s="37">
        <v>2010</v>
      </c>
      <c r="B43" s="47"/>
      <c r="C43" s="39">
        <f>B43*21</f>
        <v>0</v>
      </c>
      <c r="D43" s="47"/>
      <c r="E43" s="39">
        <f>D43*310</f>
        <v>0</v>
      </c>
      <c r="F43" s="48">
        <f>'[6]4C2_CO2_OpenBurning'!M14</f>
        <v>0.33665653641995902</v>
      </c>
    </row>
    <row r="44" spans="1:6" x14ac:dyDescent="0.25">
      <c r="A44" s="37">
        <v>2011</v>
      </c>
      <c r="B44" s="47"/>
      <c r="C44" s="39">
        <f t="shared" ref="C44:C53" si="11">B44*21</f>
        <v>0</v>
      </c>
      <c r="D44" s="47"/>
      <c r="E44" s="39">
        <f t="shared" ref="E44:E53" si="12">D44*310</f>
        <v>0</v>
      </c>
      <c r="F44" s="48">
        <f>'[6]4C2_CO2_OpenBurning'!M15</f>
        <v>0.35570334418972999</v>
      </c>
    </row>
    <row r="45" spans="1:6" x14ac:dyDescent="0.25">
      <c r="A45" s="37">
        <v>2012</v>
      </c>
      <c r="B45" s="47"/>
      <c r="C45" s="39">
        <f t="shared" si="11"/>
        <v>0</v>
      </c>
      <c r="D45" s="47"/>
      <c r="E45" s="39">
        <f t="shared" si="12"/>
        <v>0</v>
      </c>
      <c r="F45" s="48">
        <f>'[6]4C2_CO2_OpenBurning'!M16</f>
        <v>0.36221521260032469</v>
      </c>
    </row>
    <row r="46" spans="1:6" x14ac:dyDescent="0.25">
      <c r="A46" s="37">
        <v>2013</v>
      </c>
      <c r="B46" s="47"/>
      <c r="C46" s="39">
        <f t="shared" si="11"/>
        <v>0</v>
      </c>
      <c r="D46" s="47"/>
      <c r="E46" s="39">
        <f t="shared" si="12"/>
        <v>0</v>
      </c>
      <c r="F46" s="48">
        <f>'[6]4C2_CO2_OpenBurning'!M17</f>
        <v>0.3821608645919084</v>
      </c>
    </row>
    <row r="47" spans="1:6" x14ac:dyDescent="0.25">
      <c r="A47" s="37">
        <v>2014</v>
      </c>
      <c r="B47" s="47"/>
      <c r="C47" s="39">
        <f t="shared" si="11"/>
        <v>0</v>
      </c>
      <c r="D47" s="47"/>
      <c r="E47" s="39">
        <f t="shared" si="12"/>
        <v>0</v>
      </c>
      <c r="F47" s="48">
        <f>'[6]4C2_CO2_OpenBurning'!M18</f>
        <v>0.40964485966431397</v>
      </c>
    </row>
    <row r="48" spans="1:6" x14ac:dyDescent="0.25">
      <c r="A48" s="37">
        <v>2015</v>
      </c>
      <c r="B48" s="47"/>
      <c r="C48" s="39">
        <f t="shared" si="11"/>
        <v>0</v>
      </c>
      <c r="D48" s="47"/>
      <c r="E48" s="39">
        <f t="shared" si="12"/>
        <v>0</v>
      </c>
      <c r="F48" s="48">
        <f>'[6]4C2_CO2_OpenBurning'!M19</f>
        <v>0.42631556866041098</v>
      </c>
    </row>
    <row r="49" spans="1:6" x14ac:dyDescent="0.25">
      <c r="A49" s="37">
        <v>2016</v>
      </c>
      <c r="B49" s="47"/>
      <c r="C49" s="39">
        <f t="shared" si="11"/>
        <v>0</v>
      </c>
      <c r="D49" s="47"/>
      <c r="E49" s="39">
        <f t="shared" si="12"/>
        <v>0</v>
      </c>
      <c r="F49" s="48">
        <f>'[6]4C2_CO2_OpenBurning'!M20</f>
        <v>0.44347235957706521</v>
      </c>
    </row>
    <row r="50" spans="1:6" x14ac:dyDescent="0.25">
      <c r="A50" s="37">
        <v>2017</v>
      </c>
      <c r="B50" s="47"/>
      <c r="C50" s="39">
        <f t="shared" si="11"/>
        <v>0</v>
      </c>
      <c r="D50" s="47"/>
      <c r="E50" s="39">
        <f t="shared" si="12"/>
        <v>0</v>
      </c>
      <c r="F50" s="48">
        <f>'[6]4C2_CO2_OpenBurning'!M21</f>
        <v>0.46107993037535372</v>
      </c>
    </row>
    <row r="51" spans="1:6" x14ac:dyDescent="0.25">
      <c r="A51" s="37">
        <v>2018</v>
      </c>
      <c r="B51" s="47"/>
      <c r="C51" s="39">
        <f t="shared" si="11"/>
        <v>0</v>
      </c>
      <c r="D51" s="47"/>
      <c r="E51" s="39">
        <f t="shared" si="12"/>
        <v>0</v>
      </c>
      <c r="F51" s="48">
        <f>'[6]4C2_CO2_OpenBurning'!M22</f>
        <v>0.47908125468470808</v>
      </c>
    </row>
    <row r="52" spans="1:6" x14ac:dyDescent="0.25">
      <c r="A52" s="37">
        <v>2019</v>
      </c>
      <c r="B52" s="47"/>
      <c r="C52" s="39">
        <f t="shared" si="11"/>
        <v>0</v>
      </c>
      <c r="D52" s="47"/>
      <c r="E52" s="39">
        <f t="shared" si="12"/>
        <v>0</v>
      </c>
      <c r="F52" s="48">
        <f>'[6]4C2_CO2_OpenBurning'!M23</f>
        <v>0.48629644833231028</v>
      </c>
    </row>
    <row r="53" spans="1:6" x14ac:dyDescent="0.25">
      <c r="A53" s="37">
        <v>2020</v>
      </c>
      <c r="B53" s="47"/>
      <c r="C53" s="39">
        <f t="shared" si="11"/>
        <v>0</v>
      </c>
      <c r="D53" s="47"/>
      <c r="E53" s="39">
        <f t="shared" si="12"/>
        <v>0</v>
      </c>
      <c r="F53" s="48">
        <f>'[6]4C2_CO2_OpenBurning'!M24</f>
        <v>0</v>
      </c>
    </row>
    <row r="56" spans="1:6" x14ac:dyDescent="0.25">
      <c r="A56" s="49"/>
      <c r="B56" s="50"/>
      <c r="C56" s="51"/>
      <c r="D56" s="50"/>
      <c r="E56" s="51"/>
      <c r="F56" s="51"/>
    </row>
    <row r="57" spans="1:6" ht="15.75" thickBot="1" x14ac:dyDescent="0.3">
      <c r="A57" s="52" t="s">
        <v>92</v>
      </c>
      <c r="B57" s="51"/>
      <c r="C57" s="50"/>
      <c r="D57" s="51"/>
    </row>
    <row r="58" spans="1:6" ht="15.75" thickBot="1" x14ac:dyDescent="0.3">
      <c r="A58" s="238" t="s">
        <v>11</v>
      </c>
      <c r="B58" s="240" t="s">
        <v>93</v>
      </c>
      <c r="C58" s="241"/>
      <c r="D58" s="53" t="s">
        <v>94</v>
      </c>
      <c r="E58" s="54"/>
      <c r="F58" s="55" t="s">
        <v>95</v>
      </c>
    </row>
    <row r="59" spans="1:6" ht="63.75" thickBot="1" x14ac:dyDescent="0.3">
      <c r="A59" s="239"/>
      <c r="B59" s="56" t="s">
        <v>96</v>
      </c>
      <c r="C59" s="56" t="s">
        <v>97</v>
      </c>
      <c r="D59" s="57" t="s">
        <v>98</v>
      </c>
      <c r="E59" s="57" t="s">
        <v>99</v>
      </c>
      <c r="F59" s="58" t="s">
        <v>100</v>
      </c>
    </row>
    <row r="60" spans="1:6" ht="15.75" thickBot="1" x14ac:dyDescent="0.3">
      <c r="A60" s="239"/>
      <c r="B60" s="242" t="s">
        <v>101</v>
      </c>
      <c r="C60" s="59" t="s">
        <v>102</v>
      </c>
      <c r="D60" s="60" t="s">
        <v>103</v>
      </c>
      <c r="E60" s="61" t="s">
        <v>104</v>
      </c>
      <c r="F60" s="62" t="s">
        <v>105</v>
      </c>
    </row>
    <row r="61" spans="1:6" ht="26.25" x14ac:dyDescent="0.25">
      <c r="A61" s="239"/>
      <c r="B61" s="243"/>
      <c r="C61" s="63" t="s">
        <v>106</v>
      </c>
      <c r="D61" s="64"/>
      <c r="E61" s="65" t="s">
        <v>107</v>
      </c>
      <c r="F61" s="66" t="s">
        <v>108</v>
      </c>
    </row>
    <row r="62" spans="1:6" x14ac:dyDescent="0.25">
      <c r="A62" s="37">
        <v>2010</v>
      </c>
      <c r="B62" s="48"/>
      <c r="C62" s="39">
        <f>B62*21</f>
        <v>0</v>
      </c>
      <c r="D62" s="67"/>
      <c r="E62" s="39">
        <f>D62*310</f>
        <v>0</v>
      </c>
      <c r="F62" s="68">
        <f>C62+E62</f>
        <v>0</v>
      </c>
    </row>
    <row r="63" spans="1:6" x14ac:dyDescent="0.25">
      <c r="A63" s="37">
        <v>2011</v>
      </c>
      <c r="B63" s="48"/>
      <c r="C63" s="39">
        <f t="shared" ref="C63:C72" si="13">B63*21</f>
        <v>0</v>
      </c>
      <c r="D63" s="67"/>
      <c r="E63" s="39">
        <f t="shared" ref="E63:E72" si="14">D63*310</f>
        <v>0</v>
      </c>
      <c r="F63" s="68">
        <f t="shared" ref="F63:F72" si="15">C63+E63</f>
        <v>0</v>
      </c>
    </row>
    <row r="64" spans="1:6" x14ac:dyDescent="0.25">
      <c r="A64" s="37">
        <v>2012</v>
      </c>
      <c r="B64" s="48"/>
      <c r="C64" s="39">
        <f t="shared" si="13"/>
        <v>0</v>
      </c>
      <c r="D64" s="67"/>
      <c r="E64" s="39">
        <f t="shared" si="14"/>
        <v>0</v>
      </c>
      <c r="F64" s="68">
        <f t="shared" si="15"/>
        <v>0</v>
      </c>
    </row>
    <row r="65" spans="1:6" x14ac:dyDescent="0.25">
      <c r="A65" s="37">
        <v>2013</v>
      </c>
      <c r="B65" s="48"/>
      <c r="C65" s="39">
        <f t="shared" si="13"/>
        <v>0</v>
      </c>
      <c r="D65" s="67"/>
      <c r="E65" s="39">
        <f t="shared" si="14"/>
        <v>0</v>
      </c>
      <c r="F65" s="68">
        <f t="shared" si="15"/>
        <v>0</v>
      </c>
    </row>
    <row r="66" spans="1:6" x14ac:dyDescent="0.25">
      <c r="A66" s="37">
        <v>2014</v>
      </c>
      <c r="B66" s="48"/>
      <c r="C66" s="39">
        <f t="shared" si="13"/>
        <v>0</v>
      </c>
      <c r="D66" s="67"/>
      <c r="E66" s="39">
        <f t="shared" si="14"/>
        <v>0</v>
      </c>
      <c r="F66" s="68">
        <f t="shared" si="15"/>
        <v>0</v>
      </c>
    </row>
    <row r="67" spans="1:6" x14ac:dyDescent="0.25">
      <c r="A67" s="37">
        <v>2015</v>
      </c>
      <c r="B67" s="48"/>
      <c r="C67" s="39">
        <f t="shared" si="13"/>
        <v>0</v>
      </c>
      <c r="D67" s="67"/>
      <c r="E67" s="39">
        <f t="shared" si="14"/>
        <v>0</v>
      </c>
      <c r="F67" s="68">
        <f t="shared" si="15"/>
        <v>0</v>
      </c>
    </row>
    <row r="68" spans="1:6" x14ac:dyDescent="0.25">
      <c r="A68" s="37">
        <v>2016</v>
      </c>
      <c r="B68" s="48"/>
      <c r="C68" s="39">
        <f t="shared" si="13"/>
        <v>0</v>
      </c>
      <c r="D68" s="67"/>
      <c r="E68" s="39">
        <f t="shared" si="14"/>
        <v>0</v>
      </c>
      <c r="F68" s="68">
        <f t="shared" si="15"/>
        <v>0</v>
      </c>
    </row>
    <row r="69" spans="1:6" x14ac:dyDescent="0.25">
      <c r="A69" s="37">
        <v>2017</v>
      </c>
      <c r="B69" s="48"/>
      <c r="C69" s="39">
        <f t="shared" si="13"/>
        <v>0</v>
      </c>
      <c r="D69" s="67"/>
      <c r="E69" s="39">
        <f t="shared" si="14"/>
        <v>0</v>
      </c>
      <c r="F69" s="68">
        <f t="shared" si="15"/>
        <v>0</v>
      </c>
    </row>
    <row r="70" spans="1:6" x14ac:dyDescent="0.25">
      <c r="A70" s="37">
        <v>2018</v>
      </c>
      <c r="B70" s="48"/>
      <c r="C70" s="39">
        <f t="shared" si="13"/>
        <v>0</v>
      </c>
      <c r="D70" s="67"/>
      <c r="E70" s="39">
        <f t="shared" si="14"/>
        <v>0</v>
      </c>
      <c r="F70" s="68">
        <f t="shared" si="15"/>
        <v>0</v>
      </c>
    </row>
    <row r="71" spans="1:6" x14ac:dyDescent="0.25">
      <c r="A71" s="37">
        <v>2019</v>
      </c>
      <c r="B71" s="48"/>
      <c r="C71" s="39">
        <f t="shared" si="13"/>
        <v>0</v>
      </c>
      <c r="D71" s="67"/>
      <c r="E71" s="39">
        <f t="shared" si="14"/>
        <v>0</v>
      </c>
      <c r="F71" s="68">
        <f t="shared" si="15"/>
        <v>0</v>
      </c>
    </row>
    <row r="72" spans="1:6" x14ac:dyDescent="0.25">
      <c r="A72" s="37">
        <v>2020</v>
      </c>
      <c r="B72" s="48"/>
      <c r="C72" s="39">
        <f t="shared" si="13"/>
        <v>0</v>
      </c>
      <c r="D72" s="67"/>
      <c r="E72" s="39">
        <f t="shared" si="14"/>
        <v>0</v>
      </c>
      <c r="F72" s="68">
        <f t="shared" si="15"/>
        <v>0</v>
      </c>
    </row>
  </sheetData>
  <mergeCells count="25">
    <mergeCell ref="A6:A8"/>
    <mergeCell ref="B6:D6"/>
    <mergeCell ref="F6:F8"/>
    <mergeCell ref="G6:I6"/>
    <mergeCell ref="K6:K8"/>
    <mergeCell ref="P6:P8"/>
    <mergeCell ref="Q6:S6"/>
    <mergeCell ref="B7:C7"/>
    <mergeCell ref="D7:D8"/>
    <mergeCell ref="G7:H7"/>
    <mergeCell ref="I7:I8"/>
    <mergeCell ref="L7:M7"/>
    <mergeCell ref="N7:N8"/>
    <mergeCell ref="Q7:R7"/>
    <mergeCell ref="S7:S8"/>
    <mergeCell ref="L6:N6"/>
    <mergeCell ref="A58:A61"/>
    <mergeCell ref="B58:C58"/>
    <mergeCell ref="B60:B61"/>
    <mergeCell ref="A23:A25"/>
    <mergeCell ref="B23:F23"/>
    <mergeCell ref="B24:C24"/>
    <mergeCell ref="D24:E24"/>
    <mergeCell ref="F24:F25"/>
    <mergeCell ref="A40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timbulan sampah</vt:lpstr>
      <vt:lpstr>Fraksi pengelolaan sampah BaU</vt:lpstr>
      <vt:lpstr>Frksi pengelolaan smph Mitigasi</vt:lpstr>
      <vt:lpstr>Rekapitulasi BaU Emisi GRK</vt:lpstr>
      <vt:lpstr>Rekap Emisi GRK dari Sawit</vt:lpstr>
      <vt:lpstr>Rekaptlasi Mitigasi Emisi GRK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Iwied</cp:lastModifiedBy>
  <dcterms:created xsi:type="dcterms:W3CDTF">2015-08-21T01:15:24Z</dcterms:created>
  <dcterms:modified xsi:type="dcterms:W3CDTF">2017-09-19T06:12:51Z</dcterms:modified>
</cp:coreProperties>
</file>