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Kukar\"/>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M98" i="8"/>
  <c r="I97" i="8"/>
  <c r="J97" i="8"/>
  <c r="K97" i="8"/>
  <c r="L97" i="8"/>
  <c r="M97" i="8"/>
  <c r="S97" i="8"/>
  <c r="I96" i="8"/>
  <c r="S96" i="8" s="1"/>
  <c r="J96" i="8"/>
  <c r="K96" i="8"/>
  <c r="L96" i="8"/>
  <c r="M96" i="8"/>
  <c r="I95" i="8"/>
  <c r="S95" i="8" s="1"/>
  <c r="J95" i="8"/>
  <c r="K95" i="8"/>
  <c r="L95" i="8"/>
  <c r="M95" i="8"/>
  <c r="I94" i="8"/>
  <c r="S94" i="8" s="1"/>
  <c r="J94" i="8"/>
  <c r="K94" i="8"/>
  <c r="L94" i="8"/>
  <c r="M94" i="8"/>
  <c r="I93" i="8"/>
  <c r="J93" i="8"/>
  <c r="K93" i="8"/>
  <c r="L93" i="8"/>
  <c r="M93" i="8"/>
  <c r="I92" i="8"/>
  <c r="J92" i="8"/>
  <c r="K92" i="8"/>
  <c r="L92" i="8"/>
  <c r="M92" i="8"/>
  <c r="I91" i="8"/>
  <c r="J91" i="8"/>
  <c r="K91" i="8"/>
  <c r="L91" i="8"/>
  <c r="M91" i="8"/>
  <c r="S91" i="8"/>
  <c r="I90" i="8"/>
  <c r="J90" i="8"/>
  <c r="K90" i="8"/>
  <c r="L90" i="8"/>
  <c r="M90" i="8"/>
  <c r="I89" i="8"/>
  <c r="J89" i="8"/>
  <c r="K89" i="8"/>
  <c r="L89" i="8"/>
  <c r="M89" i="8"/>
  <c r="S89" i="8"/>
  <c r="I88" i="8"/>
  <c r="S88" i="8" s="1"/>
  <c r="J88" i="8"/>
  <c r="K88" i="8"/>
  <c r="L88" i="8"/>
  <c r="M88" i="8"/>
  <c r="I87" i="8"/>
  <c r="S87" i="8" s="1"/>
  <c r="J87" i="8"/>
  <c r="K87" i="8"/>
  <c r="L87" i="8"/>
  <c r="M87" i="8"/>
  <c r="I86" i="8"/>
  <c r="J86" i="8"/>
  <c r="K86" i="8"/>
  <c r="S86" i="8" s="1"/>
  <c r="L86" i="8"/>
  <c r="M86" i="8"/>
  <c r="I85" i="8"/>
  <c r="J85" i="8"/>
  <c r="K85" i="8"/>
  <c r="L85" i="8"/>
  <c r="M85" i="8"/>
  <c r="I84" i="8"/>
  <c r="J84" i="8"/>
  <c r="K84" i="8"/>
  <c r="S84" i="8" s="1"/>
  <c r="L84" i="8"/>
  <c r="M84" i="8"/>
  <c r="I83" i="8"/>
  <c r="J83" i="8"/>
  <c r="N83" i="8" s="1"/>
  <c r="K83" i="8"/>
  <c r="L83" i="8"/>
  <c r="M83" i="8"/>
  <c r="S83" i="8"/>
  <c r="I82" i="8"/>
  <c r="J82" i="8"/>
  <c r="K82" i="8"/>
  <c r="L82" i="8"/>
  <c r="M82" i="8"/>
  <c r="I81" i="8"/>
  <c r="J81" i="8"/>
  <c r="K81" i="8"/>
  <c r="L81" i="8"/>
  <c r="M81" i="8"/>
  <c r="S81" i="8"/>
  <c r="I80" i="8"/>
  <c r="J80" i="8"/>
  <c r="K80" i="8"/>
  <c r="L80" i="8"/>
  <c r="M80" i="8"/>
  <c r="I79" i="8"/>
  <c r="S79" i="8" s="1"/>
  <c r="J79" i="8"/>
  <c r="K79" i="8"/>
  <c r="L79" i="8"/>
  <c r="M79" i="8"/>
  <c r="I78" i="8"/>
  <c r="J78" i="8"/>
  <c r="K78" i="8"/>
  <c r="S78" i="8" s="1"/>
  <c r="L78" i="8"/>
  <c r="M78" i="8"/>
  <c r="I77" i="8"/>
  <c r="J77" i="8"/>
  <c r="K77" i="8"/>
  <c r="L77" i="8"/>
  <c r="M77" i="8"/>
  <c r="I76" i="8"/>
  <c r="J76" i="8"/>
  <c r="K76" i="8"/>
  <c r="S76" i="8" s="1"/>
  <c r="L76" i="8"/>
  <c r="M76" i="8"/>
  <c r="I75" i="8"/>
  <c r="J75" i="8"/>
  <c r="K75" i="8"/>
  <c r="L75" i="8"/>
  <c r="M75" i="8"/>
  <c r="S75" i="8"/>
  <c r="I74" i="8"/>
  <c r="J74" i="8"/>
  <c r="K74" i="8"/>
  <c r="L74" i="8"/>
  <c r="M74" i="8"/>
  <c r="I73" i="8"/>
  <c r="J73" i="8"/>
  <c r="K73" i="8"/>
  <c r="L73" i="8"/>
  <c r="M73" i="8"/>
  <c r="S73" i="8"/>
  <c r="I72" i="8"/>
  <c r="J72" i="8"/>
  <c r="K72" i="8"/>
  <c r="L72" i="8"/>
  <c r="M72" i="8"/>
  <c r="I71" i="8"/>
  <c r="S71" i="8" s="1"/>
  <c r="J71" i="8"/>
  <c r="K71" i="8"/>
  <c r="L71" i="8"/>
  <c r="M71" i="8"/>
  <c r="I70" i="8"/>
  <c r="J70" i="8"/>
  <c r="K70" i="8"/>
  <c r="S70" i="8" s="1"/>
  <c r="L70" i="8"/>
  <c r="M70" i="8"/>
  <c r="I69" i="8"/>
  <c r="J69" i="8"/>
  <c r="K69" i="8"/>
  <c r="L69" i="8"/>
  <c r="M69" i="8"/>
  <c r="I68" i="8"/>
  <c r="J68" i="8"/>
  <c r="K68" i="8"/>
  <c r="S68" i="8" s="1"/>
  <c r="L68" i="8"/>
  <c r="M68" i="8"/>
  <c r="I67" i="8"/>
  <c r="J67" i="8"/>
  <c r="K67" i="8"/>
  <c r="L67" i="8"/>
  <c r="M67" i="8"/>
  <c r="S67" i="8"/>
  <c r="I66" i="8"/>
  <c r="J66" i="8"/>
  <c r="K66" i="8"/>
  <c r="L66" i="8"/>
  <c r="M66" i="8"/>
  <c r="I65" i="8"/>
  <c r="J65" i="8"/>
  <c r="K65" i="8"/>
  <c r="L65" i="8"/>
  <c r="M65" i="8"/>
  <c r="S65" i="8"/>
  <c r="I64" i="8"/>
  <c r="J64" i="8"/>
  <c r="K64" i="8"/>
  <c r="L64" i="8"/>
  <c r="M64" i="8"/>
  <c r="I63" i="8"/>
  <c r="S63" i="8" s="1"/>
  <c r="J63" i="8"/>
  <c r="K63" i="8"/>
  <c r="L63" i="8"/>
  <c r="M63" i="8"/>
  <c r="I62" i="8"/>
  <c r="J62" i="8"/>
  <c r="K62" i="8"/>
  <c r="S62" i="8" s="1"/>
  <c r="L62" i="8"/>
  <c r="M62" i="8"/>
  <c r="I61" i="8"/>
  <c r="J61" i="8"/>
  <c r="K61" i="8"/>
  <c r="L61" i="8"/>
  <c r="M61" i="8"/>
  <c r="I60" i="8"/>
  <c r="J60" i="8"/>
  <c r="K60" i="8"/>
  <c r="S60" i="8" s="1"/>
  <c r="L60" i="8"/>
  <c r="M60" i="8"/>
  <c r="I59" i="8"/>
  <c r="J59" i="8"/>
  <c r="K59" i="8"/>
  <c r="L59" i="8"/>
  <c r="M59" i="8"/>
  <c r="S59" i="8"/>
  <c r="I58" i="8"/>
  <c r="J58" i="8"/>
  <c r="K58" i="8"/>
  <c r="L58" i="8"/>
  <c r="M58" i="8"/>
  <c r="I57" i="8"/>
  <c r="J57" i="8"/>
  <c r="K57" i="8"/>
  <c r="L57" i="8"/>
  <c r="M57" i="8"/>
  <c r="S57" i="8"/>
  <c r="I56" i="8"/>
  <c r="J56" i="8"/>
  <c r="K56" i="8"/>
  <c r="L56" i="8"/>
  <c r="M56" i="8"/>
  <c r="I55" i="8"/>
  <c r="S55" i="8" s="1"/>
  <c r="J55" i="8"/>
  <c r="K55" i="8"/>
  <c r="L55" i="8"/>
  <c r="M55" i="8"/>
  <c r="I54" i="8"/>
  <c r="J54" i="8"/>
  <c r="K54" i="8"/>
  <c r="S54" i="8" s="1"/>
  <c r="L54" i="8"/>
  <c r="M54" i="8"/>
  <c r="I53" i="8"/>
  <c r="J53" i="8"/>
  <c r="K53" i="8"/>
  <c r="L53" i="8"/>
  <c r="M53" i="8"/>
  <c r="I52" i="8"/>
  <c r="J52" i="8"/>
  <c r="K52" i="8"/>
  <c r="S52" i="8" s="1"/>
  <c r="L52" i="8"/>
  <c r="M52" i="8"/>
  <c r="I51" i="8"/>
  <c r="J51" i="8"/>
  <c r="N51" i="8" s="1"/>
  <c r="K51" i="8"/>
  <c r="L51" i="8"/>
  <c r="M51" i="8"/>
  <c r="S51" i="8"/>
  <c r="I50" i="8"/>
  <c r="J50" i="8"/>
  <c r="K50" i="8"/>
  <c r="L50" i="8"/>
  <c r="M50" i="8"/>
  <c r="I49" i="8"/>
  <c r="J49" i="8"/>
  <c r="K49" i="8"/>
  <c r="L49" i="8"/>
  <c r="M49" i="8"/>
  <c r="S49" i="8"/>
  <c r="I48" i="8"/>
  <c r="J48" i="8"/>
  <c r="K48" i="8"/>
  <c r="L48" i="8"/>
  <c r="M48" i="8"/>
  <c r="I47" i="8"/>
  <c r="S47" i="8" s="1"/>
  <c r="J47" i="8"/>
  <c r="K47" i="8"/>
  <c r="L47" i="8"/>
  <c r="M47" i="8"/>
  <c r="I46" i="8"/>
  <c r="J46" i="8"/>
  <c r="K46" i="8"/>
  <c r="S46" i="8" s="1"/>
  <c r="L46" i="8"/>
  <c r="M46" i="8"/>
  <c r="I45" i="8"/>
  <c r="J45" i="8"/>
  <c r="K45" i="8"/>
  <c r="L45" i="8"/>
  <c r="M45" i="8"/>
  <c r="I44" i="8"/>
  <c r="J44" i="8"/>
  <c r="K44" i="8"/>
  <c r="S44" i="8" s="1"/>
  <c r="L44" i="8"/>
  <c r="M44" i="8"/>
  <c r="I43" i="8"/>
  <c r="J43" i="8"/>
  <c r="K43" i="8"/>
  <c r="L43" i="8"/>
  <c r="M43" i="8"/>
  <c r="S43" i="8"/>
  <c r="I42" i="8"/>
  <c r="J42" i="8"/>
  <c r="K42" i="8"/>
  <c r="L42" i="8"/>
  <c r="M42" i="8"/>
  <c r="I41" i="8"/>
  <c r="J41" i="8"/>
  <c r="K41" i="8"/>
  <c r="L41" i="8"/>
  <c r="M41" i="8"/>
  <c r="S41" i="8"/>
  <c r="I40" i="8"/>
  <c r="J40" i="8"/>
  <c r="K40" i="8"/>
  <c r="L40" i="8"/>
  <c r="M40" i="8"/>
  <c r="I39" i="8"/>
  <c r="S39" i="8" s="1"/>
  <c r="J39" i="8"/>
  <c r="K39" i="8"/>
  <c r="L39" i="8"/>
  <c r="M39" i="8"/>
  <c r="I38" i="8"/>
  <c r="J38" i="8"/>
  <c r="K38" i="8"/>
  <c r="S38" i="8" s="1"/>
  <c r="L38" i="8"/>
  <c r="M38" i="8"/>
  <c r="I37" i="8"/>
  <c r="J37" i="8"/>
  <c r="K37" i="8"/>
  <c r="L37" i="8"/>
  <c r="M37" i="8"/>
  <c r="I36" i="8"/>
  <c r="J36" i="8"/>
  <c r="K36" i="8"/>
  <c r="S36" i="8" s="1"/>
  <c r="L36" i="8"/>
  <c r="M36" i="8"/>
  <c r="I35" i="8"/>
  <c r="J35" i="8"/>
  <c r="N35" i="8" s="1"/>
  <c r="K35" i="8"/>
  <c r="L35" i="8"/>
  <c r="M35" i="8"/>
  <c r="I34" i="8"/>
  <c r="J34" i="8"/>
  <c r="K34" i="8"/>
  <c r="L34" i="8"/>
  <c r="M34" i="8"/>
  <c r="I33" i="8"/>
  <c r="J33" i="8"/>
  <c r="K33" i="8"/>
  <c r="L33" i="8"/>
  <c r="M33" i="8"/>
  <c r="S33" i="8"/>
  <c r="I32" i="8"/>
  <c r="J32" i="8"/>
  <c r="K32" i="8"/>
  <c r="L32" i="8"/>
  <c r="M32" i="8"/>
  <c r="I31" i="8"/>
  <c r="S31" i="8" s="1"/>
  <c r="J31" i="8"/>
  <c r="K31" i="8"/>
  <c r="L31" i="8"/>
  <c r="M31" i="8"/>
  <c r="I30" i="8"/>
  <c r="J30" i="8"/>
  <c r="K30" i="8"/>
  <c r="S30" i="8" s="1"/>
  <c r="L30" i="8"/>
  <c r="M30" i="8"/>
  <c r="I29" i="8"/>
  <c r="J29" i="8"/>
  <c r="K29" i="8"/>
  <c r="L29" i="8"/>
  <c r="M29" i="8"/>
  <c r="I28" i="8"/>
  <c r="J28" i="8"/>
  <c r="K28" i="8"/>
  <c r="S28" i="8" s="1"/>
  <c r="L28" i="8"/>
  <c r="M28" i="8"/>
  <c r="I27" i="8"/>
  <c r="J27" i="8"/>
  <c r="K27" i="8"/>
  <c r="L27" i="8"/>
  <c r="M27" i="8"/>
  <c r="S27" i="8"/>
  <c r="I26" i="8"/>
  <c r="J26" i="8"/>
  <c r="K26" i="8"/>
  <c r="L26" i="8"/>
  <c r="M26" i="8"/>
  <c r="I25" i="8"/>
  <c r="J25" i="8"/>
  <c r="K25" i="8"/>
  <c r="L25" i="8"/>
  <c r="M25" i="8"/>
  <c r="S25" i="8"/>
  <c r="I24" i="8"/>
  <c r="J24" i="8"/>
  <c r="K24" i="8"/>
  <c r="L24" i="8"/>
  <c r="M24" i="8"/>
  <c r="I23" i="8"/>
  <c r="S23" i="8" s="1"/>
  <c r="J23" i="8"/>
  <c r="K23" i="8"/>
  <c r="L23" i="8"/>
  <c r="M23" i="8"/>
  <c r="I22" i="8"/>
  <c r="J22" i="8"/>
  <c r="K22" i="8"/>
  <c r="S22" i="8" s="1"/>
  <c r="L22" i="8"/>
  <c r="M22" i="8"/>
  <c r="I21" i="8"/>
  <c r="J21" i="8"/>
  <c r="K21" i="8"/>
  <c r="L21" i="8"/>
  <c r="M21" i="8"/>
  <c r="I20" i="8"/>
  <c r="J20" i="8"/>
  <c r="K20" i="8"/>
  <c r="S20" i="8" s="1"/>
  <c r="L20" i="8"/>
  <c r="M20" i="8"/>
  <c r="I19" i="8"/>
  <c r="J19" i="8"/>
  <c r="N19" i="8" s="1"/>
  <c r="K19" i="8"/>
  <c r="L19" i="8"/>
  <c r="M19" i="8"/>
  <c r="S19" i="8"/>
  <c r="I18" i="8"/>
  <c r="J18" i="8"/>
  <c r="K18" i="8"/>
  <c r="L18" i="8"/>
  <c r="M18" i="8"/>
  <c r="D36" i="4"/>
  <c r="E36" i="4" s="1"/>
  <c r="C36" i="4"/>
  <c r="B36" i="4"/>
  <c r="L47" i="4"/>
  <c r="D47" i="4"/>
  <c r="E47" i="4" s="1"/>
  <c r="C47" i="4"/>
  <c r="B47" i="4"/>
  <c r="E51" i="4"/>
  <c r="K13" i="40" s="1"/>
  <c r="W13" i="40"/>
  <c r="E30" i="4"/>
  <c r="W7" i="40" s="1"/>
  <c r="K7" i="40"/>
  <c r="H28" i="4"/>
  <c r="I28" i="4"/>
  <c r="J28" i="4" s="1"/>
  <c r="C28" i="4"/>
  <c r="I17" i="4"/>
  <c r="J17" i="4" s="1"/>
  <c r="R28" i="4" s="1"/>
  <c r="H17" i="4"/>
  <c r="D17" i="4"/>
  <c r="C17" i="4"/>
  <c r="B17" i="4"/>
  <c r="D28" i="4"/>
  <c r="E28" i="4" s="1"/>
  <c r="O28" i="4" s="1"/>
  <c r="K6" i="40" s="1"/>
  <c r="L28" i="4"/>
  <c r="B28" i="4"/>
  <c r="V93" i="6"/>
  <c r="X93" i="6" s="1"/>
  <c r="P94" i="7" s="1"/>
  <c r="V92" i="6"/>
  <c r="X92" i="6" s="1"/>
  <c r="P93" i="7"/>
  <c r="V91" i="6"/>
  <c r="X91" i="6" s="1"/>
  <c r="P92" i="7" s="1"/>
  <c r="V90" i="6"/>
  <c r="X90" i="6" s="1"/>
  <c r="P91" i="7"/>
  <c r="V89" i="6"/>
  <c r="X89" i="6" s="1"/>
  <c r="P90" i="7" s="1"/>
  <c r="V88" i="6"/>
  <c r="X88" i="6" s="1"/>
  <c r="P89" i="7" s="1"/>
  <c r="V87" i="6"/>
  <c r="X87" i="6" s="1"/>
  <c r="P88" i="7" s="1"/>
  <c r="V86" i="6"/>
  <c r="X86" i="6" s="1"/>
  <c r="P87" i="7" s="1"/>
  <c r="V85" i="6"/>
  <c r="X85" i="6" s="1"/>
  <c r="P86" i="7" s="1"/>
  <c r="V84" i="6"/>
  <c r="X84" i="6" s="1"/>
  <c r="P85" i="7"/>
  <c r="P90" i="40" s="1"/>
  <c r="V83" i="6"/>
  <c r="X83" i="6" s="1"/>
  <c r="P84" i="7" s="1"/>
  <c r="V82" i="6"/>
  <c r="X82" i="6" s="1"/>
  <c r="P83" i="7"/>
  <c r="V81" i="6"/>
  <c r="X81" i="6" s="1"/>
  <c r="P82" i="7" s="1"/>
  <c r="P87" i="40" s="1"/>
  <c r="V80" i="6"/>
  <c r="X80" i="6" s="1"/>
  <c r="P81" i="7" s="1"/>
  <c r="V79" i="6"/>
  <c r="X79" i="6" s="1"/>
  <c r="P80" i="7" s="1"/>
  <c r="V78" i="6"/>
  <c r="X78" i="6" s="1"/>
  <c r="P79" i="7" s="1"/>
  <c r="V77" i="6"/>
  <c r="X77" i="6" s="1"/>
  <c r="P78" i="7" s="1"/>
  <c r="V76" i="6"/>
  <c r="X76" i="6" s="1"/>
  <c r="P77" i="7"/>
  <c r="V75" i="6"/>
  <c r="X75" i="6" s="1"/>
  <c r="P76" i="7" s="1"/>
  <c r="V74" i="6"/>
  <c r="X74" i="6" s="1"/>
  <c r="P75" i="7"/>
  <c r="V73" i="6"/>
  <c r="X73" i="6" s="1"/>
  <c r="P74" i="7" s="1"/>
  <c r="V72" i="6"/>
  <c r="X72" i="6" s="1"/>
  <c r="P73" i="7" s="1"/>
  <c r="V71" i="6"/>
  <c r="X71" i="6" s="1"/>
  <c r="P72" i="7" s="1"/>
  <c r="V70" i="6"/>
  <c r="X70" i="6" s="1"/>
  <c r="P71" i="7" s="1"/>
  <c r="V69" i="6"/>
  <c r="X69" i="6" s="1"/>
  <c r="P70" i="7" s="1"/>
  <c r="V68" i="6"/>
  <c r="X68" i="6" s="1"/>
  <c r="P69" i="7"/>
  <c r="P74" i="40" s="1"/>
  <c r="V67" i="6"/>
  <c r="X67" i="6" s="1"/>
  <c r="P68" i="7" s="1"/>
  <c r="V66" i="6"/>
  <c r="X66" i="6" s="1"/>
  <c r="P67" i="7"/>
  <c r="V65" i="6"/>
  <c r="X65" i="6" s="1"/>
  <c r="P66" i="7" s="1"/>
  <c r="P71" i="40" s="1"/>
  <c r="V64" i="6"/>
  <c r="X64" i="6" s="1"/>
  <c r="P65" i="7" s="1"/>
  <c r="V63" i="6"/>
  <c r="X63" i="6" s="1"/>
  <c r="P64" i="7" s="1"/>
  <c r="V62" i="6"/>
  <c r="X62" i="6" s="1"/>
  <c r="P63" i="7" s="1"/>
  <c r="V61" i="6"/>
  <c r="X61" i="6" s="1"/>
  <c r="P62" i="7" s="1"/>
  <c r="V60" i="6"/>
  <c r="X60" i="6" s="1"/>
  <c r="P61" i="7"/>
  <c r="V59" i="6"/>
  <c r="X59" i="6" s="1"/>
  <c r="P60" i="7" s="1"/>
  <c r="V58" i="6"/>
  <c r="X58" i="6" s="1"/>
  <c r="P59" i="7"/>
  <c r="V57" i="6"/>
  <c r="X57" i="6" s="1"/>
  <c r="P58" i="7" s="1"/>
  <c r="V56" i="6"/>
  <c r="X56" i="6" s="1"/>
  <c r="P57" i="7" s="1"/>
  <c r="V55" i="6"/>
  <c r="X55" i="6" s="1"/>
  <c r="P56" i="7" s="1"/>
  <c r="V54" i="6"/>
  <c r="X54" i="6" s="1"/>
  <c r="P55" i="7" s="1"/>
  <c r="V53" i="6"/>
  <c r="X53" i="6" s="1"/>
  <c r="P54" i="7" s="1"/>
  <c r="V52" i="6"/>
  <c r="X52" i="6" s="1"/>
  <c r="P53" i="7"/>
  <c r="P58" i="40" s="1"/>
  <c r="V51" i="6"/>
  <c r="X51" i="6" s="1"/>
  <c r="P52" i="7" s="1"/>
  <c r="V50" i="6"/>
  <c r="X50" i="6"/>
  <c r="P51" i="7" s="1"/>
  <c r="V49" i="6"/>
  <c r="X49" i="6" s="1"/>
  <c r="P50" i="7" s="1"/>
  <c r="P55" i="40" s="1"/>
  <c r="V48" i="6"/>
  <c r="X48" i="6" s="1"/>
  <c r="P49" i="7" s="1"/>
  <c r="V47" i="6"/>
  <c r="X47" i="6" s="1"/>
  <c r="P48" i="7" s="1"/>
  <c r="V46" i="6"/>
  <c r="X46" i="6" s="1"/>
  <c r="P47" i="7" s="1"/>
  <c r="V45" i="6"/>
  <c r="X45" i="6" s="1"/>
  <c r="P46" i="7" s="1"/>
  <c r="V44" i="6"/>
  <c r="X44" i="6"/>
  <c r="P45" i="7" s="1"/>
  <c r="V43" i="6"/>
  <c r="X43" i="6" s="1"/>
  <c r="P44" i="7" s="1"/>
  <c r="V42" i="6"/>
  <c r="X42" i="6"/>
  <c r="P43" i="7" s="1"/>
  <c r="V41" i="6"/>
  <c r="X41" i="6" s="1"/>
  <c r="P42" i="7" s="1"/>
  <c r="V40" i="6"/>
  <c r="X40" i="6" s="1"/>
  <c r="P41" i="7" s="1"/>
  <c r="V39" i="6"/>
  <c r="X39" i="6" s="1"/>
  <c r="P40" i="7" s="1"/>
  <c r="V38" i="6"/>
  <c r="X38" i="6" s="1"/>
  <c r="P39" i="7" s="1"/>
  <c r="V37" i="6"/>
  <c r="X37" i="6" s="1"/>
  <c r="P38" i="7" s="1"/>
  <c r="V36" i="6"/>
  <c r="X36" i="6"/>
  <c r="P37" i="7" s="1"/>
  <c r="P42" i="40" s="1"/>
  <c r="V35" i="6"/>
  <c r="X35" i="6" s="1"/>
  <c r="P36" i="7" s="1"/>
  <c r="V34" i="6"/>
  <c r="X34" i="6"/>
  <c r="P35" i="7" s="1"/>
  <c r="V33" i="6"/>
  <c r="X33" i="6" s="1"/>
  <c r="P34" i="7" s="1"/>
  <c r="P39" i="40" s="1"/>
  <c r="V32" i="6"/>
  <c r="X32" i="6" s="1"/>
  <c r="P33" i="7" s="1"/>
  <c r="V31" i="6"/>
  <c r="X31" i="6" s="1"/>
  <c r="P32" i="7" s="1"/>
  <c r="V30" i="6"/>
  <c r="X30" i="6" s="1"/>
  <c r="P31" i="7" s="1"/>
  <c r="V29" i="6"/>
  <c r="X29" i="6" s="1"/>
  <c r="P30" i="7" s="1"/>
  <c r="V28" i="6"/>
  <c r="X28" i="6"/>
  <c r="P29" i="7" s="1"/>
  <c r="V27" i="6"/>
  <c r="X27" i="6" s="1"/>
  <c r="P28" i="7" s="1"/>
  <c r="V26" i="6"/>
  <c r="X26" i="6"/>
  <c r="P27" i="7" s="1"/>
  <c r="V25" i="6"/>
  <c r="X25" i="6" s="1"/>
  <c r="P26" i="7" s="1"/>
  <c r="V24" i="6"/>
  <c r="X24" i="6" s="1"/>
  <c r="P25" i="7" s="1"/>
  <c r="V23" i="6"/>
  <c r="X23" i="6" s="1"/>
  <c r="P24" i="7" s="1"/>
  <c r="V22" i="6"/>
  <c r="X22" i="6" s="1"/>
  <c r="P23" i="7" s="1"/>
  <c r="V21" i="6"/>
  <c r="X21" i="6" s="1"/>
  <c r="P22" i="7" s="1"/>
  <c r="V20" i="6"/>
  <c r="X20" i="6"/>
  <c r="P21" i="7" s="1"/>
  <c r="P26" i="40" s="1"/>
  <c r="V19" i="6"/>
  <c r="X19" i="6" s="1"/>
  <c r="P20" i="7" s="1"/>
  <c r="V18" i="6"/>
  <c r="X18" i="6"/>
  <c r="P19" i="7" s="1"/>
  <c r="V17" i="6"/>
  <c r="X17" i="6" s="1"/>
  <c r="P18" i="7" s="1"/>
  <c r="P23" i="40" s="1"/>
  <c r="V16" i="6"/>
  <c r="X16" i="6" s="1"/>
  <c r="P17" i="7" s="1"/>
  <c r="V15" i="6"/>
  <c r="X15" i="6" s="1"/>
  <c r="P16" i="7" s="1"/>
  <c r="V14" i="6"/>
  <c r="X14" i="6" s="1"/>
  <c r="P15" i="7" s="1"/>
  <c r="V13" i="6"/>
  <c r="X13" i="6" s="1"/>
  <c r="P14" i="7"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E92" i="7" s="1"/>
  <c r="P97" i="35" s="1"/>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R25" i="4" s="1"/>
  <c r="I24" i="4"/>
  <c r="J24" i="4" s="1"/>
  <c r="R24" i="4" s="1"/>
  <c r="I23" i="4"/>
  <c r="J23" i="4" s="1"/>
  <c r="R23" i="4" s="1"/>
  <c r="I22" i="4"/>
  <c r="J22" i="4" s="1"/>
  <c r="R22" i="4" s="1"/>
  <c r="D25" i="4"/>
  <c r="O25" i="4" s="1"/>
  <c r="D24" i="4"/>
  <c r="O24" i="4" s="1"/>
  <c r="D23" i="4"/>
  <c r="O23" i="4" s="1"/>
  <c r="D22" i="4"/>
  <c r="O22" i="4"/>
  <c r="H25" i="4"/>
  <c r="H24" i="4"/>
  <c r="H23" i="4"/>
  <c r="H22" i="4"/>
  <c r="C25" i="4"/>
  <c r="C24" i="4"/>
  <c r="C23" i="4"/>
  <c r="C22" i="4"/>
  <c r="R62" i="4"/>
  <c r="AC4" i="5"/>
  <c r="AB4" i="5"/>
  <c r="Z4" i="5"/>
  <c r="AH25" i="5" s="1"/>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M17" i="6"/>
  <c r="N17" i="6"/>
  <c r="L18" i="7" s="1"/>
  <c r="M18" i="6"/>
  <c r="N18" i="6"/>
  <c r="M19" i="6"/>
  <c r="N19" i="6"/>
  <c r="M20" i="6"/>
  <c r="N20" i="6"/>
  <c r="M21" i="6"/>
  <c r="N21" i="6"/>
  <c r="M22" i="6"/>
  <c r="N22" i="6"/>
  <c r="M23" i="6"/>
  <c r="K24" i="7" s="1"/>
  <c r="N23" i="6"/>
  <c r="M24" i="6"/>
  <c r="N24" i="6"/>
  <c r="M25" i="6"/>
  <c r="K26" i="7" s="1"/>
  <c r="N25" i="6"/>
  <c r="L26" i="7" s="1"/>
  <c r="M26" i="6"/>
  <c r="N26" i="6"/>
  <c r="M27" i="6"/>
  <c r="K28" i="7" s="1"/>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Y4" i="5"/>
  <c r="AA4" i="5"/>
  <c r="AD4" i="5"/>
  <c r="E58" i="4"/>
  <c r="E59" i="4"/>
  <c r="E55" i="4"/>
  <c r="F75" i="28" s="1"/>
  <c r="C94" i="8"/>
  <c r="D94" i="8"/>
  <c r="E94" i="8"/>
  <c r="F94" i="8"/>
  <c r="G94" i="8"/>
  <c r="C95" i="8"/>
  <c r="D95" i="8"/>
  <c r="E95" i="8"/>
  <c r="F95" i="8"/>
  <c r="G95" i="8"/>
  <c r="C96" i="8"/>
  <c r="D96" i="8"/>
  <c r="E96" i="8"/>
  <c r="F96" i="8"/>
  <c r="G96" i="8"/>
  <c r="C97" i="8"/>
  <c r="D97" i="8"/>
  <c r="E97" i="8"/>
  <c r="F97" i="8"/>
  <c r="G97" i="8"/>
  <c r="C98" i="8"/>
  <c r="D98" i="8"/>
  <c r="E98" i="8"/>
  <c r="F98" i="8"/>
  <c r="G98" i="8"/>
  <c r="B14" i="7"/>
  <c r="O19" i="36"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E83" i="6"/>
  <c r="J17" i="6"/>
  <c r="K13" i="18"/>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20" i="7"/>
  <c r="L13" i="6"/>
  <c r="J67" i="6"/>
  <c r="E55" i="6"/>
  <c r="E36" i="6"/>
  <c r="E21" i="6"/>
  <c r="K51" i="6"/>
  <c r="E54" i="6"/>
  <c r="E13" i="6"/>
  <c r="E66" i="6"/>
  <c r="E79" i="6"/>
  <c r="F79" i="6"/>
  <c r="H79" i="6"/>
  <c r="J79" i="6"/>
  <c r="K79" i="6"/>
  <c r="L79" i="6"/>
  <c r="J42" i="6"/>
  <c r="E88" i="6"/>
  <c r="J22" i="6"/>
  <c r="J92" i="6"/>
  <c r="E87" i="6"/>
  <c r="E51" i="6"/>
  <c r="E33" i="6"/>
  <c r="J82" i="6"/>
  <c r="E45" i="6"/>
  <c r="E27" i="6"/>
  <c r="E74" i="6"/>
  <c r="E57" i="6"/>
  <c r="L89" i="6"/>
  <c r="K38" i="6"/>
  <c r="K28" i="6"/>
  <c r="L38" i="6"/>
  <c r="E38" i="6"/>
  <c r="F38" i="6"/>
  <c r="H38" i="6"/>
  <c r="J38" i="6"/>
  <c r="K17" i="6"/>
  <c r="F91" i="6"/>
  <c r="D92" i="7" s="1"/>
  <c r="K42" i="6"/>
  <c r="L93" i="6"/>
  <c r="L54" i="6"/>
  <c r="K23" i="6"/>
  <c r="K88" i="6"/>
  <c r="I89" i="7" s="1"/>
  <c r="L40" i="6"/>
  <c r="L24" i="6"/>
  <c r="L42" i="6"/>
  <c r="K65" i="6"/>
  <c r="F18" i="6"/>
  <c r="K26" i="6"/>
  <c r="K44" i="7"/>
  <c r="L34" i="6"/>
  <c r="F41" i="6"/>
  <c r="F93" i="6"/>
  <c r="O23" i="7"/>
  <c r="G43" i="7"/>
  <c r="P48" i="34" s="1"/>
  <c r="H21" i="7"/>
  <c r="F20" i="6"/>
  <c r="L71" i="6"/>
  <c r="L55" i="6"/>
  <c r="L25" i="6"/>
  <c r="K22" i="6"/>
  <c r="E22" i="6"/>
  <c r="F22" i="6"/>
  <c r="H22" i="6"/>
  <c r="L22" i="6"/>
  <c r="F92" i="6"/>
  <c r="K47" i="6"/>
  <c r="F26" i="6"/>
  <c r="L17" i="6"/>
  <c r="L75" i="6"/>
  <c r="G85" i="7"/>
  <c r="P90" i="34" s="1"/>
  <c r="E26" i="7"/>
  <c r="P31" i="35" s="1"/>
  <c r="J55" i="7"/>
  <c r="G45" i="7"/>
  <c r="P50" i="34" s="1"/>
  <c r="F77" i="6"/>
  <c r="L52" i="6"/>
  <c r="L57" i="6"/>
  <c r="L70" i="6"/>
  <c r="L72" i="6"/>
  <c r="K25" i="6"/>
  <c r="K72" i="6"/>
  <c r="E72" i="6"/>
  <c r="F72" i="6"/>
  <c r="H72" i="6"/>
  <c r="J72" i="6"/>
  <c r="K46" i="6"/>
  <c r="F53" i="6"/>
  <c r="L86" i="6"/>
  <c r="K92" i="6"/>
  <c r="F59" i="6"/>
  <c r="H39" i="7"/>
  <c r="C44" i="33" s="1"/>
  <c r="K48" i="6"/>
  <c r="I49" i="7" s="1"/>
  <c r="L46" i="6"/>
  <c r="O68" i="7"/>
  <c r="K63" i="7"/>
  <c r="F19" i="6"/>
  <c r="L68" i="6"/>
  <c r="L39" i="6"/>
  <c r="L29" i="6"/>
  <c r="J30" i="7" s="1"/>
  <c r="K77" i="6"/>
  <c r="K55" i="6"/>
  <c r="K81" i="6"/>
  <c r="K59" i="6"/>
  <c r="K74" i="6"/>
  <c r="L64" i="7"/>
  <c r="E71" i="7"/>
  <c r="P76" i="35" s="1"/>
  <c r="F86" i="6"/>
  <c r="H14" i="6"/>
  <c r="K68" i="6"/>
  <c r="L31" i="6"/>
  <c r="L59" i="6"/>
  <c r="L83" i="6"/>
  <c r="H86" i="6"/>
  <c r="H26" i="6"/>
  <c r="L18" i="6"/>
  <c r="L80" i="6"/>
  <c r="L81" i="6"/>
  <c r="L44" i="6"/>
  <c r="L82" i="6"/>
  <c r="L45" i="6"/>
  <c r="L78" i="6"/>
  <c r="K53" i="6"/>
  <c r="I54" i="7" s="1"/>
  <c r="K87" i="6"/>
  <c r="K33" i="6"/>
  <c r="K78" i="6"/>
  <c r="K19" i="6"/>
  <c r="K75" i="6"/>
  <c r="K52" i="6"/>
  <c r="K18" i="6"/>
  <c r="I19" i="7" s="1"/>
  <c r="L23" i="6"/>
  <c r="H67" i="6"/>
  <c r="H80" i="6"/>
  <c r="H71" i="6"/>
  <c r="H53" i="6"/>
  <c r="K36" i="6"/>
  <c r="K70" i="6"/>
  <c r="L87" i="6"/>
  <c r="H36" i="6"/>
  <c r="F37" i="7" s="1"/>
  <c r="P42" i="32" s="1"/>
  <c r="H48" i="6"/>
  <c r="L26" i="6"/>
  <c r="L27" i="6"/>
  <c r="L20" i="6"/>
  <c r="L49" i="6"/>
  <c r="L16" i="6"/>
  <c r="L50" i="6"/>
  <c r="L90" i="6"/>
  <c r="K34" i="6"/>
  <c r="K45" i="6"/>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H17" i="7" s="1"/>
  <c r="P22" i="33" s="1"/>
  <c r="J47" i="6"/>
  <c r="H48" i="7" s="1"/>
  <c r="J68" i="6"/>
  <c r="J14" i="6"/>
  <c r="J87" i="6"/>
  <c r="J93" i="6"/>
  <c r="J39" i="6"/>
  <c r="J70" i="6"/>
  <c r="J51" i="6"/>
  <c r="J35" i="6"/>
  <c r="J13" i="6"/>
  <c r="J45" i="6"/>
  <c r="J77" i="6"/>
  <c r="H46" i="6"/>
  <c r="H52" i="6"/>
  <c r="H20" i="6"/>
  <c r="H84" i="6"/>
  <c r="J65" i="6"/>
  <c r="H27" i="6"/>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H41" i="6"/>
  <c r="H55" i="6"/>
  <c r="F66" i="6"/>
  <c r="F64" i="6"/>
  <c r="F81" i="6"/>
  <c r="F45" i="6"/>
  <c r="F70" i="6"/>
  <c r="D71" i="7" s="1"/>
  <c r="P76" i="31" s="1"/>
  <c r="F56" i="6"/>
  <c r="D57" i="7" s="1"/>
  <c r="P62" i="31" s="1"/>
  <c r="F74" i="6"/>
  <c r="F88" i="6"/>
  <c r="D89" i="7" s="1"/>
  <c r="C94" i="35" s="1"/>
  <c r="F47" i="6"/>
  <c r="D48" i="7" s="1"/>
  <c r="C53" i="35" s="1"/>
  <c r="F14" i="6"/>
  <c r="F71" i="6"/>
  <c r="F44" i="6"/>
  <c r="F16" i="6"/>
  <c r="F65" i="6"/>
  <c r="F42" i="6"/>
  <c r="F85" i="6"/>
  <c r="F52" i="6"/>
  <c r="F17" i="6"/>
  <c r="F80" i="6"/>
  <c r="F36" i="6"/>
  <c r="F40" i="6"/>
  <c r="F25" i="6"/>
  <c r="F76" i="6"/>
  <c r="E19" i="6"/>
  <c r="E56" i="6"/>
  <c r="C57" i="7" s="1"/>
  <c r="E24" i="6"/>
  <c r="E40" i="6"/>
  <c r="E49" i="6"/>
  <c r="E32" i="6"/>
  <c r="C33" i="7" s="1"/>
  <c r="E31" i="6"/>
  <c r="E71" i="6"/>
  <c r="E92" i="6"/>
  <c r="H69" i="6"/>
  <c r="J89" i="6"/>
  <c r="J48" i="6"/>
  <c r="J23" i="6"/>
  <c r="J81" i="6"/>
  <c r="J69" i="6"/>
  <c r="J36" i="6"/>
  <c r="O81" i="7"/>
  <c r="C86" i="37" s="1"/>
  <c r="O56" i="7"/>
  <c r="C61" i="37" s="1"/>
  <c r="I33" i="7"/>
  <c r="L89" i="7"/>
  <c r="L45" i="7"/>
  <c r="I83" i="7"/>
  <c r="O43" i="7"/>
  <c r="P48" i="37" s="1"/>
  <c r="F70" i="28"/>
  <c r="F47" i="28"/>
  <c r="F49" i="28"/>
  <c r="F21" i="28"/>
  <c r="F58" i="28"/>
  <c r="F64" i="28"/>
  <c r="F38" i="28"/>
  <c r="F92" i="28"/>
  <c r="F81" i="28"/>
  <c r="F79" i="28"/>
  <c r="F66" i="28"/>
  <c r="F19" i="28"/>
  <c r="F40" i="28"/>
  <c r="F62" i="28"/>
  <c r="F14" i="28"/>
  <c r="F45" i="28"/>
  <c r="F73" i="28"/>
  <c r="F24" i="28"/>
  <c r="F16" i="28"/>
  <c r="W13" i="18"/>
  <c r="K7" i="18"/>
  <c r="W7" i="18"/>
  <c r="F60" i="28"/>
  <c r="K7" i="31"/>
  <c r="W7" i="31"/>
  <c r="K13" i="31"/>
  <c r="W13" i="31"/>
  <c r="K7" i="32"/>
  <c r="W7" i="32"/>
  <c r="K13" i="32"/>
  <c r="W13" i="32"/>
  <c r="K7" i="33"/>
  <c r="K13" i="33"/>
  <c r="E81" i="7"/>
  <c r="P86" i="35" s="1"/>
  <c r="E74" i="7"/>
  <c r="P79" i="35" s="1"/>
  <c r="E46" i="7"/>
  <c r="P51" i="35" s="1"/>
  <c r="E35" i="7"/>
  <c r="P40" i="35" s="1"/>
  <c r="E28" i="7"/>
  <c r="P33" i="35" s="1"/>
  <c r="O46" i="4"/>
  <c r="K7" i="34"/>
  <c r="W7" i="34"/>
  <c r="K13" i="34"/>
  <c r="W13" i="34"/>
  <c r="K7" i="35"/>
  <c r="K13" i="35"/>
  <c r="H73" i="7"/>
  <c r="C78" i="33" s="1"/>
  <c r="D73" i="7"/>
  <c r="C78" i="35" s="1"/>
  <c r="L16" i="7"/>
  <c r="L17" i="7"/>
  <c r="K48" i="7"/>
  <c r="J48" i="7"/>
  <c r="O24" i="7"/>
  <c r="P29" i="37" s="1"/>
  <c r="D24" i="7"/>
  <c r="O52" i="7"/>
  <c r="C57" i="37" s="1"/>
  <c r="G22" i="7"/>
  <c r="P27" i="34" s="1"/>
  <c r="G26" i="7"/>
  <c r="P31" i="34" s="1"/>
  <c r="O26" i="7"/>
  <c r="C31" i="37" s="1"/>
  <c r="D26" i="7"/>
  <c r="C31" i="31" s="1"/>
  <c r="L93" i="7"/>
  <c r="L77" i="7"/>
  <c r="H50" i="7"/>
  <c r="L43" i="7"/>
  <c r="L30" i="7"/>
  <c r="K89" i="7"/>
  <c r="O89" i="7"/>
  <c r="P94" i="37" s="1"/>
  <c r="D79" i="7"/>
  <c r="C84" i="31" s="1"/>
  <c r="O79" i="7"/>
  <c r="C84" i="37" s="1"/>
  <c r="L37" i="7"/>
  <c r="G16" i="7"/>
  <c r="P21" i="34" s="1"/>
  <c r="J16" i="7"/>
  <c r="D16" i="7"/>
  <c r="C21" i="35" s="1"/>
  <c r="J17" i="7"/>
  <c r="I46" i="7"/>
  <c r="O46" i="7"/>
  <c r="C51" i="37" s="1"/>
  <c r="G88" i="7"/>
  <c r="P93" i="34" s="1"/>
  <c r="O21" i="7"/>
  <c r="C26" i="37" s="1"/>
  <c r="F57" i="7"/>
  <c r="C62" i="32" s="1"/>
  <c r="G30" i="7"/>
  <c r="P35" i="34" s="1"/>
  <c r="F35" i="7"/>
  <c r="C40" i="32" s="1"/>
  <c r="H35" i="7"/>
  <c r="P40" i="33" s="1"/>
  <c r="K56" i="7"/>
  <c r="G28" i="7"/>
  <c r="P33" i="34" s="1"/>
  <c r="O28" i="7"/>
  <c r="P33" i="37" s="1"/>
  <c r="F28" i="7"/>
  <c r="F65" i="7"/>
  <c r="P70" i="32" s="1"/>
  <c r="K75" i="7"/>
  <c r="G33" i="7"/>
  <c r="P38" i="34" s="1"/>
  <c r="O74" i="7"/>
  <c r="O45" i="7"/>
  <c r="G92" i="7"/>
  <c r="P97" i="34" s="1"/>
  <c r="J92" i="7"/>
  <c r="K92" i="7"/>
  <c r="C92" i="7"/>
  <c r="P97" i="18" s="1"/>
  <c r="O92" i="7"/>
  <c r="P97" i="37" s="1"/>
  <c r="L49" i="7"/>
  <c r="J81" i="7"/>
  <c r="F81" i="7"/>
  <c r="D81" i="7"/>
  <c r="C86" i="31" s="1"/>
  <c r="H81" i="7"/>
  <c r="G54" i="7"/>
  <c r="P59" i="34" s="1"/>
  <c r="C54" i="7"/>
  <c r="W13" i="35"/>
  <c r="W7" i="36"/>
  <c r="W13" i="36"/>
  <c r="W7" i="37"/>
  <c r="W13" i="37"/>
  <c r="K7" i="36"/>
  <c r="K13" i="36"/>
  <c r="C42" i="32"/>
  <c r="B19" i="37"/>
  <c r="C94" i="37"/>
  <c r="P61" i="37"/>
  <c r="P22" i="40"/>
  <c r="C22" i="40"/>
  <c r="P24" i="40"/>
  <c r="C24" i="40"/>
  <c r="P27" i="40"/>
  <c r="C27" i="40"/>
  <c r="P29" i="40"/>
  <c r="C29" i="40"/>
  <c r="P31" i="40"/>
  <c r="C31" i="40"/>
  <c r="P33" i="40"/>
  <c r="C33" i="40"/>
  <c r="P35" i="40"/>
  <c r="C35" i="40"/>
  <c r="P37" i="40"/>
  <c r="C37" i="40"/>
  <c r="P41" i="40"/>
  <c r="C41" i="40"/>
  <c r="P43" i="40"/>
  <c r="C43" i="40"/>
  <c r="P45" i="40"/>
  <c r="C45" i="40"/>
  <c r="P47" i="40"/>
  <c r="C47" i="40"/>
  <c r="P49" i="40"/>
  <c r="C49" i="40"/>
  <c r="P51" i="40"/>
  <c r="C51" i="40"/>
  <c r="P53" i="40"/>
  <c r="C53" i="40"/>
  <c r="P57" i="40"/>
  <c r="C57" i="40"/>
  <c r="P60" i="40"/>
  <c r="C60" i="40"/>
  <c r="P64" i="40"/>
  <c r="C64" i="40"/>
  <c r="P68" i="40"/>
  <c r="C68" i="40"/>
  <c r="P72" i="40"/>
  <c r="C72" i="40"/>
  <c r="P76" i="40"/>
  <c r="C76" i="40"/>
  <c r="P78" i="40"/>
  <c r="C78" i="40"/>
  <c r="P80" i="40"/>
  <c r="C80" i="40"/>
  <c r="P82" i="40"/>
  <c r="C82" i="40"/>
  <c r="P84" i="40"/>
  <c r="C84" i="40"/>
  <c r="P86" i="40"/>
  <c r="C86" i="40"/>
  <c r="P88" i="40"/>
  <c r="C88" i="40"/>
  <c r="P93" i="40"/>
  <c r="C93" i="40"/>
  <c r="P95" i="40"/>
  <c r="C95" i="40"/>
  <c r="P97" i="40"/>
  <c r="C97" i="40"/>
  <c r="P99" i="40"/>
  <c r="C99" i="40"/>
  <c r="P57" i="37"/>
  <c r="P19" i="40"/>
  <c r="C19" i="40"/>
  <c r="P21" i="40"/>
  <c r="C21" i="40"/>
  <c r="P25" i="40"/>
  <c r="C25" i="40"/>
  <c r="P28" i="40"/>
  <c r="C28" i="40"/>
  <c r="P30" i="40"/>
  <c r="C30" i="40"/>
  <c r="P32" i="40"/>
  <c r="C32" i="40"/>
  <c r="P34" i="40"/>
  <c r="C34" i="40"/>
  <c r="P36" i="40"/>
  <c r="C36" i="40"/>
  <c r="P38" i="40"/>
  <c r="C38" i="40"/>
  <c r="P40" i="40"/>
  <c r="C40" i="40"/>
  <c r="P44" i="40"/>
  <c r="C44" i="40"/>
  <c r="P46" i="40"/>
  <c r="C46" i="40"/>
  <c r="P48" i="40"/>
  <c r="C48" i="40"/>
  <c r="P50" i="40"/>
  <c r="C50" i="40"/>
  <c r="P52" i="40"/>
  <c r="C52" i="40"/>
  <c r="P54" i="40"/>
  <c r="C54" i="40"/>
  <c r="P56" i="40"/>
  <c r="C56" i="40"/>
  <c r="P59" i="40"/>
  <c r="C59" i="40"/>
  <c r="P61" i="40"/>
  <c r="C61" i="40"/>
  <c r="P63" i="40"/>
  <c r="C63" i="40"/>
  <c r="P65" i="40"/>
  <c r="C65" i="40"/>
  <c r="P67" i="40"/>
  <c r="C67" i="40"/>
  <c r="P69" i="40"/>
  <c r="C69" i="40"/>
  <c r="C71" i="40"/>
  <c r="P73" i="40"/>
  <c r="C73" i="40"/>
  <c r="P75" i="40"/>
  <c r="C75" i="40"/>
  <c r="P77" i="40"/>
  <c r="C77" i="40"/>
  <c r="P79" i="40"/>
  <c r="C79" i="40"/>
  <c r="P81" i="40"/>
  <c r="C81" i="40"/>
  <c r="P83" i="40"/>
  <c r="C83" i="40"/>
  <c r="P85" i="40"/>
  <c r="C85" i="40"/>
  <c r="C87" i="40"/>
  <c r="P89" i="40"/>
  <c r="C89" i="40"/>
  <c r="P91" i="40"/>
  <c r="C91" i="40"/>
  <c r="P92" i="40"/>
  <c r="C92" i="40"/>
  <c r="P94" i="40"/>
  <c r="C94" i="40"/>
  <c r="P96" i="40"/>
  <c r="C96" i="40"/>
  <c r="P98" i="40"/>
  <c r="C98" i="40"/>
  <c r="W6" i="37"/>
  <c r="D10" i="39"/>
  <c r="F12" i="39"/>
  <c r="R16" i="4"/>
  <c r="O17" i="4"/>
  <c r="K6" i="32" s="1"/>
  <c r="W8" i="34"/>
  <c r="O19" i="32"/>
  <c r="B19" i="31"/>
  <c r="O19" i="40"/>
  <c r="W6" i="36"/>
  <c r="W8" i="35"/>
  <c r="R15" i="4"/>
  <c r="F10" i="39" s="1"/>
  <c r="K8" i="33"/>
  <c r="K8" i="37"/>
  <c r="K12" i="37" s="1"/>
  <c r="W8" i="37"/>
  <c r="W10" i="35"/>
  <c r="K12" i="34"/>
  <c r="K9" i="34"/>
  <c r="K12" i="35"/>
  <c r="K9" i="37"/>
  <c r="K10" i="37"/>
  <c r="W10" i="37"/>
  <c r="W12" i="37"/>
  <c r="W9" i="37"/>
  <c r="P51" i="37" l="1"/>
  <c r="C97" i="37"/>
  <c r="P79" i="37"/>
  <c r="C79" i="37"/>
  <c r="W6" i="18"/>
  <c r="B19" i="36"/>
  <c r="B19" i="33"/>
  <c r="C40" i="33"/>
  <c r="O19" i="33"/>
  <c r="B19" i="35"/>
  <c r="F36" i="28"/>
  <c r="F55" i="28"/>
  <c r="F15" i="28"/>
  <c r="F29" i="28"/>
  <c r="F41" i="28"/>
  <c r="F31" i="28"/>
  <c r="F65" i="28"/>
  <c r="F22" i="28"/>
  <c r="F27" i="28"/>
  <c r="B19" i="32"/>
  <c r="AH24" i="5"/>
  <c r="G56" i="7"/>
  <c r="P61" i="34" s="1"/>
  <c r="I56" i="7"/>
  <c r="K73" i="7"/>
  <c r="O73" i="7"/>
  <c r="E79" i="7"/>
  <c r="P84" i="35" s="1"/>
  <c r="L79" i="7"/>
  <c r="K65" i="7"/>
  <c r="O65" i="7"/>
  <c r="P70" i="37" s="1"/>
  <c r="I75" i="7"/>
  <c r="H75" i="7"/>
  <c r="C75" i="7"/>
  <c r="C80" i="18" s="1"/>
  <c r="L33" i="7"/>
  <c r="F33" i="7"/>
  <c r="C38" i="34" s="1"/>
  <c r="H74" i="7"/>
  <c r="P79" i="33" s="1"/>
  <c r="G74" i="7"/>
  <c r="P79" i="34" s="1"/>
  <c r="L74" i="7"/>
  <c r="F48" i="7"/>
  <c r="O48" i="7"/>
  <c r="C53" i="37" s="1"/>
  <c r="G48" i="7"/>
  <c r="P53" i="34" s="1"/>
  <c r="G62" i="7"/>
  <c r="P67" i="34" s="1"/>
  <c r="E62" i="7"/>
  <c r="P67" i="35" s="1"/>
  <c r="O62" i="7"/>
  <c r="C67" i="37" s="1"/>
  <c r="I57" i="7"/>
  <c r="G57" i="7"/>
  <c r="P62" i="34" s="1"/>
  <c r="L57" i="7"/>
  <c r="H30" i="7"/>
  <c r="P35" i="33" s="1"/>
  <c r="F30" i="7"/>
  <c r="P35" i="32" s="1"/>
  <c r="E30" i="7"/>
  <c r="P35" i="35" s="1"/>
  <c r="C30" i="7"/>
  <c r="P35" i="18" s="1"/>
  <c r="I30" i="7"/>
  <c r="O54" i="7"/>
  <c r="C59" i="37" s="1"/>
  <c r="E54" i="7"/>
  <c r="P59" i="35" s="1"/>
  <c r="C97" i="35"/>
  <c r="P97" i="31"/>
  <c r="P20" i="40"/>
  <c r="C20" i="40"/>
  <c r="P62" i="40"/>
  <c r="C62" i="40"/>
  <c r="S29" i="8"/>
  <c r="S45" i="8"/>
  <c r="S61" i="8"/>
  <c r="N67" i="8"/>
  <c r="S77" i="8"/>
  <c r="S93" i="8"/>
  <c r="S35" i="8"/>
  <c r="C42" i="40"/>
  <c r="C90" i="40"/>
  <c r="C29" i="7"/>
  <c r="C34" i="18" s="1"/>
  <c r="F29" i="7"/>
  <c r="P34" i="32" s="1"/>
  <c r="I29" i="7"/>
  <c r="G72" i="7"/>
  <c r="P77" i="34" s="1"/>
  <c r="L72" i="7"/>
  <c r="F83" i="7"/>
  <c r="C88" i="34" s="1"/>
  <c r="C83" i="7"/>
  <c r="E78" i="7"/>
  <c r="P83" i="35" s="1"/>
  <c r="D78" i="7"/>
  <c r="C83" i="35" s="1"/>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G82" i="7"/>
  <c r="P87" i="34" s="1"/>
  <c r="K82" i="7"/>
  <c r="H58" i="7"/>
  <c r="P63" i="33" s="1"/>
  <c r="P66" i="40"/>
  <c r="C66" i="40"/>
  <c r="B15" i="7"/>
  <c r="O19" i="35"/>
  <c r="O19" i="37"/>
  <c r="O19" i="31"/>
  <c r="O19" i="34"/>
  <c r="C58" i="40"/>
  <c r="C26" i="40"/>
  <c r="C23" i="40"/>
  <c r="C74" i="40"/>
  <c r="C55" i="40"/>
  <c r="C39" i="40"/>
  <c r="AH15" i="5"/>
  <c r="I47" i="7"/>
  <c r="K47" i="7"/>
  <c r="B19" i="40"/>
  <c r="B19" i="18"/>
  <c r="B19" i="34"/>
  <c r="F59" i="28"/>
  <c r="F83" i="28"/>
  <c r="F26" i="28"/>
  <c r="F52" i="28"/>
  <c r="F76" i="28"/>
  <c r="F87" i="28"/>
  <c r="F84" i="28"/>
  <c r="F43" i="28"/>
  <c r="F71" i="28"/>
  <c r="C47" i="7"/>
  <c r="P52" i="18" s="1"/>
  <c r="O19" i="18"/>
  <c r="AH16" i="5"/>
  <c r="AH19" i="5"/>
  <c r="R81" i="8"/>
  <c r="E82" i="33" s="1"/>
  <c r="L65" i="7"/>
  <c r="E59" i="7"/>
  <c r="P64" i="35" s="1"/>
  <c r="L56" i="7"/>
  <c r="L54" i="7"/>
  <c r="L48" i="7"/>
  <c r="K33" i="7"/>
  <c r="P70" i="40"/>
  <c r="C70" i="40"/>
  <c r="S21" i="8"/>
  <c r="S37" i="8"/>
  <c r="S53" i="8"/>
  <c r="S69" i="8"/>
  <c r="S85" i="8"/>
  <c r="E24" i="7"/>
  <c r="P29" i="35" s="1"/>
  <c r="E48" i="7"/>
  <c r="P53" i="35" s="1"/>
  <c r="S18" i="8"/>
  <c r="S26" i="8"/>
  <c r="S34" i="8"/>
  <c r="S42" i="8"/>
  <c r="S50" i="8"/>
  <c r="S58" i="8"/>
  <c r="S66" i="8"/>
  <c r="S74" i="8"/>
  <c r="S82" i="8"/>
  <c r="I25" i="7"/>
  <c r="L24" i="7"/>
  <c r="L86" i="7"/>
  <c r="I27" i="7"/>
  <c r="F40" i="7"/>
  <c r="C45" i="32" s="1"/>
  <c r="I50" i="7"/>
  <c r="F80" i="7"/>
  <c r="C85" i="34" s="1"/>
  <c r="G81" i="7"/>
  <c r="P86" i="34" s="1"/>
  <c r="S24" i="8"/>
  <c r="S32" i="8"/>
  <c r="S40" i="8"/>
  <c r="S48" i="8"/>
  <c r="S56" i="8"/>
  <c r="S64" i="8"/>
  <c r="S72" i="8"/>
  <c r="S80" i="8"/>
  <c r="S92" i="8"/>
  <c r="H56" i="7"/>
  <c r="P61" i="33" s="1"/>
  <c r="C74" i="7"/>
  <c r="P79" i="18" s="1"/>
  <c r="C62" i="7"/>
  <c r="P67" i="18" s="1"/>
  <c r="C43" i="7"/>
  <c r="C48" i="18" s="1"/>
  <c r="J65" i="7"/>
  <c r="C46" i="7"/>
  <c r="C51" i="18" s="1"/>
  <c r="F36" i="7"/>
  <c r="P41" i="32" s="1"/>
  <c r="H96" i="8"/>
  <c r="H20" i="8"/>
  <c r="L81" i="7"/>
  <c r="S90" i="8"/>
  <c r="S98" i="8"/>
  <c r="G89" i="7"/>
  <c r="P94" i="34" s="1"/>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67" i="37"/>
  <c r="C86" i="33"/>
  <c r="P86" i="33"/>
  <c r="H85" i="7"/>
  <c r="P90" i="33" s="1"/>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H25" i="39" s="1"/>
  <c r="R82" i="8"/>
  <c r="Q83" i="34" s="1"/>
  <c r="E96" i="31"/>
  <c r="E32" i="36"/>
  <c r="J31" i="39" s="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D75" i="39"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31"/>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E76" i="31"/>
  <c r="E58" i="31"/>
  <c r="E35" i="18"/>
  <c r="E35" i="34"/>
  <c r="E35" i="33"/>
  <c r="E35" i="32"/>
  <c r="R85" i="8"/>
  <c r="H85" i="8"/>
  <c r="E35" i="40"/>
  <c r="F35" i="40" s="1"/>
  <c r="Q96" i="40"/>
  <c r="Q96" i="34"/>
  <c r="E96" i="36"/>
  <c r="J95" i="39" s="1"/>
  <c r="R89" i="8"/>
  <c r="R27" i="8"/>
  <c r="R53" i="8"/>
  <c r="H53" i="8"/>
  <c r="E83" i="32"/>
  <c r="Q96" i="33"/>
  <c r="Q96" i="37"/>
  <c r="E96" i="34"/>
  <c r="E68" i="36"/>
  <c r="J67" i="39" s="1"/>
  <c r="Q82" i="40"/>
  <c r="E82" i="35"/>
  <c r="E82" i="31"/>
  <c r="Q82" i="35"/>
  <c r="Q82" i="31"/>
  <c r="E34" i="40"/>
  <c r="F34" i="40" s="1"/>
  <c r="Q92" i="34"/>
  <c r="H87" i="8"/>
  <c r="I88" i="7"/>
  <c r="P79" i="32"/>
  <c r="C79" i="34"/>
  <c r="C79" i="32"/>
  <c r="C83" i="34"/>
  <c r="P83" i="32"/>
  <c r="C67" i="32"/>
  <c r="P67" i="32"/>
  <c r="C67" i="34"/>
  <c r="C62" i="34"/>
  <c r="P62" i="32"/>
  <c r="C42" i="34"/>
  <c r="P31" i="32"/>
  <c r="F46" i="7"/>
  <c r="E16" i="7"/>
  <c r="P21" i="35" s="1"/>
  <c r="E56" i="7"/>
  <c r="P61" i="35" s="1"/>
  <c r="O62" i="6"/>
  <c r="M63" i="7" s="1"/>
  <c r="O74" i="6"/>
  <c r="M75" i="7" s="1"/>
  <c r="O23" i="6"/>
  <c r="M24" i="7" s="1"/>
  <c r="J26" i="7"/>
  <c r="P82" i="33"/>
  <c r="C82" i="33"/>
  <c r="F82" i="33" s="1"/>
  <c r="P88" i="33"/>
  <c r="P51" i="33"/>
  <c r="O89" i="6"/>
  <c r="M90" i="7" s="1"/>
  <c r="O76" i="6"/>
  <c r="M77" i="7" s="1"/>
  <c r="P78" i="33"/>
  <c r="O82" i="6"/>
  <c r="M83" i="7" s="1"/>
  <c r="O30" i="6"/>
  <c r="M31" i="7" s="1"/>
  <c r="O24" i="6"/>
  <c r="M25" i="7" s="1"/>
  <c r="H15" i="7"/>
  <c r="C20" i="33" s="1"/>
  <c r="C79" i="33"/>
  <c r="O83" i="6"/>
  <c r="P83" i="6" s="1"/>
  <c r="O42" i="6"/>
  <c r="M43" i="7" s="1"/>
  <c r="O72" i="6"/>
  <c r="M73" i="7" s="1"/>
  <c r="D49" i="7"/>
  <c r="P54" i="31" s="1"/>
  <c r="P21" i="6"/>
  <c r="D81" i="39"/>
  <c r="C44" i="18"/>
  <c r="P52" i="31"/>
  <c r="C52" i="35"/>
  <c r="C52" i="31"/>
  <c r="C88" i="31"/>
  <c r="P88" i="31"/>
  <c r="C88" i="35"/>
  <c r="D65" i="7"/>
  <c r="C70" i="31" s="1"/>
  <c r="C42" i="31"/>
  <c r="P42" i="31"/>
  <c r="O88" i="6"/>
  <c r="M89" i="7" s="1"/>
  <c r="O50" i="6"/>
  <c r="P50" i="6" s="1"/>
  <c r="O20" i="6"/>
  <c r="M21" i="7" s="1"/>
  <c r="O14" i="6"/>
  <c r="M15" i="7" s="1"/>
  <c r="C97" i="31"/>
  <c r="O64" i="6"/>
  <c r="M65" i="7" s="1"/>
  <c r="O31" i="6"/>
  <c r="M32" i="7" s="1"/>
  <c r="O49" i="6"/>
  <c r="M50" i="7" s="1"/>
  <c r="P38" i="18"/>
  <c r="C62" i="18"/>
  <c r="P62" i="18"/>
  <c r="P78" i="18"/>
  <c r="C78" i="18"/>
  <c r="C67" i="18"/>
  <c r="P23" i="6"/>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72" i="6"/>
  <c r="P26" i="37"/>
  <c r="P21"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G94" i="7"/>
  <c r="P99" i="34" s="1"/>
  <c r="O90" i="7"/>
  <c r="C31" i="7"/>
  <c r="G25" i="7"/>
  <c r="P30" i="34" s="1"/>
  <c r="C66" i="7"/>
  <c r="J61" i="7"/>
  <c r="O38" i="7"/>
  <c r="C38" i="7"/>
  <c r="O36" i="7"/>
  <c r="P41" i="37" s="1"/>
  <c r="P83" i="18"/>
  <c r="C83" i="18"/>
  <c r="C53" i="33"/>
  <c r="P53" i="33"/>
  <c r="I64" i="7"/>
  <c r="J67" i="7"/>
  <c r="I14" i="7"/>
  <c r="P59" i="37"/>
  <c r="F41" i="7"/>
  <c r="J41" i="7"/>
  <c r="P31" i="37"/>
  <c r="K18" i="7"/>
  <c r="I86" i="7"/>
  <c r="L90" i="7"/>
  <c r="C81" i="33"/>
  <c r="J31" i="7"/>
  <c r="C77" i="33"/>
  <c r="P77" i="33"/>
  <c r="H55" i="7"/>
  <c r="C60" i="33" s="1"/>
  <c r="G70" i="7"/>
  <c r="P75" i="34" s="1"/>
  <c r="G53" i="7"/>
  <c r="P58" i="34" s="1"/>
  <c r="C70" i="37"/>
  <c r="K20" i="7"/>
  <c r="J44" i="7"/>
  <c r="C40" i="34"/>
  <c r="P40" i="32"/>
  <c r="O61" i="7"/>
  <c r="L19" i="7"/>
  <c r="D41" i="7"/>
  <c r="O91" i="7"/>
  <c r="F22" i="7"/>
  <c r="P53" i="18"/>
  <c r="C53" i="18"/>
  <c r="L67" i="7"/>
  <c r="E66" i="7"/>
  <c r="P71" i="35" s="1"/>
  <c r="O15" i="7"/>
  <c r="P20" i="37" s="1"/>
  <c r="M22" i="7"/>
  <c r="F64" i="7"/>
  <c r="O80" i="7"/>
  <c r="C59" i="33"/>
  <c r="C26" i="33"/>
  <c r="P26" i="33"/>
  <c r="P50" i="33"/>
  <c r="C50" i="33"/>
  <c r="C80" i="34"/>
  <c r="C78" i="31"/>
  <c r="C86" i="34"/>
  <c r="P86" i="32"/>
  <c r="C86" i="32"/>
  <c r="C62" i="35"/>
  <c r="C62" i="31"/>
  <c r="P42" i="18"/>
  <c r="P26" i="18"/>
  <c r="C26" i="18"/>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C31" i="33"/>
  <c r="C31" i="34"/>
  <c r="P29" i="31"/>
  <c r="C34" i="31"/>
  <c r="C33" i="37"/>
  <c r="C39" i="32"/>
  <c r="C29" i="37"/>
  <c r="C33" i="32"/>
  <c r="C29" i="34"/>
  <c r="B20" i="32"/>
  <c r="O20" i="35"/>
  <c r="B20" i="40"/>
  <c r="O20" i="37"/>
  <c r="B20" i="36"/>
  <c r="O20" i="18"/>
  <c r="B20" i="37"/>
  <c r="B20" i="34"/>
  <c r="B20" i="31"/>
  <c r="O20" i="40"/>
  <c r="O20" i="32"/>
  <c r="O20" i="36"/>
  <c r="B20" i="35"/>
  <c r="O20" i="34"/>
  <c r="B20" i="18"/>
  <c r="P80" i="32"/>
  <c r="P84" i="31"/>
  <c r="C84" i="35"/>
  <c r="C21" i="31"/>
  <c r="P21" i="31"/>
  <c r="C55" i="33"/>
  <c r="P55" i="33"/>
  <c r="C80" i="33"/>
  <c r="P80" i="33"/>
  <c r="C41" i="34"/>
  <c r="C41" i="32"/>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P53" i="31"/>
  <c r="C53" i="31"/>
  <c r="C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C63" i="37" s="1"/>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H81" i="39"/>
  <c r="K10" i="31"/>
  <c r="K12" i="31"/>
  <c r="K9" i="31"/>
  <c r="W12" i="33"/>
  <c r="W10" i="33"/>
  <c r="D12" i="39"/>
  <c r="W6" i="34"/>
  <c r="K98" i="39"/>
  <c r="K66" i="39"/>
  <c r="K34" i="39"/>
  <c r="K75" i="39"/>
  <c r="K43" i="39"/>
  <c r="K9" i="18"/>
  <c r="C31" i="35"/>
  <c r="C29" i="32"/>
  <c r="P93" i="32"/>
  <c r="P33" i="31"/>
  <c r="P86" i="31"/>
  <c r="C83" i="32"/>
  <c r="P76" i="33"/>
  <c r="P44" i="33"/>
  <c r="P88" i="18"/>
  <c r="C86" i="35"/>
  <c r="C97" i="18"/>
  <c r="C64" i="33"/>
  <c r="C38" i="18"/>
  <c r="C33" i="31"/>
  <c r="C93" i="34"/>
  <c r="C68" i="18"/>
  <c r="P82" i="18"/>
  <c r="P31" i="31"/>
  <c r="P90" i="32"/>
  <c r="C94" i="31"/>
  <c r="P78" i="31"/>
  <c r="C82" i="35"/>
  <c r="P94" i="31"/>
  <c r="C90" i="34"/>
  <c r="P41" i="31"/>
  <c r="C41" i="35"/>
  <c r="C63" i="32"/>
  <c r="P22" i="37" l="1"/>
  <c r="P28" i="18"/>
  <c r="H34" i="39"/>
  <c r="C45" i="34"/>
  <c r="P63" i="32"/>
  <c r="P54" i="18"/>
  <c r="C52" i="18"/>
  <c r="P54" i="37"/>
  <c r="C61" i="33"/>
  <c r="F61" i="33" s="1"/>
  <c r="H61" i="33" s="1"/>
  <c r="P41" i="33"/>
  <c r="P34" i="18"/>
  <c r="C68" i="37"/>
  <c r="P48" i="18"/>
  <c r="P53" i="37"/>
  <c r="C35" i="33"/>
  <c r="F35" i="33" s="1"/>
  <c r="H35" i="33" s="1"/>
  <c r="C50" i="32"/>
  <c r="C50" i="34"/>
  <c r="C89" i="33"/>
  <c r="C39" i="35"/>
  <c r="P47" i="33"/>
  <c r="C45" i="33"/>
  <c r="P52" i="32"/>
  <c r="F88" i="31"/>
  <c r="H88" i="31" s="1"/>
  <c r="P68" i="32"/>
  <c r="C58" i="33"/>
  <c r="P80" i="18"/>
  <c r="H69" i="39"/>
  <c r="P45" i="32"/>
  <c r="P77" i="37"/>
  <c r="C28" i="32"/>
  <c r="P28" i="32"/>
  <c r="P32" i="37"/>
  <c r="C35" i="31"/>
  <c r="F35" i="31" s="1"/>
  <c r="G35" i="31" s="1"/>
  <c r="C45" i="31"/>
  <c r="C38" i="35"/>
  <c r="P38" i="31"/>
  <c r="C48" i="33"/>
  <c r="P34" i="33"/>
  <c r="P45" i="31"/>
  <c r="C35" i="35"/>
  <c r="F35" i="35" s="1"/>
  <c r="P38" i="32"/>
  <c r="C34" i="34"/>
  <c r="F34" i="34" s="1"/>
  <c r="H34" i="34" s="1"/>
  <c r="C32" i="35"/>
  <c r="C34" i="32"/>
  <c r="C35" i="18"/>
  <c r="C32" i="31"/>
  <c r="P21" i="18"/>
  <c r="C19" i="32"/>
  <c r="Q76" i="18"/>
  <c r="R76" i="18" s="1"/>
  <c r="Q20" i="40"/>
  <c r="Q76" i="33"/>
  <c r="E52" i="33"/>
  <c r="F52" i="33" s="1"/>
  <c r="E52" i="34"/>
  <c r="Q52" i="37"/>
  <c r="C53" i="34"/>
  <c r="C53" i="32"/>
  <c r="P53" i="32"/>
  <c r="P85" i="32"/>
  <c r="P77" i="18"/>
  <c r="K19" i="39"/>
  <c r="K51" i="39"/>
  <c r="K83" i="39"/>
  <c r="K42" i="39"/>
  <c r="K74" i="39"/>
  <c r="E99" i="36"/>
  <c r="J98" i="39" s="1"/>
  <c r="C79" i="18"/>
  <c r="C38" i="32"/>
  <c r="R82" i="31"/>
  <c r="Q58" i="35"/>
  <c r="E83" i="40"/>
  <c r="F83" i="40" s="1"/>
  <c r="Q34" i="40"/>
  <c r="B20" i="33"/>
  <c r="O20" i="31"/>
  <c r="O20" i="33"/>
  <c r="B16" i="7"/>
  <c r="P78" i="37"/>
  <c r="C78" i="37"/>
  <c r="C88" i="32"/>
  <c r="K27" i="39"/>
  <c r="K59" i="39"/>
  <c r="K91" i="39"/>
  <c r="K50" i="39"/>
  <c r="K82" i="39"/>
  <c r="C31" i="18"/>
  <c r="Q83" i="33"/>
  <c r="C85" i="32"/>
  <c r="P55" i="18"/>
  <c r="P88" i="32"/>
  <c r="C28" i="33"/>
  <c r="P76" i="6"/>
  <c r="Q58" i="37"/>
  <c r="C35" i="32"/>
  <c r="F35" i="32" s="1"/>
  <c r="C35" i="34"/>
  <c r="F35" i="34" s="1"/>
  <c r="C30" i="32"/>
  <c r="P51" i="18"/>
  <c r="C48" i="35"/>
  <c r="K35" i="39"/>
  <c r="K67" i="39"/>
  <c r="K26" i="39"/>
  <c r="K58" i="39"/>
  <c r="P24" i="6"/>
  <c r="E83" i="37"/>
  <c r="C82" i="39" s="1"/>
  <c r="P22" i="31"/>
  <c r="M94" i="7"/>
  <c r="E83" i="31"/>
  <c r="D34" i="39"/>
  <c r="P73" i="33"/>
  <c r="C73" i="33"/>
  <c r="P68" i="31"/>
  <c r="F82" i="34"/>
  <c r="H82" i="34" s="1"/>
  <c r="C52" i="34"/>
  <c r="C52" i="37"/>
  <c r="P52" i="37"/>
  <c r="R52" i="37" s="1"/>
  <c r="C69" i="18"/>
  <c r="C68" i="31"/>
  <c r="P44" i="31"/>
  <c r="P96" i="32"/>
  <c r="P34" i="31"/>
  <c r="C61" i="34"/>
  <c r="C43" i="32"/>
  <c r="C61" i="31"/>
  <c r="C92" i="33"/>
  <c r="C56" i="34"/>
  <c r="C90" i="37"/>
  <c r="C56" i="32"/>
  <c r="P52" i="33"/>
  <c r="P42" i="33"/>
  <c r="C68" i="34"/>
  <c r="F68" i="34" s="1"/>
  <c r="F52" i="34"/>
  <c r="H52" i="34" s="1"/>
  <c r="D35" i="39"/>
  <c r="P57" i="31"/>
  <c r="P44" i="37"/>
  <c r="P20" i="33"/>
  <c r="P59" i="31"/>
  <c r="C44" i="35"/>
  <c r="C92" i="34"/>
  <c r="C82" i="32"/>
  <c r="F82" i="32" s="1"/>
  <c r="C39" i="31"/>
  <c r="C29" i="18"/>
  <c r="C37" i="33"/>
  <c r="C77" i="31"/>
  <c r="C55" i="32"/>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Q35" i="18"/>
  <c r="R35" i="18" s="1"/>
  <c r="Q35" i="35"/>
  <c r="R35" i="35" s="1"/>
  <c r="E68" i="31"/>
  <c r="E35" i="35"/>
  <c r="Q96" i="36"/>
  <c r="R96" i="36" s="1"/>
  <c r="Q35" i="31"/>
  <c r="R35" i="31" s="1"/>
  <c r="Q96" i="18"/>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R76" i="40" s="1"/>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R94" i="31" s="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R22" i="37" s="1"/>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E38" i="18"/>
  <c r="D37" i="39" s="1"/>
  <c r="Q38" i="34"/>
  <c r="E38" i="31"/>
  <c r="E38" i="34"/>
  <c r="F38" i="34" s="1"/>
  <c r="G38" i="34" s="1"/>
  <c r="Q38" i="37"/>
  <c r="Q38" i="33"/>
  <c r="Q38" i="31"/>
  <c r="R38" i="31" s="1"/>
  <c r="E38" i="37"/>
  <c r="C37" i="39" s="1"/>
  <c r="E38" i="33"/>
  <c r="E38" i="36"/>
  <c r="J37" i="39" s="1"/>
  <c r="Q38" i="32"/>
  <c r="E38" i="32"/>
  <c r="Q38" i="35"/>
  <c r="R38" i="35" s="1"/>
  <c r="Q38" i="18"/>
  <c r="R38" i="18" s="1"/>
  <c r="S38" i="18" s="1"/>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Q62" i="34"/>
  <c r="R62" i="34" s="1"/>
  <c r="Q62" i="32"/>
  <c r="E88" i="18"/>
  <c r="D87" i="39" s="1"/>
  <c r="Q30" i="18"/>
  <c r="Q88" i="32"/>
  <c r="Q30" i="33"/>
  <c r="R30" i="33" s="1"/>
  <c r="S30" i="33" s="1"/>
  <c r="E94" i="37"/>
  <c r="C93" i="39" s="1"/>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R28" i="18" s="1"/>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F64" i="34" s="1"/>
  <c r="C64" i="32"/>
  <c r="P64" i="32"/>
  <c r="C89" i="34"/>
  <c r="C89" i="32"/>
  <c r="P89" i="32"/>
  <c r="P91" i="31"/>
  <c r="C91" i="35"/>
  <c r="P92" i="37"/>
  <c r="C92" i="37"/>
  <c r="P27" i="37"/>
  <c r="C27" i="37"/>
  <c r="C37" i="34"/>
  <c r="F76" i="36"/>
  <c r="F76" i="18"/>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F31" i="34" s="1"/>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F43" i="32" s="1"/>
  <c r="E43" i="18"/>
  <c r="Q43" i="40"/>
  <c r="R43" i="40" s="1"/>
  <c r="E45" i="18"/>
  <c r="D44" i="39" s="1"/>
  <c r="E45" i="37"/>
  <c r="C44" i="39" s="1"/>
  <c r="Q45" i="36"/>
  <c r="R45" i="36" s="1"/>
  <c r="Q45" i="35"/>
  <c r="R45" i="35" s="1"/>
  <c r="S45" i="35" s="1"/>
  <c r="Q45" i="34"/>
  <c r="R45" i="34" s="1"/>
  <c r="Q45" i="33"/>
  <c r="R45" i="33" s="1"/>
  <c r="S45" i="33" s="1"/>
  <c r="Q45" i="32"/>
  <c r="Q45" i="31"/>
  <c r="Q45" i="18"/>
  <c r="Q45" i="37"/>
  <c r="R45" i="37" s="1"/>
  <c r="T45" i="37" s="1"/>
  <c r="E45" i="34"/>
  <c r="F45" i="34" s="1"/>
  <c r="E45" i="32"/>
  <c r="F45" i="32" s="1"/>
  <c r="E45" i="36"/>
  <c r="J44" i="39" s="1"/>
  <c r="E45" i="35"/>
  <c r="E45" i="33"/>
  <c r="E45" i="31"/>
  <c r="F44" i="39" s="1"/>
  <c r="E45" i="40"/>
  <c r="Q45" i="40"/>
  <c r="R45" i="40" s="1"/>
  <c r="Q47" i="35"/>
  <c r="R47" i="35" s="1"/>
  <c r="T47" i="35" s="1"/>
  <c r="Q47" i="34"/>
  <c r="R47" i="34" s="1"/>
  <c r="Q47" i="33"/>
  <c r="R47" i="33" s="1"/>
  <c r="S47" i="33" s="1"/>
  <c r="Q47" i="32"/>
  <c r="Q47" i="31"/>
  <c r="Q47" i="18"/>
  <c r="Q47" i="37"/>
  <c r="Q47" i="36"/>
  <c r="R47" i="36" s="1"/>
  <c r="E47" i="34"/>
  <c r="E47" i="32"/>
  <c r="F47" i="32" s="1"/>
  <c r="E47" i="18"/>
  <c r="E47" i="36"/>
  <c r="E47" i="35"/>
  <c r="I46" i="39" s="1"/>
  <c r="E47" i="33"/>
  <c r="E47" i="31"/>
  <c r="F46" i="39" s="1"/>
  <c r="E47" i="37"/>
  <c r="C46" i="39" s="1"/>
  <c r="E47" i="40"/>
  <c r="L46" i="39" s="1"/>
  <c r="Q47" i="40"/>
  <c r="R47" i="40" s="1"/>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C79" i="39"/>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R21" i="37" s="1"/>
  <c r="S21" i="37" s="1"/>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F39" i="32" s="1"/>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R42" i="18" s="1"/>
  <c r="E42" i="35"/>
  <c r="F42" i="35" s="1"/>
  <c r="E42" i="33"/>
  <c r="E42" i="31"/>
  <c r="F42" i="31" s="1"/>
  <c r="H42" i="31" s="1"/>
  <c r="E42" i="37"/>
  <c r="E42" i="36"/>
  <c r="E42" i="34"/>
  <c r="F42" i="34" s="1"/>
  <c r="E42" i="32"/>
  <c r="F42" i="32" s="1"/>
  <c r="Q42" i="40"/>
  <c r="R42" i="40" s="1"/>
  <c r="E42" i="40"/>
  <c r="M41" i="39" s="1"/>
  <c r="Q44" i="37"/>
  <c r="R44" i="37" s="1"/>
  <c r="E44" i="18"/>
  <c r="E44" i="37"/>
  <c r="C43" i="39" s="1"/>
  <c r="Q44" i="36"/>
  <c r="R44" i="36" s="1"/>
  <c r="Q44" i="35"/>
  <c r="R44" i="35" s="1"/>
  <c r="T44" i="35" s="1"/>
  <c r="Q44" i="34"/>
  <c r="R44" i="34" s="1"/>
  <c r="Q44" i="33"/>
  <c r="R44" i="33" s="1"/>
  <c r="Q44" i="32"/>
  <c r="Q44" i="31"/>
  <c r="R44" i="31" s="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R48" i="18" s="1"/>
  <c r="Q48" i="37"/>
  <c r="R48" i="37" s="1"/>
  <c r="Q48" i="36"/>
  <c r="R48" i="36" s="1"/>
  <c r="E48" i="34"/>
  <c r="E48" i="32"/>
  <c r="E48" i="18"/>
  <c r="E48" i="36"/>
  <c r="J47" i="39" s="1"/>
  <c r="E48" i="35"/>
  <c r="F48" i="35" s="1"/>
  <c r="E48" i="33"/>
  <c r="E48" i="31"/>
  <c r="E48" i="37"/>
  <c r="Q48" i="40"/>
  <c r="R48" i="40" s="1"/>
  <c r="E48" i="40"/>
  <c r="L47" i="39" s="1"/>
  <c r="Q57" i="37"/>
  <c r="R57" i="37" s="1"/>
  <c r="E57" i="37"/>
  <c r="E57" i="36"/>
  <c r="Q57" i="35"/>
  <c r="R57" i="35" s="1"/>
  <c r="Q57" i="34"/>
  <c r="R57" i="34" s="1"/>
  <c r="Q57" i="33"/>
  <c r="Q57" i="32"/>
  <c r="Q57" i="31"/>
  <c r="R57" i="31" s="1"/>
  <c r="E57" i="35"/>
  <c r="F57" i="35" s="1"/>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34" i="39"/>
  <c r="I60" i="39"/>
  <c r="I36" i="39"/>
  <c r="I19" i="39"/>
  <c r="I95" i="39"/>
  <c r="I31" i="39"/>
  <c r="I81" i="39"/>
  <c r="I21" i="39"/>
  <c r="I18" i="39"/>
  <c r="I55" i="39"/>
  <c r="F35" i="18"/>
  <c r="F24" i="18"/>
  <c r="F82" i="18"/>
  <c r="W8" i="32"/>
  <c r="K8" i="32"/>
  <c r="K10" i="18"/>
  <c r="K12" i="18"/>
  <c r="R40" i="40"/>
  <c r="R60" i="40"/>
  <c r="R84" i="40"/>
  <c r="R34" i="40"/>
  <c r="R38" i="40"/>
  <c r="R92" i="40"/>
  <c r="R61"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76" i="37"/>
  <c r="H76" i="37" s="1"/>
  <c r="F68" i="31"/>
  <c r="G68" i="31" s="1"/>
  <c r="R61" i="35"/>
  <c r="T61" i="35" s="1"/>
  <c r="F36" i="36"/>
  <c r="H36" i="36" s="1"/>
  <c r="F52" i="18"/>
  <c r="R96" i="35"/>
  <c r="R94" i="35"/>
  <c r="R82" i="35"/>
  <c r="F61" i="36"/>
  <c r="F58" i="36"/>
  <c r="F69" i="36"/>
  <c r="F90" i="36"/>
  <c r="F35" i="36"/>
  <c r="F99" i="36"/>
  <c r="F64" i="36"/>
  <c r="F86" i="36"/>
  <c r="F96" i="36"/>
  <c r="F30" i="36"/>
  <c r="F32" i="36"/>
  <c r="F82" i="36"/>
  <c r="W10" i="18"/>
  <c r="W9" i="18"/>
  <c r="W12" i="18"/>
  <c r="F83" i="31"/>
  <c r="G8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R70" i="31"/>
  <c r="F96" i="37"/>
  <c r="H96" i="37" s="1"/>
  <c r="F82" i="31"/>
  <c r="G82" i="31" s="1"/>
  <c r="R78" i="35"/>
  <c r="S78" i="35" s="1"/>
  <c r="R80" i="35"/>
  <c r="S80" i="35" s="1"/>
  <c r="R58" i="35"/>
  <c r="S58" i="35" s="1"/>
  <c r="F82" i="37"/>
  <c r="G82" i="37" s="1"/>
  <c r="F99" i="37"/>
  <c r="H99" i="37" s="1"/>
  <c r="F68" i="37"/>
  <c r="F84" i="31"/>
  <c r="G84" i="31" s="1"/>
  <c r="T69" i="36"/>
  <c r="S69" i="36"/>
  <c r="T64" i="35"/>
  <c r="H82" i="33"/>
  <c r="G82" i="33"/>
  <c r="T62" i="18"/>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G88" i="31"/>
  <c r="T99" i="35"/>
  <c r="R76" i="34"/>
  <c r="R58" i="34"/>
  <c r="R98" i="34"/>
  <c r="R32" i="34"/>
  <c r="R52" i="34"/>
  <c r="R38" i="34"/>
  <c r="R36" i="34"/>
  <c r="R26" i="34"/>
  <c r="R96" i="34"/>
  <c r="R82" i="34"/>
  <c r="R35" i="34"/>
  <c r="R34" i="34"/>
  <c r="R61" i="34"/>
  <c r="R83" i="34"/>
  <c r="R92" i="34"/>
  <c r="T52" i="31"/>
  <c r="S96" i="18"/>
  <c r="S41" i="36"/>
  <c r="G82" i="34" l="1"/>
  <c r="F21" i="34"/>
  <c r="R22" i="31"/>
  <c r="F25" i="34"/>
  <c r="R21" i="18"/>
  <c r="T21" i="18" s="1"/>
  <c r="F19" i="32"/>
  <c r="S68" i="37"/>
  <c r="F73" i="34"/>
  <c r="G73" i="34" s="1"/>
  <c r="S35" i="33"/>
  <c r="R33" i="33"/>
  <c r="R45" i="18"/>
  <c r="T61" i="37"/>
  <c r="R57" i="33"/>
  <c r="T57" i="33" s="1"/>
  <c r="R49" i="33"/>
  <c r="S49" i="33" s="1"/>
  <c r="F50" i="32"/>
  <c r="S64" i="33"/>
  <c r="F48" i="32"/>
  <c r="R51" i="18"/>
  <c r="R41" i="33"/>
  <c r="S41" i="33" s="1"/>
  <c r="R47" i="37"/>
  <c r="S47" i="37" s="1"/>
  <c r="G52" i="34"/>
  <c r="F50" i="34"/>
  <c r="H50" i="34" s="1"/>
  <c r="R55" i="18"/>
  <c r="R54" i="18"/>
  <c r="R32" i="37"/>
  <c r="T32" i="37" s="1"/>
  <c r="R63" i="31"/>
  <c r="R62" i="33"/>
  <c r="T62" i="33" s="1"/>
  <c r="R85" i="37"/>
  <c r="S85" i="37" s="1"/>
  <c r="F28" i="32"/>
  <c r="F48" i="34"/>
  <c r="G48" i="34" s="1"/>
  <c r="F44" i="35"/>
  <c r="H44" i="35" s="1"/>
  <c r="R42" i="33"/>
  <c r="T42" i="33" s="1"/>
  <c r="R45" i="31"/>
  <c r="T45" i="31" s="1"/>
  <c r="F38" i="32"/>
  <c r="F38" i="35"/>
  <c r="G38" i="35" s="1"/>
  <c r="F32" i="35"/>
  <c r="F44" i="32"/>
  <c r="R34" i="31"/>
  <c r="S34" i="31" s="1"/>
  <c r="F30" i="32"/>
  <c r="R34" i="33"/>
  <c r="S34" i="33" s="1"/>
  <c r="S36" i="35"/>
  <c r="R40" i="37"/>
  <c r="T40" i="37" s="1"/>
  <c r="S82" i="37"/>
  <c r="H51" i="39"/>
  <c r="F96" i="33"/>
  <c r="H96" i="33" s="1"/>
  <c r="F53" i="31"/>
  <c r="H53" i="31" s="1"/>
  <c r="F87" i="36"/>
  <c r="H87" i="36" s="1"/>
  <c r="F80" i="31"/>
  <c r="H80" i="31" s="1"/>
  <c r="R69" i="31"/>
  <c r="S69" i="31" s="1"/>
  <c r="H35" i="34"/>
  <c r="G35" i="34"/>
  <c r="G68" i="34"/>
  <c r="H68" i="34"/>
  <c r="T45" i="18"/>
  <c r="T77" i="18"/>
  <c r="H76" i="18"/>
  <c r="S28" i="18"/>
  <c r="T86" i="31"/>
  <c r="R90" i="31"/>
  <c r="T94" i="36"/>
  <c r="S88" i="18"/>
  <c r="T38" i="18"/>
  <c r="S69" i="18"/>
  <c r="T26" i="18"/>
  <c r="T40" i="18"/>
  <c r="S83" i="18"/>
  <c r="S44" i="18"/>
  <c r="T97" i="36"/>
  <c r="T29" i="18"/>
  <c r="S31" i="18"/>
  <c r="G76" i="36"/>
  <c r="T54" i="31"/>
  <c r="T74" i="31"/>
  <c r="S78" i="31"/>
  <c r="S88" i="31"/>
  <c r="S62" i="18"/>
  <c r="T96" i="31"/>
  <c r="T34" i="31"/>
  <c r="S42" i="18"/>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B21" i="40"/>
  <c r="B17" i="7"/>
  <c r="B21" i="34"/>
  <c r="O21" i="31"/>
  <c r="O21" i="34"/>
  <c r="O21" i="33"/>
  <c r="O21" i="37"/>
  <c r="O21" i="35"/>
  <c r="B21" i="36"/>
  <c r="B21" i="32"/>
  <c r="B21" i="31"/>
  <c r="O21" i="18"/>
  <c r="O21" i="32"/>
  <c r="B21" i="33"/>
  <c r="B21" i="35"/>
  <c r="O21" i="36"/>
  <c r="B21" i="18"/>
  <c r="B21" i="37"/>
  <c r="O21" i="40"/>
  <c r="T52" i="37"/>
  <c r="S52" i="37"/>
  <c r="F49" i="34"/>
  <c r="H49" i="34" s="1"/>
  <c r="S76" i="33"/>
  <c r="F48" i="31"/>
  <c r="G48" i="31" s="1"/>
  <c r="R23" i="33"/>
  <c r="S23" i="33" s="1"/>
  <c r="F73" i="32"/>
  <c r="R91" i="37"/>
  <c r="S91" i="37" s="1"/>
  <c r="F71" i="32"/>
  <c r="F27" i="37"/>
  <c r="G27" i="37" s="1"/>
  <c r="R83" i="37"/>
  <c r="R68" i="31"/>
  <c r="T68" i="31" s="1"/>
  <c r="R61" i="18"/>
  <c r="T22" i="18"/>
  <c r="R81" i="31"/>
  <c r="R79" i="31"/>
  <c r="S79" i="31" s="1"/>
  <c r="F57" i="32"/>
  <c r="R46" i="31"/>
  <c r="T46" i="31" s="1"/>
  <c r="R65" i="37"/>
  <c r="T65" i="37" s="1"/>
  <c r="F58" i="18"/>
  <c r="H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H34" i="18" s="1"/>
  <c r="R32" i="18"/>
  <c r="T32" i="18" s="1"/>
  <c r="F36" i="31"/>
  <c r="G36" i="31" s="1"/>
  <c r="F66" i="35"/>
  <c r="H66" i="35" s="1"/>
  <c r="F64" i="35"/>
  <c r="H64" i="35" s="1"/>
  <c r="T88" i="33"/>
  <c r="M52" i="39"/>
  <c r="L39" i="39"/>
  <c r="D33" i="38" s="1"/>
  <c r="L71" i="39"/>
  <c r="G34" i="34"/>
  <c r="F61" i="18"/>
  <c r="G61" i="18" s="1"/>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R60" i="33"/>
  <c r="T60" i="33" s="1"/>
  <c r="F74" i="34"/>
  <c r="F80" i="34"/>
  <c r="H80" i="34" s="1"/>
  <c r="F32" i="37"/>
  <c r="T22" i="31"/>
  <c r="S22" i="31"/>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S68" i="31"/>
  <c r="F26" i="36"/>
  <c r="G26" i="36" s="1"/>
  <c r="H36" i="34"/>
  <c r="T62" i="31"/>
  <c r="S62" i="31"/>
  <c r="S22" i="37"/>
  <c r="T22" i="37"/>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S40" i="37"/>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G50" i="34"/>
  <c r="G22" i="36"/>
  <c r="H26" i="33"/>
  <c r="H38" i="34"/>
  <c r="H82" i="31"/>
  <c r="G52" i="37"/>
  <c r="H98" i="34"/>
  <c r="G98" i="34"/>
  <c r="S34" i="18"/>
  <c r="T34" i="18"/>
  <c r="H50" i="18"/>
  <c r="G50" i="18"/>
  <c r="T88" i="31"/>
  <c r="T51" i="33"/>
  <c r="S86" i="33"/>
  <c r="S42"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H83" i="34"/>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T69" i="37"/>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G90" i="34"/>
  <c r="S45" i="18"/>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T47" i="37"/>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33" i="33"/>
  <c r="S33" i="33"/>
  <c r="T48" i="33"/>
  <c r="S48" i="33"/>
  <c r="S29" i="33"/>
  <c r="T29" i="33"/>
  <c r="T45" i="33"/>
  <c r="T73" i="33"/>
  <c r="G33" i="35"/>
  <c r="T79" i="37"/>
  <c r="S79" i="37"/>
  <c r="R46" i="18"/>
  <c r="T46" i="18" s="1"/>
  <c r="T81" i="33"/>
  <c r="S70" i="34"/>
  <c r="T67" i="35"/>
  <c r="H68" i="37"/>
  <c r="G68" i="37"/>
  <c r="T97" i="37"/>
  <c r="S41" i="37"/>
  <c r="G56" i="31"/>
  <c r="H56" i="31"/>
  <c r="T21" i="37"/>
  <c r="G27" i="34"/>
  <c r="H27" i="34"/>
  <c r="T43" i="33"/>
  <c r="G42" i="31"/>
  <c r="T67" i="37"/>
  <c r="R75" i="18"/>
  <c r="S75" i="18" s="1"/>
  <c r="S41" i="35"/>
  <c r="T78" i="35"/>
  <c r="G96" i="31"/>
  <c r="T37" i="33"/>
  <c r="H92" i="37"/>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S72" i="37"/>
  <c r="G64" i="35"/>
  <c r="S32" i="33"/>
  <c r="S33" i="37"/>
  <c r="S29" i="37"/>
  <c r="H35" i="31"/>
  <c r="G36" i="35"/>
  <c r="H19" i="35"/>
  <c r="J19" i="35" s="1"/>
  <c r="K19" i="35" s="1"/>
  <c r="E17" i="17" s="1"/>
  <c r="H20" i="31"/>
  <c r="G58" i="31"/>
  <c r="G36" i="36"/>
  <c r="G19" i="37"/>
  <c r="I19" i="37" s="1"/>
  <c r="G96" i="37"/>
  <c r="H36" i="37"/>
  <c r="G35" i="37"/>
  <c r="H25" i="34"/>
  <c r="G25" i="34"/>
  <c r="T57" i="31"/>
  <c r="S57" i="31"/>
  <c r="T48" i="18"/>
  <c r="S48" i="18"/>
  <c r="S33" i="31"/>
  <c r="T33" i="31"/>
  <c r="S31" i="31"/>
  <c r="T31" i="31"/>
  <c r="G93" i="34"/>
  <c r="H93" i="34"/>
  <c r="T59" i="31"/>
  <c r="S59" i="31"/>
  <c r="H81" i="34"/>
  <c r="S81" i="31"/>
  <c r="T81" i="31"/>
  <c r="H57" i="35"/>
  <c r="G57" i="35"/>
  <c r="H48" i="31"/>
  <c r="H48" i="35"/>
  <c r="G48" i="35"/>
  <c r="G44" i="35"/>
  <c r="T44" i="31"/>
  <c r="S44" i="31"/>
  <c r="T44" i="33"/>
  <c r="S44" i="33"/>
  <c r="S44" i="37"/>
  <c r="T44" i="37"/>
  <c r="H85" i="34"/>
  <c r="G85" i="34"/>
  <c r="T49" i="33"/>
  <c r="S41" i="31"/>
  <c r="T41" i="31"/>
  <c r="T41" i="33"/>
  <c r="S86" i="31"/>
  <c r="T78" i="31"/>
  <c r="R63" i="32"/>
  <c r="R93" i="32"/>
  <c r="R74" i="32"/>
  <c r="T56" i="36"/>
  <c r="S78" i="36"/>
  <c r="S64" i="36"/>
  <c r="S34" i="36"/>
  <c r="T46" i="36"/>
  <c r="R96" i="32"/>
  <c r="R90" i="32"/>
  <c r="R68" i="32"/>
  <c r="R85" i="32"/>
  <c r="R49" i="32"/>
  <c r="D41" i="38"/>
  <c r="T32" i="36"/>
  <c r="T50" i="36"/>
  <c r="S89" i="36"/>
  <c r="G43" i="34"/>
  <c r="H84" i="34"/>
  <c r="G84" i="34"/>
  <c r="F25" i="33"/>
  <c r="H24" i="39"/>
  <c r="L58" i="39"/>
  <c r="F59" i="40"/>
  <c r="D58" i="39"/>
  <c r="F59" i="18"/>
  <c r="F81" i="33"/>
  <c r="H80" i="39"/>
  <c r="H67" i="34"/>
  <c r="G67" i="34"/>
  <c r="F79" i="33"/>
  <c r="H78" i="39"/>
  <c r="D74" i="39"/>
  <c r="F75" i="18"/>
  <c r="S48" i="37"/>
  <c r="T48" i="37"/>
  <c r="H42" i="34"/>
  <c r="G42" i="34"/>
  <c r="F42" i="37"/>
  <c r="C41" i="39"/>
  <c r="F42" i="33"/>
  <c r="H41" i="39"/>
  <c r="R46" i="33"/>
  <c r="G21" i="34"/>
  <c r="H21" i="34"/>
  <c r="H28" i="39"/>
  <c r="F29" i="33"/>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H31" i="34"/>
  <c r="G31" i="34"/>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G87" i="36"/>
  <c r="H44"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59" i="36"/>
  <c r="G86" i="36"/>
  <c r="H86" i="36"/>
  <c r="H19" i="36"/>
  <c r="J19" i="36" s="1"/>
  <c r="K19" i="36" s="1"/>
  <c r="I17" i="17" s="1"/>
  <c r="S43" i="35"/>
  <c r="T43" i="35"/>
  <c r="T97" i="35"/>
  <c r="S97" i="35"/>
  <c r="T40" i="35"/>
  <c r="S40" i="35"/>
  <c r="G52" i="18"/>
  <c r="H52" i="18"/>
  <c r="H61"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H24" i="36"/>
  <c r="G8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H63" i="18"/>
  <c r="G82" i="18"/>
  <c r="H82" i="18"/>
  <c r="G34" i="37"/>
  <c r="H34" i="37"/>
  <c r="S91" i="35"/>
  <c r="S76" i="35"/>
  <c r="T73" i="35"/>
  <c r="S59" i="35"/>
  <c r="D40" i="38"/>
  <c r="H82" i="37"/>
  <c r="S79" i="18"/>
  <c r="T67" i="18"/>
  <c r="T73" i="18"/>
  <c r="T87" i="18"/>
  <c r="S76" i="18"/>
  <c r="T25" i="35"/>
  <c r="T96" i="18"/>
  <c r="T81" i="18"/>
  <c r="S91" i="18"/>
  <c r="S82" i="18"/>
  <c r="G64" i="37"/>
  <c r="S54" i="18"/>
  <c r="T52" i="18"/>
  <c r="S35" i="18"/>
  <c r="T56" i="35"/>
  <c r="T88" i="18"/>
  <c r="G36" i="18"/>
  <c r="S84" i="18"/>
  <c r="S29" i="18"/>
  <c r="T68" i="18"/>
  <c r="S72" i="18"/>
  <c r="G54" i="31"/>
  <c r="H52"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T69" i="31"/>
  <c r="G96" i="36"/>
  <c r="H96" i="36"/>
  <c r="H94" i="36"/>
  <c r="G99" i="36"/>
  <c r="H99" i="36"/>
  <c r="T82" i="35"/>
  <c r="S82" i="35"/>
  <c r="S65" i="35"/>
  <c r="T65" i="35"/>
  <c r="S38" i="35"/>
  <c r="T38" i="35"/>
  <c r="T39" i="35"/>
  <c r="S39" i="35"/>
  <c r="G84" i="37"/>
  <c r="W10" i="40"/>
  <c r="W12" i="40"/>
  <c r="T24" i="40" s="1"/>
  <c r="W9" i="40"/>
  <c r="S46" i="31"/>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34" i="36"/>
  <c r="T31" i="35"/>
  <c r="S31" i="35"/>
  <c r="S26" i="35"/>
  <c r="T26" i="35"/>
  <c r="S55" i="35"/>
  <c r="T55" i="35"/>
  <c r="S98" i="40"/>
  <c r="S93" i="40"/>
  <c r="T95" i="40"/>
  <c r="T99" i="40"/>
  <c r="G58" i="18"/>
  <c r="G70" i="18"/>
  <c r="H65" i="18"/>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8" i="18"/>
  <c r="G98" i="18"/>
  <c r="G34" i="18"/>
  <c r="H99" i="18"/>
  <c r="G99" i="18"/>
  <c r="K9" i="40"/>
  <c r="K12" i="40"/>
  <c r="K10" i="40"/>
  <c r="G72" i="31"/>
  <c r="D87" i="38"/>
  <c r="S89" i="18"/>
  <c r="T79" i="18"/>
  <c r="S67" i="18"/>
  <c r="S73" i="18"/>
  <c r="S87" i="18"/>
  <c r="T76" i="18"/>
  <c r="S53" i="18"/>
  <c r="S26" i="18"/>
  <c r="T54" i="18"/>
  <c r="S52" i="18"/>
  <c r="T35" i="18"/>
  <c r="S77" i="18"/>
  <c r="S80" i="18"/>
  <c r="T28" i="18"/>
  <c r="T42" i="18"/>
  <c r="T31" i="18"/>
  <c r="S32" i="18"/>
  <c r="H75" i="31"/>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96" i="33" l="1"/>
  <c r="H73" i="34"/>
  <c r="G66" i="35"/>
  <c r="G80" i="31"/>
  <c r="G48" i="36"/>
  <c r="G84" i="36"/>
  <c r="H81" i="36"/>
  <c r="G53" i="36"/>
  <c r="H51" i="36"/>
  <c r="J20" i="31"/>
  <c r="K13" i="38" s="1"/>
  <c r="H67" i="31"/>
  <c r="G86" i="18"/>
  <c r="H38" i="37"/>
  <c r="G83" i="18"/>
  <c r="G55" i="18"/>
  <c r="G60" i="18"/>
  <c r="H53" i="37"/>
  <c r="G60" i="37"/>
  <c r="H62" i="37"/>
  <c r="S21" i="18"/>
  <c r="T27" i="31"/>
  <c r="T24" i="37"/>
  <c r="H22" i="34"/>
  <c r="T23" i="33"/>
  <c r="G20" i="34"/>
  <c r="H20" i="35"/>
  <c r="J20" i="35" s="1"/>
  <c r="K20" i="35" s="1"/>
  <c r="E18" i="17" s="1"/>
  <c r="T20" i="33"/>
  <c r="G24" i="35"/>
  <c r="H22" i="31"/>
  <c r="H22" i="37"/>
  <c r="T20" i="18"/>
  <c r="S19" i="18"/>
  <c r="U19" i="18" s="1"/>
  <c r="U20" i="18" s="1"/>
  <c r="V21" i="18" s="1"/>
  <c r="W21" i="18" s="1"/>
  <c r="T19" i="17" s="1"/>
  <c r="H40" i="34"/>
  <c r="H48" i="34"/>
  <c r="H66" i="31"/>
  <c r="G58" i="37"/>
  <c r="S32" i="37"/>
  <c r="G69" i="34"/>
  <c r="S45" i="31"/>
  <c r="H69" i="31"/>
  <c r="G53" i="31"/>
  <c r="T36" i="33"/>
  <c r="T34" i="33"/>
  <c r="G40" i="18"/>
  <c r="G45" i="35"/>
  <c r="H27" i="37"/>
  <c r="H26" i="37"/>
  <c r="G30" i="37"/>
  <c r="G28" i="18"/>
  <c r="H36" i="31"/>
  <c r="T27" i="18"/>
  <c r="G19" i="34"/>
  <c r="I19" i="34" s="1"/>
  <c r="I20" i="34" s="1"/>
  <c r="I21" i="34" s="1"/>
  <c r="L12" i="38"/>
  <c r="D16" i="38"/>
  <c r="E63" i="38"/>
  <c r="T85" i="32"/>
  <c r="B22" i="34"/>
  <c r="B22" i="32"/>
  <c r="B22" i="33"/>
  <c r="O22" i="18"/>
  <c r="B22" i="40"/>
  <c r="O22" i="34"/>
  <c r="B22" i="31"/>
  <c r="B22" i="36"/>
  <c r="B22" i="35"/>
  <c r="B18" i="7"/>
  <c r="O22" i="40"/>
  <c r="B22" i="18"/>
  <c r="O22" i="35"/>
  <c r="O22" i="36"/>
  <c r="O22" i="32"/>
  <c r="O22" i="33"/>
  <c r="B22" i="37"/>
  <c r="O22" i="31"/>
  <c r="O22" i="37"/>
  <c r="T74" i="32"/>
  <c r="E46" i="38"/>
  <c r="T49" i="32"/>
  <c r="T96" i="32"/>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K20" i="31"/>
  <c r="D18" i="17" s="1"/>
  <c r="J20" i="34"/>
  <c r="L13" i="38" s="1"/>
  <c r="V20" i="18"/>
  <c r="W20" i="18" s="1"/>
  <c r="T18" i="17"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2" i="31"/>
  <c r="K15" i="38" s="1"/>
  <c r="K20" i="34"/>
  <c r="G18" i="17" s="1"/>
  <c r="I22" i="34"/>
  <c r="J23" i="34" s="1"/>
  <c r="K23" i="34" s="1"/>
  <c r="G21" i="17" s="1"/>
  <c r="J22" i="34"/>
  <c r="L15" i="38" s="1"/>
  <c r="J21" i="34"/>
  <c r="L14" i="38" s="1"/>
  <c r="J23" i="36"/>
  <c r="K23" i="36" s="1"/>
  <c r="I21" i="17" s="1"/>
  <c r="J21" i="36"/>
  <c r="K21" i="36" s="1"/>
  <c r="I19" i="17" s="1"/>
  <c r="O23" i="31"/>
  <c r="O23" i="35"/>
  <c r="B23" i="40"/>
  <c r="B23" i="35"/>
  <c r="B19" i="7"/>
  <c r="B23" i="32"/>
  <c r="O23" i="18"/>
  <c r="O23" i="33"/>
  <c r="B23" i="18"/>
  <c r="B23" i="34"/>
  <c r="O23" i="32"/>
  <c r="B23" i="33"/>
  <c r="O23" i="36"/>
  <c r="O23" i="37"/>
  <c r="B23" i="36"/>
  <c r="B23" i="37"/>
  <c r="O23" i="34"/>
  <c r="O23" i="40"/>
  <c r="B23" i="3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L17" i="17" l="1"/>
  <c r="E12" i="28" s="1"/>
  <c r="M12" i="38" s="1"/>
  <c r="K22" i="31"/>
  <c r="D20" i="17" s="1"/>
  <c r="K22" i="34"/>
  <c r="G20" i="17" s="1"/>
  <c r="L16" i="38"/>
  <c r="I23" i="34"/>
  <c r="J24" i="34" s="1"/>
  <c r="K24" i="34" s="1"/>
  <c r="G22" i="17" s="1"/>
  <c r="K21" i="34"/>
  <c r="G19" i="17" s="1"/>
  <c r="B24" i="37"/>
  <c r="B24" i="40"/>
  <c r="O24" i="37"/>
  <c r="B24" i="31"/>
  <c r="O24" i="18"/>
  <c r="B24" i="35"/>
  <c r="B24" i="33"/>
  <c r="B24" i="32"/>
  <c r="O24" i="32"/>
  <c r="B24" i="34"/>
  <c r="O24" i="31"/>
  <c r="O24" i="33"/>
  <c r="B24" i="36"/>
  <c r="B20" i="7"/>
  <c r="O24" i="36"/>
  <c r="O24" i="35"/>
  <c r="B24" i="18"/>
  <c r="O24" i="40"/>
  <c r="O24" i="34"/>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O17" i="17" l="1"/>
  <c r="L17" i="38"/>
  <c r="I24" i="34"/>
  <c r="J25" i="34" s="1"/>
  <c r="K25" i="34" s="1"/>
  <c r="G23" i="17" s="1"/>
  <c r="L19" i="17"/>
  <c r="O19" i="17" s="1"/>
  <c r="V24" i="35"/>
  <c r="W24" i="35" s="1"/>
  <c r="V22" i="17" s="1"/>
  <c r="B25" i="32"/>
  <c r="B25" i="36"/>
  <c r="B25" i="37"/>
  <c r="O25" i="40"/>
  <c r="O25" i="37"/>
  <c r="O25" i="34"/>
  <c r="B21" i="7"/>
  <c r="B25" i="34"/>
  <c r="B25" i="31"/>
  <c r="O25" i="18"/>
  <c r="B25" i="35"/>
  <c r="O25" i="36"/>
  <c r="O25" i="33"/>
  <c r="B25" i="18"/>
  <c r="B25" i="33"/>
  <c r="O25" i="31"/>
  <c r="B25" i="40"/>
  <c r="O25" i="35"/>
  <c r="O25" i="32"/>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L18" i="38" l="1"/>
  <c r="I25" i="34"/>
  <c r="I26" i="34" s="1"/>
  <c r="J27" i="34" s="1"/>
  <c r="E14" i="28"/>
  <c r="M14" i="38" s="1"/>
  <c r="J24" i="33"/>
  <c r="K24" i="33" s="1"/>
  <c r="H22" i="17" s="1"/>
  <c r="O26" i="40"/>
  <c r="B26" i="37"/>
  <c r="O26" i="37"/>
  <c r="O26" i="33"/>
  <c r="B26" i="33"/>
  <c r="B26" i="31"/>
  <c r="O26" i="32"/>
  <c r="B26" i="40"/>
  <c r="B22" i="7"/>
  <c r="O26" i="34"/>
  <c r="B26" i="36"/>
  <c r="O26" i="18"/>
  <c r="B26" i="35"/>
  <c r="B26" i="18"/>
  <c r="O26" i="35"/>
  <c r="B26" i="34"/>
  <c r="O26" i="31"/>
  <c r="O26" i="36"/>
  <c r="B26" i="32"/>
  <c r="V23" i="40"/>
  <c r="W23" i="40" s="1"/>
  <c r="AB21" i="17" s="1"/>
  <c r="V24" i="37"/>
  <c r="W24" i="37" s="1"/>
  <c r="AA22" i="17" s="1"/>
  <c r="U24" i="37"/>
  <c r="I26" i="36"/>
  <c r="J27" i="36" s="1"/>
  <c r="K27" i="36" s="1"/>
  <c r="I25" i="17" s="1"/>
  <c r="J26" i="34"/>
  <c r="K26" i="34" s="1"/>
  <c r="G24"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O14" i="38"/>
  <c r="I27" i="34"/>
  <c r="J28" i="34" s="1"/>
  <c r="B27" i="33"/>
  <c r="B27" i="40"/>
  <c r="B27" i="32"/>
  <c r="B27" i="31"/>
  <c r="O27" i="40"/>
  <c r="B23" i="7"/>
  <c r="O27" i="18"/>
  <c r="O27" i="35"/>
  <c r="O27" i="37"/>
  <c r="B27" i="37"/>
  <c r="B27" i="18"/>
  <c r="O27" i="32"/>
  <c r="O27" i="33"/>
  <c r="B27" i="36"/>
  <c r="O27" i="34"/>
  <c r="O27" i="31"/>
  <c r="B27" i="35"/>
  <c r="O27" i="36"/>
  <c r="B27" i="34"/>
  <c r="U25" i="37"/>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O28" i="34"/>
  <c r="B28" i="37"/>
  <c r="O28" i="18"/>
  <c r="B24" i="7"/>
  <c r="B28" i="33"/>
  <c r="B28" i="18"/>
  <c r="O28" i="40"/>
  <c r="O28" i="35"/>
  <c r="O28" i="31"/>
  <c r="B28" i="34"/>
  <c r="O28" i="36"/>
  <c r="O28" i="37"/>
  <c r="B28" i="40"/>
  <c r="B28" i="32"/>
  <c r="O28" i="33"/>
  <c r="B28" i="35"/>
  <c r="B28" i="31"/>
  <c r="B28" i="36"/>
  <c r="O28" i="32"/>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J29" i="34"/>
  <c r="I29" i="34"/>
  <c r="M15" i="38"/>
  <c r="V28" i="35"/>
  <c r="W28" i="35" s="1"/>
  <c r="V26" i="17" s="1"/>
  <c r="U28" i="35"/>
  <c r="J27" i="37"/>
  <c r="K27" i="37" s="1"/>
  <c r="J25" i="17" s="1"/>
  <c r="I27" i="37"/>
  <c r="J29" i="36"/>
  <c r="K29" i="36" s="1"/>
  <c r="I27" i="17" s="1"/>
  <c r="O29" i="40" l="1"/>
  <c r="B29" i="34"/>
  <c r="B29" i="33"/>
  <c r="B29" i="35"/>
  <c r="O29" i="31"/>
  <c r="B29" i="36"/>
  <c r="O29" i="33"/>
  <c r="B29" i="32"/>
  <c r="O29" i="36"/>
  <c r="O29" i="34"/>
  <c r="B29" i="18"/>
  <c r="B25" i="7"/>
  <c r="O29" i="32"/>
  <c r="B29" i="37"/>
  <c r="B29" i="31"/>
  <c r="O29" i="35"/>
  <c r="O29" i="18"/>
  <c r="O29" i="37"/>
  <c r="B29" i="40"/>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B30" i="35" l="1"/>
  <c r="B30" i="32"/>
  <c r="O30" i="40"/>
  <c r="O30" i="35"/>
  <c r="B30" i="33"/>
  <c r="B30" i="34"/>
  <c r="B30" i="31"/>
  <c r="O30" i="31"/>
  <c r="O30" i="18"/>
  <c r="O30" i="36"/>
  <c r="B26" i="7"/>
  <c r="B30" i="40"/>
  <c r="B30" i="18"/>
  <c r="O30" i="37"/>
  <c r="O30" i="33"/>
  <c r="O30" i="32"/>
  <c r="O30" i="34"/>
  <c r="B30" i="37"/>
  <c r="B30" i="36"/>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O31" i="31"/>
  <c r="O31" i="18"/>
  <c r="O31" i="34"/>
  <c r="B31" i="33"/>
  <c r="O31" i="37"/>
  <c r="B31" i="40"/>
  <c r="B31" i="34"/>
  <c r="O31" i="35"/>
  <c r="B31" i="32"/>
  <c r="B31" i="36"/>
  <c r="B31" i="18"/>
  <c r="B27" i="7"/>
  <c r="O31" i="32"/>
  <c r="O31" i="33"/>
  <c r="O31" i="40"/>
  <c r="B31" i="35"/>
  <c r="B31" i="31"/>
  <c r="B31" i="37"/>
  <c r="O31" i="36"/>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B32" i="40" l="1"/>
  <c r="O32" i="40"/>
  <c r="O32" i="32"/>
  <c r="B32" i="31"/>
  <c r="B32" i="36"/>
  <c r="B32" i="33"/>
  <c r="B32" i="32"/>
  <c r="B32" i="34"/>
  <c r="B32" i="18"/>
  <c r="B32" i="37"/>
  <c r="B28" i="7"/>
  <c r="O32" i="35"/>
  <c r="O32" i="34"/>
  <c r="O32" i="31"/>
  <c r="O32" i="36"/>
  <c r="B32" i="35"/>
  <c r="O32" i="37"/>
  <c r="O32" i="33"/>
  <c r="O32" i="18"/>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O33" i="18" l="1"/>
  <c r="B33" i="33"/>
  <c r="B29" i="7"/>
  <c r="O33" i="40"/>
  <c r="B33" i="35"/>
  <c r="O33" i="32"/>
  <c r="B33" i="34"/>
  <c r="B33" i="18"/>
  <c r="B33" i="32"/>
  <c r="O33" i="36"/>
  <c r="O33" i="33"/>
  <c r="O33" i="37"/>
  <c r="O33" i="31"/>
  <c r="B33" i="40"/>
  <c r="O33" i="34"/>
  <c r="O33" i="35"/>
  <c r="B33" i="36"/>
  <c r="B33" i="31"/>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AC28" i="17" s="1"/>
  <c r="AF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O34" i="32" l="1"/>
  <c r="B34" i="40"/>
  <c r="B34" i="18"/>
  <c r="B34" i="37"/>
  <c r="O34" i="36"/>
  <c r="B34" i="33"/>
  <c r="O34" i="18"/>
  <c r="O34" i="33"/>
  <c r="O34" i="35"/>
  <c r="B34" i="32"/>
  <c r="B34" i="35"/>
  <c r="O34" i="40"/>
  <c r="B34" i="36"/>
  <c r="B34" i="34"/>
  <c r="O34" i="31"/>
  <c r="O34" i="37"/>
  <c r="B34" i="31"/>
  <c r="B30" i="7"/>
  <c r="O34" i="34"/>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B35" i="40" l="1"/>
  <c r="B35" i="18"/>
  <c r="B35" i="31"/>
  <c r="B35" i="34"/>
  <c r="B31" i="7"/>
  <c r="B35" i="36"/>
  <c r="B35" i="33"/>
  <c r="O35" i="40"/>
  <c r="O35" i="33"/>
  <c r="O35" i="35"/>
  <c r="O35" i="32"/>
  <c r="B35" i="35"/>
  <c r="B35" i="37"/>
  <c r="O35" i="18"/>
  <c r="B35" i="32"/>
  <c r="O35" i="36"/>
  <c r="O35" i="37"/>
  <c r="O35" i="34"/>
  <c r="O35" i="31"/>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O36" i="37" l="1"/>
  <c r="O36" i="32"/>
  <c r="B36" i="33"/>
  <c r="O36" i="33"/>
  <c r="B36" i="32"/>
  <c r="O36" i="18"/>
  <c r="O36" i="31"/>
  <c r="O36" i="40"/>
  <c r="B36" i="35"/>
  <c r="O36" i="34"/>
  <c r="B36" i="31"/>
  <c r="B36" i="37"/>
  <c r="B36" i="36"/>
  <c r="B32" i="7"/>
  <c r="B36" i="34"/>
  <c r="B36" i="18"/>
  <c r="B36" i="40"/>
  <c r="O36" i="36"/>
  <c r="O36" i="35"/>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O37" i="33" l="1"/>
  <c r="O37" i="37"/>
  <c r="B37" i="32"/>
  <c r="O37" i="18"/>
  <c r="B33" i="7"/>
  <c r="B37" i="31"/>
  <c r="O37" i="31"/>
  <c r="B37" i="33"/>
  <c r="O37" i="32"/>
  <c r="O37" i="40"/>
  <c r="B37" i="34"/>
  <c r="B37" i="18"/>
  <c r="O37" i="34"/>
  <c r="O37" i="36"/>
  <c r="B37" i="37"/>
  <c r="O37" i="35"/>
  <c r="B37" i="40"/>
  <c r="B37" i="36"/>
  <c r="B37" i="35"/>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O38" i="33" l="1"/>
  <c r="O38" i="40"/>
  <c r="O38" i="34"/>
  <c r="B38" i="40"/>
  <c r="B38" i="32"/>
  <c r="O38" i="32"/>
  <c r="O38" i="18"/>
  <c r="O38" i="37"/>
  <c r="B34" i="7"/>
  <c r="O38" i="31"/>
  <c r="B38" i="18"/>
  <c r="O38" i="35"/>
  <c r="B38" i="36"/>
  <c r="B38" i="31"/>
  <c r="B38" i="35"/>
  <c r="B38" i="37"/>
  <c r="B38" i="33"/>
  <c r="B38" i="34"/>
  <c r="O38" i="36"/>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O39" i="18"/>
  <c r="O39" i="37"/>
  <c r="B39" i="34"/>
  <c r="O39" i="40"/>
  <c r="B39" i="35"/>
  <c r="B39" i="31"/>
  <c r="O39" i="36"/>
  <c r="O39" i="35"/>
  <c r="O39" i="32"/>
  <c r="B39" i="32"/>
  <c r="B39" i="37"/>
  <c r="B39" i="36"/>
  <c r="B39" i="40"/>
  <c r="B39" i="18"/>
  <c r="O39" i="31"/>
  <c r="B35" i="7"/>
  <c r="O39" i="34"/>
  <c r="O39" i="33"/>
  <c r="B39" i="33"/>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O40" i="35" l="1"/>
  <c r="O40" i="40"/>
  <c r="B40" i="34"/>
  <c r="B40" i="40"/>
  <c r="O40" i="36"/>
  <c r="B40" i="32"/>
  <c r="B36" i="7"/>
  <c r="B40" i="33"/>
  <c r="B40" i="36"/>
  <c r="B40" i="31"/>
  <c r="O40" i="37"/>
  <c r="O40" i="31"/>
  <c r="O40" i="32"/>
  <c r="O40" i="33"/>
  <c r="B40" i="18"/>
  <c r="O40" i="18"/>
  <c r="B40" i="37"/>
  <c r="O40" i="34"/>
  <c r="B40" i="35"/>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O41" i="31" l="1"/>
  <c r="B41" i="33"/>
  <c r="B41" i="40"/>
  <c r="B37" i="7"/>
  <c r="B41" i="36"/>
  <c r="O41" i="40"/>
  <c r="O41" i="36"/>
  <c r="O41" i="37"/>
  <c r="O41" i="32"/>
  <c r="O41" i="33"/>
  <c r="O41" i="35"/>
  <c r="B41" i="37"/>
  <c r="B41" i="31"/>
  <c r="O41" i="18"/>
  <c r="B41" i="35"/>
  <c r="B41" i="18"/>
  <c r="B41" i="32"/>
  <c r="O41" i="34"/>
  <c r="B41" i="34"/>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O42" i="40" l="1"/>
  <c r="O42" i="32"/>
  <c r="B42" i="32"/>
  <c r="O42" i="36"/>
  <c r="B42" i="31"/>
  <c r="O42" i="34"/>
  <c r="B42" i="34"/>
  <c r="B42" i="40"/>
  <c r="O42" i="33"/>
  <c r="B42" i="37"/>
  <c r="B38" i="7"/>
  <c r="O42" i="31"/>
  <c r="B42" i="33"/>
  <c r="O42" i="18"/>
  <c r="B42" i="18"/>
  <c r="B42" i="35"/>
  <c r="O42" i="35"/>
  <c r="B42" i="36"/>
  <c r="O42" i="37"/>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O43" i="18" l="1"/>
  <c r="B43" i="40"/>
  <c r="B43" i="35"/>
  <c r="B43" i="31"/>
  <c r="B43" i="18"/>
  <c r="O43" i="31"/>
  <c r="B43" i="34"/>
  <c r="O43" i="37"/>
  <c r="B43" i="32"/>
  <c r="O43" i="34"/>
  <c r="O43" i="33"/>
  <c r="B43" i="33"/>
  <c r="O43" i="35"/>
  <c r="O43" i="36"/>
  <c r="O43" i="40"/>
  <c r="B43" i="36"/>
  <c r="B43" i="37"/>
  <c r="O43" i="32"/>
  <c r="B39" i="7"/>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B44" i="34" l="1"/>
  <c r="B44" i="33"/>
  <c r="O44" i="40"/>
  <c r="B44" i="32"/>
  <c r="O44" i="33"/>
  <c r="O44" i="32"/>
  <c r="B40" i="7"/>
  <c r="B44" i="31"/>
  <c r="B44" i="18"/>
  <c r="B44" i="37"/>
  <c r="O44" i="31"/>
  <c r="O44" i="36"/>
  <c r="O44" i="34"/>
  <c r="O44" i="18"/>
  <c r="O44" i="37"/>
  <c r="B44" i="35"/>
  <c r="B44" i="36"/>
  <c r="O44" i="35"/>
  <c r="B44" i="40"/>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O45" i="40" l="1"/>
  <c r="B45" i="31"/>
  <c r="O45" i="31"/>
  <c r="B45" i="37"/>
  <c r="O45" i="18"/>
  <c r="O45" i="35"/>
  <c r="B45" i="35"/>
  <c r="B41" i="7"/>
  <c r="O45" i="37"/>
  <c r="B45" i="18"/>
  <c r="B45" i="32"/>
  <c r="B45" i="36"/>
  <c r="O45" i="36"/>
  <c r="O45" i="34"/>
  <c r="B45" i="33"/>
  <c r="B45" i="40"/>
  <c r="B45" i="34"/>
  <c r="O45" i="32"/>
  <c r="O45" i="33"/>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B46" i="35" l="1"/>
  <c r="B46" i="33"/>
  <c r="O46" i="31"/>
  <c r="B46" i="36"/>
  <c r="O46" i="32"/>
  <c r="B46" i="31"/>
  <c r="O46" i="36"/>
  <c r="O46" i="34"/>
  <c r="B46" i="34"/>
  <c r="B46" i="37"/>
  <c r="O46" i="40"/>
  <c r="B46" i="40"/>
  <c r="O46" i="35"/>
  <c r="B46" i="18"/>
  <c r="O46" i="18"/>
  <c r="B46" i="32"/>
  <c r="O46" i="33"/>
  <c r="B42" i="7"/>
  <c r="O46" i="37"/>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B47" i="35" l="1"/>
  <c r="O47" i="32"/>
  <c r="O47" i="18"/>
  <c r="B47" i="33"/>
  <c r="B47" i="32"/>
  <c r="B47" i="18"/>
  <c r="O47" i="33"/>
  <c r="B43" i="7"/>
  <c r="O47" i="36"/>
  <c r="O47" i="35"/>
  <c r="B47" i="40"/>
  <c r="O47" i="34"/>
  <c r="B47" i="31"/>
  <c r="O47" i="37"/>
  <c r="B47" i="36"/>
  <c r="B47" i="37"/>
  <c r="B47" i="34"/>
  <c r="O47" i="31"/>
  <c r="O47" i="40"/>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O48" i="18"/>
  <c r="O48" i="31"/>
  <c r="B48" i="40"/>
  <c r="O48" i="32"/>
  <c r="O48" i="36"/>
  <c r="B48" i="33"/>
  <c r="B48" i="32"/>
  <c r="O48" i="33"/>
  <c r="B48" i="36"/>
  <c r="B48" i="18"/>
  <c r="B44" i="7"/>
  <c r="O48" i="37"/>
  <c r="O48" i="35"/>
  <c r="O48" i="40"/>
  <c r="B48" i="34"/>
  <c r="O48" i="34"/>
  <c r="B48" i="37"/>
  <c r="B48" i="31"/>
  <c r="B48" i="35"/>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O49" i="31"/>
  <c r="O49" i="35"/>
  <c r="O49" i="34"/>
  <c r="B49" i="35"/>
  <c r="B49" i="33"/>
  <c r="B49" i="37"/>
  <c r="B49" i="31"/>
  <c r="B45" i="7"/>
  <c r="B49" i="36"/>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B50" i="37" l="1"/>
  <c r="B50" i="40"/>
  <c r="B50" i="18"/>
  <c r="B50" i="32"/>
  <c r="B50" i="33"/>
  <c r="O50" i="32"/>
  <c r="O50" i="34"/>
  <c r="O50" i="37"/>
  <c r="O50" i="31"/>
  <c r="O50" i="35"/>
  <c r="B50" i="35"/>
  <c r="B46" i="7"/>
  <c r="B50" i="34"/>
  <c r="O50" i="36"/>
  <c r="B50" i="36"/>
  <c r="O50" i="18"/>
  <c r="O50" i="33"/>
  <c r="O50" i="40"/>
  <c r="B50" i="31"/>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B51" i="37" l="1"/>
  <c r="O51" i="36"/>
  <c r="O51" i="37"/>
  <c r="B51" i="40"/>
  <c r="O51" i="40"/>
  <c r="B51" i="34"/>
  <c r="O51" i="32"/>
  <c r="B51" i="33"/>
  <c r="O51" i="34"/>
  <c r="B51" i="31"/>
  <c r="B51" i="36"/>
  <c r="B51" i="18"/>
  <c r="O51" i="31"/>
  <c r="B47" i="7"/>
  <c r="O51" i="18"/>
  <c r="B51" i="32"/>
  <c r="O51" i="35"/>
  <c r="B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O52" i="31" l="1"/>
  <c r="O52" i="37"/>
  <c r="B52" i="31"/>
  <c r="O52" i="33"/>
  <c r="B52" i="33"/>
  <c r="O52" i="18"/>
  <c r="O52" i="34"/>
  <c r="B52" i="36"/>
  <c r="B52" i="37"/>
  <c r="B52" i="35"/>
  <c r="O52" i="36"/>
  <c r="O52" i="40"/>
  <c r="B52" i="32"/>
  <c r="B52" i="40"/>
  <c r="O52" i="32"/>
  <c r="B52" i="34"/>
  <c r="B52" i="18"/>
  <c r="B48" i="7"/>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O53" i="33" l="1"/>
  <c r="B49" i="7"/>
  <c r="B53" i="35"/>
  <c r="B53" i="31"/>
  <c r="B53" i="33"/>
  <c r="B53" i="36"/>
  <c r="O53" i="40"/>
  <c r="B53" i="32"/>
  <c r="B53" i="34"/>
  <c r="O53" i="31"/>
  <c r="O53" i="36"/>
  <c r="O53" i="37"/>
  <c r="O53" i="35"/>
  <c r="O53" i="18"/>
  <c r="B53" i="40"/>
  <c r="O53" i="32"/>
  <c r="O53" i="34"/>
  <c r="B53" i="37"/>
  <c r="B53" i="18"/>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B54" i="35" l="1"/>
  <c r="O54" i="31"/>
  <c r="O54" i="37"/>
  <c r="O54" i="18"/>
  <c r="B54" i="37"/>
  <c r="B54" i="36"/>
  <c r="B54" i="40"/>
  <c r="B54" i="31"/>
  <c r="O54" i="33"/>
  <c r="B54" i="18"/>
  <c r="O54" i="32"/>
  <c r="B54" i="34"/>
  <c r="O54" i="35"/>
  <c r="B50" i="7"/>
  <c r="O54" i="40"/>
  <c r="O54" i="36"/>
  <c r="B54" i="33"/>
  <c r="B54" i="32"/>
  <c r="O54" i="34"/>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B55" i="31" l="1"/>
  <c r="O55" i="33"/>
  <c r="B55" i="33"/>
  <c r="O55" i="40"/>
  <c r="O55" i="32"/>
  <c r="B51" i="7"/>
  <c r="O55" i="18"/>
  <c r="B55" i="40"/>
  <c r="B55" i="34"/>
  <c r="O55" i="34"/>
  <c r="B55" i="18"/>
  <c r="B55" i="37"/>
  <c r="O55" i="36"/>
  <c r="O55" i="35"/>
  <c r="B55" i="36"/>
  <c r="B55" i="32"/>
  <c r="O55" i="37"/>
  <c r="B55" i="35"/>
  <c r="O55" i="31"/>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O56" i="35"/>
  <c r="B56" i="35"/>
  <c r="B56" i="18"/>
  <c r="B56" i="34"/>
  <c r="O56" i="32"/>
  <c r="B56" i="33"/>
  <c r="O56" i="33"/>
  <c r="B56" i="40"/>
  <c r="B56" i="32"/>
  <c r="O56" i="18"/>
  <c r="O56" i="40"/>
  <c r="B56" i="36"/>
  <c r="O56" i="34"/>
  <c r="O56" i="37"/>
  <c r="O56" i="31"/>
  <c r="B56" i="31"/>
  <c r="B56" i="37"/>
  <c r="B52" i="7"/>
  <c r="O56" i="36"/>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O57" i="32" l="1"/>
  <c r="O57" i="36"/>
  <c r="B57" i="34"/>
  <c r="B57" i="40"/>
  <c r="B57" i="37"/>
  <c r="O57" i="37"/>
  <c r="B57" i="32"/>
  <c r="O57" i="40"/>
  <c r="B57" i="31"/>
  <c r="O57" i="35"/>
  <c r="B57" i="18"/>
  <c r="O57" i="34"/>
  <c r="O57" i="31"/>
  <c r="B57" i="35"/>
  <c r="B57" i="36"/>
  <c r="O57" i="18"/>
  <c r="O57" i="33"/>
  <c r="B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B58" i="33" l="1"/>
  <c r="B58" i="40"/>
  <c r="B58" i="37"/>
  <c r="O58" i="40"/>
  <c r="O58" i="33"/>
  <c r="O58" i="34"/>
  <c r="B58" i="35"/>
  <c r="B58" i="18"/>
  <c r="O58" i="31"/>
  <c r="O58" i="37"/>
  <c r="O58" i="32"/>
  <c r="B58" i="32"/>
  <c r="B58" i="36"/>
  <c r="O58" i="36"/>
  <c r="B58" i="34"/>
  <c r="B58" i="31"/>
  <c r="O58" i="18"/>
  <c r="O58" i="35"/>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B59" i="18" l="1"/>
  <c r="B59" i="34"/>
  <c r="O59" i="18"/>
  <c r="O59" i="40"/>
  <c r="B59" i="31"/>
  <c r="O59" i="33"/>
  <c r="O59" i="37"/>
  <c r="O59" i="36"/>
  <c r="O59" i="31"/>
  <c r="O59" i="34"/>
  <c r="B59" i="37"/>
  <c r="B59" i="33"/>
  <c r="O59" i="32"/>
  <c r="B59" i="36"/>
  <c r="B59" i="32"/>
  <c r="B59" i="40"/>
  <c r="B55" i="7"/>
  <c r="B59" i="35"/>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B60" i="34" l="1"/>
  <c r="B60" i="33"/>
  <c r="B60" i="37"/>
  <c r="O60" i="18"/>
  <c r="B60" i="32"/>
  <c r="O60" i="37"/>
  <c r="O60" i="32"/>
  <c r="O60" i="31"/>
  <c r="O60" i="35"/>
  <c r="O60" i="34"/>
  <c r="B60" i="35"/>
  <c r="O60" i="36"/>
  <c r="B60" i="18"/>
  <c r="B60" i="36"/>
  <c r="B60" i="40"/>
  <c r="O60" i="40"/>
  <c r="B60" i="31"/>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B61" i="33"/>
  <c r="O61" i="32"/>
  <c r="O61" i="34"/>
  <c r="O61" i="36"/>
  <c r="B61" i="36"/>
  <c r="B61" i="31"/>
  <c r="B61" i="32"/>
  <c r="B61" i="35"/>
  <c r="O61" i="33"/>
  <c r="B57" i="7"/>
  <c r="O61" i="18"/>
  <c r="B61" i="40"/>
  <c r="B61" i="37"/>
  <c r="B61" i="34"/>
  <c r="O61" i="40"/>
  <c r="B61" i="18"/>
  <c r="O61" i="37"/>
  <c r="O61" i="31"/>
  <c r="O61" i="35"/>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O62" i="36" l="1"/>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B63" i="40"/>
  <c r="B63" i="31"/>
  <c r="B63" i="34"/>
  <c r="B63" i="32"/>
  <c r="B63" i="36"/>
  <c r="B63" i="35"/>
  <c r="O63" i="36"/>
  <c r="O63" i="35"/>
  <c r="B59" i="7"/>
  <c r="O63" i="40"/>
  <c r="B63" i="18"/>
  <c r="O63" i="37"/>
  <c r="O63" i="18"/>
  <c r="O63" i="34"/>
  <c r="B63" i="37"/>
  <c r="O63" i="33"/>
  <c r="O63" i="32"/>
  <c r="B63" i="33"/>
  <c r="O63" i="31"/>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O64" i="34" l="1"/>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B65" i="36" l="1"/>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B66" i="36"/>
  <c r="B62" i="7"/>
  <c r="B66" i="34"/>
  <c r="O66" i="36"/>
  <c r="B66" i="33"/>
  <c r="O66" i="32"/>
  <c r="O66" i="35"/>
  <c r="O66" i="33"/>
  <c r="B66" i="31"/>
  <c r="O66" i="40"/>
  <c r="O66" i="31"/>
  <c r="B66" i="40"/>
  <c r="O66" i="18"/>
  <c r="B66" i="18"/>
  <c r="B66" i="37"/>
  <c r="B66" i="35"/>
  <c r="O66" i="34"/>
  <c r="O66" i="37"/>
  <c r="B66" i="32"/>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O67" i="40" l="1"/>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O68" i="31"/>
  <c r="O68" i="32"/>
  <c r="O68" i="37"/>
  <c r="O68" i="33"/>
  <c r="B68" i="18"/>
  <c r="B68" i="37"/>
  <c r="O68" i="35"/>
  <c r="B68" i="35"/>
  <c r="B68" i="40"/>
  <c r="O68" i="40"/>
  <c r="O68" i="18"/>
  <c r="B68" i="33"/>
  <c r="O68" i="34"/>
  <c r="B68" i="34"/>
  <c r="B68" i="32"/>
  <c r="B64" i="7"/>
  <c r="O68" i="36"/>
  <c r="B68" i="31"/>
  <c r="B68" i="36"/>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O69" i="33"/>
  <c r="B69" i="40"/>
  <c r="B69" i="36"/>
  <c r="O69" i="31"/>
  <c r="B69" i="32"/>
  <c r="O69" i="37"/>
  <c r="B65" i="7"/>
  <c r="B69" i="35"/>
  <c r="B69" i="31"/>
  <c r="O69" i="36"/>
  <c r="O69" i="34"/>
  <c r="O69" i="40"/>
  <c r="B69" i="37"/>
  <c r="B69" i="34"/>
  <c r="O69" i="18"/>
  <c r="O69" i="32"/>
  <c r="O69" i="35"/>
  <c r="B69" i="18"/>
  <c r="B69" i="33"/>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O70" i="35" l="1"/>
  <c r="B70" i="32"/>
  <c r="B70" i="40"/>
  <c r="B70" i="18"/>
  <c r="O70" i="36"/>
  <c r="O70" i="33"/>
  <c r="B70" i="37"/>
  <c r="O70" i="34"/>
  <c r="B66" i="7"/>
  <c r="B70" i="34"/>
  <c r="B70" i="35"/>
  <c r="B70" i="31"/>
  <c r="O70" i="40"/>
  <c r="O70" i="31"/>
  <c r="O70" i="37"/>
  <c r="O70" i="32"/>
  <c r="B70" i="36"/>
  <c r="B70" i="33"/>
  <c r="O70" i="18"/>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B71" i="37" l="1"/>
  <c r="O71" i="33"/>
  <c r="O71" i="18"/>
  <c r="O71" i="35"/>
  <c r="B67" i="7"/>
  <c r="B71" i="18"/>
  <c r="O71" i="36"/>
  <c r="O71" i="37"/>
  <c r="B71" i="31"/>
  <c r="B71" i="40"/>
  <c r="O71" i="40"/>
  <c r="B71" i="34"/>
  <c r="O71" i="32"/>
  <c r="O71" i="34"/>
  <c r="B71" i="35"/>
  <c r="B71" i="36"/>
  <c r="B71" i="32"/>
  <c r="O71" i="31"/>
  <c r="B71" i="33"/>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B72" i="36" l="1"/>
  <c r="B72" i="37"/>
  <c r="O72" i="35"/>
  <c r="B68" i="7"/>
  <c r="O72" i="31"/>
  <c r="O72" i="32"/>
  <c r="B72" i="40"/>
  <c r="B72" i="32"/>
  <c r="O72" i="18"/>
  <c r="O72" i="36"/>
  <c r="B72" i="33"/>
  <c r="B72" i="31"/>
  <c r="O72" i="33"/>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O73" i="31" l="1"/>
  <c r="B73" i="33"/>
  <c r="O73" i="34"/>
  <c r="B73" i="34"/>
  <c r="B73" i="37"/>
  <c r="O73" i="37"/>
  <c r="B73" i="32"/>
  <c r="O73" i="18"/>
  <c r="B73" i="36"/>
  <c r="O73" i="40"/>
  <c r="B73" i="18"/>
  <c r="B73" i="35"/>
  <c r="B69" i="7"/>
  <c r="O73" i="33"/>
  <c r="O73" i="35"/>
  <c r="O73" i="36"/>
  <c r="O73" i="32"/>
  <c r="B73" i="31"/>
  <c r="B73" i="40"/>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O74" i="18"/>
  <c r="B74" i="37"/>
  <c r="O74" i="40"/>
  <c r="B74" i="36"/>
  <c r="B74" i="40"/>
  <c r="B74" i="18"/>
  <c r="B74" i="35"/>
  <c r="B74" i="32"/>
  <c r="O74" i="34"/>
  <c r="O74" i="36"/>
  <c r="B70" i="7"/>
  <c r="B74" i="31"/>
  <c r="O74" i="35"/>
  <c r="B74" i="33"/>
  <c r="O74" i="31"/>
  <c r="O74" i="32"/>
  <c r="B74" i="34"/>
  <c r="O74" i="37"/>
  <c r="O74" i="33"/>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B75" i="32" l="1"/>
  <c r="O75" i="31"/>
  <c r="O75" i="18"/>
  <c r="B71" i="7"/>
  <c r="O75" i="36"/>
  <c r="B75" i="33"/>
  <c r="B75" i="34"/>
  <c r="B75" i="31"/>
  <c r="B75" i="37"/>
  <c r="O75" i="35"/>
  <c r="O75" i="33"/>
  <c r="B75" i="40"/>
  <c r="B75" i="36"/>
  <c r="B75" i="18"/>
  <c r="O75" i="40"/>
  <c r="B75" i="35"/>
  <c r="O75" i="34"/>
  <c r="O75" i="32"/>
  <c r="O75" i="37"/>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O76" i="32" l="1"/>
  <c r="O76" i="33"/>
  <c r="B76" i="40"/>
  <c r="O76" i="36"/>
  <c r="B76" i="31"/>
  <c r="B76" i="37"/>
  <c r="B76" i="36"/>
  <c r="O76" i="18"/>
  <c r="B76" i="18"/>
  <c r="O76" i="34"/>
  <c r="B72" i="7"/>
  <c r="O76" i="37"/>
  <c r="O76" i="40"/>
  <c r="O76" i="35"/>
  <c r="B76" i="34"/>
  <c r="B76" i="32"/>
  <c r="B76" i="33"/>
  <c r="O76" i="31"/>
  <c r="B76" i="35"/>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B77" i="31" l="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B78" i="34" l="1"/>
  <c r="B78" i="32"/>
  <c r="B78" i="36"/>
  <c r="B74" i="7"/>
  <c r="B78" i="35"/>
  <c r="O78" i="34"/>
  <c r="B78" i="40"/>
  <c r="O78" i="40"/>
  <c r="O78" i="31"/>
  <c r="O78" i="33"/>
  <c r="B78" i="31"/>
  <c r="O78" i="36"/>
  <c r="B78" i="33"/>
  <c r="O78" i="32"/>
  <c r="O78" i="35"/>
  <c r="B78" i="18"/>
  <c r="B78" i="37"/>
  <c r="O78" i="37"/>
  <c r="O78" i="18"/>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O79" i="37" l="1"/>
  <c r="B79" i="31"/>
  <c r="O79" i="18"/>
  <c r="B79" i="37"/>
  <c r="B79" i="36"/>
  <c r="O79" i="32"/>
  <c r="B79" i="40"/>
  <c r="B79" i="35"/>
  <c r="O79" i="34"/>
  <c r="O79" i="33"/>
  <c r="O79" i="35"/>
  <c r="B75" i="7"/>
  <c r="B79" i="32"/>
  <c r="B79" i="33"/>
  <c r="O79" i="31"/>
  <c r="B79" i="34"/>
  <c r="O79" i="40"/>
  <c r="O79" i="36"/>
  <c r="B79" i="18"/>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O80" i="32" l="1"/>
  <c r="B76" i="7"/>
  <c r="O80" i="18"/>
  <c r="O80" i="31"/>
  <c r="O80" i="36"/>
  <c r="B80" i="37"/>
  <c r="O80" i="35"/>
  <c r="B80" i="18"/>
  <c r="O80" i="40"/>
  <c r="O80" i="33"/>
  <c r="B80" i="40"/>
  <c r="B80" i="35"/>
  <c r="B80" i="36"/>
  <c r="B80" i="34"/>
  <c r="O80" i="37"/>
  <c r="B80" i="32"/>
  <c r="B80" i="33"/>
  <c r="O80" i="34"/>
  <c r="B80" i="31"/>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O81" i="18" l="1"/>
  <c r="O81" i="33"/>
  <c r="B81" i="31"/>
  <c r="O81" i="34"/>
  <c r="B77" i="7"/>
  <c r="O81" i="35"/>
  <c r="O81" i="32"/>
  <c r="O81" i="37"/>
  <c r="B81" i="32"/>
  <c r="B81" i="36"/>
  <c r="B81" i="33"/>
  <c r="B81" i="35"/>
  <c r="O81" i="31"/>
  <c r="B81" i="40"/>
  <c r="O81" i="40"/>
  <c r="B81" i="34"/>
  <c r="O81" i="36"/>
  <c r="B81" i="18"/>
  <c r="B81" i="37"/>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B82" i="37" l="1"/>
  <c r="B82" i="40"/>
  <c r="O82" i="33"/>
  <c r="O82" i="35"/>
  <c r="O82" i="18"/>
  <c r="B82" i="31"/>
  <c r="B82" i="32"/>
  <c r="O82" i="31"/>
  <c r="O82" i="37"/>
  <c r="B78" i="7"/>
  <c r="O82" i="40"/>
  <c r="O82" i="32"/>
  <c r="B82" i="36"/>
  <c r="B82" i="33"/>
  <c r="O82" i="34"/>
  <c r="O82" i="36"/>
  <c r="B82" i="35"/>
  <c r="B82" i="34"/>
  <c r="B82" i="18"/>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B83" i="33"/>
  <c r="O83" i="40"/>
  <c r="B79" i="7"/>
  <c r="B83" i="40"/>
  <c r="B83" i="35"/>
  <c r="O83" i="31"/>
  <c r="B83" i="31"/>
  <c r="O83" i="36"/>
  <c r="B83" i="37"/>
  <c r="O83" i="18"/>
  <c r="B83" i="18"/>
  <c r="B83" i="34"/>
  <c r="B83" i="36"/>
  <c r="O83" i="34"/>
  <c r="O83" i="33"/>
  <c r="O83" i="35"/>
  <c r="O83" i="37"/>
  <c r="O83" i="32"/>
  <c r="B83" i="32"/>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B84" i="32" l="1"/>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B81" i="7" l="1"/>
  <c r="B85" i="32"/>
  <c r="B85" i="35"/>
  <c r="B85" i="36"/>
  <c r="O85" i="35"/>
  <c r="O85" i="36"/>
  <c r="O85" i="34"/>
  <c r="O85" i="37"/>
  <c r="B85" i="18"/>
  <c r="B85" i="31"/>
  <c r="O85" i="31"/>
  <c r="O85" i="32"/>
  <c r="O85" i="18"/>
  <c r="B85" i="33"/>
  <c r="B85" i="37"/>
  <c r="O85" i="40"/>
  <c r="B85" i="34"/>
  <c r="O85" i="33"/>
  <c r="B85" i="40"/>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B86" i="37" l="1"/>
  <c r="B86" i="31"/>
  <c r="O86" i="40"/>
  <c r="O86" i="31"/>
  <c r="O86" i="37"/>
  <c r="O86" i="35"/>
  <c r="B86" i="35"/>
  <c r="B86" i="36"/>
  <c r="B86" i="32"/>
  <c r="B86" i="33"/>
  <c r="O86" i="36"/>
  <c r="O86" i="32"/>
  <c r="O86" i="34"/>
  <c r="O86" i="33"/>
  <c r="B86" i="40"/>
  <c r="O86" i="18"/>
  <c r="B82" i="7"/>
  <c r="B86" i="34"/>
  <c r="B86" i="18"/>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O87" i="32"/>
  <c r="B87" i="18"/>
  <c r="O87" i="18"/>
  <c r="B87" i="33"/>
  <c r="B87" i="31"/>
  <c r="O87" i="34"/>
  <c r="B87" i="32"/>
  <c r="O87" i="35"/>
  <c r="B87" i="34"/>
  <c r="O87" i="36"/>
  <c r="O87" i="31"/>
  <c r="O87" i="37"/>
  <c r="O87" i="40"/>
  <c r="B83" i="7"/>
  <c r="B87" i="40"/>
  <c r="O87" i="33"/>
  <c r="B87" i="37"/>
  <c r="B87" i="35"/>
  <c r="B87" i="36"/>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B88" i="34" l="1"/>
  <c r="O88" i="33"/>
  <c r="B88" i="18"/>
  <c r="B88" i="31"/>
  <c r="B88" i="37"/>
  <c r="O88" i="36"/>
  <c r="O88" i="31"/>
  <c r="O88" i="34"/>
  <c r="B84" i="7"/>
  <c r="O88" i="37"/>
  <c r="B88" i="32"/>
  <c r="O88" i="40"/>
  <c r="O88" i="35"/>
  <c r="B88" i="40"/>
  <c r="B88" i="33"/>
  <c r="B88" i="35"/>
  <c r="O88" i="32"/>
  <c r="O88" i="18"/>
  <c r="B88" i="36"/>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B85" i="7" l="1"/>
  <c r="O89" i="34"/>
  <c r="B89" i="40"/>
  <c r="B89" i="32"/>
  <c r="B89" i="18"/>
  <c r="B89" i="36"/>
  <c r="O89" i="36"/>
  <c r="O89" i="33"/>
  <c r="B89" i="35"/>
  <c r="O89" i="35"/>
  <c r="B89" i="33"/>
  <c r="O89" i="40"/>
  <c r="O89" i="32"/>
  <c r="O89" i="18"/>
  <c r="B89" i="31"/>
  <c r="O89" i="31"/>
  <c r="B89" i="37"/>
  <c r="B89" i="34"/>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O90" i="31" l="1"/>
  <c r="O90" i="18"/>
  <c r="O90" i="40"/>
  <c r="O90" i="34"/>
  <c r="B90" i="34"/>
  <c r="O90" i="36"/>
  <c r="O90" i="33"/>
  <c r="B90" i="36"/>
  <c r="B90" i="37"/>
  <c r="B90" i="40"/>
  <c r="B90" i="32"/>
  <c r="B86" i="7"/>
  <c r="B90" i="18"/>
  <c r="B90" i="35"/>
  <c r="O90" i="37"/>
  <c r="B90" i="33"/>
  <c r="O90" i="32"/>
  <c r="B90" i="31"/>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B91" i="35" l="1"/>
  <c r="O91" i="33"/>
  <c r="B87" i="7"/>
  <c r="O91" i="40"/>
  <c r="O91" i="36"/>
  <c r="B91" i="33"/>
  <c r="O91" i="35"/>
  <c r="B91" i="31"/>
  <c r="O91" i="37"/>
  <c r="O91" i="32"/>
  <c r="O91" i="34"/>
  <c r="B91" i="37"/>
  <c r="O91" i="31"/>
  <c r="B91" i="40"/>
  <c r="O91" i="18"/>
  <c r="B91" i="32"/>
  <c r="B91" i="18"/>
  <c r="B91" i="36"/>
  <c r="B91" i="34"/>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O92" i="33"/>
  <c r="B92" i="33"/>
  <c r="B88" i="7"/>
  <c r="O92" i="31"/>
  <c r="B92" i="37"/>
  <c r="O92" i="18"/>
  <c r="O92" i="35"/>
  <c r="B92" i="36"/>
  <c r="B92" i="31"/>
  <c r="B92" i="32"/>
  <c r="O92" i="40"/>
  <c r="B92" i="40"/>
  <c r="B92" i="35"/>
  <c r="B92" i="34"/>
  <c r="O92" i="36"/>
  <c r="B92" i="18"/>
  <c r="O92" i="37"/>
  <c r="O92" i="32"/>
  <c r="O92" i="34"/>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B89" i="7" l="1"/>
  <c r="O93" i="33"/>
  <c r="O93" i="35"/>
  <c r="B93" i="35"/>
  <c r="B93" i="36"/>
  <c r="B93" i="18"/>
  <c r="O93" i="37"/>
  <c r="B93" i="37"/>
  <c r="O93" i="31"/>
  <c r="O93" i="18"/>
  <c r="B93" i="33"/>
  <c r="O93" i="34"/>
  <c r="O93" i="40"/>
  <c r="O93" i="36"/>
  <c r="B93" i="32"/>
  <c r="B93" i="40"/>
  <c r="B93" i="31"/>
  <c r="B93" i="34"/>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B94" i="34" l="1"/>
  <c r="O94" i="18"/>
  <c r="B94" i="33"/>
  <c r="O94" i="36"/>
  <c r="B94" i="35"/>
  <c r="O94" i="37"/>
  <c r="O94" i="35"/>
  <c r="O94" i="32"/>
  <c r="O94" i="34"/>
  <c r="O94" i="40"/>
  <c r="B94" i="37"/>
  <c r="O94" i="33"/>
  <c r="B94" i="31"/>
  <c r="B90" i="7"/>
  <c r="O94" i="31"/>
  <c r="B94" i="32"/>
  <c r="B94" i="40"/>
  <c r="B94" i="36"/>
  <c r="B94" i="18"/>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O95" i="31" l="1"/>
  <c r="B95" i="40"/>
  <c r="B95" i="33"/>
  <c r="B95" i="31"/>
  <c r="B95" i="34"/>
  <c r="O95" i="40"/>
  <c r="O95" i="35"/>
  <c r="O95" i="18"/>
  <c r="O95" i="37"/>
  <c r="B91" i="7"/>
  <c r="O95" i="32"/>
  <c r="O95" i="34"/>
  <c r="B95" i="35"/>
  <c r="B95" i="32"/>
  <c r="B95" i="18"/>
  <c r="B95" i="36"/>
  <c r="O95" i="36"/>
  <c r="B95" i="37"/>
  <c r="O95" i="33"/>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B92" i="7" l="1"/>
  <c r="B96" i="36"/>
  <c r="B96" i="35"/>
  <c r="B96" i="32"/>
  <c r="B96" i="37"/>
  <c r="O96" i="40"/>
  <c r="O96" i="32"/>
  <c r="B96" i="40"/>
  <c r="O96" i="33"/>
  <c r="B96" i="18"/>
  <c r="B96" i="33"/>
  <c r="O96" i="36"/>
  <c r="B96" i="31"/>
  <c r="O96" i="35"/>
  <c r="O96" i="18"/>
  <c r="O96" i="37"/>
  <c r="O96" i="34"/>
  <c r="O96" i="31"/>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B97" i="32" l="1"/>
  <c r="O97" i="35"/>
  <c r="O97" i="31"/>
  <c r="B97" i="31"/>
  <c r="O97" i="18"/>
  <c r="B97" i="18"/>
  <c r="B97" i="37"/>
  <c r="O97" i="34"/>
  <c r="O97" i="32"/>
  <c r="B97" i="35"/>
  <c r="O97" i="40"/>
  <c r="B97" i="36"/>
  <c r="B97" i="40"/>
  <c r="O97" i="37"/>
  <c r="B93" i="7"/>
  <c r="O97" i="36"/>
  <c r="B97" i="33"/>
  <c r="O97" i="33"/>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O98" i="40" l="1"/>
  <c r="O98" i="33"/>
  <c r="O98" i="18"/>
  <c r="B98" i="40"/>
  <c r="O98" i="37"/>
  <c r="B98" i="31"/>
  <c r="O98" i="36"/>
  <c r="O98" i="35"/>
  <c r="O98" i="31"/>
  <c r="B98" i="37"/>
  <c r="O98" i="34"/>
  <c r="B98" i="33"/>
  <c r="B98" i="32"/>
  <c r="O98" i="32"/>
  <c r="B98" i="35"/>
  <c r="B98" i="18"/>
  <c r="B98" i="34"/>
  <c r="B98" i="36"/>
  <c r="B94" i="7"/>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B99" i="33" l="1"/>
  <c r="O99" i="35"/>
  <c r="B99" i="18"/>
  <c r="B99" i="36"/>
  <c r="B99" i="31"/>
  <c r="B99" i="32"/>
  <c r="B99" i="37"/>
  <c r="B99" i="34"/>
  <c r="O99" i="40"/>
  <c r="O99" i="36"/>
  <c r="O99" i="37"/>
  <c r="O99" i="31"/>
  <c r="B99" i="40"/>
  <c r="O99" i="33"/>
  <c r="O99" i="18"/>
  <c r="O99" i="34"/>
  <c r="B99" i="35"/>
  <c r="O99" i="32"/>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V99" i="37" l="1"/>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<sst xmlns="http://schemas.openxmlformats.org/spreadsheetml/2006/main" count="1446" uniqueCount="343">
  <si>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</si>
  <si>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</si>
  <si>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</si>
  <si>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</si>
  <si>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</si>
  <si>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</si>
  <si>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</si>
  <si>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</si>
  <si>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</si>
  <si>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</si>
  <si>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</si>
  <si>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</si>
  <si>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</si>
  <si>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</si>
  <si>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</si>
  <si>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</si>
  <si>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</si>
  <si>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</si>
  <si>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</si>
  <si>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</si>
  <si>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</si>
  <si>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</si>
  <si>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</si>
  <si>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</si>
  <si>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</si>
  <si>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</si>
  <si>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</si>
  <si>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</si>
  <si>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</si>
  <si>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</si>
  <si>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</si>
  <si>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</si>
  <si>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</si>
  <si>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</si>
  <si>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</si>
  <si>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</si>
  <si>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</si>
  <si>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</si>
  <si>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</si>
  <si>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</si>
  <si>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</si>
  <si>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</si>
  <si>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</si>
  <si>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</si>
  <si>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</si>
  <si>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</si>
  <si>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</si>
  <si>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</si>
  <si>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</si>
  <si>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</si>
  <si>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</si>
  <si>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</si>
  <si>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</si>
  <si>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</si>
  <si>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</si>
  <si>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</si>
  <si>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</si>
  <si>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</si>
  <si>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</si>
  <si>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</si>
  <si>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</si>
  <si>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</si>
  <si>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</si>
  <si>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</si>
  <si>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</si>
  <si>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</si>
  <si>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</si>
  <si>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</si>
  <si>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</si>
  <si>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</si>
  <si>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</si>
  <si>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</si>
  <si>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</si>
  <si>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</si>
  <si>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</si>
  <si>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</si>
  <si>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</si>
  <si>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</si>
  <si>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</si>
  <si>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</si>
  <si>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</si>
  <si>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</si>
  <si>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</si>
  <si>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</si>
  <si>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</si>
  <si>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</si>
  <si>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</si>
  <si>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</si>
  <si>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</si>
  <si>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</si>
  <si>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</si>
  <si>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</si>
  <si>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</si>
  <si>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</si>
  <si>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</si>
  <si>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</si>
  <si>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</si>
  <si>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</si>
  <si>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</si>
  <si>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</si>
  <si>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</si>
  <si>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</si>
  <si>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</si>
  <si>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</si>
  <si>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</si>
  <si>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</si>
  <si>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</si>
  <si>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</si>
  <si>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</si>
  <si>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</si>
  <si>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</si>
  <si>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</si>
  <si>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</si>
  <si>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</si>
  <si>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</si>
  <si>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</si>
  <si>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</si>
  <si>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</si>
  <si>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</si>
  <si>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</si>
  <si>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</si>
  <si>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</si>
  <si>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</si>
  <si>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</si>
  <si>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</si>
  <si>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</si>
  <si>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</si>
  <si>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</si>
  <si>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</si>
  <si>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</si>
  <si>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</si>
  <si>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</si>
  <si>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</si>
  <si>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</si>
  <si>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</si>
  <si>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</si>
  <si>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</si>
  <si>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</si>
  <si>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</si>
  <si>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</si>
  <si>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</si>
  <si>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</si>
  <si>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</si>
  <si>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</si>
  <si>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</si>
  <si>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</si>
  <si>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</si>
  <si>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</si>
  <si>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</si>
  <si>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</si>
  <si>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</si>
  <si>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</si>
  <si>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</si>
  <si>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</si>
  <si>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</si>
  <si>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</si>
  <si>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</si>
  <si>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</si>
  <si>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</si>
  <si>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</si>
  <si>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</si>
  <si>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</si>
  <si>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</si>
  <si>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</si>
  <si>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</si>
  <si>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</si>
  <si>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</si>
  <si>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</si>
  <si>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</si>
  <si>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</si>
  <si>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</si>
  <si>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</si>
  <si>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</si>
  <si>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</si>
  <si>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</si>
  <si>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</si>
  <si>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</si>
  <si>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</si>
  <si>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</si>
  <si>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</si>
  <si>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</si>
  <si>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</si>
  <si>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</si>
  <si>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</si>
  <si>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</si>
  <si>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</si>
  <si>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</si>
  <si>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</si>
  <si>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</si>
  <si>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</si>
  <si>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</si>
  <si>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</si>
  <si>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</si>
  <si>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</si>
  <si>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</si>
  <si>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</si>
  <si>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</si>
  <si>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</si>
  <si>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</si>
  <si>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</si>
  <si>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</si>
  <si>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</si>
  <si>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</si>
  <si>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</si>
  <si>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</si>
  <si>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</si>
  <si>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</si>
  <si>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</si>
  <si>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</si>
  <si>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</si>
  <si>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</si>
  <si>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</si>
  <si>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</si>
  <si>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</si>
  <si>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</si>
  <si>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</si>
  <si>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</si>
  <si>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</si>
  <si>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</si>
  <si>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</si>
  <si>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</si>
  <si>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</si>
  <si>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</si>
  <si>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</si>
  <si>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</si>
  <si>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</si>
  <si>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</si>
  <si>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</si>
  <si>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</si>
  <si>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</si>
  <si>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</si>
  <si>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</si>
  <si>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</si>
  <si>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</si>
  <si>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</si>
  <si>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</si>
  <si>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</si>
  <si>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</si>
  <si>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</si>
  <si>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</si>
  <si>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</si>
  <si>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</si>
  <si>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</si>
  <si>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</si>
  <si>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</si>
  <si>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</si>
  <si>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</si>
  <si>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</si>
  <si>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</si>
  <si>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</si>
  <si>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</si>
  <si>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</si>
  <si>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</si>
  <si>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</si>
  <si>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</si>
  <si>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</si>
  <si>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</si>
  <si>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</si>
  <si>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</si>
  <si>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</si>
  <si>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</si>
  <si>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</si>
  <si>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</si>
  <si>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</si>
  <si>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</si>
  <si>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</si>
  <si>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</si>
  <si>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</si>
  <si>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</si>
  <si>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</si>
  <si>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</si>
  <si>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</si>
  <si>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</si>
  <si>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</si>
  <si>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</si>
  <si>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</si>
  <si>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</si>
  <si>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</si>
  <si>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</si>
  <si>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</si>
  <si>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</si>
  <si>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</si>
  <si>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</si>
  <si>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</si>
  <si>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</si>
  <si>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</si>
  <si>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</si>
  <si>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</si>
  <si>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</si>
  <si>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</si>
  <si>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</si>
  <si>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</si>
  <si>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</si>
  <si>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</si>
  <si>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</si>
  <si>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</si>
  <si>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</si>
  <si>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</si>
  <si>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</si>
  <si>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</si>
  <si>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</si>
  <si>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</si>
  <si>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</si>
  <si>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</si>
  <si>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</si>
  <si>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</si>
  <si>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</si>
  <si>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</si>
  <si>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</si>
  <si>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</si>
  <si>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</si>
  <si>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</si>
  <si>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</si>
  <si>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</si>
  <si>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</si>
  <si>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</si>
  <si>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</si>
  <si>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</si>
  <si>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</si>
  <si>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</si>
  <si>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</si>
  <si>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</si>
  <si>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</si>
  <si>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</si>
  <si>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</si>
  <si>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</si>
  <si>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</si>
  <si>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</si>
  <si>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</si>
  <si>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</si>
  <si>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</si>
  <si>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</si>
  <si>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</si>
  <si>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</si>
  <si>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</si>
  <si>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</si>
  <si>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</si>
  <si>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</si>
  <si>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Diangkut TPA</t>
  </si>
  <si>
    <t>Dibuang Ke Badan Air</t>
  </si>
  <si>
    <t>Open Dumping</t>
  </si>
  <si>
    <t>Terhampar Sembarangan</t>
  </si>
  <si>
    <t>Kutai Kertanegara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</si>
</sst>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7">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sz val="10"/>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b/>
      <sz val="8"/>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57">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29" xfId="2" applyFont="1" applyFill="1" applyBorder="1" applyAlignment="1" applyProtection="1">
      <alignment horizontal="center" wrapText="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5" fillId="2" borderId="32" xfId="0" applyFont="1" applyFill="1" applyBorder="1" applyAlignment="1" applyProtection="1">
      <alignment horizontal="center" wrapText="1"/>
    </xf>
    <xf numFmtId="0" fontId="26" fillId="13" borderId="0" xfId="0" applyFont="1" applyFill="1"/>
    <xf numFmtId="0" fontId="0" fillId="13" borderId="0" xfId="0" applyFill="1"/>
    <xf numFmtId="0" fontId="0" fillId="13" borderId="30" xfId="0" applyFill="1" applyBorder="1"/>
    <xf numFmtId="0" fontId="0" fillId="13" borderId="0" xfId="0" applyFill="1" applyBorder="1"/>
    <xf numFmtId="0" fontId="25" fillId="13" borderId="0" xfId="0" applyFont="1" applyFill="1" applyBorder="1" applyAlignment="1">
      <alignment horizontal="center"/>
    </xf>
    <xf numFmtId="0" fontId="0" fillId="13" borderId="0" xfId="0" applyFill="1" applyBorder="1" applyAlignment="1">
      <alignment horizontal="center"/>
    </xf>
    <xf numFmtId="0" fontId="25"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5"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8" fillId="14" borderId="51" xfId="2" applyNumberFormat="1" applyFont="1" applyFill="1" applyBorder="1"/>
    <xf numFmtId="0" fontId="8" fillId="18" borderId="20" xfId="0" applyFont="1" applyFill="1" applyBorder="1" applyAlignment="1">
      <alignment horizontal="center" vertical="center" wrapText="1"/>
    </xf>
    <xf numFmtId="0" fontId="25"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5" fillId="18" borderId="52" xfId="0" applyFont="1" applyFill="1" applyBorder="1" applyAlignment="1">
      <alignment horizontal="center" vertical="center" wrapText="1"/>
    </xf>
    <xf numFmtId="0" fontId="25"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9"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30"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30"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3"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36" fillId="2" borderId="17" xfId="0" applyFont="1" applyFill="1" applyBorder="1" applyAlignment="1">
      <alignment horizontal="center" wrapText="1"/>
    </xf>
    <xf numFmtId="0" fontId="0" fillId="0" borderId="0" xfId="0" applyAlignment="1">
      <alignment vertical="center"/>
    </xf>
    <xf numFmtId="0" fontId="4" fillId="0" borderId="0" xfId="0" applyFont="1" applyBorder="1" applyAlignment="1">
      <alignment vertical="center"/>
    </xf>
    <xf numFmtId="10" fontId="0" fillId="0" borderId="0" xfId="2" applyNumberFormat="1" applyFont="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5" fillId="14" borderId="30" xfId="0" applyNumberFormat="1" applyFont="1" applyFill="1" applyBorder="1" applyAlignment="1">
      <alignment horizontal="center" vertical="center" wrapText="1"/>
    </xf>
    <xf numFmtId="10" fontId="23" fillId="14" borderId="27" xfId="2" applyNumberFormat="1" applyFont="1" applyFill="1" applyBorder="1" applyAlignment="1">
      <alignment vertical="center"/>
    </xf>
    <xf numFmtId="10" fontId="23" fillId="14" borderId="28" xfId="2" applyNumberFormat="1" applyFont="1" applyFill="1" applyBorder="1" applyAlignment="1">
      <alignment vertical="center"/>
    </xf>
    <xf numFmtId="10" fontId="8" fillId="14" borderId="28" xfId="2" applyNumberFormat="1" applyFont="1" applyFill="1" applyBorder="1" applyAlignment="1">
      <alignment vertical="center"/>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8"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1" fillId="11" borderId="0" xfId="0" applyNumberFormat="1" applyFont="1" applyFill="1" applyBorder="1" applyAlignment="1">
      <alignment vertical="center"/>
    </xf>
    <xf numFmtId="0" fontId="2" fillId="7" borderId="0" xfId="0" applyFont="1" applyFill="1" applyAlignment="1">
      <alignment vertical="center" wrapText="1"/>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3" fontId="2" fillId="11" borderId="0" xfId="0" applyNumberFormat="1" applyFont="1" applyFill="1" applyBorder="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1" fontId="1" fillId="0" borderId="25" xfId="0" applyNumberFormat="1" applyFont="1" applyFill="1" applyBorder="1" applyAlignment="1" applyProtection="1">
      <alignment vertical="center"/>
      <protection locked="0"/>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3" fontId="1" fillId="8" borderId="25" xfId="0" applyNumberFormat="1" applyFont="1" applyFill="1" applyBorder="1" applyAlignment="1">
      <alignment vertical="center"/>
    </xf>
    <xf numFmtId="1" fontId="1" fillId="0" borderId="1" xfId="0" applyNumberFormat="1" applyFont="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3" fontId="1" fillId="8" borderId="1" xfId="0" applyNumberFormat="1" applyFont="1" applyFill="1" applyBorder="1" applyAlignment="1">
      <alignment vertical="center"/>
    </xf>
    <xf numFmtId="1" fontId="1" fillId="0" borderId="20" xfId="0" applyNumberFormat="1" applyFont="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1" fillId="0" borderId="66" xfId="0" applyFont="1" applyFill="1" applyBorder="1" applyAlignment="1">
      <alignment horizontal="center"/>
    </xf>
    <xf numFmtId="0" fontId="31" fillId="0" borderId="46" xfId="0" applyFont="1" applyFill="1" applyBorder="1" applyAlignment="1">
      <alignment horizontal="center"/>
    </xf>
    <xf numFmtId="0" fontId="31" fillId="0" borderId="34" xfId="0" applyFont="1" applyFill="1" applyBorder="1" applyAlignment="1">
      <alignment horizontal="center"/>
    </xf>
    <xf numFmtId="0" fontId="32" fillId="0" borderId="45" xfId="0" applyFont="1" applyBorder="1" applyAlignment="1" applyProtection="1">
      <alignment horizontal="center"/>
      <protection locked="0"/>
    </xf>
    <xf numFmtId="0" fontId="32"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4"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UKAR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C30">
            <v>26.164919088000001</v>
          </cell>
        </row>
        <row r="31">
          <cell r="C31">
            <v>26.651413536000003</v>
          </cell>
        </row>
        <row r="32">
          <cell r="C32">
            <v>27.453895128000003</v>
          </cell>
        </row>
        <row r="33">
          <cell r="C33">
            <v>29.619880355999999</v>
          </cell>
        </row>
        <row r="34">
          <cell r="C34">
            <v>29.9204565</v>
          </cell>
        </row>
        <row r="35">
          <cell r="C35">
            <v>30.735081960000002</v>
          </cell>
        </row>
        <row r="36">
          <cell r="C36">
            <v>31.356083616000003</v>
          </cell>
        </row>
        <row r="37">
          <cell r="C37">
            <v>31.976098967999999</v>
          </cell>
        </row>
        <row r="38">
          <cell r="C38">
            <v>32.591306088000003</v>
          </cell>
        </row>
        <row r="39">
          <cell r="C39">
            <v>33.197081676000003</v>
          </cell>
        </row>
        <row r="40">
          <cell r="C40">
            <v>38.631061920000008</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59" t="s">
        <v>212</v>
      </c>
      <c r="C7" s="759"/>
      <c r="D7" s="759"/>
      <c r="E7" s="759"/>
      <c r="F7" s="759"/>
      <c r="G7" s="759"/>
      <c r="H7" s="759"/>
      <c r="I7" s="759"/>
      <c r="J7" s="395"/>
      <c r="K7" s="395"/>
    </row>
    <row r="8" spans="2:11" s="9" customFormat="1">
      <c r="B8" s="10"/>
      <c r="C8" s="10"/>
      <c r="D8" s="10"/>
      <c r="E8" s="10"/>
      <c r="F8" s="10"/>
      <c r="G8" s="10"/>
      <c r="H8" s="10"/>
      <c r="I8" s="10"/>
      <c r="J8" s="10"/>
      <c r="K8" s="10"/>
    </row>
    <row r="9" spans="2:11" ht="44.1" customHeight="1">
      <c r="B9" s="760" t="s">
        <v>227</v>
      </c>
      <c r="C9" s="760"/>
      <c r="D9" s="760"/>
      <c r="E9" s="760"/>
      <c r="F9" s="760"/>
      <c r="G9" s="760"/>
      <c r="H9" s="760"/>
      <c r="I9" s="760"/>
      <c r="J9" s="396"/>
      <c r="K9" s="396"/>
    </row>
    <row r="10" spans="2:11" ht="14.45" customHeight="1">
      <c r="I10" s="397" t="s">
        <v>213</v>
      </c>
    </row>
    <row r="11" spans="2:11" ht="6.75" customHeight="1"/>
    <row r="135" spans="9:9">
      <c r="I135" s="397"/>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25" customWidth="1"/>
    <col min="3" max="3" width="8.85546875" style="470" customWidth="1"/>
    <col min="4" max="4" width="8.28515625" style="470" customWidth="1"/>
    <col min="5" max="5" width="9.85546875" style="470" customWidth="1"/>
    <col min="6" max="6" width="9.140625" style="470" customWidth="1"/>
    <col min="7" max="9" width="8.42578125" style="470" customWidth="1"/>
    <col min="10" max="10" width="8.140625" style="470" customWidth="1"/>
    <col min="11" max="11" width="9.140625" style="470" customWidth="1"/>
    <col min="12" max="13" width="8.85546875" style="6" customWidth="1"/>
    <col min="14" max="14" width="12.28515625" style="470" customWidth="1"/>
    <col min="15" max="15" width="13.85546875" style="6" customWidth="1"/>
    <col min="16" max="16384" width="11.42578125" style="6"/>
  </cols>
  <sheetData>
    <row r="1" spans="2:15" ht="13.5" thickBot="1"/>
    <row r="2" spans="2:15" ht="13.5" thickBot="1">
      <c r="C2" s="527" t="s">
        <v>265</v>
      </c>
      <c r="D2" s="823" t="str">
        <f>city</f>
        <v>Kutai Kertanegara</v>
      </c>
      <c r="E2" s="824"/>
      <c r="F2" s="825"/>
    </row>
    <row r="3" spans="2:15" ht="13.5" thickBot="1">
      <c r="C3" s="527" t="s">
        <v>276</v>
      </c>
      <c r="D3" s="823" t="str">
        <f>province</f>
        <v>Kalimantan Timur</v>
      </c>
      <c r="E3" s="824"/>
      <c r="F3" s="825"/>
    </row>
    <row r="4" spans="2:15" ht="13.5" thickBot="1">
      <c r="B4" s="526"/>
      <c r="C4" s="527" t="s">
        <v>30</v>
      </c>
      <c r="D4" s="823">
        <f>country</f>
        <v>0</v>
      </c>
      <c r="E4" s="824"/>
      <c r="F4" s="825"/>
      <c r="H4" s="826"/>
      <c r="I4" s="826"/>
      <c r="J4" s="826"/>
      <c r="K4" s="826"/>
    </row>
    <row r="5" spans="2:15">
      <c r="B5" s="526"/>
      <c r="H5" s="827"/>
      <c r="I5" s="827"/>
      <c r="J5" s="827"/>
      <c r="K5" s="827"/>
    </row>
    <row r="6" spans="2:15" s="54" customFormat="1" ht="15.75">
      <c r="C6" s="528" t="s">
        <v>291</v>
      </c>
      <c r="D6" s="528"/>
      <c r="E6" s="528"/>
      <c r="F6" s="529"/>
      <c r="G6" s="529"/>
      <c r="H6" s="529"/>
      <c r="I6" s="529"/>
      <c r="J6" s="529"/>
      <c r="K6" s="529"/>
      <c r="N6" s="529"/>
    </row>
    <row r="7" spans="2:15">
      <c r="C7" s="530" t="s">
        <v>292</v>
      </c>
      <c r="D7" s="530"/>
      <c r="E7" s="530"/>
    </row>
    <row r="8" spans="2:15" ht="13.5" thickBot="1">
      <c r="B8" s="530"/>
    </row>
    <row r="9" spans="2:15" ht="13.5" thickBot="1">
      <c r="B9" s="530"/>
      <c r="C9" s="531" t="s">
        <v>293</v>
      </c>
      <c r="D9" s="530"/>
    </row>
    <row r="10" spans="2:15">
      <c r="B10" s="530"/>
      <c r="C10" s="532" t="s">
        <v>95</v>
      </c>
      <c r="D10" s="533">
        <f>Parameters!R26</f>
        <v>0</v>
      </c>
      <c r="E10" s="534" t="s">
        <v>6</v>
      </c>
      <c r="F10" s="533">
        <f>Parameters!R15</f>
        <v>0.15</v>
      </c>
      <c r="G10" s="535" t="s">
        <v>267</v>
      </c>
      <c r="H10" s="536">
        <f>Parameters!R21</f>
        <v>0.24</v>
      </c>
      <c r="I10" s="537"/>
      <c r="J10" s="537"/>
      <c r="K10" s="537"/>
      <c r="L10" s="538"/>
    </row>
    <row r="11" spans="2:15">
      <c r="B11" s="530"/>
      <c r="C11" s="539" t="s">
        <v>262</v>
      </c>
      <c r="D11" s="540">
        <f>Parameters!R16</f>
        <v>0.4</v>
      </c>
      <c r="E11" s="541" t="s">
        <v>261</v>
      </c>
      <c r="F11" s="540">
        <f>Parameters!R17</f>
        <v>0.2</v>
      </c>
      <c r="G11" s="542" t="s">
        <v>146</v>
      </c>
      <c r="H11" s="543">
        <f>Parameters!R27</f>
        <v>0.05</v>
      </c>
      <c r="I11" s="537"/>
      <c r="J11" s="537"/>
      <c r="K11" s="537"/>
      <c r="L11" s="538"/>
    </row>
    <row r="12" spans="2:15" ht="13.5" thickBot="1">
      <c r="B12" s="530"/>
      <c r="C12" s="544" t="s">
        <v>2</v>
      </c>
      <c r="D12" s="545">
        <f>Parameters!R20</f>
        <v>0.43</v>
      </c>
      <c r="E12" s="546" t="s">
        <v>16</v>
      </c>
      <c r="F12" s="545">
        <f>Parameters!R18</f>
        <v>0.24</v>
      </c>
      <c r="G12" s="546" t="s">
        <v>294</v>
      </c>
      <c r="H12" s="547">
        <f>Parameters!R28</f>
        <v>0.15</v>
      </c>
      <c r="I12" s="537"/>
      <c r="J12" s="537"/>
      <c r="K12" s="537"/>
      <c r="L12" s="290"/>
    </row>
    <row r="13" spans="2:15">
      <c r="B13" s="530"/>
    </row>
    <row r="14" spans="2:15" ht="13.5" thickBot="1">
      <c r="B14" s="548"/>
    </row>
    <row r="15" spans="2:15" s="555" customFormat="1" ht="39" thickBot="1">
      <c r="B15" s="549" t="s">
        <v>1</v>
      </c>
      <c r="C15" s="549" t="s">
        <v>95</v>
      </c>
      <c r="D15" s="476" t="s">
        <v>295</v>
      </c>
      <c r="E15" s="477" t="s">
        <v>261</v>
      </c>
      <c r="F15" s="477" t="s">
        <v>262</v>
      </c>
      <c r="G15" s="477" t="s">
        <v>2</v>
      </c>
      <c r="H15" s="477" t="s">
        <v>16</v>
      </c>
      <c r="I15" s="550" t="s">
        <v>267</v>
      </c>
      <c r="J15" s="551" t="s">
        <v>146</v>
      </c>
      <c r="K15" s="552" t="s">
        <v>296</v>
      </c>
      <c r="L15" s="477" t="s">
        <v>297</v>
      </c>
      <c r="M15" s="478" t="s">
        <v>298</v>
      </c>
      <c r="N15" s="553" t="s">
        <v>284</v>
      </c>
      <c r="O15" s="554" t="s">
        <v>299</v>
      </c>
    </row>
    <row r="16" spans="2:15" s="555" customFormat="1" ht="13.5" thickBot="1">
      <c r="B16" s="556"/>
      <c r="C16" s="48" t="s">
        <v>15</v>
      </c>
      <c r="D16" s="485" t="s">
        <v>15</v>
      </c>
      <c r="E16" s="483" t="s">
        <v>15</v>
      </c>
      <c r="F16" s="483" t="s">
        <v>15</v>
      </c>
      <c r="G16" s="483" t="s">
        <v>15</v>
      </c>
      <c r="H16" s="483" t="s">
        <v>15</v>
      </c>
      <c r="I16" s="557" t="s">
        <v>15</v>
      </c>
      <c r="J16" s="558" t="s">
        <v>15</v>
      </c>
      <c r="K16" s="559" t="s">
        <v>15</v>
      </c>
      <c r="L16" s="483" t="s">
        <v>15</v>
      </c>
      <c r="M16" s="484" t="s">
        <v>15</v>
      </c>
      <c r="N16" s="560" t="s">
        <v>15</v>
      </c>
      <c r="O16" s="484" t="s">
        <v>15</v>
      </c>
    </row>
    <row r="17" spans="2:15">
      <c r="B17" s="498"/>
      <c r="C17" s="561"/>
      <c r="D17" s="562"/>
      <c r="E17" s="563"/>
      <c r="F17" s="563"/>
      <c r="G17" s="563"/>
      <c r="H17" s="563"/>
      <c r="I17" s="564"/>
      <c r="J17" s="565"/>
      <c r="K17" s="566"/>
      <c r="L17" s="567"/>
      <c r="M17" s="568"/>
      <c r="N17" s="562"/>
      <c r="O17" s="569"/>
    </row>
    <row r="18" spans="2:15">
      <c r="B18" s="507">
        <f>year</f>
        <v>1950</v>
      </c>
      <c r="C18" s="570">
        <f>Amnt_Deposited!O14*$D$10*(1-DOCF)*MSW!E19</f>
        <v>0</v>
      </c>
      <c r="D18" s="571">
        <f>Amnt_Deposited!C14*$F$10*(1-DOCF)*Food!E19</f>
        <v>1.0422533869513921</v>
      </c>
      <c r="E18" s="572">
        <f>Amnt_Deposited!F14*$F$11*(1-DOCF)*Garden!E19</f>
        <v>0</v>
      </c>
      <c r="F18" s="572">
        <f>Amnt_Deposited!D14*$D$11*(1-DOCF)*Paper!E19</f>
        <v>0.53795073644928004</v>
      </c>
      <c r="G18" s="572">
        <f>Amnt_Deposited!G14*$D$12*(1-DOCF)*Wood!E19</f>
        <v>0</v>
      </c>
      <c r="H18" s="572">
        <f>Amnt_Deposited!H14*$F$12*(1-DOCF)*Textiles!E19</f>
        <v>2.0345841082828799E-2</v>
      </c>
      <c r="I18" s="573">
        <f>Amnt_Deposited!E14*$H$10*(1-DOCF)*Nappies!E19</f>
        <v>0</v>
      </c>
      <c r="J18" s="574">
        <f>Amnt_Deposited!N14*$H$11*(1-DOCF)*Sludge!E19</f>
        <v>0</v>
      </c>
      <c r="K18" s="575">
        <f>Amnt_Deposited!P14*$H$12*(1-DOCF)*Industry!E19</f>
        <v>0</v>
      </c>
      <c r="L18" s="572">
        <f>Amnt_Deposited!P14*Parameters!$E$58*$D$11*(1-DOCF)*Industry!E19</f>
        <v>0</v>
      </c>
      <c r="M18" s="573">
        <f>Amnt_Deposited!P14*Parameters!$E$59*$D$12*(1-DOCF)*Industry!E19</f>
        <v>0</v>
      </c>
      <c r="N18" s="508">
        <f t="shared" ref="N18:N49" si="0">IF(Select2=2,C18+J18+K18, D18+E18+F18+G18+H18+I18+J18+K18)</f>
        <v>1.6005499644835008</v>
      </c>
      <c r="O18" s="510">
        <f t="shared" ref="O18:O81" si="1">O17+N18</f>
        <v>1.6005499644835008</v>
      </c>
    </row>
    <row r="19" spans="2:15">
      <c r="B19" s="507">
        <f>B18+1</f>
        <v>1951</v>
      </c>
      <c r="C19" s="570">
        <f>Amnt_Deposited!O15*$D$10*(1-DOCF)*MSW!E20</f>
        <v>0</v>
      </c>
      <c r="D19" s="571">
        <f>Amnt_Deposited!C15*$F$10*(1-DOCF)*Food!E20</f>
        <v>1.0616324067930243</v>
      </c>
      <c r="E19" s="572">
        <f>Amnt_Deposited!F15*$F$11*(1-DOCF)*Garden!E20</f>
        <v>0</v>
      </c>
      <c r="F19" s="572">
        <f>Amnt_Deposited!D15*$D$11*(1-DOCF)*Paper!E20</f>
        <v>0.54795306230016017</v>
      </c>
      <c r="G19" s="572">
        <f>Amnt_Deposited!G15*$D$12*(1-DOCF)*Wood!E20</f>
        <v>0</v>
      </c>
      <c r="H19" s="572">
        <f>Amnt_Deposited!H15*$F$12*(1-DOCF)*Textiles!E20</f>
        <v>2.0724139165593604E-2</v>
      </c>
      <c r="I19" s="573">
        <f>Amnt_Deposited!E15*$H$10*(1-DOCF)*Nappies!E20</f>
        <v>0</v>
      </c>
      <c r="J19" s="574">
        <f>Amnt_Deposited!N15*$H$11*(1-DOCF)*Sludge!E20</f>
        <v>0</v>
      </c>
      <c r="K19" s="575">
        <f>Amnt_Deposited!P15*$H$12*(1-DOCF)*Industry!D20</f>
        <v>0</v>
      </c>
      <c r="L19" s="572">
        <f>Amnt_Deposited!P15*Parameters!$E$58*$D$11*(1-DOCF)*Industry!E20</f>
        <v>0</v>
      </c>
      <c r="M19" s="573">
        <f>Amnt_Deposited!P15*Parameters!$E$59*$D$12*(1-DOCF)*Industry!E20</f>
        <v>0</v>
      </c>
      <c r="N19" s="508">
        <f t="shared" si="0"/>
        <v>1.630309608258778</v>
      </c>
      <c r="O19" s="510">
        <f t="shared" si="1"/>
        <v>3.2308595727422791</v>
      </c>
    </row>
    <row r="20" spans="2:15">
      <c r="B20" s="507">
        <f t="shared" ref="B20:B83" si="2">B19+1</f>
        <v>1952</v>
      </c>
      <c r="C20" s="570">
        <f>Amnt_Deposited!O16*$D$10*(1-DOCF)*MSW!E21</f>
        <v>0</v>
      </c>
      <c r="D20" s="571">
        <f>Amnt_Deposited!C16*$F$10*(1-DOCF)*Food!E21</f>
        <v>1.0935984585287521</v>
      </c>
      <c r="E20" s="572">
        <f>Amnt_Deposited!F16*$F$11*(1-DOCF)*Garden!E21</f>
        <v>0</v>
      </c>
      <c r="F20" s="572">
        <f>Amnt_Deposited!D16*$D$11*(1-DOCF)*Paper!E21</f>
        <v>0.56445208383168011</v>
      </c>
      <c r="G20" s="572">
        <f>Amnt_Deposited!G16*$D$12*(1-DOCF)*Wood!E21</f>
        <v>0</v>
      </c>
      <c r="H20" s="572">
        <f>Amnt_Deposited!H16*$F$12*(1-DOCF)*Textiles!E21</f>
        <v>2.13481488515328E-2</v>
      </c>
      <c r="I20" s="573">
        <f>Amnt_Deposited!E16*$H$10*(1-DOCF)*Nappies!E21</f>
        <v>0</v>
      </c>
      <c r="J20" s="574">
        <f>Amnt_Deposited!N16*$H$11*(1-DOCF)*Sludge!E21</f>
        <v>0</v>
      </c>
      <c r="K20" s="575">
        <f>Amnt_Deposited!P16*$H$12*(1-DOCF)*Industry!D21</f>
        <v>0</v>
      </c>
      <c r="L20" s="572">
        <f>Amnt_Deposited!P16*Parameters!$E$58*$D$11*(1-DOCF)*Industry!E21</f>
        <v>0</v>
      </c>
      <c r="M20" s="573">
        <f>Amnt_Deposited!P16*Parameters!$E$59*$D$12*(1-DOCF)*Industry!E21</f>
        <v>0</v>
      </c>
      <c r="N20" s="508">
        <f t="shared" si="0"/>
        <v>1.6793986912119652</v>
      </c>
      <c r="O20" s="510">
        <f t="shared" si="1"/>
        <v>4.910258263954244</v>
      </c>
    </row>
    <row r="21" spans="2:15">
      <c r="B21" s="507">
        <f t="shared" si="2"/>
        <v>1953</v>
      </c>
      <c r="C21" s="570">
        <f>Amnt_Deposited!O17*$D$10*(1-DOCF)*MSW!E22</f>
        <v>0</v>
      </c>
      <c r="D21" s="571">
        <f>Amnt_Deposited!C17*$F$10*(1-DOCF)*Food!E22</f>
        <v>1.1798783141009042</v>
      </c>
      <c r="E21" s="572">
        <f>Amnt_Deposited!F17*$F$11*(1-DOCF)*Garden!E22</f>
        <v>0</v>
      </c>
      <c r="F21" s="572">
        <f>Amnt_Deposited!D17*$D$11*(1-DOCF)*Paper!E22</f>
        <v>0.6089847401193601</v>
      </c>
      <c r="G21" s="572">
        <f>Amnt_Deposited!G17*$D$12*(1-DOCF)*Wood!E22</f>
        <v>0</v>
      </c>
      <c r="H21" s="572">
        <f>Amnt_Deposited!H17*$F$12*(1-DOCF)*Textiles!E22</f>
        <v>2.3032418964825597E-2</v>
      </c>
      <c r="I21" s="573">
        <f>Amnt_Deposited!E17*$H$10*(1-DOCF)*Nappies!E22</f>
        <v>0</v>
      </c>
      <c r="J21" s="574">
        <f>Amnt_Deposited!N17*$H$11*(1-DOCF)*Sludge!E22</f>
        <v>0</v>
      </c>
      <c r="K21" s="575">
        <f>Amnt_Deposited!P17*$H$12*(1-DOCF)*Industry!D22</f>
        <v>0</v>
      </c>
      <c r="L21" s="572">
        <f>Amnt_Deposited!P17*Parameters!$E$58*$D$11*(1-DOCF)*Industry!E22</f>
        <v>0</v>
      </c>
      <c r="M21" s="573">
        <f>Amnt_Deposited!P17*Parameters!$E$59*$D$12*(1-DOCF)*Industry!E22</f>
        <v>0</v>
      </c>
      <c r="N21" s="508">
        <f t="shared" si="0"/>
        <v>1.81189547318509</v>
      </c>
      <c r="O21" s="510">
        <f t="shared" si="1"/>
        <v>6.7221537371393341</v>
      </c>
    </row>
    <row r="22" spans="2:15">
      <c r="B22" s="507">
        <f t="shared" si="2"/>
        <v>1954</v>
      </c>
      <c r="C22" s="570">
        <f>Amnt_Deposited!O18*$D$10*(1-DOCF)*MSW!E23</f>
        <v>0</v>
      </c>
      <c r="D22" s="571">
        <f>Amnt_Deposited!C18*$F$10*(1-DOCF)*Food!E23</f>
        <v>1.1918514642210001</v>
      </c>
      <c r="E22" s="572">
        <f>Amnt_Deposited!F18*$F$11*(1-DOCF)*Garden!E23</f>
        <v>0</v>
      </c>
      <c r="F22" s="572">
        <f>Amnt_Deposited!D18*$D$11*(1-DOCF)*Paper!E23</f>
        <v>0.61516458564000009</v>
      </c>
      <c r="G22" s="572">
        <f>Amnt_Deposited!G18*$D$12*(1-DOCF)*Wood!E23</f>
        <v>0</v>
      </c>
      <c r="H22" s="572">
        <f>Amnt_Deposited!H18*$F$12*(1-DOCF)*Textiles!E23</f>
        <v>2.32661469744E-2</v>
      </c>
      <c r="I22" s="573">
        <f>Amnt_Deposited!E18*$H$10*(1-DOCF)*Nappies!E23</f>
        <v>0</v>
      </c>
      <c r="J22" s="574">
        <f>Amnt_Deposited!N18*$H$11*(1-DOCF)*Sludge!E23</f>
        <v>0</v>
      </c>
      <c r="K22" s="575">
        <f>Amnt_Deposited!P18*$H$12*(1-DOCF)*Industry!D23</f>
        <v>0</v>
      </c>
      <c r="L22" s="572">
        <f>Amnt_Deposited!P18*Parameters!$E$58*$D$11*(1-DOCF)*Industry!E23</f>
        <v>0</v>
      </c>
      <c r="M22" s="573">
        <f>Amnt_Deposited!P18*Parameters!$E$59*$D$12*(1-DOCF)*Industry!E23</f>
        <v>0</v>
      </c>
      <c r="N22" s="508">
        <f t="shared" si="0"/>
        <v>1.8302821968354002</v>
      </c>
      <c r="O22" s="510">
        <f t="shared" si="1"/>
        <v>8.5524359339747349</v>
      </c>
    </row>
    <row r="23" spans="2:15">
      <c r="B23" s="507">
        <f t="shared" si="2"/>
        <v>1955</v>
      </c>
      <c r="C23" s="570">
        <f>Amnt_Deposited!O19*$D$10*(1-DOCF)*MSW!E24</f>
        <v>0</v>
      </c>
      <c r="D23" s="571">
        <f>Amnt_Deposited!C19*$F$10*(1-DOCF)*Food!E24</f>
        <v>1.2243012547946401</v>
      </c>
      <c r="E23" s="572">
        <f>Amnt_Deposited!F19*$F$11*(1-DOCF)*Garden!E24</f>
        <v>0</v>
      </c>
      <c r="F23" s="572">
        <f>Amnt_Deposited!D19*$D$11*(1-DOCF)*Paper!E24</f>
        <v>0.63191328509760014</v>
      </c>
      <c r="G23" s="572">
        <f>Amnt_Deposited!G19*$D$12*(1-DOCF)*Wood!E24</f>
        <v>0</v>
      </c>
      <c r="H23" s="572">
        <f>Amnt_Deposited!H19*$F$12*(1-DOCF)*Textiles!E24</f>
        <v>2.3899599732096002E-2</v>
      </c>
      <c r="I23" s="573">
        <f>Amnt_Deposited!E19*$H$10*(1-DOCF)*Nappies!E24</f>
        <v>0</v>
      </c>
      <c r="J23" s="574">
        <f>Amnt_Deposited!N19*$H$11*(1-DOCF)*Sludge!E24</f>
        <v>0</v>
      </c>
      <c r="K23" s="575">
        <f>Amnt_Deposited!P19*$H$12*(1-DOCF)*Industry!D24</f>
        <v>0</v>
      </c>
      <c r="L23" s="572">
        <f>Amnt_Deposited!P19*Parameters!$E$58*$D$11*(1-DOCF)*Industry!E24</f>
        <v>0</v>
      </c>
      <c r="M23" s="573">
        <f>Amnt_Deposited!P19*Parameters!$E$59*$D$12*(1-DOCF)*Industry!E24</f>
        <v>0</v>
      </c>
      <c r="N23" s="508">
        <f t="shared" si="0"/>
        <v>1.8801141396243364</v>
      </c>
      <c r="O23" s="510">
        <f t="shared" si="1"/>
        <v>10.432550073599071</v>
      </c>
    </row>
    <row r="24" spans="2:15">
      <c r="B24" s="507">
        <f t="shared" si="2"/>
        <v>1956</v>
      </c>
      <c r="C24" s="570">
        <f>Amnt_Deposited!O20*$D$10*(1-DOCF)*MSW!E25</f>
        <v>0</v>
      </c>
      <c r="D24" s="571">
        <f>Amnt_Deposited!C20*$F$10*(1-DOCF)*Food!E25</f>
        <v>1.2490382347597442</v>
      </c>
      <c r="E24" s="572">
        <f>Amnt_Deposited!F20*$F$11*(1-DOCF)*Garden!E25</f>
        <v>0</v>
      </c>
      <c r="F24" s="572">
        <f>Amnt_Deposited!D20*$D$11*(1-DOCF)*Paper!E25</f>
        <v>0.64468107914496009</v>
      </c>
      <c r="G24" s="572">
        <f>Amnt_Deposited!G20*$D$12*(1-DOCF)*Wood!E25</f>
        <v>0</v>
      </c>
      <c r="H24" s="572">
        <f>Amnt_Deposited!H20*$F$12*(1-DOCF)*Textiles!E25</f>
        <v>2.4382490619801599E-2</v>
      </c>
      <c r="I24" s="573">
        <f>Amnt_Deposited!E20*$H$10*(1-DOCF)*Nappies!E25</f>
        <v>0</v>
      </c>
      <c r="J24" s="574">
        <f>Amnt_Deposited!N20*$H$11*(1-DOCF)*Sludge!E25</f>
        <v>0</v>
      </c>
      <c r="K24" s="575">
        <f>Amnt_Deposited!P20*$H$12*(1-DOCF)*Industry!D25</f>
        <v>0</v>
      </c>
      <c r="L24" s="572">
        <f>Amnt_Deposited!P20*Parameters!$E$58*$D$11*(1-DOCF)*Industry!E25</f>
        <v>0</v>
      </c>
      <c r="M24" s="573">
        <f>Amnt_Deposited!P20*Parameters!$E$59*$D$12*(1-DOCF)*Industry!E25</f>
        <v>0</v>
      </c>
      <c r="N24" s="508">
        <f t="shared" si="0"/>
        <v>1.918101804524506</v>
      </c>
      <c r="O24" s="510">
        <f t="shared" si="1"/>
        <v>12.350651878123577</v>
      </c>
    </row>
    <row r="25" spans="2:15">
      <c r="B25" s="507">
        <f t="shared" si="2"/>
        <v>1957</v>
      </c>
      <c r="C25" s="570">
        <f>Amnt_Deposited!O21*$D$10*(1-DOCF)*MSW!E26</f>
        <v>0</v>
      </c>
      <c r="D25" s="571">
        <f>Amnt_Deposited!C21*$F$10*(1-DOCF)*Food!E26</f>
        <v>1.2737359262913122</v>
      </c>
      <c r="E25" s="572">
        <f>Amnt_Deposited!F21*$F$11*(1-DOCF)*Garden!E26</f>
        <v>0</v>
      </c>
      <c r="F25" s="572">
        <f>Amnt_Deposited!D21*$D$11*(1-DOCF)*Paper!E26</f>
        <v>0.65742859478208016</v>
      </c>
      <c r="G25" s="572">
        <f>Amnt_Deposited!G21*$D$12*(1-DOCF)*Wood!E26</f>
        <v>0</v>
      </c>
      <c r="H25" s="572">
        <f>Amnt_Deposited!H21*$F$12*(1-DOCF)*Textiles!E26</f>
        <v>2.4864614557516797E-2</v>
      </c>
      <c r="I25" s="573">
        <f>Amnt_Deposited!E21*$H$10*(1-DOCF)*Nappies!E26</f>
        <v>0</v>
      </c>
      <c r="J25" s="574">
        <f>Amnt_Deposited!N21*$H$11*(1-DOCF)*Sludge!E26</f>
        <v>0</v>
      </c>
      <c r="K25" s="575">
        <f>Amnt_Deposited!P21*$H$12*(1-DOCF)*Industry!D26</f>
        <v>0</v>
      </c>
      <c r="L25" s="572">
        <f>Amnt_Deposited!P21*Parameters!$E$58*$D$11*(1-DOCF)*Industry!E26</f>
        <v>0</v>
      </c>
      <c r="M25" s="573">
        <f>Amnt_Deposited!P21*Parameters!$E$59*$D$12*(1-DOCF)*Industry!E26</f>
        <v>0</v>
      </c>
      <c r="N25" s="508">
        <f t="shared" si="0"/>
        <v>1.9560291356309092</v>
      </c>
      <c r="O25" s="510">
        <f t="shared" si="1"/>
        <v>14.306681013754485</v>
      </c>
    </row>
    <row r="26" spans="2:15">
      <c r="B26" s="507">
        <f t="shared" si="2"/>
        <v>1958</v>
      </c>
      <c r="C26" s="570">
        <f>Amnt_Deposited!O22*$D$10*(1-DOCF)*MSW!E27</f>
        <v>0</v>
      </c>
      <c r="D26" s="571">
        <f>Amnt_Deposited!C22*$F$10*(1-DOCF)*Food!E27</f>
        <v>1.2982420867093922</v>
      </c>
      <c r="E26" s="572">
        <f>Amnt_Deposited!F22*$F$11*(1-DOCF)*Garden!E27</f>
        <v>0</v>
      </c>
      <c r="F26" s="572">
        <f>Amnt_Deposited!D22*$D$11*(1-DOCF)*Paper!E27</f>
        <v>0.67007725316928013</v>
      </c>
      <c r="G26" s="572">
        <f>Amnt_Deposited!G22*$D$12*(1-DOCF)*Wood!E27</f>
        <v>0</v>
      </c>
      <c r="H26" s="572">
        <f>Amnt_Deposited!H22*$F$12*(1-DOCF)*Textiles!E27</f>
        <v>2.5342999614028805E-2</v>
      </c>
      <c r="I26" s="573">
        <f>Amnt_Deposited!E22*$H$10*(1-DOCF)*Nappies!E27</f>
        <v>0</v>
      </c>
      <c r="J26" s="574">
        <f>Amnt_Deposited!N22*$H$11*(1-DOCF)*Sludge!E27</f>
        <v>0</v>
      </c>
      <c r="K26" s="575">
        <f>Amnt_Deposited!P22*$H$12*(1-DOCF)*Industry!D27</f>
        <v>0</v>
      </c>
      <c r="L26" s="572">
        <f>Amnt_Deposited!P22*Parameters!$E$58*$D$11*(1-DOCF)*Industry!E27</f>
        <v>0</v>
      </c>
      <c r="M26" s="573">
        <f>Amnt_Deposited!P22*Parameters!$E$59*$D$12*(1-DOCF)*Industry!E27</f>
        <v>0</v>
      </c>
      <c r="N26" s="508">
        <f t="shared" si="0"/>
        <v>1.9936623394927013</v>
      </c>
      <c r="O26" s="510">
        <f t="shared" si="1"/>
        <v>16.300343353247186</v>
      </c>
    </row>
    <row r="27" spans="2:15">
      <c r="B27" s="507">
        <f t="shared" si="2"/>
        <v>1959</v>
      </c>
      <c r="C27" s="570">
        <f>Amnt_Deposited!O23*$D$10*(1-DOCF)*MSW!E28</f>
        <v>0</v>
      </c>
      <c r="D27" s="571">
        <f>Amnt_Deposited!C23*$F$10*(1-DOCF)*Food!E28</f>
        <v>1.3223725514817843</v>
      </c>
      <c r="E27" s="572">
        <f>Amnt_Deposited!F23*$F$11*(1-DOCF)*Garden!E28</f>
        <v>0</v>
      </c>
      <c r="F27" s="572">
        <f>Amnt_Deposited!D23*$D$11*(1-DOCF)*Paper!E28</f>
        <v>0.68253199925856023</v>
      </c>
      <c r="G27" s="572">
        <f>Amnt_Deposited!G23*$D$12*(1-DOCF)*Wood!E28</f>
        <v>0</v>
      </c>
      <c r="H27" s="572">
        <f>Amnt_Deposited!H23*$F$12*(1-DOCF)*Textiles!E28</f>
        <v>2.5814050711257603E-2</v>
      </c>
      <c r="I27" s="573">
        <f>Amnt_Deposited!E23*$H$10*(1-DOCF)*Nappies!E28</f>
        <v>0</v>
      </c>
      <c r="J27" s="574">
        <f>Amnt_Deposited!N23*$H$11*(1-DOCF)*Sludge!E28</f>
        <v>0</v>
      </c>
      <c r="K27" s="575">
        <f>Amnt_Deposited!P23*$H$12*(1-DOCF)*Industry!D28</f>
        <v>0</v>
      </c>
      <c r="L27" s="572">
        <f>Amnt_Deposited!P23*Parameters!$E$58*$D$11*(1-DOCF)*Industry!E28</f>
        <v>0</v>
      </c>
      <c r="M27" s="573">
        <f>Amnt_Deposited!P23*Parameters!$E$59*$D$12*(1-DOCF)*Industry!E28</f>
        <v>0</v>
      </c>
      <c r="N27" s="508">
        <f t="shared" si="0"/>
        <v>2.0307186014516021</v>
      </c>
      <c r="O27" s="510">
        <f t="shared" si="1"/>
        <v>18.331061954698789</v>
      </c>
    </row>
    <row r="28" spans="2:15">
      <c r="B28" s="507">
        <f t="shared" si="2"/>
        <v>1960</v>
      </c>
      <c r="C28" s="570">
        <f>Amnt_Deposited!O24*$D$10*(1-DOCF)*MSW!E29</f>
        <v>0</v>
      </c>
      <c r="D28" s="571">
        <f>Amnt_Deposited!C24*$F$10*(1-DOCF)*Food!E29</f>
        <v>1.5388297205212804</v>
      </c>
      <c r="E28" s="572">
        <f>Amnt_Deposited!F24*$F$11*(1-DOCF)*Garden!E29</f>
        <v>0</v>
      </c>
      <c r="F28" s="572">
        <f>Amnt_Deposited!D24*$D$11*(1-DOCF)*Paper!E29</f>
        <v>0.79425463307520028</v>
      </c>
      <c r="G28" s="572">
        <f>Amnt_Deposited!G24*$D$12*(1-DOCF)*Wood!E29</f>
        <v>0</v>
      </c>
      <c r="H28" s="572">
        <f>Amnt_Deposited!H24*$F$12*(1-DOCF)*Textiles!E29</f>
        <v>3.0039513748992004E-2</v>
      </c>
      <c r="I28" s="573">
        <f>Amnt_Deposited!E24*$H$10*(1-DOCF)*Nappies!E29</f>
        <v>0</v>
      </c>
      <c r="J28" s="574">
        <f>Amnt_Deposited!N24*$H$11*(1-DOCF)*Sludge!E29</f>
        <v>0</v>
      </c>
      <c r="K28" s="575">
        <f>Amnt_Deposited!P24*$H$12*(1-DOCF)*Industry!D29</f>
        <v>0</v>
      </c>
      <c r="L28" s="572">
        <f>Amnt_Deposited!P24*Parameters!$E$58*$D$11*(1-DOCF)*Industry!E29</f>
        <v>0</v>
      </c>
      <c r="M28" s="573">
        <f>Amnt_Deposited!P24*Parameters!$E$59*$D$12*(1-DOCF)*Industry!E29</f>
        <v>0</v>
      </c>
      <c r="N28" s="508">
        <f t="shared" si="0"/>
        <v>2.3631238673454726</v>
      </c>
      <c r="O28" s="510">
        <f t="shared" si="1"/>
        <v>20.694185822044261</v>
      </c>
    </row>
    <row r="29" spans="2:15">
      <c r="B29" s="507">
        <f t="shared" si="2"/>
        <v>1961</v>
      </c>
      <c r="C29" s="570">
        <f>Amnt_Deposited!O25*$D$10*(1-DOCF)*MSW!E30</f>
        <v>0</v>
      </c>
      <c r="D29" s="571">
        <f>Amnt_Deposited!C25*$F$10*(1-DOCF)*Food!E30</f>
        <v>0</v>
      </c>
      <c r="E29" s="572">
        <f>Amnt_Deposited!F25*$F$11*(1-DOCF)*Garden!E30</f>
        <v>0</v>
      </c>
      <c r="F29" s="572">
        <f>Amnt_Deposited!D25*$D$11*(1-DOCF)*Paper!E30</f>
        <v>0</v>
      </c>
      <c r="G29" s="572">
        <f>Amnt_Deposited!G25*$D$12*(1-DOCF)*Wood!E30</f>
        <v>0</v>
      </c>
      <c r="H29" s="572">
        <f>Amnt_Deposited!H25*$F$12*(1-DOCF)*Textiles!E30</f>
        <v>0</v>
      </c>
      <c r="I29" s="573">
        <f>Amnt_Deposited!E25*$H$10*(1-DOCF)*Nappies!E30</f>
        <v>0</v>
      </c>
      <c r="J29" s="574">
        <f>Amnt_Deposited!N25*$H$11*(1-DOCF)*Sludge!E30</f>
        <v>0</v>
      </c>
      <c r="K29" s="575">
        <f>Amnt_Deposited!P25*$H$12*(1-DOCF)*Industry!D30</f>
        <v>0</v>
      </c>
      <c r="L29" s="572">
        <f>Amnt_Deposited!P25*Parameters!$E$58*$D$11*(1-DOCF)*Industry!E30</f>
        <v>0</v>
      </c>
      <c r="M29" s="573">
        <f>Amnt_Deposited!P25*Parameters!$E$59*$D$12*(1-DOCF)*Industry!E30</f>
        <v>0</v>
      </c>
      <c r="N29" s="508">
        <f t="shared" si="0"/>
        <v>0</v>
      </c>
      <c r="O29" s="510">
        <f t="shared" si="1"/>
        <v>20.694185822044261</v>
      </c>
    </row>
    <row r="30" spans="2:15">
      <c r="B30" s="507">
        <f t="shared" si="2"/>
        <v>1962</v>
      </c>
      <c r="C30" s="570">
        <f>Amnt_Deposited!O26*$D$10*(1-DOCF)*MSW!E31</f>
        <v>0</v>
      </c>
      <c r="D30" s="571">
        <f>Amnt_Deposited!C26*$F$10*(1-DOCF)*Food!E31</f>
        <v>0</v>
      </c>
      <c r="E30" s="572">
        <f>Amnt_Deposited!F26*$F$11*(1-DOCF)*Garden!E31</f>
        <v>0</v>
      </c>
      <c r="F30" s="572">
        <f>Amnt_Deposited!D26*$D$11*(1-DOCF)*Paper!E31</f>
        <v>0</v>
      </c>
      <c r="G30" s="572">
        <f>Amnt_Deposited!G26*$D$12*(1-DOCF)*Wood!E31</f>
        <v>0</v>
      </c>
      <c r="H30" s="572">
        <f>Amnt_Deposited!H26*$F$12*(1-DOCF)*Textiles!E31</f>
        <v>0</v>
      </c>
      <c r="I30" s="573">
        <f>Amnt_Deposited!E26*$H$10*(1-DOCF)*Nappies!E31</f>
        <v>0</v>
      </c>
      <c r="J30" s="574">
        <f>Amnt_Deposited!N26*$H$11*(1-DOCF)*Sludge!E31</f>
        <v>0</v>
      </c>
      <c r="K30" s="575">
        <f>Amnt_Deposited!P26*$H$12*(1-DOCF)*Industry!D31</f>
        <v>0</v>
      </c>
      <c r="L30" s="572">
        <f>Amnt_Deposited!P26*Parameters!$E$58*$D$11*(1-DOCF)*Industry!E31</f>
        <v>0</v>
      </c>
      <c r="M30" s="573">
        <f>Amnt_Deposited!P26*Parameters!$E$59*$D$12*(1-DOCF)*Industry!E31</f>
        <v>0</v>
      </c>
      <c r="N30" s="508">
        <f t="shared" si="0"/>
        <v>0</v>
      </c>
      <c r="O30" s="510">
        <f t="shared" si="1"/>
        <v>20.694185822044261</v>
      </c>
    </row>
    <row r="31" spans="2:15">
      <c r="B31" s="507">
        <f t="shared" si="2"/>
        <v>1963</v>
      </c>
      <c r="C31" s="570">
        <f>Amnt_Deposited!O27*$D$10*(1-DOCF)*MSW!E32</f>
        <v>0</v>
      </c>
      <c r="D31" s="571">
        <f>Amnt_Deposited!C27*$F$10*(1-DOCF)*Food!E32</f>
        <v>0</v>
      </c>
      <c r="E31" s="572">
        <f>Amnt_Deposited!F27*$F$11*(1-DOCF)*Garden!E32</f>
        <v>0</v>
      </c>
      <c r="F31" s="572">
        <f>Amnt_Deposited!D27*$D$11*(1-DOCF)*Paper!E32</f>
        <v>0</v>
      </c>
      <c r="G31" s="572">
        <f>Amnt_Deposited!G27*$D$12*(1-DOCF)*Wood!E32</f>
        <v>0</v>
      </c>
      <c r="H31" s="572">
        <f>Amnt_Deposited!H27*$F$12*(1-DOCF)*Textiles!E32</f>
        <v>0</v>
      </c>
      <c r="I31" s="573">
        <f>Amnt_Deposited!E27*$H$10*(1-DOCF)*Nappies!E32</f>
        <v>0</v>
      </c>
      <c r="J31" s="574">
        <f>Amnt_Deposited!N27*$H$11*(1-DOCF)*Sludge!E32</f>
        <v>0</v>
      </c>
      <c r="K31" s="575">
        <f>Amnt_Deposited!P27*$H$12*(1-DOCF)*Industry!D32</f>
        <v>0</v>
      </c>
      <c r="L31" s="572">
        <f>Amnt_Deposited!P27*Parameters!$E$58*$D$11*(1-DOCF)*Industry!E32</f>
        <v>0</v>
      </c>
      <c r="M31" s="573">
        <f>Amnt_Deposited!P27*Parameters!$E$59*$D$12*(1-DOCF)*Industry!E32</f>
        <v>0</v>
      </c>
      <c r="N31" s="508">
        <f t="shared" si="0"/>
        <v>0</v>
      </c>
      <c r="O31" s="510">
        <f t="shared" si="1"/>
        <v>20.694185822044261</v>
      </c>
    </row>
    <row r="32" spans="2:15">
      <c r="B32" s="507">
        <f t="shared" si="2"/>
        <v>1964</v>
      </c>
      <c r="C32" s="570">
        <f>Amnt_Deposited!O28*$D$10*(1-DOCF)*MSW!E33</f>
        <v>0</v>
      </c>
      <c r="D32" s="571">
        <f>Amnt_Deposited!C28*$F$10*(1-DOCF)*Food!E33</f>
        <v>0</v>
      </c>
      <c r="E32" s="572">
        <f>Amnt_Deposited!F28*$F$11*(1-DOCF)*Garden!E33</f>
        <v>0</v>
      </c>
      <c r="F32" s="572">
        <f>Amnt_Deposited!D28*$D$11*(1-DOCF)*Paper!E33</f>
        <v>0</v>
      </c>
      <c r="G32" s="572">
        <f>Amnt_Deposited!G28*$D$12*(1-DOCF)*Wood!E33</f>
        <v>0</v>
      </c>
      <c r="H32" s="572">
        <f>Amnt_Deposited!H28*$F$12*(1-DOCF)*Textiles!E33</f>
        <v>0</v>
      </c>
      <c r="I32" s="573">
        <f>Amnt_Deposited!E28*$H$10*(1-DOCF)*Nappies!E33</f>
        <v>0</v>
      </c>
      <c r="J32" s="574">
        <f>Amnt_Deposited!N28*$H$11*(1-DOCF)*Sludge!E33</f>
        <v>0</v>
      </c>
      <c r="K32" s="575">
        <f>Amnt_Deposited!P28*$H$12*(1-DOCF)*Industry!D33</f>
        <v>0</v>
      </c>
      <c r="L32" s="572">
        <f>Amnt_Deposited!P28*Parameters!$E$58*$D$11*(1-DOCF)*Industry!E33</f>
        <v>0</v>
      </c>
      <c r="M32" s="573">
        <f>Amnt_Deposited!P28*Parameters!$E$59*$D$12*(1-DOCF)*Industry!E33</f>
        <v>0</v>
      </c>
      <c r="N32" s="508">
        <f t="shared" si="0"/>
        <v>0</v>
      </c>
      <c r="O32" s="510">
        <f t="shared" si="1"/>
        <v>20.694185822044261</v>
      </c>
    </row>
    <row r="33" spans="2:15">
      <c r="B33" s="507">
        <f t="shared" si="2"/>
        <v>1965</v>
      </c>
      <c r="C33" s="570">
        <f>Amnt_Deposited!O29*$D$10*(1-DOCF)*MSW!E34</f>
        <v>0</v>
      </c>
      <c r="D33" s="571">
        <f>Amnt_Deposited!C29*$F$10*(1-DOCF)*Food!E34</f>
        <v>0</v>
      </c>
      <c r="E33" s="572">
        <f>Amnt_Deposited!F29*$F$11*(1-DOCF)*Garden!E34</f>
        <v>0</v>
      </c>
      <c r="F33" s="572">
        <f>Amnt_Deposited!D29*$D$11*(1-DOCF)*Paper!E34</f>
        <v>0</v>
      </c>
      <c r="G33" s="572">
        <f>Amnt_Deposited!G29*$D$12*(1-DOCF)*Wood!E34</f>
        <v>0</v>
      </c>
      <c r="H33" s="572">
        <f>Amnt_Deposited!H29*$F$12*(1-DOCF)*Textiles!E34</f>
        <v>0</v>
      </c>
      <c r="I33" s="573">
        <f>Amnt_Deposited!E29*$H$10*(1-DOCF)*Nappies!E34</f>
        <v>0</v>
      </c>
      <c r="J33" s="574">
        <f>Amnt_Deposited!N29*$H$11*(1-DOCF)*Sludge!E34</f>
        <v>0</v>
      </c>
      <c r="K33" s="575">
        <f>Amnt_Deposited!P29*$H$12*(1-DOCF)*Industry!D34</f>
        <v>0</v>
      </c>
      <c r="L33" s="572">
        <f>Amnt_Deposited!P29*Parameters!$E$58*$D$11*(1-DOCF)*Industry!E34</f>
        <v>0</v>
      </c>
      <c r="M33" s="573">
        <f>Amnt_Deposited!P29*Parameters!$E$59*$D$12*(1-DOCF)*Industry!E34</f>
        <v>0</v>
      </c>
      <c r="N33" s="508">
        <f t="shared" si="0"/>
        <v>0</v>
      </c>
      <c r="O33" s="510">
        <f t="shared" si="1"/>
        <v>20.694185822044261</v>
      </c>
    </row>
    <row r="34" spans="2:15">
      <c r="B34" s="507">
        <f t="shared" si="2"/>
        <v>1966</v>
      </c>
      <c r="C34" s="570">
        <f>Amnt_Deposited!O30*$D$10*(1-DOCF)*MSW!E35</f>
        <v>0</v>
      </c>
      <c r="D34" s="571">
        <f>Amnt_Deposited!C30*$F$10*(1-DOCF)*Food!E35</f>
        <v>0</v>
      </c>
      <c r="E34" s="572">
        <f>Amnt_Deposited!F30*$F$11*(1-DOCF)*Garden!E35</f>
        <v>0</v>
      </c>
      <c r="F34" s="572">
        <f>Amnt_Deposited!D30*$D$11*(1-DOCF)*Paper!E35</f>
        <v>0</v>
      </c>
      <c r="G34" s="572">
        <f>Amnt_Deposited!G30*$D$12*(1-DOCF)*Wood!E35</f>
        <v>0</v>
      </c>
      <c r="H34" s="572">
        <f>Amnt_Deposited!H30*$F$12*(1-DOCF)*Textiles!E35</f>
        <v>0</v>
      </c>
      <c r="I34" s="573">
        <f>Amnt_Deposited!E30*$H$10*(1-DOCF)*Nappies!E35</f>
        <v>0</v>
      </c>
      <c r="J34" s="574">
        <f>Amnt_Deposited!N30*$H$11*(1-DOCF)*Sludge!E35</f>
        <v>0</v>
      </c>
      <c r="K34" s="575">
        <f>Amnt_Deposited!P30*$H$12*(1-DOCF)*Industry!D35</f>
        <v>0</v>
      </c>
      <c r="L34" s="572">
        <f>Amnt_Deposited!P30*Parameters!$E$58*$D$11*(1-DOCF)*Industry!E35</f>
        <v>0</v>
      </c>
      <c r="M34" s="573">
        <f>Amnt_Deposited!P30*Parameters!$E$59*$D$12*(1-DOCF)*Industry!E35</f>
        <v>0</v>
      </c>
      <c r="N34" s="508">
        <f t="shared" si="0"/>
        <v>0</v>
      </c>
      <c r="O34" s="510">
        <f t="shared" si="1"/>
        <v>20.694185822044261</v>
      </c>
    </row>
    <row r="35" spans="2:15">
      <c r="B35" s="507">
        <f t="shared" si="2"/>
        <v>1967</v>
      </c>
      <c r="C35" s="570">
        <f>Amnt_Deposited!O31*$D$10*(1-DOCF)*MSW!E36</f>
        <v>0</v>
      </c>
      <c r="D35" s="571">
        <f>Amnt_Deposited!C31*$F$10*(1-DOCF)*Food!E36</f>
        <v>0</v>
      </c>
      <c r="E35" s="572">
        <f>Amnt_Deposited!F31*$F$11*(1-DOCF)*Garden!E36</f>
        <v>0</v>
      </c>
      <c r="F35" s="572">
        <f>Amnt_Deposited!D31*$D$11*(1-DOCF)*Paper!E36</f>
        <v>0</v>
      </c>
      <c r="G35" s="572">
        <f>Amnt_Deposited!G31*$D$12*(1-DOCF)*Wood!E36</f>
        <v>0</v>
      </c>
      <c r="H35" s="572">
        <f>Amnt_Deposited!H31*$F$12*(1-DOCF)*Textiles!E36</f>
        <v>0</v>
      </c>
      <c r="I35" s="573">
        <f>Amnt_Deposited!E31*$H$10*(1-DOCF)*Nappies!E36</f>
        <v>0</v>
      </c>
      <c r="J35" s="574">
        <f>Amnt_Deposited!N31*$H$11*(1-DOCF)*Sludge!E36</f>
        <v>0</v>
      </c>
      <c r="K35" s="575">
        <f>Amnt_Deposited!P31*$H$12*(1-DOCF)*Industry!D36</f>
        <v>0</v>
      </c>
      <c r="L35" s="572">
        <f>Amnt_Deposited!P31*Parameters!$E$58*$D$11*(1-DOCF)*Industry!E36</f>
        <v>0</v>
      </c>
      <c r="M35" s="573">
        <f>Amnt_Deposited!P31*Parameters!$E$59*$D$12*(1-DOCF)*Industry!E36</f>
        <v>0</v>
      </c>
      <c r="N35" s="508">
        <f t="shared" si="0"/>
        <v>0</v>
      </c>
      <c r="O35" s="510">
        <f t="shared" si="1"/>
        <v>20.694185822044261</v>
      </c>
    </row>
    <row r="36" spans="2:15">
      <c r="B36" s="507">
        <f t="shared" si="2"/>
        <v>1968</v>
      </c>
      <c r="C36" s="570">
        <f>Amnt_Deposited!O32*$D$10*(1-DOCF)*MSW!E37</f>
        <v>0</v>
      </c>
      <c r="D36" s="571">
        <f>Amnt_Deposited!C32*$F$10*(1-DOCF)*Food!E37</f>
        <v>0</v>
      </c>
      <c r="E36" s="572">
        <f>Amnt_Deposited!F32*$F$11*(1-DOCF)*Garden!E37</f>
        <v>0</v>
      </c>
      <c r="F36" s="572">
        <f>Amnt_Deposited!D32*$D$11*(1-DOCF)*Paper!E37</f>
        <v>0</v>
      </c>
      <c r="G36" s="572">
        <f>Amnt_Deposited!G32*$D$12*(1-DOCF)*Wood!E37</f>
        <v>0</v>
      </c>
      <c r="H36" s="572">
        <f>Amnt_Deposited!H32*$F$12*(1-DOCF)*Textiles!E37</f>
        <v>0</v>
      </c>
      <c r="I36" s="573">
        <f>Amnt_Deposited!E32*$H$10*(1-DOCF)*Nappies!E37</f>
        <v>0</v>
      </c>
      <c r="J36" s="574">
        <f>Amnt_Deposited!N32*$H$11*(1-DOCF)*Sludge!E37</f>
        <v>0</v>
      </c>
      <c r="K36" s="575">
        <f>Amnt_Deposited!P32*$H$12*(1-DOCF)*Industry!D37</f>
        <v>0</v>
      </c>
      <c r="L36" s="572">
        <f>Amnt_Deposited!P32*Parameters!$E$58*$D$11*(1-DOCF)*Industry!E37</f>
        <v>0</v>
      </c>
      <c r="M36" s="573">
        <f>Amnt_Deposited!P32*Parameters!$E$59*$D$12*(1-DOCF)*Industry!E37</f>
        <v>0</v>
      </c>
      <c r="N36" s="508">
        <f t="shared" si="0"/>
        <v>0</v>
      </c>
      <c r="O36" s="510">
        <f t="shared" si="1"/>
        <v>20.694185822044261</v>
      </c>
    </row>
    <row r="37" spans="2:15">
      <c r="B37" s="507">
        <f t="shared" si="2"/>
        <v>1969</v>
      </c>
      <c r="C37" s="570">
        <f>Amnt_Deposited!O33*$D$10*(1-DOCF)*MSW!E38</f>
        <v>0</v>
      </c>
      <c r="D37" s="571">
        <f>Amnt_Deposited!C33*$F$10*(1-DOCF)*Food!E38</f>
        <v>0</v>
      </c>
      <c r="E37" s="572">
        <f>Amnt_Deposited!F33*$F$11*(1-DOCF)*Garden!E38</f>
        <v>0</v>
      </c>
      <c r="F37" s="572">
        <f>Amnt_Deposited!D33*$D$11*(1-DOCF)*Paper!E38</f>
        <v>0</v>
      </c>
      <c r="G37" s="572">
        <f>Amnt_Deposited!G33*$D$12*(1-DOCF)*Wood!E38</f>
        <v>0</v>
      </c>
      <c r="H37" s="572">
        <f>Amnt_Deposited!H33*$F$12*(1-DOCF)*Textiles!E38</f>
        <v>0</v>
      </c>
      <c r="I37" s="573">
        <f>Amnt_Deposited!E33*$H$10*(1-DOCF)*Nappies!E38</f>
        <v>0</v>
      </c>
      <c r="J37" s="574">
        <f>Amnt_Deposited!N33*$H$11*(1-DOCF)*Sludge!E38</f>
        <v>0</v>
      </c>
      <c r="K37" s="575">
        <f>Amnt_Deposited!P33*$H$12*(1-DOCF)*Industry!D38</f>
        <v>0</v>
      </c>
      <c r="L37" s="572">
        <f>Amnt_Deposited!P33*Parameters!$E$58*$D$11*(1-DOCF)*Industry!E38</f>
        <v>0</v>
      </c>
      <c r="M37" s="573">
        <f>Amnt_Deposited!P33*Parameters!$E$59*$D$12*(1-DOCF)*Industry!E38</f>
        <v>0</v>
      </c>
      <c r="N37" s="508">
        <f t="shared" si="0"/>
        <v>0</v>
      </c>
      <c r="O37" s="510">
        <f t="shared" si="1"/>
        <v>20.694185822044261</v>
      </c>
    </row>
    <row r="38" spans="2:15">
      <c r="B38" s="507">
        <f t="shared" si="2"/>
        <v>1970</v>
      </c>
      <c r="C38" s="570">
        <f>Amnt_Deposited!O34*$D$10*(1-DOCF)*MSW!E39</f>
        <v>0</v>
      </c>
      <c r="D38" s="571">
        <f>Amnt_Deposited!C34*$F$10*(1-DOCF)*Food!E39</f>
        <v>0</v>
      </c>
      <c r="E38" s="572">
        <f>Amnt_Deposited!F34*$F$11*(1-DOCF)*Garden!E39</f>
        <v>0</v>
      </c>
      <c r="F38" s="572">
        <f>Amnt_Deposited!D34*$D$11*(1-DOCF)*Paper!E39</f>
        <v>0</v>
      </c>
      <c r="G38" s="572">
        <f>Amnt_Deposited!G34*$D$12*(1-DOCF)*Wood!E39</f>
        <v>0</v>
      </c>
      <c r="H38" s="572">
        <f>Amnt_Deposited!H34*$F$12*(1-DOCF)*Textiles!E39</f>
        <v>0</v>
      </c>
      <c r="I38" s="573">
        <f>Amnt_Deposited!E34*$H$10*(1-DOCF)*Nappies!E39</f>
        <v>0</v>
      </c>
      <c r="J38" s="574">
        <f>Amnt_Deposited!N34*$H$11*(1-DOCF)*Sludge!E39</f>
        <v>0</v>
      </c>
      <c r="K38" s="575">
        <f>Amnt_Deposited!P34*$H$12*(1-DOCF)*Industry!D39</f>
        <v>0</v>
      </c>
      <c r="L38" s="572">
        <f>Amnt_Deposited!P34*Parameters!$E$58*$D$11*(1-DOCF)*Industry!E39</f>
        <v>0</v>
      </c>
      <c r="M38" s="573">
        <f>Amnt_Deposited!P34*Parameters!$E$59*$D$12*(1-DOCF)*Industry!E39</f>
        <v>0</v>
      </c>
      <c r="N38" s="508">
        <f t="shared" si="0"/>
        <v>0</v>
      </c>
      <c r="O38" s="510">
        <f t="shared" si="1"/>
        <v>20.694185822044261</v>
      </c>
    </row>
    <row r="39" spans="2:15">
      <c r="B39" s="507">
        <f t="shared" si="2"/>
        <v>1971</v>
      </c>
      <c r="C39" s="570">
        <f>Amnt_Deposited!O35*$D$10*(1-DOCF)*MSW!E40</f>
        <v>0</v>
      </c>
      <c r="D39" s="571">
        <f>Amnt_Deposited!C35*$F$10*(1-DOCF)*Food!E40</f>
        <v>0</v>
      </c>
      <c r="E39" s="572">
        <f>Amnt_Deposited!F35*$F$11*(1-DOCF)*Garden!E40</f>
        <v>0</v>
      </c>
      <c r="F39" s="572">
        <f>Amnt_Deposited!D35*$D$11*(1-DOCF)*Paper!E40</f>
        <v>0</v>
      </c>
      <c r="G39" s="572">
        <f>Amnt_Deposited!G35*$D$12*(1-DOCF)*Wood!E40</f>
        <v>0</v>
      </c>
      <c r="H39" s="572">
        <f>Amnt_Deposited!H35*$F$12*(1-DOCF)*Textiles!E40</f>
        <v>0</v>
      </c>
      <c r="I39" s="573">
        <f>Amnt_Deposited!E35*$H$10*(1-DOCF)*Nappies!E40</f>
        <v>0</v>
      </c>
      <c r="J39" s="574">
        <f>Amnt_Deposited!N35*$H$11*(1-DOCF)*Sludge!E40</f>
        <v>0</v>
      </c>
      <c r="K39" s="575">
        <f>Amnt_Deposited!P35*$H$12*(1-DOCF)*Industry!D40</f>
        <v>0</v>
      </c>
      <c r="L39" s="572">
        <f>Amnt_Deposited!P35*Parameters!$E$58*$D$11*(1-DOCF)*Industry!E40</f>
        <v>0</v>
      </c>
      <c r="M39" s="573">
        <f>Amnt_Deposited!P35*Parameters!$E$59*$D$12*(1-DOCF)*Industry!E40</f>
        <v>0</v>
      </c>
      <c r="N39" s="508">
        <f t="shared" si="0"/>
        <v>0</v>
      </c>
      <c r="O39" s="510">
        <f t="shared" si="1"/>
        <v>20.694185822044261</v>
      </c>
    </row>
    <row r="40" spans="2:15">
      <c r="B40" s="507">
        <f t="shared" si="2"/>
        <v>1972</v>
      </c>
      <c r="C40" s="570">
        <f>Amnt_Deposited!O36*$D$10*(1-DOCF)*MSW!E41</f>
        <v>0</v>
      </c>
      <c r="D40" s="571">
        <f>Amnt_Deposited!C36*$F$10*(1-DOCF)*Food!E41</f>
        <v>0</v>
      </c>
      <c r="E40" s="572">
        <f>Amnt_Deposited!F36*$F$11*(1-DOCF)*Garden!E41</f>
        <v>0</v>
      </c>
      <c r="F40" s="572">
        <f>Amnt_Deposited!D36*$D$11*(1-DOCF)*Paper!E41</f>
        <v>0</v>
      </c>
      <c r="G40" s="572">
        <f>Amnt_Deposited!G36*$D$12*(1-DOCF)*Wood!E41</f>
        <v>0</v>
      </c>
      <c r="H40" s="572">
        <f>Amnt_Deposited!H36*$F$12*(1-DOCF)*Textiles!E41</f>
        <v>0</v>
      </c>
      <c r="I40" s="573">
        <f>Amnt_Deposited!E36*$H$10*(1-DOCF)*Nappies!E41</f>
        <v>0</v>
      </c>
      <c r="J40" s="574">
        <f>Amnt_Deposited!N36*$H$11*(1-DOCF)*Sludge!E41</f>
        <v>0</v>
      </c>
      <c r="K40" s="575">
        <f>Amnt_Deposited!P36*$H$12*(1-DOCF)*Industry!D41</f>
        <v>0</v>
      </c>
      <c r="L40" s="572">
        <f>Amnt_Deposited!P36*Parameters!$E$58*$D$11*(1-DOCF)*Industry!E41</f>
        <v>0</v>
      </c>
      <c r="M40" s="573">
        <f>Amnt_Deposited!P36*Parameters!$E$59*$D$12*(1-DOCF)*Industry!E41</f>
        <v>0</v>
      </c>
      <c r="N40" s="508">
        <f t="shared" si="0"/>
        <v>0</v>
      </c>
      <c r="O40" s="510">
        <f t="shared" si="1"/>
        <v>20.694185822044261</v>
      </c>
    </row>
    <row r="41" spans="2:15">
      <c r="B41" s="507">
        <f t="shared" si="2"/>
        <v>1973</v>
      </c>
      <c r="C41" s="570">
        <f>Amnt_Deposited!O37*$D$10*(1-DOCF)*MSW!E42</f>
        <v>0</v>
      </c>
      <c r="D41" s="571">
        <f>Amnt_Deposited!C37*$F$10*(1-DOCF)*Food!E42</f>
        <v>0</v>
      </c>
      <c r="E41" s="572">
        <f>Amnt_Deposited!F37*$F$11*(1-DOCF)*Garden!E42</f>
        <v>0</v>
      </c>
      <c r="F41" s="572">
        <f>Amnt_Deposited!D37*$D$11*(1-DOCF)*Paper!E42</f>
        <v>0</v>
      </c>
      <c r="G41" s="572">
        <f>Amnt_Deposited!G37*$D$12*(1-DOCF)*Wood!E42</f>
        <v>0</v>
      </c>
      <c r="H41" s="572">
        <f>Amnt_Deposited!H37*$F$12*(1-DOCF)*Textiles!E42</f>
        <v>0</v>
      </c>
      <c r="I41" s="573">
        <f>Amnt_Deposited!E37*$H$10*(1-DOCF)*Nappies!E42</f>
        <v>0</v>
      </c>
      <c r="J41" s="574">
        <f>Amnt_Deposited!N37*$H$11*(1-DOCF)*Sludge!E42</f>
        <v>0</v>
      </c>
      <c r="K41" s="575">
        <f>Amnt_Deposited!P37*$H$12*(1-DOCF)*Industry!D42</f>
        <v>0</v>
      </c>
      <c r="L41" s="572">
        <f>Amnt_Deposited!P37*Parameters!$E$58*$D$11*(1-DOCF)*Industry!E42</f>
        <v>0</v>
      </c>
      <c r="M41" s="573">
        <f>Amnt_Deposited!P37*Parameters!$E$59*$D$12*(1-DOCF)*Industry!E42</f>
        <v>0</v>
      </c>
      <c r="N41" s="508">
        <f t="shared" si="0"/>
        <v>0</v>
      </c>
      <c r="O41" s="510">
        <f t="shared" si="1"/>
        <v>20.694185822044261</v>
      </c>
    </row>
    <row r="42" spans="2:15">
      <c r="B42" s="507">
        <f t="shared" si="2"/>
        <v>1974</v>
      </c>
      <c r="C42" s="570">
        <f>Amnt_Deposited!O38*$D$10*(1-DOCF)*MSW!E43</f>
        <v>0</v>
      </c>
      <c r="D42" s="571">
        <f>Amnt_Deposited!C38*$F$10*(1-DOCF)*Food!E43</f>
        <v>0</v>
      </c>
      <c r="E42" s="572">
        <f>Amnt_Deposited!F38*$F$11*(1-DOCF)*Garden!E43</f>
        <v>0</v>
      </c>
      <c r="F42" s="572">
        <f>Amnt_Deposited!D38*$D$11*(1-DOCF)*Paper!E43</f>
        <v>0</v>
      </c>
      <c r="G42" s="572">
        <f>Amnt_Deposited!G38*$D$12*(1-DOCF)*Wood!E43</f>
        <v>0</v>
      </c>
      <c r="H42" s="572">
        <f>Amnt_Deposited!H38*$F$12*(1-DOCF)*Textiles!E43</f>
        <v>0</v>
      </c>
      <c r="I42" s="573">
        <f>Amnt_Deposited!E38*$H$10*(1-DOCF)*Nappies!E43</f>
        <v>0</v>
      </c>
      <c r="J42" s="574">
        <f>Amnt_Deposited!N38*$H$11*(1-DOCF)*Sludge!E43</f>
        <v>0</v>
      </c>
      <c r="K42" s="575">
        <f>Amnt_Deposited!P38*$H$12*(1-DOCF)*Industry!D43</f>
        <v>0</v>
      </c>
      <c r="L42" s="572">
        <f>Amnt_Deposited!P38*Parameters!$E$58*$D$11*(1-DOCF)*Industry!E43</f>
        <v>0</v>
      </c>
      <c r="M42" s="573">
        <f>Amnt_Deposited!P38*Parameters!$E$59*$D$12*(1-DOCF)*Industry!E43</f>
        <v>0</v>
      </c>
      <c r="N42" s="508">
        <f t="shared" si="0"/>
        <v>0</v>
      </c>
      <c r="O42" s="510">
        <f t="shared" si="1"/>
        <v>20.694185822044261</v>
      </c>
    </row>
    <row r="43" spans="2:15">
      <c r="B43" s="507">
        <f t="shared" si="2"/>
        <v>1975</v>
      </c>
      <c r="C43" s="570">
        <f>Amnt_Deposited!O39*$D$10*(1-DOCF)*MSW!E44</f>
        <v>0</v>
      </c>
      <c r="D43" s="571">
        <f>Amnt_Deposited!C39*$F$10*(1-DOCF)*Food!E44</f>
        <v>0</v>
      </c>
      <c r="E43" s="572">
        <f>Amnt_Deposited!F39*$F$11*(1-DOCF)*Garden!E44</f>
        <v>0</v>
      </c>
      <c r="F43" s="572">
        <f>Amnt_Deposited!D39*$D$11*(1-DOCF)*Paper!E44</f>
        <v>0</v>
      </c>
      <c r="G43" s="572">
        <f>Amnt_Deposited!G39*$D$12*(1-DOCF)*Wood!E44</f>
        <v>0</v>
      </c>
      <c r="H43" s="572">
        <f>Amnt_Deposited!H39*$F$12*(1-DOCF)*Textiles!E44</f>
        <v>0</v>
      </c>
      <c r="I43" s="573">
        <f>Amnt_Deposited!E39*$H$10*(1-DOCF)*Nappies!E44</f>
        <v>0</v>
      </c>
      <c r="J43" s="574">
        <f>Amnt_Deposited!N39*$H$11*(1-DOCF)*Sludge!E44</f>
        <v>0</v>
      </c>
      <c r="K43" s="575">
        <f>Amnt_Deposited!P39*$H$12*(1-DOCF)*Industry!D44</f>
        <v>0</v>
      </c>
      <c r="L43" s="572">
        <f>Amnt_Deposited!P39*Parameters!$E$58*$D$11*(1-DOCF)*Industry!E44</f>
        <v>0</v>
      </c>
      <c r="M43" s="573">
        <f>Amnt_Deposited!P39*Parameters!$E$59*$D$12*(1-DOCF)*Industry!E44</f>
        <v>0</v>
      </c>
      <c r="N43" s="508">
        <f t="shared" si="0"/>
        <v>0</v>
      </c>
      <c r="O43" s="510">
        <f t="shared" si="1"/>
        <v>20.694185822044261</v>
      </c>
    </row>
    <row r="44" spans="2:15">
      <c r="B44" s="507">
        <f t="shared" si="2"/>
        <v>1976</v>
      </c>
      <c r="C44" s="570">
        <f>Amnt_Deposited!O40*$D$10*(1-DOCF)*MSW!E45</f>
        <v>0</v>
      </c>
      <c r="D44" s="571">
        <f>Amnt_Deposited!C40*$F$10*(1-DOCF)*Food!E45</f>
        <v>0</v>
      </c>
      <c r="E44" s="572">
        <f>Amnt_Deposited!F40*$F$11*(1-DOCF)*Garden!E45</f>
        <v>0</v>
      </c>
      <c r="F44" s="572">
        <f>Amnt_Deposited!D40*$D$11*(1-DOCF)*Paper!E45</f>
        <v>0</v>
      </c>
      <c r="G44" s="572">
        <f>Amnt_Deposited!G40*$D$12*(1-DOCF)*Wood!E45</f>
        <v>0</v>
      </c>
      <c r="H44" s="572">
        <f>Amnt_Deposited!H40*$F$12*(1-DOCF)*Textiles!E45</f>
        <v>0</v>
      </c>
      <c r="I44" s="573">
        <f>Amnt_Deposited!E40*$H$10*(1-DOCF)*Nappies!E45</f>
        <v>0</v>
      </c>
      <c r="J44" s="574">
        <f>Amnt_Deposited!N40*$H$11*(1-DOCF)*Sludge!E45</f>
        <v>0</v>
      </c>
      <c r="K44" s="575">
        <f>Amnt_Deposited!P40*$H$12*(1-DOCF)*Industry!D45</f>
        <v>0</v>
      </c>
      <c r="L44" s="572">
        <f>Amnt_Deposited!P40*Parameters!$E$58*$D$11*(1-DOCF)*Industry!E45</f>
        <v>0</v>
      </c>
      <c r="M44" s="573">
        <f>Amnt_Deposited!P40*Parameters!$E$59*$D$12*(1-DOCF)*Industry!E45</f>
        <v>0</v>
      </c>
      <c r="N44" s="508">
        <f t="shared" si="0"/>
        <v>0</v>
      </c>
      <c r="O44" s="510">
        <f t="shared" si="1"/>
        <v>20.694185822044261</v>
      </c>
    </row>
    <row r="45" spans="2:15">
      <c r="B45" s="507">
        <f t="shared" si="2"/>
        <v>1977</v>
      </c>
      <c r="C45" s="570">
        <f>Amnt_Deposited!O41*$D$10*(1-DOCF)*MSW!E46</f>
        <v>0</v>
      </c>
      <c r="D45" s="571">
        <f>Amnt_Deposited!C41*$F$10*(1-DOCF)*Food!E46</f>
        <v>0</v>
      </c>
      <c r="E45" s="572">
        <f>Amnt_Deposited!F41*$F$11*(1-DOCF)*Garden!E46</f>
        <v>0</v>
      </c>
      <c r="F45" s="572">
        <f>Amnt_Deposited!D41*$D$11*(1-DOCF)*Paper!E46</f>
        <v>0</v>
      </c>
      <c r="G45" s="572">
        <f>Amnt_Deposited!G41*$D$12*(1-DOCF)*Wood!E46</f>
        <v>0</v>
      </c>
      <c r="H45" s="572">
        <f>Amnt_Deposited!H41*$F$12*(1-DOCF)*Textiles!E46</f>
        <v>0</v>
      </c>
      <c r="I45" s="573">
        <f>Amnt_Deposited!E41*$H$10*(1-DOCF)*Nappies!E46</f>
        <v>0</v>
      </c>
      <c r="J45" s="574">
        <f>Amnt_Deposited!N41*$H$11*(1-DOCF)*Sludge!E46</f>
        <v>0</v>
      </c>
      <c r="K45" s="575">
        <f>Amnt_Deposited!P41*$H$12*(1-DOCF)*Industry!D46</f>
        <v>0</v>
      </c>
      <c r="L45" s="572">
        <f>Amnt_Deposited!P41*Parameters!$E$58*$D$11*(1-DOCF)*Industry!E46</f>
        <v>0</v>
      </c>
      <c r="M45" s="573">
        <f>Amnt_Deposited!P41*Parameters!$E$59*$D$12*(1-DOCF)*Industry!E46</f>
        <v>0</v>
      </c>
      <c r="N45" s="508">
        <f t="shared" si="0"/>
        <v>0</v>
      </c>
      <c r="O45" s="510">
        <f t="shared" si="1"/>
        <v>20.694185822044261</v>
      </c>
    </row>
    <row r="46" spans="2:15">
      <c r="B46" s="507">
        <f t="shared" si="2"/>
        <v>1978</v>
      </c>
      <c r="C46" s="570">
        <f>Amnt_Deposited!O42*$D$10*(1-DOCF)*MSW!E47</f>
        <v>0</v>
      </c>
      <c r="D46" s="571">
        <f>Amnt_Deposited!C42*$F$10*(1-DOCF)*Food!E47</f>
        <v>0</v>
      </c>
      <c r="E46" s="572">
        <f>Amnt_Deposited!F42*$F$11*(1-DOCF)*Garden!E47</f>
        <v>0</v>
      </c>
      <c r="F46" s="572">
        <f>Amnt_Deposited!D42*$D$11*(1-DOCF)*Paper!E47</f>
        <v>0</v>
      </c>
      <c r="G46" s="572">
        <f>Amnt_Deposited!G42*$D$12*(1-DOCF)*Wood!E47</f>
        <v>0</v>
      </c>
      <c r="H46" s="572">
        <f>Amnt_Deposited!H42*$F$12*(1-DOCF)*Textiles!E47</f>
        <v>0</v>
      </c>
      <c r="I46" s="573">
        <f>Amnt_Deposited!E42*$H$10*(1-DOCF)*Nappies!E47</f>
        <v>0</v>
      </c>
      <c r="J46" s="574">
        <f>Amnt_Deposited!N42*$H$11*(1-DOCF)*Sludge!E47</f>
        <v>0</v>
      </c>
      <c r="K46" s="575">
        <f>Amnt_Deposited!P42*$H$12*(1-DOCF)*Industry!D47</f>
        <v>0</v>
      </c>
      <c r="L46" s="572">
        <f>Amnt_Deposited!P42*Parameters!$E$58*$D$11*(1-DOCF)*Industry!E47</f>
        <v>0</v>
      </c>
      <c r="M46" s="573">
        <f>Amnt_Deposited!P42*Parameters!$E$59*$D$12*(1-DOCF)*Industry!E47</f>
        <v>0</v>
      </c>
      <c r="N46" s="508">
        <f t="shared" si="0"/>
        <v>0</v>
      </c>
      <c r="O46" s="510">
        <f t="shared" si="1"/>
        <v>20.694185822044261</v>
      </c>
    </row>
    <row r="47" spans="2:15">
      <c r="B47" s="507">
        <f t="shared" si="2"/>
        <v>1979</v>
      </c>
      <c r="C47" s="570">
        <f>Amnt_Deposited!O43*$D$10*(1-DOCF)*MSW!E48</f>
        <v>0</v>
      </c>
      <c r="D47" s="571">
        <f>Amnt_Deposited!C43*$F$10*(1-DOCF)*Food!E48</f>
        <v>0</v>
      </c>
      <c r="E47" s="572">
        <f>Amnt_Deposited!F43*$F$11*(1-DOCF)*Garden!E48</f>
        <v>0</v>
      </c>
      <c r="F47" s="572">
        <f>Amnt_Deposited!D43*$D$11*(1-DOCF)*Paper!E48</f>
        <v>0</v>
      </c>
      <c r="G47" s="572">
        <f>Amnt_Deposited!G43*$D$12*(1-DOCF)*Wood!E48</f>
        <v>0</v>
      </c>
      <c r="H47" s="572">
        <f>Amnt_Deposited!H43*$F$12*(1-DOCF)*Textiles!E48</f>
        <v>0</v>
      </c>
      <c r="I47" s="573">
        <f>Amnt_Deposited!E43*$H$10*(1-DOCF)*Nappies!E48</f>
        <v>0</v>
      </c>
      <c r="J47" s="574">
        <f>Amnt_Deposited!N43*$H$11*(1-DOCF)*Sludge!E48</f>
        <v>0</v>
      </c>
      <c r="K47" s="575">
        <f>Amnt_Deposited!P43*$H$12*(1-DOCF)*Industry!D48</f>
        <v>0</v>
      </c>
      <c r="L47" s="572">
        <f>Amnt_Deposited!P43*Parameters!$E$58*$D$11*(1-DOCF)*Industry!E48</f>
        <v>0</v>
      </c>
      <c r="M47" s="573">
        <f>Amnt_Deposited!P43*Parameters!$E$59*$D$12*(1-DOCF)*Industry!E48</f>
        <v>0</v>
      </c>
      <c r="N47" s="508">
        <f t="shared" si="0"/>
        <v>0</v>
      </c>
      <c r="O47" s="510">
        <f t="shared" si="1"/>
        <v>20.694185822044261</v>
      </c>
    </row>
    <row r="48" spans="2:15">
      <c r="B48" s="507">
        <f t="shared" si="2"/>
        <v>1980</v>
      </c>
      <c r="C48" s="570">
        <f>Amnt_Deposited!O44*$D$10*(1-DOCF)*MSW!E49</f>
        <v>0</v>
      </c>
      <c r="D48" s="571">
        <f>Amnt_Deposited!C44*$F$10*(1-DOCF)*Food!E49</f>
        <v>0</v>
      </c>
      <c r="E48" s="572">
        <f>Amnt_Deposited!F44*$F$11*(1-DOCF)*Garden!E49</f>
        <v>0</v>
      </c>
      <c r="F48" s="572">
        <f>Amnt_Deposited!D44*$D$11*(1-DOCF)*Paper!E49</f>
        <v>0</v>
      </c>
      <c r="G48" s="572">
        <f>Amnt_Deposited!G44*$D$12*(1-DOCF)*Wood!E49</f>
        <v>0</v>
      </c>
      <c r="H48" s="572">
        <f>Amnt_Deposited!H44*$F$12*(1-DOCF)*Textiles!E49</f>
        <v>0</v>
      </c>
      <c r="I48" s="573">
        <f>Amnt_Deposited!E44*$H$10*(1-DOCF)*Nappies!E49</f>
        <v>0</v>
      </c>
      <c r="J48" s="574">
        <f>Amnt_Deposited!N44*$H$11*(1-DOCF)*Sludge!E49</f>
        <v>0</v>
      </c>
      <c r="K48" s="575">
        <f>Amnt_Deposited!P44*$H$12*(1-DOCF)*Industry!D49</f>
        <v>0</v>
      </c>
      <c r="L48" s="572">
        <f>Amnt_Deposited!P44*Parameters!$E$58*$D$11*(1-DOCF)*Industry!E49</f>
        <v>0</v>
      </c>
      <c r="M48" s="573">
        <f>Amnt_Deposited!P44*Parameters!$E$59*$D$12*(1-DOCF)*Industry!E49</f>
        <v>0</v>
      </c>
      <c r="N48" s="508">
        <f t="shared" si="0"/>
        <v>0</v>
      </c>
      <c r="O48" s="510">
        <f t="shared" si="1"/>
        <v>20.694185822044261</v>
      </c>
    </row>
    <row r="49" spans="2:15">
      <c r="B49" s="507">
        <f t="shared" si="2"/>
        <v>1981</v>
      </c>
      <c r="C49" s="570">
        <f>Amnt_Deposited!O45*$D$10*(1-DOCF)*MSW!E50</f>
        <v>0</v>
      </c>
      <c r="D49" s="571">
        <f>Amnt_Deposited!C45*$F$10*(1-DOCF)*Food!E50</f>
        <v>0</v>
      </c>
      <c r="E49" s="572">
        <f>Amnt_Deposited!F45*$F$11*(1-DOCF)*Garden!E50</f>
        <v>0</v>
      </c>
      <c r="F49" s="572">
        <f>Amnt_Deposited!D45*$D$11*(1-DOCF)*Paper!E50</f>
        <v>0</v>
      </c>
      <c r="G49" s="572">
        <f>Amnt_Deposited!G45*$D$12*(1-DOCF)*Wood!E50</f>
        <v>0</v>
      </c>
      <c r="H49" s="572">
        <f>Amnt_Deposited!H45*$F$12*(1-DOCF)*Textiles!E50</f>
        <v>0</v>
      </c>
      <c r="I49" s="573">
        <f>Amnt_Deposited!E45*$H$10*(1-DOCF)*Nappies!E50</f>
        <v>0</v>
      </c>
      <c r="J49" s="574">
        <f>Amnt_Deposited!N45*$H$11*(1-DOCF)*Sludge!E50</f>
        <v>0</v>
      </c>
      <c r="K49" s="575">
        <f>Amnt_Deposited!P45*$H$12*(1-DOCF)*Industry!D50</f>
        <v>0</v>
      </c>
      <c r="L49" s="572">
        <f>Amnt_Deposited!P45*Parameters!$E$58*$D$11*(1-DOCF)*Industry!E50</f>
        <v>0</v>
      </c>
      <c r="M49" s="573">
        <f>Amnt_Deposited!P45*Parameters!$E$59*$D$12*(1-DOCF)*Industry!E50</f>
        <v>0</v>
      </c>
      <c r="N49" s="508">
        <f t="shared" si="0"/>
        <v>0</v>
      </c>
      <c r="O49" s="510">
        <f t="shared" si="1"/>
        <v>20.694185822044261</v>
      </c>
    </row>
    <row r="50" spans="2:15">
      <c r="B50" s="507">
        <f t="shared" si="2"/>
        <v>1982</v>
      </c>
      <c r="C50" s="570">
        <f>Amnt_Deposited!O46*$D$10*(1-DOCF)*MSW!E51</f>
        <v>0</v>
      </c>
      <c r="D50" s="571">
        <f>Amnt_Deposited!C46*$F$10*(1-DOCF)*Food!E51</f>
        <v>0</v>
      </c>
      <c r="E50" s="572">
        <f>Amnt_Deposited!F46*$F$11*(1-DOCF)*Garden!E51</f>
        <v>0</v>
      </c>
      <c r="F50" s="572">
        <f>Amnt_Deposited!D46*$D$11*(1-DOCF)*Paper!E51</f>
        <v>0</v>
      </c>
      <c r="G50" s="572">
        <f>Amnt_Deposited!G46*$D$12*(1-DOCF)*Wood!E51</f>
        <v>0</v>
      </c>
      <c r="H50" s="572">
        <f>Amnt_Deposited!H46*$F$12*(1-DOCF)*Textiles!E51</f>
        <v>0</v>
      </c>
      <c r="I50" s="573">
        <f>Amnt_Deposited!E46*$H$10*(1-DOCF)*Nappies!E51</f>
        <v>0</v>
      </c>
      <c r="J50" s="574">
        <f>Amnt_Deposited!N46*$H$11*(1-DOCF)*Sludge!E51</f>
        <v>0</v>
      </c>
      <c r="K50" s="575">
        <f>Amnt_Deposited!P46*$H$12*(1-DOCF)*Industry!D51</f>
        <v>0</v>
      </c>
      <c r="L50" s="572">
        <f>Amnt_Deposited!P46*Parameters!$E$58*$D$11*(1-DOCF)*Industry!E51</f>
        <v>0</v>
      </c>
      <c r="M50" s="573">
        <f>Amnt_Deposited!P46*Parameters!$E$59*$D$12*(1-DOCF)*Industry!E51</f>
        <v>0</v>
      </c>
      <c r="N50" s="508">
        <f t="shared" ref="N50:N81" si="3">IF(Select2=2,C50+J50+K50, D50+E50+F50+G50+H50+I50+J50+K50)</f>
        <v>0</v>
      </c>
      <c r="O50" s="510">
        <f t="shared" si="1"/>
        <v>20.694185822044261</v>
      </c>
    </row>
    <row r="51" spans="2:15">
      <c r="B51" s="507">
        <f t="shared" si="2"/>
        <v>1983</v>
      </c>
      <c r="C51" s="570">
        <f>Amnt_Deposited!O47*$D$10*(1-DOCF)*MSW!E52</f>
        <v>0</v>
      </c>
      <c r="D51" s="571">
        <f>Amnt_Deposited!C47*$F$10*(1-DOCF)*Food!E52</f>
        <v>0</v>
      </c>
      <c r="E51" s="572">
        <f>Amnt_Deposited!F47*$F$11*(1-DOCF)*Garden!E52</f>
        <v>0</v>
      </c>
      <c r="F51" s="572">
        <f>Amnt_Deposited!D47*$D$11*(1-DOCF)*Paper!E52</f>
        <v>0</v>
      </c>
      <c r="G51" s="572">
        <f>Amnt_Deposited!G47*$D$12*(1-DOCF)*Wood!E52</f>
        <v>0</v>
      </c>
      <c r="H51" s="572">
        <f>Amnt_Deposited!H47*$F$12*(1-DOCF)*Textiles!E52</f>
        <v>0</v>
      </c>
      <c r="I51" s="573">
        <f>Amnt_Deposited!E47*$H$10*(1-DOCF)*Nappies!E52</f>
        <v>0</v>
      </c>
      <c r="J51" s="574">
        <f>Amnt_Deposited!N47*$H$11*(1-DOCF)*Sludge!E52</f>
        <v>0</v>
      </c>
      <c r="K51" s="575">
        <f>Amnt_Deposited!P47*$H$12*(1-DOCF)*Industry!D52</f>
        <v>0</v>
      </c>
      <c r="L51" s="572">
        <f>Amnt_Deposited!P47*Parameters!$E$58*$D$11*(1-DOCF)*Industry!E52</f>
        <v>0</v>
      </c>
      <c r="M51" s="573">
        <f>Amnt_Deposited!P47*Parameters!$E$59*$D$12*(1-DOCF)*Industry!E52</f>
        <v>0</v>
      </c>
      <c r="N51" s="508">
        <f t="shared" si="3"/>
        <v>0</v>
      </c>
      <c r="O51" s="510">
        <f t="shared" si="1"/>
        <v>20.694185822044261</v>
      </c>
    </row>
    <row r="52" spans="2:15">
      <c r="B52" s="507">
        <f t="shared" si="2"/>
        <v>1984</v>
      </c>
      <c r="C52" s="570">
        <f>Amnt_Deposited!O48*$D$10*(1-DOCF)*MSW!E53</f>
        <v>0</v>
      </c>
      <c r="D52" s="571">
        <f>Amnt_Deposited!C48*$F$10*(1-DOCF)*Food!E53</f>
        <v>0</v>
      </c>
      <c r="E52" s="572">
        <f>Amnt_Deposited!F48*$F$11*(1-DOCF)*Garden!E53</f>
        <v>0</v>
      </c>
      <c r="F52" s="572">
        <f>Amnt_Deposited!D48*$D$11*(1-DOCF)*Paper!E53</f>
        <v>0</v>
      </c>
      <c r="G52" s="572">
        <f>Amnt_Deposited!G48*$D$12*(1-DOCF)*Wood!E53</f>
        <v>0</v>
      </c>
      <c r="H52" s="572">
        <f>Amnt_Deposited!H48*$F$12*(1-DOCF)*Textiles!E53</f>
        <v>0</v>
      </c>
      <c r="I52" s="573">
        <f>Amnt_Deposited!E48*$H$10*(1-DOCF)*Nappies!E53</f>
        <v>0</v>
      </c>
      <c r="J52" s="574">
        <f>Amnt_Deposited!N48*$H$11*(1-DOCF)*Sludge!E53</f>
        <v>0</v>
      </c>
      <c r="K52" s="575">
        <f>Amnt_Deposited!P48*$H$12*(1-DOCF)*Industry!D53</f>
        <v>0</v>
      </c>
      <c r="L52" s="572">
        <f>Amnt_Deposited!P48*Parameters!$E$58*$D$11*(1-DOCF)*Industry!E53</f>
        <v>0</v>
      </c>
      <c r="M52" s="573">
        <f>Amnt_Deposited!P48*Parameters!$E$59*$D$12*(1-DOCF)*Industry!E53</f>
        <v>0</v>
      </c>
      <c r="N52" s="508">
        <f t="shared" si="3"/>
        <v>0</v>
      </c>
      <c r="O52" s="510">
        <f t="shared" si="1"/>
        <v>20.694185822044261</v>
      </c>
    </row>
    <row r="53" spans="2:15">
      <c r="B53" s="507">
        <f t="shared" si="2"/>
        <v>1985</v>
      </c>
      <c r="C53" s="570">
        <f>Amnt_Deposited!O49*$D$10*(1-DOCF)*MSW!E54</f>
        <v>0</v>
      </c>
      <c r="D53" s="571">
        <f>Amnt_Deposited!C49*$F$10*(1-DOCF)*Food!E54</f>
        <v>0</v>
      </c>
      <c r="E53" s="572">
        <f>Amnt_Deposited!F49*$F$11*(1-DOCF)*Garden!E54</f>
        <v>0</v>
      </c>
      <c r="F53" s="572">
        <f>Amnt_Deposited!D49*$D$11*(1-DOCF)*Paper!E54</f>
        <v>0</v>
      </c>
      <c r="G53" s="572">
        <f>Amnt_Deposited!G49*$D$12*(1-DOCF)*Wood!E54</f>
        <v>0</v>
      </c>
      <c r="H53" s="572">
        <f>Amnt_Deposited!H49*$F$12*(1-DOCF)*Textiles!E54</f>
        <v>0</v>
      </c>
      <c r="I53" s="573">
        <f>Amnt_Deposited!E49*$H$10*(1-DOCF)*Nappies!E54</f>
        <v>0</v>
      </c>
      <c r="J53" s="574">
        <f>Amnt_Deposited!N49*$H$11*(1-DOCF)*Sludge!E54</f>
        <v>0</v>
      </c>
      <c r="K53" s="575">
        <f>Amnt_Deposited!P49*$H$12*(1-DOCF)*Industry!D54</f>
        <v>0</v>
      </c>
      <c r="L53" s="572">
        <f>Amnt_Deposited!P49*Parameters!$E$58*$D$11*(1-DOCF)*Industry!E54</f>
        <v>0</v>
      </c>
      <c r="M53" s="573">
        <f>Amnt_Deposited!P49*Parameters!$E$59*$D$12*(1-DOCF)*Industry!E54</f>
        <v>0</v>
      </c>
      <c r="N53" s="508">
        <f t="shared" si="3"/>
        <v>0</v>
      </c>
      <c r="O53" s="510">
        <f t="shared" si="1"/>
        <v>20.694185822044261</v>
      </c>
    </row>
    <row r="54" spans="2:15">
      <c r="B54" s="507">
        <f t="shared" si="2"/>
        <v>1986</v>
      </c>
      <c r="C54" s="570">
        <f>Amnt_Deposited!O50*$D$10*(1-DOCF)*MSW!E55</f>
        <v>0</v>
      </c>
      <c r="D54" s="571">
        <f>Amnt_Deposited!C50*$F$10*(1-DOCF)*Food!E55</f>
        <v>0</v>
      </c>
      <c r="E54" s="572">
        <f>Amnt_Deposited!F50*$F$11*(1-DOCF)*Garden!E55</f>
        <v>0</v>
      </c>
      <c r="F54" s="572">
        <f>Amnt_Deposited!D50*$D$11*(1-DOCF)*Paper!E55</f>
        <v>0</v>
      </c>
      <c r="G54" s="572">
        <f>Amnt_Deposited!G50*$D$12*(1-DOCF)*Wood!E55</f>
        <v>0</v>
      </c>
      <c r="H54" s="572">
        <f>Amnt_Deposited!H50*$F$12*(1-DOCF)*Textiles!E55</f>
        <v>0</v>
      </c>
      <c r="I54" s="573">
        <f>Amnt_Deposited!E50*$H$10*(1-DOCF)*Nappies!E55</f>
        <v>0</v>
      </c>
      <c r="J54" s="574">
        <f>Amnt_Deposited!N50*$H$11*(1-DOCF)*Sludge!E55</f>
        <v>0</v>
      </c>
      <c r="K54" s="575">
        <f>Amnt_Deposited!P50*$H$12*(1-DOCF)*Industry!D55</f>
        <v>0</v>
      </c>
      <c r="L54" s="572">
        <f>Amnt_Deposited!P50*Parameters!$E$58*$D$11*(1-DOCF)*Industry!E55</f>
        <v>0</v>
      </c>
      <c r="M54" s="573">
        <f>Amnt_Deposited!P50*Parameters!$E$59*$D$12*(1-DOCF)*Industry!E55</f>
        <v>0</v>
      </c>
      <c r="N54" s="508">
        <f t="shared" si="3"/>
        <v>0</v>
      </c>
      <c r="O54" s="510">
        <f t="shared" si="1"/>
        <v>20.694185822044261</v>
      </c>
    </row>
    <row r="55" spans="2:15">
      <c r="B55" s="507">
        <f t="shared" si="2"/>
        <v>1987</v>
      </c>
      <c r="C55" s="570">
        <f>Amnt_Deposited!O51*$D$10*(1-DOCF)*MSW!E56</f>
        <v>0</v>
      </c>
      <c r="D55" s="571">
        <f>Amnt_Deposited!C51*$F$10*(1-DOCF)*Food!E56</f>
        <v>0</v>
      </c>
      <c r="E55" s="572">
        <f>Amnt_Deposited!F51*$F$11*(1-DOCF)*Garden!E56</f>
        <v>0</v>
      </c>
      <c r="F55" s="572">
        <f>Amnt_Deposited!D51*$D$11*(1-DOCF)*Paper!E56</f>
        <v>0</v>
      </c>
      <c r="G55" s="572">
        <f>Amnt_Deposited!G51*$D$12*(1-DOCF)*Wood!E56</f>
        <v>0</v>
      </c>
      <c r="H55" s="572">
        <f>Amnt_Deposited!H51*$F$12*(1-DOCF)*Textiles!E56</f>
        <v>0</v>
      </c>
      <c r="I55" s="573">
        <f>Amnt_Deposited!E51*$H$10*(1-DOCF)*Nappies!E56</f>
        <v>0</v>
      </c>
      <c r="J55" s="574">
        <f>Amnt_Deposited!N51*$H$11*(1-DOCF)*Sludge!E56</f>
        <v>0</v>
      </c>
      <c r="K55" s="575">
        <f>Amnt_Deposited!P51*$H$12*(1-DOCF)*Industry!D56</f>
        <v>0</v>
      </c>
      <c r="L55" s="572">
        <f>Amnt_Deposited!P51*Parameters!$E$58*$D$11*(1-DOCF)*Industry!E56</f>
        <v>0</v>
      </c>
      <c r="M55" s="573">
        <f>Amnt_Deposited!P51*Parameters!$E$59*$D$12*(1-DOCF)*Industry!E56</f>
        <v>0</v>
      </c>
      <c r="N55" s="508">
        <f t="shared" si="3"/>
        <v>0</v>
      </c>
      <c r="O55" s="510">
        <f t="shared" si="1"/>
        <v>20.694185822044261</v>
      </c>
    </row>
    <row r="56" spans="2:15">
      <c r="B56" s="507">
        <f t="shared" si="2"/>
        <v>1988</v>
      </c>
      <c r="C56" s="570">
        <f>Amnt_Deposited!O52*$D$10*(1-DOCF)*MSW!E57</f>
        <v>0</v>
      </c>
      <c r="D56" s="571">
        <f>Amnt_Deposited!C52*$F$10*(1-DOCF)*Food!E57</f>
        <v>0</v>
      </c>
      <c r="E56" s="572">
        <f>Amnt_Deposited!F52*$F$11*(1-DOCF)*Garden!E57</f>
        <v>0</v>
      </c>
      <c r="F56" s="572">
        <f>Amnt_Deposited!D52*$D$11*(1-DOCF)*Paper!E57</f>
        <v>0</v>
      </c>
      <c r="G56" s="572">
        <f>Amnt_Deposited!G52*$D$12*(1-DOCF)*Wood!E57</f>
        <v>0</v>
      </c>
      <c r="H56" s="572">
        <f>Amnt_Deposited!H52*$F$12*(1-DOCF)*Textiles!E57</f>
        <v>0</v>
      </c>
      <c r="I56" s="573">
        <f>Amnt_Deposited!E52*$H$10*(1-DOCF)*Nappies!E57</f>
        <v>0</v>
      </c>
      <c r="J56" s="574">
        <f>Amnt_Deposited!N52*$H$11*(1-DOCF)*Sludge!E57</f>
        <v>0</v>
      </c>
      <c r="K56" s="575">
        <f>Amnt_Deposited!P52*$H$12*(1-DOCF)*Industry!D57</f>
        <v>0</v>
      </c>
      <c r="L56" s="572">
        <f>Amnt_Deposited!P52*Parameters!$E$58*$D$11*(1-DOCF)*Industry!E57</f>
        <v>0</v>
      </c>
      <c r="M56" s="573">
        <f>Amnt_Deposited!P52*Parameters!$E$59*$D$12*(1-DOCF)*Industry!E57</f>
        <v>0</v>
      </c>
      <c r="N56" s="508">
        <f t="shared" si="3"/>
        <v>0</v>
      </c>
      <c r="O56" s="510">
        <f t="shared" si="1"/>
        <v>20.694185822044261</v>
      </c>
    </row>
    <row r="57" spans="2:15">
      <c r="B57" s="507">
        <f t="shared" si="2"/>
        <v>1989</v>
      </c>
      <c r="C57" s="570">
        <f>Amnt_Deposited!O53*$D$10*(1-DOCF)*MSW!E58</f>
        <v>0</v>
      </c>
      <c r="D57" s="571">
        <f>Amnt_Deposited!C53*$F$10*(1-DOCF)*Food!E58</f>
        <v>0</v>
      </c>
      <c r="E57" s="572">
        <f>Amnt_Deposited!F53*$F$11*(1-DOCF)*Garden!E58</f>
        <v>0</v>
      </c>
      <c r="F57" s="572">
        <f>Amnt_Deposited!D53*$D$11*(1-DOCF)*Paper!E58</f>
        <v>0</v>
      </c>
      <c r="G57" s="572">
        <f>Amnt_Deposited!G53*$D$12*(1-DOCF)*Wood!E58</f>
        <v>0</v>
      </c>
      <c r="H57" s="572">
        <f>Amnt_Deposited!H53*$F$12*(1-DOCF)*Textiles!E58</f>
        <v>0</v>
      </c>
      <c r="I57" s="573">
        <f>Amnt_Deposited!E53*$H$10*(1-DOCF)*Nappies!E58</f>
        <v>0</v>
      </c>
      <c r="J57" s="574">
        <f>Amnt_Deposited!N53*$H$11*(1-DOCF)*Sludge!E58</f>
        <v>0</v>
      </c>
      <c r="K57" s="575">
        <f>Amnt_Deposited!P53*$H$12*(1-DOCF)*Industry!D58</f>
        <v>0</v>
      </c>
      <c r="L57" s="572">
        <f>Amnt_Deposited!P53*Parameters!$E$58*$D$11*(1-DOCF)*Industry!E58</f>
        <v>0</v>
      </c>
      <c r="M57" s="573">
        <f>Amnt_Deposited!P53*Parameters!$E$59*$D$12*(1-DOCF)*Industry!E58</f>
        <v>0</v>
      </c>
      <c r="N57" s="508">
        <f t="shared" si="3"/>
        <v>0</v>
      </c>
      <c r="O57" s="510">
        <f t="shared" si="1"/>
        <v>20.694185822044261</v>
      </c>
    </row>
    <row r="58" spans="2:15">
      <c r="B58" s="507">
        <f t="shared" si="2"/>
        <v>1990</v>
      </c>
      <c r="C58" s="570">
        <f>Amnt_Deposited!O54*$D$10*(1-DOCF)*MSW!E59</f>
        <v>0</v>
      </c>
      <c r="D58" s="571">
        <f>Amnt_Deposited!C54*$F$10*(1-DOCF)*Food!E59</f>
        <v>0</v>
      </c>
      <c r="E58" s="572">
        <f>Amnt_Deposited!F54*$F$11*(1-DOCF)*Garden!E59</f>
        <v>0</v>
      </c>
      <c r="F58" s="572">
        <f>Amnt_Deposited!D54*$D$11*(1-DOCF)*Paper!E59</f>
        <v>0</v>
      </c>
      <c r="G58" s="572">
        <f>Amnt_Deposited!G54*$D$12*(1-DOCF)*Wood!E59</f>
        <v>0</v>
      </c>
      <c r="H58" s="572">
        <f>Amnt_Deposited!H54*$F$12*(1-DOCF)*Textiles!E59</f>
        <v>0</v>
      </c>
      <c r="I58" s="573">
        <f>Amnt_Deposited!E54*$H$10*(1-DOCF)*Nappies!E59</f>
        <v>0</v>
      </c>
      <c r="J58" s="574">
        <f>Amnt_Deposited!N54*$H$11*(1-DOCF)*Sludge!E59</f>
        <v>0</v>
      </c>
      <c r="K58" s="575">
        <f>Amnt_Deposited!P54*$H$12*(1-DOCF)*Industry!D59</f>
        <v>0</v>
      </c>
      <c r="L58" s="572">
        <f>Amnt_Deposited!P54*Parameters!$E$58*$D$11*(1-DOCF)*Industry!E59</f>
        <v>0</v>
      </c>
      <c r="M58" s="573">
        <f>Amnt_Deposited!P54*Parameters!$E$59*$D$12*(1-DOCF)*Industry!E59</f>
        <v>0</v>
      </c>
      <c r="N58" s="508">
        <f t="shared" si="3"/>
        <v>0</v>
      </c>
      <c r="O58" s="510">
        <f t="shared" si="1"/>
        <v>20.694185822044261</v>
      </c>
    </row>
    <row r="59" spans="2:15">
      <c r="B59" s="507">
        <f t="shared" si="2"/>
        <v>1991</v>
      </c>
      <c r="C59" s="570">
        <f>Amnt_Deposited!O55*$D$10*(1-DOCF)*MSW!E60</f>
        <v>0</v>
      </c>
      <c r="D59" s="571">
        <f>Amnt_Deposited!C55*$F$10*(1-DOCF)*Food!E60</f>
        <v>0</v>
      </c>
      <c r="E59" s="572">
        <f>Amnt_Deposited!F55*$F$11*(1-DOCF)*Garden!E60</f>
        <v>0</v>
      </c>
      <c r="F59" s="572">
        <f>Amnt_Deposited!D55*$D$11*(1-DOCF)*Paper!E60</f>
        <v>0</v>
      </c>
      <c r="G59" s="572">
        <f>Amnt_Deposited!G55*$D$12*(1-DOCF)*Wood!E60</f>
        <v>0</v>
      </c>
      <c r="H59" s="572">
        <f>Amnt_Deposited!H55*$F$12*(1-DOCF)*Textiles!E60</f>
        <v>0</v>
      </c>
      <c r="I59" s="573">
        <f>Amnt_Deposited!E55*$H$10*(1-DOCF)*Nappies!E60</f>
        <v>0</v>
      </c>
      <c r="J59" s="574">
        <f>Amnt_Deposited!N55*$H$11*(1-DOCF)*Sludge!E60</f>
        <v>0</v>
      </c>
      <c r="K59" s="575">
        <f>Amnt_Deposited!P55*$H$12*(1-DOCF)*Industry!D60</f>
        <v>0</v>
      </c>
      <c r="L59" s="572">
        <f>Amnt_Deposited!P55*Parameters!$E$58*$D$11*(1-DOCF)*Industry!E60</f>
        <v>0</v>
      </c>
      <c r="M59" s="573">
        <f>Amnt_Deposited!P55*Parameters!$E$59*$D$12*(1-DOCF)*Industry!E60</f>
        <v>0</v>
      </c>
      <c r="N59" s="508">
        <f t="shared" si="3"/>
        <v>0</v>
      </c>
      <c r="O59" s="510">
        <f t="shared" si="1"/>
        <v>20.694185822044261</v>
      </c>
    </row>
    <row r="60" spans="2:15">
      <c r="B60" s="507">
        <f t="shared" si="2"/>
        <v>1992</v>
      </c>
      <c r="C60" s="570">
        <f>Amnt_Deposited!O56*$D$10*(1-DOCF)*MSW!E61</f>
        <v>0</v>
      </c>
      <c r="D60" s="571">
        <f>Amnt_Deposited!C56*$F$10*(1-DOCF)*Food!E61</f>
        <v>0</v>
      </c>
      <c r="E60" s="572">
        <f>Amnt_Deposited!F56*$F$11*(1-DOCF)*Garden!E61</f>
        <v>0</v>
      </c>
      <c r="F60" s="572">
        <f>Amnt_Deposited!D56*$D$11*(1-DOCF)*Paper!E61</f>
        <v>0</v>
      </c>
      <c r="G60" s="572">
        <f>Amnt_Deposited!G56*$D$12*(1-DOCF)*Wood!E61</f>
        <v>0</v>
      </c>
      <c r="H60" s="572">
        <f>Amnt_Deposited!H56*$F$12*(1-DOCF)*Textiles!E61</f>
        <v>0</v>
      </c>
      <c r="I60" s="573">
        <f>Amnt_Deposited!E56*$H$10*(1-DOCF)*Nappies!E61</f>
        <v>0</v>
      </c>
      <c r="J60" s="574">
        <f>Amnt_Deposited!N56*$H$11*(1-DOCF)*Sludge!E61</f>
        <v>0</v>
      </c>
      <c r="K60" s="575">
        <f>Amnt_Deposited!P56*$H$12*(1-DOCF)*Industry!D61</f>
        <v>0</v>
      </c>
      <c r="L60" s="572">
        <f>Amnt_Deposited!P56*Parameters!$E$58*$D$11*(1-DOCF)*Industry!E61</f>
        <v>0</v>
      </c>
      <c r="M60" s="573">
        <f>Amnt_Deposited!P56*Parameters!$E$59*$D$12*(1-DOCF)*Industry!E61</f>
        <v>0</v>
      </c>
      <c r="N60" s="508">
        <f t="shared" si="3"/>
        <v>0</v>
      </c>
      <c r="O60" s="510">
        <f t="shared" si="1"/>
        <v>20.694185822044261</v>
      </c>
    </row>
    <row r="61" spans="2:15">
      <c r="B61" s="507">
        <f t="shared" si="2"/>
        <v>1993</v>
      </c>
      <c r="C61" s="570">
        <f>Amnt_Deposited!O57*$D$10*(1-DOCF)*MSW!E62</f>
        <v>0</v>
      </c>
      <c r="D61" s="571">
        <f>Amnt_Deposited!C57*$F$10*(1-DOCF)*Food!E62</f>
        <v>0</v>
      </c>
      <c r="E61" s="572">
        <f>Amnt_Deposited!F57*$F$11*(1-DOCF)*Garden!E62</f>
        <v>0</v>
      </c>
      <c r="F61" s="572">
        <f>Amnt_Deposited!D57*$D$11*(1-DOCF)*Paper!E62</f>
        <v>0</v>
      </c>
      <c r="G61" s="572">
        <f>Amnt_Deposited!G57*$D$12*(1-DOCF)*Wood!E62</f>
        <v>0</v>
      </c>
      <c r="H61" s="572">
        <f>Amnt_Deposited!H57*$F$12*(1-DOCF)*Textiles!E62</f>
        <v>0</v>
      </c>
      <c r="I61" s="573">
        <f>Amnt_Deposited!E57*$H$10*(1-DOCF)*Nappies!E62</f>
        <v>0</v>
      </c>
      <c r="J61" s="574">
        <f>Amnt_Deposited!N57*$H$11*(1-DOCF)*Sludge!E62</f>
        <v>0</v>
      </c>
      <c r="K61" s="575">
        <f>Amnt_Deposited!P57*$H$12*(1-DOCF)*Industry!D62</f>
        <v>0</v>
      </c>
      <c r="L61" s="572">
        <f>Amnt_Deposited!P57*Parameters!$E$58*$D$11*(1-DOCF)*Industry!E62</f>
        <v>0</v>
      </c>
      <c r="M61" s="573">
        <f>Amnt_Deposited!P57*Parameters!$E$59*$D$12*(1-DOCF)*Industry!E62</f>
        <v>0</v>
      </c>
      <c r="N61" s="508">
        <f t="shared" si="3"/>
        <v>0</v>
      </c>
      <c r="O61" s="510">
        <f t="shared" si="1"/>
        <v>20.694185822044261</v>
      </c>
    </row>
    <row r="62" spans="2:15">
      <c r="B62" s="507">
        <f t="shared" si="2"/>
        <v>1994</v>
      </c>
      <c r="C62" s="570">
        <f>Amnt_Deposited!O58*$D$10*(1-DOCF)*MSW!E63</f>
        <v>0</v>
      </c>
      <c r="D62" s="571">
        <f>Amnt_Deposited!C58*$F$10*(1-DOCF)*Food!E63</f>
        <v>0</v>
      </c>
      <c r="E62" s="572">
        <f>Amnt_Deposited!F58*$F$11*(1-DOCF)*Garden!E63</f>
        <v>0</v>
      </c>
      <c r="F62" s="572">
        <f>Amnt_Deposited!D58*$D$11*(1-DOCF)*Paper!E63</f>
        <v>0</v>
      </c>
      <c r="G62" s="572">
        <f>Amnt_Deposited!G58*$D$12*(1-DOCF)*Wood!E63</f>
        <v>0</v>
      </c>
      <c r="H62" s="572">
        <f>Amnt_Deposited!H58*$F$12*(1-DOCF)*Textiles!E63</f>
        <v>0</v>
      </c>
      <c r="I62" s="573">
        <f>Amnt_Deposited!E58*$H$10*(1-DOCF)*Nappies!E63</f>
        <v>0</v>
      </c>
      <c r="J62" s="574">
        <f>Amnt_Deposited!N58*$H$11*(1-DOCF)*Sludge!E63</f>
        <v>0</v>
      </c>
      <c r="K62" s="575">
        <f>Amnt_Deposited!P58*$H$12*(1-DOCF)*Industry!D63</f>
        <v>0</v>
      </c>
      <c r="L62" s="572">
        <f>Amnt_Deposited!P58*Parameters!$E$58*$D$11*(1-DOCF)*Industry!E63</f>
        <v>0</v>
      </c>
      <c r="M62" s="573">
        <f>Amnt_Deposited!P58*Parameters!$E$59*$D$12*(1-DOCF)*Industry!E63</f>
        <v>0</v>
      </c>
      <c r="N62" s="508">
        <f t="shared" si="3"/>
        <v>0</v>
      </c>
      <c r="O62" s="510">
        <f t="shared" si="1"/>
        <v>20.694185822044261</v>
      </c>
    </row>
    <row r="63" spans="2:15">
      <c r="B63" s="507">
        <f t="shared" si="2"/>
        <v>1995</v>
      </c>
      <c r="C63" s="570">
        <f>Amnt_Deposited!O59*$D$10*(1-DOCF)*MSW!E64</f>
        <v>0</v>
      </c>
      <c r="D63" s="571">
        <f>Amnt_Deposited!C59*$F$10*(1-DOCF)*Food!E64</f>
        <v>0</v>
      </c>
      <c r="E63" s="572">
        <f>Amnt_Deposited!F59*$F$11*(1-DOCF)*Garden!E64</f>
        <v>0</v>
      </c>
      <c r="F63" s="572">
        <f>Amnt_Deposited!D59*$D$11*(1-DOCF)*Paper!E64</f>
        <v>0</v>
      </c>
      <c r="G63" s="572">
        <f>Amnt_Deposited!G59*$D$12*(1-DOCF)*Wood!E64</f>
        <v>0</v>
      </c>
      <c r="H63" s="572">
        <f>Amnt_Deposited!H59*$F$12*(1-DOCF)*Textiles!E64</f>
        <v>0</v>
      </c>
      <c r="I63" s="573">
        <f>Amnt_Deposited!E59*$H$10*(1-DOCF)*Nappies!E64</f>
        <v>0</v>
      </c>
      <c r="J63" s="574">
        <f>Amnt_Deposited!N59*$H$11*(1-DOCF)*Sludge!E64</f>
        <v>0</v>
      </c>
      <c r="K63" s="575">
        <f>Amnt_Deposited!P59*$H$12*(1-DOCF)*Industry!D64</f>
        <v>0</v>
      </c>
      <c r="L63" s="572">
        <f>Amnt_Deposited!P59*Parameters!$E$58*$D$11*(1-DOCF)*Industry!E64</f>
        <v>0</v>
      </c>
      <c r="M63" s="573">
        <f>Amnt_Deposited!P59*Parameters!$E$59*$D$12*(1-DOCF)*Industry!E64</f>
        <v>0</v>
      </c>
      <c r="N63" s="508">
        <f t="shared" si="3"/>
        <v>0</v>
      </c>
      <c r="O63" s="510">
        <f t="shared" si="1"/>
        <v>20.694185822044261</v>
      </c>
    </row>
    <row r="64" spans="2:15">
      <c r="B64" s="507">
        <f t="shared" si="2"/>
        <v>1996</v>
      </c>
      <c r="C64" s="570">
        <f>Amnt_Deposited!O60*$D$10*(1-DOCF)*MSW!E65</f>
        <v>0</v>
      </c>
      <c r="D64" s="571">
        <f>Amnt_Deposited!C60*$F$10*(1-DOCF)*Food!E65</f>
        <v>0</v>
      </c>
      <c r="E64" s="572">
        <f>Amnt_Deposited!F60*$F$11*(1-DOCF)*Garden!E65</f>
        <v>0</v>
      </c>
      <c r="F64" s="572">
        <f>Amnt_Deposited!D60*$D$11*(1-DOCF)*Paper!E65</f>
        <v>0</v>
      </c>
      <c r="G64" s="572">
        <f>Amnt_Deposited!G60*$D$12*(1-DOCF)*Wood!E65</f>
        <v>0</v>
      </c>
      <c r="H64" s="572">
        <f>Amnt_Deposited!H60*$F$12*(1-DOCF)*Textiles!E65</f>
        <v>0</v>
      </c>
      <c r="I64" s="573">
        <f>Amnt_Deposited!E60*$H$10*(1-DOCF)*Nappies!E65</f>
        <v>0</v>
      </c>
      <c r="J64" s="574">
        <f>Amnt_Deposited!N60*$H$11*(1-DOCF)*Sludge!E65</f>
        <v>0</v>
      </c>
      <c r="K64" s="575">
        <f>Amnt_Deposited!P60*$H$12*(1-DOCF)*Industry!D65</f>
        <v>0</v>
      </c>
      <c r="L64" s="572">
        <f>Amnt_Deposited!P60*Parameters!$E$58*$D$11*(1-DOCF)*Industry!E65</f>
        <v>0</v>
      </c>
      <c r="M64" s="573">
        <f>Amnt_Deposited!P60*Parameters!$E$59*$D$12*(1-DOCF)*Industry!E65</f>
        <v>0</v>
      </c>
      <c r="N64" s="508">
        <f t="shared" si="3"/>
        <v>0</v>
      </c>
      <c r="O64" s="510">
        <f t="shared" si="1"/>
        <v>20.694185822044261</v>
      </c>
    </row>
    <row r="65" spans="2:15">
      <c r="B65" s="507">
        <f t="shared" si="2"/>
        <v>1997</v>
      </c>
      <c r="C65" s="570">
        <f>Amnt_Deposited!O61*$D$10*(1-DOCF)*MSW!E66</f>
        <v>0</v>
      </c>
      <c r="D65" s="571">
        <f>Amnt_Deposited!C61*$F$10*(1-DOCF)*Food!E66</f>
        <v>0</v>
      </c>
      <c r="E65" s="572">
        <f>Amnt_Deposited!F61*$F$11*(1-DOCF)*Garden!E66</f>
        <v>0</v>
      </c>
      <c r="F65" s="572">
        <f>Amnt_Deposited!D61*$D$11*(1-DOCF)*Paper!E66</f>
        <v>0</v>
      </c>
      <c r="G65" s="572">
        <f>Amnt_Deposited!G61*$D$12*(1-DOCF)*Wood!E66</f>
        <v>0</v>
      </c>
      <c r="H65" s="572">
        <f>Amnt_Deposited!H61*$F$12*(1-DOCF)*Textiles!E66</f>
        <v>0</v>
      </c>
      <c r="I65" s="573">
        <f>Amnt_Deposited!E61*$H$10*(1-DOCF)*Nappies!E66</f>
        <v>0</v>
      </c>
      <c r="J65" s="574">
        <f>Amnt_Deposited!N61*$H$11*(1-DOCF)*Sludge!E66</f>
        <v>0</v>
      </c>
      <c r="K65" s="575">
        <f>Amnt_Deposited!P61*$H$12*(1-DOCF)*Industry!D66</f>
        <v>0</v>
      </c>
      <c r="L65" s="572">
        <f>Amnt_Deposited!P61*Parameters!$E$58*$D$11*(1-DOCF)*Industry!E66</f>
        <v>0</v>
      </c>
      <c r="M65" s="573">
        <f>Amnt_Deposited!P61*Parameters!$E$59*$D$12*(1-DOCF)*Industry!E66</f>
        <v>0</v>
      </c>
      <c r="N65" s="508">
        <f t="shared" si="3"/>
        <v>0</v>
      </c>
      <c r="O65" s="510">
        <f t="shared" si="1"/>
        <v>20.694185822044261</v>
      </c>
    </row>
    <row r="66" spans="2:15">
      <c r="B66" s="507">
        <f t="shared" si="2"/>
        <v>1998</v>
      </c>
      <c r="C66" s="570">
        <f>Amnt_Deposited!O62*$D$10*(1-DOCF)*MSW!E67</f>
        <v>0</v>
      </c>
      <c r="D66" s="571">
        <f>Amnt_Deposited!C62*$F$10*(1-DOCF)*Food!E67</f>
        <v>0</v>
      </c>
      <c r="E66" s="572">
        <f>Amnt_Deposited!F62*$F$11*(1-DOCF)*Garden!E67</f>
        <v>0</v>
      </c>
      <c r="F66" s="572">
        <f>Amnt_Deposited!D62*$D$11*(1-DOCF)*Paper!E67</f>
        <v>0</v>
      </c>
      <c r="G66" s="572">
        <f>Amnt_Deposited!G62*$D$12*(1-DOCF)*Wood!E67</f>
        <v>0</v>
      </c>
      <c r="H66" s="572">
        <f>Amnt_Deposited!H62*$F$12*(1-DOCF)*Textiles!E67</f>
        <v>0</v>
      </c>
      <c r="I66" s="573">
        <f>Amnt_Deposited!E62*$H$10*(1-DOCF)*Nappies!E67</f>
        <v>0</v>
      </c>
      <c r="J66" s="574">
        <f>Amnt_Deposited!N62*$H$11*(1-DOCF)*Sludge!E67</f>
        <v>0</v>
      </c>
      <c r="K66" s="575">
        <f>Amnt_Deposited!P62*$H$12*(1-DOCF)*Industry!D67</f>
        <v>0</v>
      </c>
      <c r="L66" s="572">
        <f>Amnt_Deposited!P62*Parameters!$E$58*$D$11*(1-DOCF)*Industry!E67</f>
        <v>0</v>
      </c>
      <c r="M66" s="573">
        <f>Amnt_Deposited!P62*Parameters!$E$59*$D$12*(1-DOCF)*Industry!E67</f>
        <v>0</v>
      </c>
      <c r="N66" s="508">
        <f t="shared" si="3"/>
        <v>0</v>
      </c>
      <c r="O66" s="510">
        <f t="shared" si="1"/>
        <v>20.694185822044261</v>
      </c>
    </row>
    <row r="67" spans="2:15">
      <c r="B67" s="507">
        <f t="shared" si="2"/>
        <v>1999</v>
      </c>
      <c r="C67" s="570">
        <f>Amnt_Deposited!O63*$D$10*(1-DOCF)*MSW!E68</f>
        <v>0</v>
      </c>
      <c r="D67" s="571">
        <f>Amnt_Deposited!C63*$F$10*(1-DOCF)*Food!E68</f>
        <v>0</v>
      </c>
      <c r="E67" s="572">
        <f>Amnt_Deposited!F63*$F$11*(1-DOCF)*Garden!E68</f>
        <v>0</v>
      </c>
      <c r="F67" s="572">
        <f>Amnt_Deposited!D63*$D$11*(1-DOCF)*Paper!E68</f>
        <v>0</v>
      </c>
      <c r="G67" s="572">
        <f>Amnt_Deposited!G63*$D$12*(1-DOCF)*Wood!E68</f>
        <v>0</v>
      </c>
      <c r="H67" s="572">
        <f>Amnt_Deposited!H63*$F$12*(1-DOCF)*Textiles!E68</f>
        <v>0</v>
      </c>
      <c r="I67" s="573">
        <f>Amnt_Deposited!E63*$H$10*(1-DOCF)*Nappies!E68</f>
        <v>0</v>
      </c>
      <c r="J67" s="574">
        <f>Amnt_Deposited!N63*$H$11*(1-DOCF)*Sludge!E68</f>
        <v>0</v>
      </c>
      <c r="K67" s="575">
        <f>Amnt_Deposited!P63*$H$12*(1-DOCF)*Industry!D68</f>
        <v>0</v>
      </c>
      <c r="L67" s="572">
        <f>Amnt_Deposited!P63*Parameters!$E$58*$D$11*(1-DOCF)*Industry!E68</f>
        <v>0</v>
      </c>
      <c r="M67" s="573">
        <f>Amnt_Deposited!P63*Parameters!$E$59*$D$12*(1-DOCF)*Industry!E68</f>
        <v>0</v>
      </c>
      <c r="N67" s="508">
        <f t="shared" si="3"/>
        <v>0</v>
      </c>
      <c r="O67" s="510">
        <f t="shared" si="1"/>
        <v>20.694185822044261</v>
      </c>
    </row>
    <row r="68" spans="2:15">
      <c r="B68" s="507">
        <f t="shared" si="2"/>
        <v>2000</v>
      </c>
      <c r="C68" s="570">
        <f>Amnt_Deposited!O64*$D$10*(1-DOCF)*MSW!E69</f>
        <v>0</v>
      </c>
      <c r="D68" s="571">
        <f>Amnt_Deposited!C64*$F$10*(1-DOCF)*Food!E69</f>
        <v>0</v>
      </c>
      <c r="E68" s="572">
        <f>Amnt_Deposited!F64*$F$11*(1-DOCF)*Garden!E69</f>
        <v>0</v>
      </c>
      <c r="F68" s="572">
        <f>Amnt_Deposited!D64*$D$11*(1-DOCF)*Paper!E69</f>
        <v>0</v>
      </c>
      <c r="G68" s="572">
        <f>Amnt_Deposited!G64*$D$12*(1-DOCF)*Wood!E69</f>
        <v>0</v>
      </c>
      <c r="H68" s="572">
        <f>Amnt_Deposited!H64*$F$12*(1-DOCF)*Textiles!E69</f>
        <v>0</v>
      </c>
      <c r="I68" s="573">
        <f>Amnt_Deposited!E64*$H$10*(1-DOCF)*Nappies!E69</f>
        <v>0</v>
      </c>
      <c r="J68" s="574">
        <f>Amnt_Deposited!N64*$H$11*(1-DOCF)*Sludge!E69</f>
        <v>0</v>
      </c>
      <c r="K68" s="575">
        <f>Amnt_Deposited!P64*$H$12*(1-DOCF)*Industry!D69</f>
        <v>0</v>
      </c>
      <c r="L68" s="572">
        <f>Amnt_Deposited!P64*Parameters!$E$58*$D$11*(1-DOCF)*Industry!E69</f>
        <v>0</v>
      </c>
      <c r="M68" s="573">
        <f>Amnt_Deposited!P64*Parameters!$E$59*$D$12*(1-DOCF)*Industry!E69</f>
        <v>0</v>
      </c>
      <c r="N68" s="508">
        <f t="shared" si="3"/>
        <v>0</v>
      </c>
      <c r="O68" s="510">
        <f t="shared" si="1"/>
        <v>20.694185822044261</v>
      </c>
    </row>
    <row r="69" spans="2:15">
      <c r="B69" s="507">
        <f t="shared" si="2"/>
        <v>2001</v>
      </c>
      <c r="C69" s="570">
        <f>Amnt_Deposited!O65*$D$10*(1-DOCF)*MSW!E70</f>
        <v>0</v>
      </c>
      <c r="D69" s="571">
        <f>Amnt_Deposited!C65*$F$10*(1-DOCF)*Food!E70</f>
        <v>0</v>
      </c>
      <c r="E69" s="572">
        <f>Amnt_Deposited!F65*$F$11*(1-DOCF)*Garden!E70</f>
        <v>0</v>
      </c>
      <c r="F69" s="572">
        <f>Amnt_Deposited!D65*$D$11*(1-DOCF)*Paper!E70</f>
        <v>0</v>
      </c>
      <c r="G69" s="572">
        <f>Amnt_Deposited!G65*$D$12*(1-DOCF)*Wood!E70</f>
        <v>0</v>
      </c>
      <c r="H69" s="572">
        <f>Amnt_Deposited!H65*$F$12*(1-DOCF)*Textiles!E70</f>
        <v>0</v>
      </c>
      <c r="I69" s="573">
        <f>Amnt_Deposited!E65*$H$10*(1-DOCF)*Nappies!E70</f>
        <v>0</v>
      </c>
      <c r="J69" s="574">
        <f>Amnt_Deposited!N65*$H$11*(1-DOCF)*Sludge!E70</f>
        <v>0</v>
      </c>
      <c r="K69" s="575">
        <f>Amnt_Deposited!P65*$H$12*(1-DOCF)*Industry!D70</f>
        <v>0</v>
      </c>
      <c r="L69" s="572">
        <f>Amnt_Deposited!P65*Parameters!$E$58*$D$11*(1-DOCF)*Industry!E70</f>
        <v>0</v>
      </c>
      <c r="M69" s="573">
        <f>Amnt_Deposited!P65*Parameters!$E$59*$D$12*(1-DOCF)*Industry!E70</f>
        <v>0</v>
      </c>
      <c r="N69" s="508">
        <f t="shared" si="3"/>
        <v>0</v>
      </c>
      <c r="O69" s="510">
        <f t="shared" si="1"/>
        <v>20.694185822044261</v>
      </c>
    </row>
    <row r="70" spans="2:15">
      <c r="B70" s="507">
        <f t="shared" si="2"/>
        <v>2002</v>
      </c>
      <c r="C70" s="570">
        <f>Amnt_Deposited!O66*$D$10*(1-DOCF)*MSW!E71</f>
        <v>0</v>
      </c>
      <c r="D70" s="571">
        <f>Amnt_Deposited!C66*$F$10*(1-DOCF)*Food!E71</f>
        <v>0</v>
      </c>
      <c r="E70" s="572">
        <f>Amnt_Deposited!F66*$F$11*(1-DOCF)*Garden!E71</f>
        <v>0</v>
      </c>
      <c r="F70" s="572">
        <f>Amnt_Deposited!D66*$D$11*(1-DOCF)*Paper!E71</f>
        <v>0</v>
      </c>
      <c r="G70" s="572">
        <f>Amnt_Deposited!G66*$D$12*(1-DOCF)*Wood!E71</f>
        <v>0</v>
      </c>
      <c r="H70" s="572">
        <f>Amnt_Deposited!H66*$F$12*(1-DOCF)*Textiles!E71</f>
        <v>0</v>
      </c>
      <c r="I70" s="573">
        <f>Amnt_Deposited!E66*$H$10*(1-DOCF)*Nappies!E71</f>
        <v>0</v>
      </c>
      <c r="J70" s="574">
        <f>Amnt_Deposited!N66*$H$11*(1-DOCF)*Sludge!E71</f>
        <v>0</v>
      </c>
      <c r="K70" s="575">
        <f>Amnt_Deposited!P66*$H$12*(1-DOCF)*Industry!D71</f>
        <v>0</v>
      </c>
      <c r="L70" s="572">
        <f>Amnt_Deposited!P66*Parameters!$E$58*$D$11*(1-DOCF)*Industry!E71</f>
        <v>0</v>
      </c>
      <c r="M70" s="573">
        <f>Amnt_Deposited!P66*Parameters!$E$59*$D$12*(1-DOCF)*Industry!E71</f>
        <v>0</v>
      </c>
      <c r="N70" s="508">
        <f t="shared" si="3"/>
        <v>0</v>
      </c>
      <c r="O70" s="510">
        <f t="shared" si="1"/>
        <v>20.694185822044261</v>
      </c>
    </row>
    <row r="71" spans="2:15">
      <c r="B71" s="507">
        <f t="shared" si="2"/>
        <v>2003</v>
      </c>
      <c r="C71" s="570">
        <f>Amnt_Deposited!O67*$D$10*(1-DOCF)*MSW!E72</f>
        <v>0</v>
      </c>
      <c r="D71" s="571">
        <f>Amnt_Deposited!C67*$F$10*(1-DOCF)*Food!E72</f>
        <v>0</v>
      </c>
      <c r="E71" s="572">
        <f>Amnt_Deposited!F67*$F$11*(1-DOCF)*Garden!E72</f>
        <v>0</v>
      </c>
      <c r="F71" s="572">
        <f>Amnt_Deposited!D67*$D$11*(1-DOCF)*Paper!E72</f>
        <v>0</v>
      </c>
      <c r="G71" s="572">
        <f>Amnt_Deposited!G67*$D$12*(1-DOCF)*Wood!E72</f>
        <v>0</v>
      </c>
      <c r="H71" s="572">
        <f>Amnt_Deposited!H67*$F$12*(1-DOCF)*Textiles!E72</f>
        <v>0</v>
      </c>
      <c r="I71" s="573">
        <f>Amnt_Deposited!E67*$H$10*(1-DOCF)*Nappies!E72</f>
        <v>0</v>
      </c>
      <c r="J71" s="574">
        <f>Amnt_Deposited!N67*$H$11*(1-DOCF)*Sludge!E72</f>
        <v>0</v>
      </c>
      <c r="K71" s="575">
        <f>Amnt_Deposited!P67*$H$12*(1-DOCF)*Industry!D72</f>
        <v>0</v>
      </c>
      <c r="L71" s="572">
        <f>Amnt_Deposited!P67*Parameters!$E$58*$D$11*(1-DOCF)*Industry!E72</f>
        <v>0</v>
      </c>
      <c r="M71" s="573">
        <f>Amnt_Deposited!P67*Parameters!$E$59*$D$12*(1-DOCF)*Industry!E72</f>
        <v>0</v>
      </c>
      <c r="N71" s="508">
        <f t="shared" si="3"/>
        <v>0</v>
      </c>
      <c r="O71" s="510">
        <f t="shared" si="1"/>
        <v>20.694185822044261</v>
      </c>
    </row>
    <row r="72" spans="2:15">
      <c r="B72" s="507">
        <f t="shared" si="2"/>
        <v>2004</v>
      </c>
      <c r="C72" s="570">
        <f>Amnt_Deposited!O68*$D$10*(1-DOCF)*MSW!E73</f>
        <v>0</v>
      </c>
      <c r="D72" s="571">
        <f>Amnt_Deposited!C68*$F$10*(1-DOCF)*Food!E73</f>
        <v>0</v>
      </c>
      <c r="E72" s="572">
        <f>Amnt_Deposited!F68*$F$11*(1-DOCF)*Garden!E73</f>
        <v>0</v>
      </c>
      <c r="F72" s="572">
        <f>Amnt_Deposited!D68*$D$11*(1-DOCF)*Paper!E73</f>
        <v>0</v>
      </c>
      <c r="G72" s="572">
        <f>Amnt_Deposited!G68*$D$12*(1-DOCF)*Wood!E73</f>
        <v>0</v>
      </c>
      <c r="H72" s="572">
        <f>Amnt_Deposited!H68*$F$12*(1-DOCF)*Textiles!E73</f>
        <v>0</v>
      </c>
      <c r="I72" s="573">
        <f>Amnt_Deposited!E68*$H$10*(1-DOCF)*Nappies!E73</f>
        <v>0</v>
      </c>
      <c r="J72" s="574">
        <f>Amnt_Deposited!N68*$H$11*(1-DOCF)*Sludge!E73</f>
        <v>0</v>
      </c>
      <c r="K72" s="575">
        <f>Amnt_Deposited!P68*$H$12*(1-DOCF)*Industry!D73</f>
        <v>0</v>
      </c>
      <c r="L72" s="572">
        <f>Amnt_Deposited!P68*Parameters!$E$58*$D$11*(1-DOCF)*Industry!E73</f>
        <v>0</v>
      </c>
      <c r="M72" s="573">
        <f>Amnt_Deposited!P68*Parameters!$E$59*$D$12*(1-DOCF)*Industry!E73</f>
        <v>0</v>
      </c>
      <c r="N72" s="508">
        <f t="shared" si="3"/>
        <v>0</v>
      </c>
      <c r="O72" s="510">
        <f t="shared" si="1"/>
        <v>20.694185822044261</v>
      </c>
    </row>
    <row r="73" spans="2:15">
      <c r="B73" s="507">
        <f t="shared" si="2"/>
        <v>2005</v>
      </c>
      <c r="C73" s="570">
        <f>Amnt_Deposited!O69*$D$10*(1-DOCF)*MSW!E74</f>
        <v>0</v>
      </c>
      <c r="D73" s="571">
        <f>Amnt_Deposited!C69*$F$10*(1-DOCF)*Food!E74</f>
        <v>0</v>
      </c>
      <c r="E73" s="572">
        <f>Amnt_Deposited!F69*$F$11*(1-DOCF)*Garden!E74</f>
        <v>0</v>
      </c>
      <c r="F73" s="572">
        <f>Amnt_Deposited!D69*$D$11*(1-DOCF)*Paper!E74</f>
        <v>0</v>
      </c>
      <c r="G73" s="572">
        <f>Amnt_Deposited!G69*$D$12*(1-DOCF)*Wood!E74</f>
        <v>0</v>
      </c>
      <c r="H73" s="572">
        <f>Amnt_Deposited!H69*$F$12*(1-DOCF)*Textiles!E74</f>
        <v>0</v>
      </c>
      <c r="I73" s="573">
        <f>Amnt_Deposited!E69*$H$10*(1-DOCF)*Nappies!E74</f>
        <v>0</v>
      </c>
      <c r="J73" s="574">
        <f>Amnt_Deposited!N69*$H$11*(1-DOCF)*Sludge!E74</f>
        <v>0</v>
      </c>
      <c r="K73" s="575">
        <f>Amnt_Deposited!P69*$H$12*(1-DOCF)*Industry!D74</f>
        <v>0</v>
      </c>
      <c r="L73" s="572">
        <f>Amnt_Deposited!P69*Parameters!$E$58*$D$11*(1-DOCF)*Industry!E74</f>
        <v>0</v>
      </c>
      <c r="M73" s="573">
        <f>Amnt_Deposited!P69*Parameters!$E$59*$D$12*(1-DOCF)*Industry!E74</f>
        <v>0</v>
      </c>
      <c r="N73" s="508">
        <f t="shared" si="3"/>
        <v>0</v>
      </c>
      <c r="O73" s="510">
        <f t="shared" si="1"/>
        <v>20.694185822044261</v>
      </c>
    </row>
    <row r="74" spans="2:15">
      <c r="B74" s="507">
        <f t="shared" si="2"/>
        <v>2006</v>
      </c>
      <c r="C74" s="570">
        <f>Amnt_Deposited!O70*$D$10*(1-DOCF)*MSW!E75</f>
        <v>0</v>
      </c>
      <c r="D74" s="571">
        <f>Amnt_Deposited!C70*$F$10*(1-DOCF)*Food!E75</f>
        <v>0</v>
      </c>
      <c r="E74" s="572">
        <f>Amnt_Deposited!F70*$F$11*(1-DOCF)*Garden!E75</f>
        <v>0</v>
      </c>
      <c r="F74" s="572">
        <f>Amnt_Deposited!D70*$D$11*(1-DOCF)*Paper!E75</f>
        <v>0</v>
      </c>
      <c r="G74" s="572">
        <f>Amnt_Deposited!G70*$D$12*(1-DOCF)*Wood!E75</f>
        <v>0</v>
      </c>
      <c r="H74" s="572">
        <f>Amnt_Deposited!H70*$F$12*(1-DOCF)*Textiles!E75</f>
        <v>0</v>
      </c>
      <c r="I74" s="573">
        <f>Amnt_Deposited!E70*$H$10*(1-DOCF)*Nappies!E75</f>
        <v>0</v>
      </c>
      <c r="J74" s="574">
        <f>Amnt_Deposited!N70*$H$11*(1-DOCF)*Sludge!E75</f>
        <v>0</v>
      </c>
      <c r="K74" s="575">
        <f>Amnt_Deposited!P70*$H$12*(1-DOCF)*Industry!D75</f>
        <v>0</v>
      </c>
      <c r="L74" s="572">
        <f>Amnt_Deposited!P70*Parameters!$E$58*$D$11*(1-DOCF)*Industry!E75</f>
        <v>0</v>
      </c>
      <c r="M74" s="573">
        <f>Amnt_Deposited!P70*Parameters!$E$59*$D$12*(1-DOCF)*Industry!E75</f>
        <v>0</v>
      </c>
      <c r="N74" s="508">
        <f t="shared" si="3"/>
        <v>0</v>
      </c>
      <c r="O74" s="510">
        <f t="shared" si="1"/>
        <v>20.694185822044261</v>
      </c>
    </row>
    <row r="75" spans="2:15">
      <c r="B75" s="507">
        <f t="shared" si="2"/>
        <v>2007</v>
      </c>
      <c r="C75" s="570">
        <f>Amnt_Deposited!O71*$D$10*(1-DOCF)*MSW!E76</f>
        <v>0</v>
      </c>
      <c r="D75" s="571">
        <f>Amnt_Deposited!C71*$F$10*(1-DOCF)*Food!E76</f>
        <v>0</v>
      </c>
      <c r="E75" s="572">
        <f>Amnt_Deposited!F71*$F$11*(1-DOCF)*Garden!E76</f>
        <v>0</v>
      </c>
      <c r="F75" s="572">
        <f>Amnt_Deposited!D71*$D$11*(1-DOCF)*Paper!E76</f>
        <v>0</v>
      </c>
      <c r="G75" s="572">
        <f>Amnt_Deposited!G71*$D$12*(1-DOCF)*Wood!E76</f>
        <v>0</v>
      </c>
      <c r="H75" s="572">
        <f>Amnt_Deposited!H71*$F$12*(1-DOCF)*Textiles!E76</f>
        <v>0</v>
      </c>
      <c r="I75" s="573">
        <f>Amnt_Deposited!E71*$H$10*(1-DOCF)*Nappies!E76</f>
        <v>0</v>
      </c>
      <c r="J75" s="574">
        <f>Amnt_Deposited!N71*$H$11*(1-DOCF)*Sludge!E76</f>
        <v>0</v>
      </c>
      <c r="K75" s="575">
        <f>Amnt_Deposited!P71*$H$12*(1-DOCF)*Industry!D76</f>
        <v>0</v>
      </c>
      <c r="L75" s="572">
        <f>Amnt_Deposited!P71*Parameters!$E$58*$D$11*(1-DOCF)*Industry!E76</f>
        <v>0</v>
      </c>
      <c r="M75" s="573">
        <f>Amnt_Deposited!P71*Parameters!$E$59*$D$12*(1-DOCF)*Industry!E76</f>
        <v>0</v>
      </c>
      <c r="N75" s="508">
        <f t="shared" si="3"/>
        <v>0</v>
      </c>
      <c r="O75" s="510">
        <f t="shared" si="1"/>
        <v>20.694185822044261</v>
      </c>
    </row>
    <row r="76" spans="2:15">
      <c r="B76" s="507">
        <f t="shared" si="2"/>
        <v>2008</v>
      </c>
      <c r="C76" s="570">
        <f>Amnt_Deposited!O72*$D$10*(1-DOCF)*MSW!E77</f>
        <v>0</v>
      </c>
      <c r="D76" s="571">
        <f>Amnt_Deposited!C72*$F$10*(1-DOCF)*Food!E77</f>
        <v>0</v>
      </c>
      <c r="E76" s="572">
        <f>Amnt_Deposited!F72*$F$11*(1-DOCF)*Garden!E77</f>
        <v>0</v>
      </c>
      <c r="F76" s="572">
        <f>Amnt_Deposited!D72*$D$11*(1-DOCF)*Paper!E77</f>
        <v>0</v>
      </c>
      <c r="G76" s="572">
        <f>Amnt_Deposited!G72*$D$12*(1-DOCF)*Wood!E77</f>
        <v>0</v>
      </c>
      <c r="H76" s="572">
        <f>Amnt_Deposited!H72*$F$12*(1-DOCF)*Textiles!E77</f>
        <v>0</v>
      </c>
      <c r="I76" s="573">
        <f>Amnt_Deposited!E72*$H$10*(1-DOCF)*Nappies!E77</f>
        <v>0</v>
      </c>
      <c r="J76" s="574">
        <f>Amnt_Deposited!N72*$H$11*(1-DOCF)*Sludge!E77</f>
        <v>0</v>
      </c>
      <c r="K76" s="575">
        <f>Amnt_Deposited!P72*$H$12*(1-DOCF)*Industry!D77</f>
        <v>0</v>
      </c>
      <c r="L76" s="572">
        <f>Amnt_Deposited!P72*Parameters!$E$58*$D$11*(1-DOCF)*Industry!E77</f>
        <v>0</v>
      </c>
      <c r="M76" s="573">
        <f>Amnt_Deposited!P72*Parameters!$E$59*$D$12*(1-DOCF)*Industry!E77</f>
        <v>0</v>
      </c>
      <c r="N76" s="508">
        <f t="shared" si="3"/>
        <v>0</v>
      </c>
      <c r="O76" s="510">
        <f t="shared" si="1"/>
        <v>20.694185822044261</v>
      </c>
    </row>
    <row r="77" spans="2:15">
      <c r="B77" s="507">
        <f t="shared" si="2"/>
        <v>2009</v>
      </c>
      <c r="C77" s="570">
        <f>Amnt_Deposited!O73*$D$10*(1-DOCF)*MSW!E78</f>
        <v>0</v>
      </c>
      <c r="D77" s="571">
        <f>Amnt_Deposited!C73*$F$10*(1-DOCF)*Food!E78</f>
        <v>0</v>
      </c>
      <c r="E77" s="572">
        <f>Amnt_Deposited!F73*$F$11*(1-DOCF)*Garden!E78</f>
        <v>0</v>
      </c>
      <c r="F77" s="572">
        <f>Amnt_Deposited!D73*$D$11*(1-DOCF)*Paper!E78</f>
        <v>0</v>
      </c>
      <c r="G77" s="572">
        <f>Amnt_Deposited!G73*$D$12*(1-DOCF)*Wood!E78</f>
        <v>0</v>
      </c>
      <c r="H77" s="572">
        <f>Amnt_Deposited!H73*$F$12*(1-DOCF)*Textiles!E78</f>
        <v>0</v>
      </c>
      <c r="I77" s="573">
        <f>Amnt_Deposited!E73*$H$10*(1-DOCF)*Nappies!E78</f>
        <v>0</v>
      </c>
      <c r="J77" s="574">
        <f>Amnt_Deposited!N73*$H$11*(1-DOCF)*Sludge!E78</f>
        <v>0</v>
      </c>
      <c r="K77" s="575">
        <f>Amnt_Deposited!P73*$H$12*(1-DOCF)*Industry!D78</f>
        <v>0</v>
      </c>
      <c r="L77" s="572">
        <f>Amnt_Deposited!P73*Parameters!$E$58*$D$11*(1-DOCF)*Industry!E78</f>
        <v>0</v>
      </c>
      <c r="M77" s="573">
        <f>Amnt_Deposited!P73*Parameters!$E$59*$D$12*(1-DOCF)*Industry!E78</f>
        <v>0</v>
      </c>
      <c r="N77" s="508">
        <f t="shared" si="3"/>
        <v>0</v>
      </c>
      <c r="O77" s="510">
        <f t="shared" si="1"/>
        <v>20.694185822044261</v>
      </c>
    </row>
    <row r="78" spans="2:15">
      <c r="B78" s="507">
        <f t="shared" si="2"/>
        <v>2010</v>
      </c>
      <c r="C78" s="570">
        <f>Amnt_Deposited!O74*$D$10*(1-DOCF)*MSW!E79</f>
        <v>0</v>
      </c>
      <c r="D78" s="571">
        <f>Amnt_Deposited!C74*$F$10*(1-DOCF)*Food!E79</f>
        <v>0</v>
      </c>
      <c r="E78" s="572">
        <f>Amnt_Deposited!F74*$F$11*(1-DOCF)*Garden!E79</f>
        <v>0</v>
      </c>
      <c r="F78" s="572">
        <f>Amnt_Deposited!D74*$D$11*(1-DOCF)*Paper!E79</f>
        <v>0</v>
      </c>
      <c r="G78" s="572">
        <f>Amnt_Deposited!G74*$D$12*(1-DOCF)*Wood!E79</f>
        <v>0</v>
      </c>
      <c r="H78" s="572">
        <f>Amnt_Deposited!H74*$F$12*(1-DOCF)*Textiles!E79</f>
        <v>0</v>
      </c>
      <c r="I78" s="573">
        <f>Amnt_Deposited!E74*$H$10*(1-DOCF)*Nappies!E79</f>
        <v>0</v>
      </c>
      <c r="J78" s="574">
        <f>Amnt_Deposited!N74*$H$11*(1-DOCF)*Sludge!E79</f>
        <v>0</v>
      </c>
      <c r="K78" s="575">
        <f>Amnt_Deposited!P74*$H$12*(1-DOCF)*Industry!D79</f>
        <v>0</v>
      </c>
      <c r="L78" s="572">
        <f>Amnt_Deposited!P74*Parameters!$E$58*$D$11*(1-DOCF)*Industry!E79</f>
        <v>0</v>
      </c>
      <c r="M78" s="573">
        <f>Amnt_Deposited!P74*Parameters!$E$59*$D$12*(1-DOCF)*Industry!E79</f>
        <v>0</v>
      </c>
      <c r="N78" s="508">
        <f t="shared" si="3"/>
        <v>0</v>
      </c>
      <c r="O78" s="510">
        <f t="shared" si="1"/>
        <v>20.694185822044261</v>
      </c>
    </row>
    <row r="79" spans="2:15">
      <c r="B79" s="507">
        <f t="shared" si="2"/>
        <v>2011</v>
      </c>
      <c r="C79" s="570">
        <f>Amnt_Deposited!O75*$D$10*(1-DOCF)*MSW!E80</f>
        <v>0</v>
      </c>
      <c r="D79" s="571">
        <f>Amnt_Deposited!C75*$F$10*(1-DOCF)*Food!E80</f>
        <v>0</v>
      </c>
      <c r="E79" s="572">
        <f>Amnt_Deposited!F75*$F$11*(1-DOCF)*Garden!E80</f>
        <v>0</v>
      </c>
      <c r="F79" s="572">
        <f>Amnt_Deposited!D75*$D$11*(1-DOCF)*Paper!E80</f>
        <v>0</v>
      </c>
      <c r="G79" s="572">
        <f>Amnt_Deposited!G75*$D$12*(1-DOCF)*Wood!E80</f>
        <v>0</v>
      </c>
      <c r="H79" s="572">
        <f>Amnt_Deposited!H75*$F$12*(1-DOCF)*Textiles!E80</f>
        <v>0</v>
      </c>
      <c r="I79" s="573">
        <f>Amnt_Deposited!E75*$H$10*(1-DOCF)*Nappies!E80</f>
        <v>0</v>
      </c>
      <c r="J79" s="574">
        <f>Amnt_Deposited!N75*$H$11*(1-DOCF)*Sludge!E80</f>
        <v>0</v>
      </c>
      <c r="K79" s="575">
        <f>Amnt_Deposited!P75*$H$12*(1-DOCF)*Industry!D80</f>
        <v>0</v>
      </c>
      <c r="L79" s="572">
        <f>Amnt_Deposited!P75*Parameters!$E$58*$D$11*(1-DOCF)*Industry!E80</f>
        <v>0</v>
      </c>
      <c r="M79" s="573">
        <f>Amnt_Deposited!P75*Parameters!$E$59*$D$12*(1-DOCF)*Industry!E80</f>
        <v>0</v>
      </c>
      <c r="N79" s="508">
        <f t="shared" si="3"/>
        <v>0</v>
      </c>
      <c r="O79" s="510">
        <f t="shared" si="1"/>
        <v>20.694185822044261</v>
      </c>
    </row>
    <row r="80" spans="2:15">
      <c r="B80" s="507">
        <f t="shared" si="2"/>
        <v>2012</v>
      </c>
      <c r="C80" s="570">
        <f>Amnt_Deposited!O76*$D$10*(1-DOCF)*MSW!E81</f>
        <v>0</v>
      </c>
      <c r="D80" s="571">
        <f>Amnt_Deposited!C76*$F$10*(1-DOCF)*Food!E81</f>
        <v>0</v>
      </c>
      <c r="E80" s="572">
        <f>Amnt_Deposited!F76*$F$11*(1-DOCF)*Garden!E81</f>
        <v>0</v>
      </c>
      <c r="F80" s="572">
        <f>Amnt_Deposited!D76*$D$11*(1-DOCF)*Paper!E81</f>
        <v>0</v>
      </c>
      <c r="G80" s="572">
        <f>Amnt_Deposited!G76*$D$12*(1-DOCF)*Wood!E81</f>
        <v>0</v>
      </c>
      <c r="H80" s="572">
        <f>Amnt_Deposited!H76*$F$12*(1-DOCF)*Textiles!E81</f>
        <v>0</v>
      </c>
      <c r="I80" s="573">
        <f>Amnt_Deposited!E76*$H$10*(1-DOCF)*Nappies!E81</f>
        <v>0</v>
      </c>
      <c r="J80" s="574">
        <f>Amnt_Deposited!N76*$H$11*(1-DOCF)*Sludge!E81</f>
        <v>0</v>
      </c>
      <c r="K80" s="575">
        <f>Amnt_Deposited!P76*$H$12*(1-DOCF)*Industry!D81</f>
        <v>0</v>
      </c>
      <c r="L80" s="572">
        <f>Amnt_Deposited!P76*Parameters!$E$58*$D$11*(1-DOCF)*Industry!E81</f>
        <v>0</v>
      </c>
      <c r="M80" s="573">
        <f>Amnt_Deposited!P76*Parameters!$E$59*$D$12*(1-DOCF)*Industry!E81</f>
        <v>0</v>
      </c>
      <c r="N80" s="508">
        <f t="shared" si="3"/>
        <v>0</v>
      </c>
      <c r="O80" s="510">
        <f t="shared" si="1"/>
        <v>20.694185822044261</v>
      </c>
    </row>
    <row r="81" spans="2:15">
      <c r="B81" s="507">
        <f t="shared" si="2"/>
        <v>2013</v>
      </c>
      <c r="C81" s="570">
        <f>Amnt_Deposited!O77*$D$10*(1-DOCF)*MSW!E82</f>
        <v>0</v>
      </c>
      <c r="D81" s="571">
        <f>Amnt_Deposited!C77*$F$10*(1-DOCF)*Food!E82</f>
        <v>0</v>
      </c>
      <c r="E81" s="572">
        <f>Amnt_Deposited!F77*$F$11*(1-DOCF)*Garden!E82</f>
        <v>0</v>
      </c>
      <c r="F81" s="572">
        <f>Amnt_Deposited!D77*$D$11*(1-DOCF)*Paper!E82</f>
        <v>0</v>
      </c>
      <c r="G81" s="572">
        <f>Amnt_Deposited!G77*$D$12*(1-DOCF)*Wood!E82</f>
        <v>0</v>
      </c>
      <c r="H81" s="572">
        <f>Amnt_Deposited!H77*$F$12*(1-DOCF)*Textiles!E82</f>
        <v>0</v>
      </c>
      <c r="I81" s="573">
        <f>Amnt_Deposited!E77*$H$10*(1-DOCF)*Nappies!E82</f>
        <v>0</v>
      </c>
      <c r="J81" s="574">
        <f>Amnt_Deposited!N77*$H$11*(1-DOCF)*Sludge!E82</f>
        <v>0</v>
      </c>
      <c r="K81" s="575">
        <f>Amnt_Deposited!P77*$H$12*(1-DOCF)*Industry!D82</f>
        <v>0</v>
      </c>
      <c r="L81" s="572">
        <f>Amnt_Deposited!P77*Parameters!$E$58*$D$11*(1-DOCF)*Industry!E82</f>
        <v>0</v>
      </c>
      <c r="M81" s="573">
        <f>Amnt_Deposited!P77*Parameters!$E$59*$D$12*(1-DOCF)*Industry!E82</f>
        <v>0</v>
      </c>
      <c r="N81" s="508">
        <f t="shared" si="3"/>
        <v>0</v>
      </c>
      <c r="O81" s="510">
        <f t="shared" si="1"/>
        <v>20.694185822044261</v>
      </c>
    </row>
    <row r="82" spans="2:15">
      <c r="B82" s="507">
        <f t="shared" si="2"/>
        <v>2014</v>
      </c>
      <c r="C82" s="570">
        <f>Amnt_Deposited!O78*$D$10*(1-DOCF)*MSW!E83</f>
        <v>0</v>
      </c>
      <c r="D82" s="571">
        <f>Amnt_Deposited!C78*$F$10*(1-DOCF)*Food!E83</f>
        <v>0</v>
      </c>
      <c r="E82" s="572">
        <f>Amnt_Deposited!F78*$F$11*(1-DOCF)*Garden!E83</f>
        <v>0</v>
      </c>
      <c r="F82" s="572">
        <f>Amnt_Deposited!D78*$D$11*(1-DOCF)*Paper!E83</f>
        <v>0</v>
      </c>
      <c r="G82" s="572">
        <f>Amnt_Deposited!G78*$D$12*(1-DOCF)*Wood!E83</f>
        <v>0</v>
      </c>
      <c r="H82" s="572">
        <f>Amnt_Deposited!H78*$F$12*(1-DOCF)*Textiles!E83</f>
        <v>0</v>
      </c>
      <c r="I82" s="573">
        <f>Amnt_Deposited!E78*$H$10*(1-DOCF)*Nappies!E83</f>
        <v>0</v>
      </c>
      <c r="J82" s="574">
        <f>Amnt_Deposited!N78*$H$11*(1-DOCF)*Sludge!E83</f>
        <v>0</v>
      </c>
      <c r="K82" s="575">
        <f>Amnt_Deposited!P78*$H$12*(1-DOCF)*Industry!D83</f>
        <v>0</v>
      </c>
      <c r="L82" s="572">
        <f>Amnt_Deposited!P78*Parameters!$E$58*$D$11*(1-DOCF)*Industry!E83</f>
        <v>0</v>
      </c>
      <c r="M82" s="573">
        <f>Amnt_Deposited!P78*Parameters!$E$59*$D$12*(1-DOCF)*Industry!E83</f>
        <v>0</v>
      </c>
      <c r="N82" s="508">
        <f t="shared" ref="N82:N98" si="4">IF(Select2=2,C82+J82+K82, D82+E82+F82+G82+H82+I82+J82+K82)</f>
        <v>0</v>
      </c>
      <c r="O82" s="510">
        <f t="shared" ref="O82:O98" si="5">O81+N82</f>
        <v>20.694185822044261</v>
      </c>
    </row>
    <row r="83" spans="2:15">
      <c r="B83" s="507">
        <f t="shared" si="2"/>
        <v>2015</v>
      </c>
      <c r="C83" s="570">
        <f>Amnt_Deposited!O79*$D$10*(1-DOCF)*MSW!E84</f>
        <v>0</v>
      </c>
      <c r="D83" s="571">
        <f>Amnt_Deposited!C79*$F$10*(1-DOCF)*Food!E84</f>
        <v>0</v>
      </c>
      <c r="E83" s="572">
        <f>Amnt_Deposited!F79*$F$11*(1-DOCF)*Garden!E84</f>
        <v>0</v>
      </c>
      <c r="F83" s="572">
        <f>Amnt_Deposited!D79*$D$11*(1-DOCF)*Paper!E84</f>
        <v>0</v>
      </c>
      <c r="G83" s="572">
        <f>Amnt_Deposited!G79*$D$12*(1-DOCF)*Wood!E84</f>
        <v>0</v>
      </c>
      <c r="H83" s="572">
        <f>Amnt_Deposited!H79*$F$12*(1-DOCF)*Textiles!E84</f>
        <v>0</v>
      </c>
      <c r="I83" s="573">
        <f>Amnt_Deposited!E79*$H$10*(1-DOCF)*Nappies!E84</f>
        <v>0</v>
      </c>
      <c r="J83" s="574">
        <f>Amnt_Deposited!N79*$H$11*(1-DOCF)*Sludge!E84</f>
        <v>0</v>
      </c>
      <c r="K83" s="575">
        <f>Amnt_Deposited!P79*$H$12*(1-DOCF)*Industry!D84</f>
        <v>0</v>
      </c>
      <c r="L83" s="572">
        <f>Amnt_Deposited!P79*Parameters!$E$58*$D$11*(1-DOCF)*Industry!E84</f>
        <v>0</v>
      </c>
      <c r="M83" s="573">
        <f>Amnt_Deposited!P79*Parameters!$E$59*$D$12*(1-DOCF)*Industry!E84</f>
        <v>0</v>
      </c>
      <c r="N83" s="508">
        <f t="shared" si="4"/>
        <v>0</v>
      </c>
      <c r="O83" s="510">
        <f t="shared" si="5"/>
        <v>20.694185822044261</v>
      </c>
    </row>
    <row r="84" spans="2:15">
      <c r="B84" s="507">
        <f t="shared" ref="B84:B98" si="6">B83+1</f>
        <v>2016</v>
      </c>
      <c r="C84" s="570">
        <f>Amnt_Deposited!O80*$D$10*(1-DOCF)*MSW!E85</f>
        <v>0</v>
      </c>
      <c r="D84" s="571">
        <f>Amnt_Deposited!C80*$F$10*(1-DOCF)*Food!E85</f>
        <v>0</v>
      </c>
      <c r="E84" s="572">
        <f>Amnt_Deposited!F80*$F$11*(1-DOCF)*Garden!E85</f>
        <v>0</v>
      </c>
      <c r="F84" s="572">
        <f>Amnt_Deposited!D80*$D$11*(1-DOCF)*Paper!E85</f>
        <v>0</v>
      </c>
      <c r="G84" s="572">
        <f>Amnt_Deposited!G80*$D$12*(1-DOCF)*Wood!E85</f>
        <v>0</v>
      </c>
      <c r="H84" s="572">
        <f>Amnt_Deposited!H80*$F$12*(1-DOCF)*Textiles!E85</f>
        <v>0</v>
      </c>
      <c r="I84" s="573">
        <f>Amnt_Deposited!E80*$H$10*(1-DOCF)*Nappies!E85</f>
        <v>0</v>
      </c>
      <c r="J84" s="574">
        <f>Amnt_Deposited!N80*$H$11*(1-DOCF)*Sludge!E85</f>
        <v>0</v>
      </c>
      <c r="K84" s="575">
        <f>Amnt_Deposited!P80*$H$12*(1-DOCF)*Industry!D85</f>
        <v>0</v>
      </c>
      <c r="L84" s="572">
        <f>Amnt_Deposited!P80*Parameters!$E$58*$D$11*(1-DOCF)*Industry!E85</f>
        <v>0</v>
      </c>
      <c r="M84" s="573">
        <f>Amnt_Deposited!P80*Parameters!$E$59*$D$12*(1-DOCF)*Industry!E85</f>
        <v>0</v>
      </c>
      <c r="N84" s="508">
        <f t="shared" si="4"/>
        <v>0</v>
      </c>
      <c r="O84" s="510">
        <f t="shared" si="5"/>
        <v>20.694185822044261</v>
      </c>
    </row>
    <row r="85" spans="2:15">
      <c r="B85" s="507">
        <f t="shared" si="6"/>
        <v>2017</v>
      </c>
      <c r="C85" s="570">
        <f>Amnt_Deposited!O81*$D$10*(1-DOCF)*MSW!E86</f>
        <v>0</v>
      </c>
      <c r="D85" s="571">
        <f>Amnt_Deposited!C81*$F$10*(1-DOCF)*Food!E86</f>
        <v>0</v>
      </c>
      <c r="E85" s="572">
        <f>Amnt_Deposited!F81*$F$11*(1-DOCF)*Garden!E86</f>
        <v>0</v>
      </c>
      <c r="F85" s="572">
        <f>Amnt_Deposited!D81*$D$11*(1-DOCF)*Paper!E86</f>
        <v>0</v>
      </c>
      <c r="G85" s="572">
        <f>Amnt_Deposited!G81*$D$12*(1-DOCF)*Wood!E86</f>
        <v>0</v>
      </c>
      <c r="H85" s="572">
        <f>Amnt_Deposited!H81*$F$12*(1-DOCF)*Textiles!E86</f>
        <v>0</v>
      </c>
      <c r="I85" s="573">
        <f>Amnt_Deposited!E81*$H$10*(1-DOCF)*Nappies!E86</f>
        <v>0</v>
      </c>
      <c r="J85" s="574">
        <f>Amnt_Deposited!N81*$H$11*(1-DOCF)*Sludge!E86</f>
        <v>0</v>
      </c>
      <c r="K85" s="575">
        <f>Amnt_Deposited!P81*$H$12*(1-DOCF)*Industry!D86</f>
        <v>0</v>
      </c>
      <c r="L85" s="572">
        <f>Amnt_Deposited!P81*Parameters!$E$58*$D$11*(1-DOCF)*Industry!E86</f>
        <v>0</v>
      </c>
      <c r="M85" s="573">
        <f>Amnt_Deposited!P81*Parameters!$E$59*$D$12*(1-DOCF)*Industry!E86</f>
        <v>0</v>
      </c>
      <c r="N85" s="508">
        <f t="shared" si="4"/>
        <v>0</v>
      </c>
      <c r="O85" s="510">
        <f t="shared" si="5"/>
        <v>20.694185822044261</v>
      </c>
    </row>
    <row r="86" spans="2:15">
      <c r="B86" s="507">
        <f t="shared" si="6"/>
        <v>2018</v>
      </c>
      <c r="C86" s="570">
        <f>Amnt_Deposited!O82*$D$10*(1-DOCF)*MSW!E87</f>
        <v>0</v>
      </c>
      <c r="D86" s="571">
        <f>Amnt_Deposited!C82*$F$10*(1-DOCF)*Food!E87</f>
        <v>0</v>
      </c>
      <c r="E86" s="572">
        <f>Amnt_Deposited!F82*$F$11*(1-DOCF)*Garden!E87</f>
        <v>0</v>
      </c>
      <c r="F86" s="572">
        <f>Amnt_Deposited!D82*$D$11*(1-DOCF)*Paper!E87</f>
        <v>0</v>
      </c>
      <c r="G86" s="572">
        <f>Amnt_Deposited!G82*$D$12*(1-DOCF)*Wood!E87</f>
        <v>0</v>
      </c>
      <c r="H86" s="572">
        <f>Amnt_Deposited!H82*$F$12*(1-DOCF)*Textiles!E87</f>
        <v>0</v>
      </c>
      <c r="I86" s="573">
        <f>Amnt_Deposited!E82*$H$10*(1-DOCF)*Nappies!E87</f>
        <v>0</v>
      </c>
      <c r="J86" s="574">
        <f>Amnt_Deposited!N82*$H$11*(1-DOCF)*Sludge!E87</f>
        <v>0</v>
      </c>
      <c r="K86" s="575">
        <f>Amnt_Deposited!P82*$H$12*(1-DOCF)*Industry!D87</f>
        <v>0</v>
      </c>
      <c r="L86" s="572">
        <f>Amnt_Deposited!P82*Parameters!$E$58*$D$11*(1-DOCF)*Industry!E87</f>
        <v>0</v>
      </c>
      <c r="M86" s="573">
        <f>Amnt_Deposited!P82*Parameters!$E$59*$D$12*(1-DOCF)*Industry!E87</f>
        <v>0</v>
      </c>
      <c r="N86" s="508">
        <f t="shared" si="4"/>
        <v>0</v>
      </c>
      <c r="O86" s="510">
        <f t="shared" si="5"/>
        <v>20.694185822044261</v>
      </c>
    </row>
    <row r="87" spans="2:15">
      <c r="B87" s="507">
        <f t="shared" si="6"/>
        <v>2019</v>
      </c>
      <c r="C87" s="570">
        <f>Amnt_Deposited!O83*$D$10*(1-DOCF)*MSW!E88</f>
        <v>0</v>
      </c>
      <c r="D87" s="571">
        <f>Amnt_Deposited!C83*$F$10*(1-DOCF)*Food!E88</f>
        <v>0</v>
      </c>
      <c r="E87" s="572">
        <f>Amnt_Deposited!F83*$F$11*(1-DOCF)*Garden!E88</f>
        <v>0</v>
      </c>
      <c r="F87" s="572">
        <f>Amnt_Deposited!D83*$D$11*(1-DOCF)*Paper!E88</f>
        <v>0</v>
      </c>
      <c r="G87" s="572">
        <f>Amnt_Deposited!G83*$D$12*(1-DOCF)*Wood!E88</f>
        <v>0</v>
      </c>
      <c r="H87" s="572">
        <f>Amnt_Deposited!H83*$F$12*(1-DOCF)*Textiles!E88</f>
        <v>0</v>
      </c>
      <c r="I87" s="573">
        <f>Amnt_Deposited!E83*$H$10*(1-DOCF)*Nappies!E88</f>
        <v>0</v>
      </c>
      <c r="J87" s="574">
        <f>Amnt_Deposited!N83*$H$11*(1-DOCF)*Sludge!E88</f>
        <v>0</v>
      </c>
      <c r="K87" s="575">
        <f>Amnt_Deposited!P83*$H$12*(1-DOCF)*Industry!D88</f>
        <v>0</v>
      </c>
      <c r="L87" s="572">
        <f>Amnt_Deposited!P83*Parameters!$E$58*$D$11*(1-DOCF)*Industry!E88</f>
        <v>0</v>
      </c>
      <c r="M87" s="573">
        <f>Amnt_Deposited!P83*Parameters!$E$59*$D$12*(1-DOCF)*Industry!E88</f>
        <v>0</v>
      </c>
      <c r="N87" s="508">
        <f t="shared" si="4"/>
        <v>0</v>
      </c>
      <c r="O87" s="510">
        <f t="shared" si="5"/>
        <v>20.694185822044261</v>
      </c>
    </row>
    <row r="88" spans="2:15">
      <c r="B88" s="507">
        <f t="shared" si="6"/>
        <v>2020</v>
      </c>
      <c r="C88" s="570">
        <f>Amnt_Deposited!O84*$D$10*(1-DOCF)*MSW!E89</f>
        <v>0</v>
      </c>
      <c r="D88" s="571">
        <f>Amnt_Deposited!C84*$F$10*(1-DOCF)*Food!E89</f>
        <v>0</v>
      </c>
      <c r="E88" s="572">
        <f>Amnt_Deposited!F84*$F$11*(1-DOCF)*Garden!E89</f>
        <v>0</v>
      </c>
      <c r="F88" s="572">
        <f>Amnt_Deposited!D84*$D$11*(1-DOCF)*Paper!E89</f>
        <v>0</v>
      </c>
      <c r="G88" s="572">
        <f>Amnt_Deposited!G84*$D$12*(1-DOCF)*Wood!E89</f>
        <v>0</v>
      </c>
      <c r="H88" s="572">
        <f>Amnt_Deposited!H84*$F$12*(1-DOCF)*Textiles!E89</f>
        <v>0</v>
      </c>
      <c r="I88" s="573">
        <f>Amnt_Deposited!E84*$H$10*(1-DOCF)*Nappies!E89</f>
        <v>0</v>
      </c>
      <c r="J88" s="574">
        <f>Amnt_Deposited!N84*$H$11*(1-DOCF)*Sludge!E89</f>
        <v>0</v>
      </c>
      <c r="K88" s="575">
        <f>Amnt_Deposited!P84*$H$12*(1-DOCF)*Industry!D89</f>
        <v>0</v>
      </c>
      <c r="L88" s="572">
        <f>Amnt_Deposited!P84*Parameters!$E$58*$D$11*(1-DOCF)*Industry!E89</f>
        <v>0</v>
      </c>
      <c r="M88" s="573">
        <f>Amnt_Deposited!P84*Parameters!$E$59*$D$12*(1-DOCF)*Industry!E89</f>
        <v>0</v>
      </c>
      <c r="N88" s="508">
        <f t="shared" si="4"/>
        <v>0</v>
      </c>
      <c r="O88" s="510">
        <f t="shared" si="5"/>
        <v>20.694185822044261</v>
      </c>
    </row>
    <row r="89" spans="2:15">
      <c r="B89" s="507">
        <f t="shared" si="6"/>
        <v>2021</v>
      </c>
      <c r="C89" s="570">
        <f>Amnt_Deposited!O85*$D$10*(1-DOCF)*MSW!E90</f>
        <v>0</v>
      </c>
      <c r="D89" s="571">
        <f>Amnt_Deposited!C85*$F$10*(1-DOCF)*Food!E90</f>
        <v>0</v>
      </c>
      <c r="E89" s="572">
        <f>Amnt_Deposited!F85*$F$11*(1-DOCF)*Garden!E90</f>
        <v>0</v>
      </c>
      <c r="F89" s="572">
        <f>Amnt_Deposited!D85*$D$11*(1-DOCF)*Paper!E90</f>
        <v>0</v>
      </c>
      <c r="G89" s="572">
        <f>Amnt_Deposited!G85*$D$12*(1-DOCF)*Wood!E90</f>
        <v>0</v>
      </c>
      <c r="H89" s="572">
        <f>Amnt_Deposited!H85*$F$12*(1-DOCF)*Textiles!E90</f>
        <v>0</v>
      </c>
      <c r="I89" s="573">
        <f>Amnt_Deposited!E85*$H$10*(1-DOCF)*Nappies!E90</f>
        <v>0</v>
      </c>
      <c r="J89" s="574">
        <f>Amnt_Deposited!N85*$H$11*(1-DOCF)*Sludge!E90</f>
        <v>0</v>
      </c>
      <c r="K89" s="575">
        <f>Amnt_Deposited!P85*$H$12*(1-DOCF)*Industry!D90</f>
        <v>0</v>
      </c>
      <c r="L89" s="572">
        <f>Amnt_Deposited!P85*Parameters!$E$58*$D$11*(1-DOCF)*Industry!E90</f>
        <v>0</v>
      </c>
      <c r="M89" s="573">
        <f>Amnt_Deposited!P85*Parameters!$E$59*$D$12*(1-DOCF)*Industry!E90</f>
        <v>0</v>
      </c>
      <c r="N89" s="508">
        <f t="shared" si="4"/>
        <v>0</v>
      </c>
      <c r="O89" s="510">
        <f t="shared" si="5"/>
        <v>20.694185822044261</v>
      </c>
    </row>
    <row r="90" spans="2:15">
      <c r="B90" s="507">
        <f t="shared" si="6"/>
        <v>2022</v>
      </c>
      <c r="C90" s="570">
        <f>Amnt_Deposited!O86*$D$10*(1-DOCF)*MSW!E91</f>
        <v>0</v>
      </c>
      <c r="D90" s="571">
        <f>Amnt_Deposited!C86*$F$10*(1-DOCF)*Food!E91</f>
        <v>0</v>
      </c>
      <c r="E90" s="572">
        <f>Amnt_Deposited!F86*$F$11*(1-DOCF)*Garden!E91</f>
        <v>0</v>
      </c>
      <c r="F90" s="572">
        <f>Amnt_Deposited!D86*$D$11*(1-DOCF)*Paper!E91</f>
        <v>0</v>
      </c>
      <c r="G90" s="572">
        <f>Amnt_Deposited!G86*$D$12*(1-DOCF)*Wood!E91</f>
        <v>0</v>
      </c>
      <c r="H90" s="572">
        <f>Amnt_Deposited!H86*$F$12*(1-DOCF)*Textiles!E91</f>
        <v>0</v>
      </c>
      <c r="I90" s="573">
        <f>Amnt_Deposited!E86*$H$10*(1-DOCF)*Nappies!E91</f>
        <v>0</v>
      </c>
      <c r="J90" s="574">
        <f>Amnt_Deposited!N86*$H$11*(1-DOCF)*Sludge!E91</f>
        <v>0</v>
      </c>
      <c r="K90" s="575">
        <f>Amnt_Deposited!P86*$H$12*(1-DOCF)*Industry!D91</f>
        <v>0</v>
      </c>
      <c r="L90" s="572">
        <f>Amnt_Deposited!P86*Parameters!$E$58*$D$11*(1-DOCF)*Industry!E91</f>
        <v>0</v>
      </c>
      <c r="M90" s="573">
        <f>Amnt_Deposited!P86*Parameters!$E$59*$D$12*(1-DOCF)*Industry!E91</f>
        <v>0</v>
      </c>
      <c r="N90" s="508">
        <f t="shared" si="4"/>
        <v>0</v>
      </c>
      <c r="O90" s="510">
        <f t="shared" si="5"/>
        <v>20.694185822044261</v>
      </c>
    </row>
    <row r="91" spans="2:15">
      <c r="B91" s="507">
        <f t="shared" si="6"/>
        <v>2023</v>
      </c>
      <c r="C91" s="570">
        <f>Amnt_Deposited!O87*$D$10*(1-DOCF)*MSW!E92</f>
        <v>0</v>
      </c>
      <c r="D91" s="571">
        <f>Amnt_Deposited!C87*$F$10*(1-DOCF)*Food!E92</f>
        <v>0</v>
      </c>
      <c r="E91" s="572">
        <f>Amnt_Deposited!F87*$F$11*(1-DOCF)*Garden!E92</f>
        <v>0</v>
      </c>
      <c r="F91" s="572">
        <f>Amnt_Deposited!D87*$D$11*(1-DOCF)*Paper!E92</f>
        <v>0</v>
      </c>
      <c r="G91" s="572">
        <f>Amnt_Deposited!G87*$D$12*(1-DOCF)*Wood!E92</f>
        <v>0</v>
      </c>
      <c r="H91" s="572">
        <f>Amnt_Deposited!H87*$F$12*(1-DOCF)*Textiles!E92</f>
        <v>0</v>
      </c>
      <c r="I91" s="573">
        <f>Amnt_Deposited!E87*$H$10*(1-DOCF)*Nappies!E92</f>
        <v>0</v>
      </c>
      <c r="J91" s="574">
        <f>Amnt_Deposited!N87*$H$11*(1-DOCF)*Sludge!E92</f>
        <v>0</v>
      </c>
      <c r="K91" s="575">
        <f>Amnt_Deposited!P87*$H$12*(1-DOCF)*Industry!D92</f>
        <v>0</v>
      </c>
      <c r="L91" s="572">
        <f>Amnt_Deposited!P87*Parameters!$E$58*$D$11*(1-DOCF)*Industry!E92</f>
        <v>0</v>
      </c>
      <c r="M91" s="573">
        <f>Amnt_Deposited!P87*Parameters!$E$59*$D$12*(1-DOCF)*Industry!E92</f>
        <v>0</v>
      </c>
      <c r="N91" s="508">
        <f t="shared" si="4"/>
        <v>0</v>
      </c>
      <c r="O91" s="510">
        <f t="shared" si="5"/>
        <v>20.694185822044261</v>
      </c>
    </row>
    <row r="92" spans="2:15">
      <c r="B92" s="507">
        <f t="shared" si="6"/>
        <v>2024</v>
      </c>
      <c r="C92" s="570">
        <f>Amnt_Deposited!O88*$D$10*(1-DOCF)*MSW!E93</f>
        <v>0</v>
      </c>
      <c r="D92" s="571">
        <f>Amnt_Deposited!C88*$F$10*(1-DOCF)*Food!E93</f>
        <v>0</v>
      </c>
      <c r="E92" s="572">
        <f>Amnt_Deposited!F88*$F$11*(1-DOCF)*Garden!E93</f>
        <v>0</v>
      </c>
      <c r="F92" s="572">
        <f>Amnt_Deposited!D88*$D$11*(1-DOCF)*Paper!E93</f>
        <v>0</v>
      </c>
      <c r="G92" s="572">
        <f>Amnt_Deposited!G88*$D$12*(1-DOCF)*Wood!E93</f>
        <v>0</v>
      </c>
      <c r="H92" s="572">
        <f>Amnt_Deposited!H88*$F$12*(1-DOCF)*Textiles!E93</f>
        <v>0</v>
      </c>
      <c r="I92" s="573">
        <f>Amnt_Deposited!E88*$H$10*(1-DOCF)*Nappies!E93</f>
        <v>0</v>
      </c>
      <c r="J92" s="574">
        <f>Amnt_Deposited!N88*$H$11*(1-DOCF)*Sludge!E93</f>
        <v>0</v>
      </c>
      <c r="K92" s="575">
        <f>Amnt_Deposited!P88*$H$12*(1-DOCF)*Industry!D93</f>
        <v>0</v>
      </c>
      <c r="L92" s="572">
        <f>Amnt_Deposited!P88*Parameters!$E$58*$D$11*(1-DOCF)*Industry!E93</f>
        <v>0</v>
      </c>
      <c r="M92" s="573">
        <f>Amnt_Deposited!P88*Parameters!$E$59*$D$12*(1-DOCF)*Industry!E93</f>
        <v>0</v>
      </c>
      <c r="N92" s="508">
        <f t="shared" si="4"/>
        <v>0</v>
      </c>
      <c r="O92" s="510">
        <f t="shared" si="5"/>
        <v>20.694185822044261</v>
      </c>
    </row>
    <row r="93" spans="2:15">
      <c r="B93" s="507">
        <f t="shared" si="6"/>
        <v>2025</v>
      </c>
      <c r="C93" s="570">
        <f>Amnt_Deposited!O89*$D$10*(1-DOCF)*MSW!E94</f>
        <v>0</v>
      </c>
      <c r="D93" s="571">
        <f>Amnt_Deposited!C89*$F$10*(1-DOCF)*Food!E94</f>
        <v>0</v>
      </c>
      <c r="E93" s="572">
        <f>Amnt_Deposited!F89*$F$11*(1-DOCF)*Garden!E94</f>
        <v>0</v>
      </c>
      <c r="F93" s="572">
        <f>Amnt_Deposited!D89*$D$11*(1-DOCF)*Paper!E94</f>
        <v>0</v>
      </c>
      <c r="G93" s="572">
        <f>Amnt_Deposited!G89*$D$12*(1-DOCF)*Wood!E94</f>
        <v>0</v>
      </c>
      <c r="H93" s="572">
        <f>Amnt_Deposited!H89*$F$12*(1-DOCF)*Textiles!E94</f>
        <v>0</v>
      </c>
      <c r="I93" s="573">
        <f>Amnt_Deposited!E89*$H$10*(1-DOCF)*Nappies!E94</f>
        <v>0</v>
      </c>
      <c r="J93" s="574">
        <f>Amnt_Deposited!N89*$H$11*(1-DOCF)*Sludge!E94</f>
        <v>0</v>
      </c>
      <c r="K93" s="575">
        <f>Amnt_Deposited!P89*$H$12*(1-DOCF)*Industry!D94</f>
        <v>0</v>
      </c>
      <c r="L93" s="572">
        <f>Amnt_Deposited!P89*Parameters!$E$58*$D$11*(1-DOCF)*Industry!E94</f>
        <v>0</v>
      </c>
      <c r="M93" s="573">
        <f>Amnt_Deposited!P89*Parameters!$E$59*$D$12*(1-DOCF)*Industry!E94</f>
        <v>0</v>
      </c>
      <c r="N93" s="508">
        <f t="shared" si="4"/>
        <v>0</v>
      </c>
      <c r="O93" s="510">
        <f t="shared" si="5"/>
        <v>20.694185822044261</v>
      </c>
    </row>
    <row r="94" spans="2:15">
      <c r="B94" s="507">
        <f t="shared" si="6"/>
        <v>2026</v>
      </c>
      <c r="C94" s="570">
        <f>Amnt_Deposited!O90*$D$10*(1-DOCF)*MSW!E95</f>
        <v>0</v>
      </c>
      <c r="D94" s="571">
        <f>Amnt_Deposited!C90*$F$10*(1-DOCF)*Food!E95</f>
        <v>0</v>
      </c>
      <c r="E94" s="572">
        <f>Amnt_Deposited!F90*$F$11*(1-DOCF)*Garden!E95</f>
        <v>0</v>
      </c>
      <c r="F94" s="572">
        <f>Amnt_Deposited!D90*$D$11*(1-DOCF)*Paper!E95</f>
        <v>0</v>
      </c>
      <c r="G94" s="572">
        <f>Amnt_Deposited!G90*$D$12*(1-DOCF)*Wood!E95</f>
        <v>0</v>
      </c>
      <c r="H94" s="572">
        <f>Amnt_Deposited!H90*$F$12*(1-DOCF)*Textiles!E95</f>
        <v>0</v>
      </c>
      <c r="I94" s="573">
        <f>Amnt_Deposited!E90*$H$10*(1-DOCF)*Nappies!E95</f>
        <v>0</v>
      </c>
      <c r="J94" s="574">
        <f>Amnt_Deposited!N90*$H$11*(1-DOCF)*Sludge!E95</f>
        <v>0</v>
      </c>
      <c r="K94" s="575">
        <f>Amnt_Deposited!P90*$H$12*(1-DOCF)*Industry!D95</f>
        <v>0</v>
      </c>
      <c r="L94" s="572">
        <f>Amnt_Deposited!P90*Parameters!$E$58*$D$11*(1-DOCF)*Industry!E95</f>
        <v>0</v>
      </c>
      <c r="M94" s="573">
        <f>Amnt_Deposited!P90*Parameters!$E$59*$D$12*(1-DOCF)*Industry!E95</f>
        <v>0</v>
      </c>
      <c r="N94" s="508">
        <f t="shared" si="4"/>
        <v>0</v>
      </c>
      <c r="O94" s="510">
        <f t="shared" si="5"/>
        <v>20.694185822044261</v>
      </c>
    </row>
    <row r="95" spans="2:15">
      <c r="B95" s="507">
        <f t="shared" si="6"/>
        <v>2027</v>
      </c>
      <c r="C95" s="570">
        <f>Amnt_Deposited!O91*$D$10*(1-DOCF)*MSW!E96</f>
        <v>0</v>
      </c>
      <c r="D95" s="571">
        <f>Amnt_Deposited!C91*$F$10*(1-DOCF)*Food!E96</f>
        <v>0</v>
      </c>
      <c r="E95" s="572">
        <f>Amnt_Deposited!F91*$F$11*(1-DOCF)*Garden!E96</f>
        <v>0</v>
      </c>
      <c r="F95" s="572">
        <f>Amnt_Deposited!D91*$D$11*(1-DOCF)*Paper!E96</f>
        <v>0</v>
      </c>
      <c r="G95" s="572">
        <f>Amnt_Deposited!G91*$D$12*(1-DOCF)*Wood!E96</f>
        <v>0</v>
      </c>
      <c r="H95" s="572">
        <f>Amnt_Deposited!H91*$F$12*(1-DOCF)*Textiles!E96</f>
        <v>0</v>
      </c>
      <c r="I95" s="573">
        <f>Amnt_Deposited!E91*$H$10*(1-DOCF)*Nappies!E96</f>
        <v>0</v>
      </c>
      <c r="J95" s="574">
        <f>Amnt_Deposited!N91*$H$11*(1-DOCF)*Sludge!E96</f>
        <v>0</v>
      </c>
      <c r="K95" s="575">
        <f>Amnt_Deposited!P91*$H$12*(1-DOCF)*Industry!D96</f>
        <v>0</v>
      </c>
      <c r="L95" s="572">
        <f>Amnt_Deposited!P91*Parameters!$E$58*$D$11*(1-DOCF)*Industry!E96</f>
        <v>0</v>
      </c>
      <c r="M95" s="573">
        <f>Amnt_Deposited!P91*Parameters!$E$59*$D$12*(1-DOCF)*Industry!E96</f>
        <v>0</v>
      </c>
      <c r="N95" s="508">
        <f t="shared" si="4"/>
        <v>0</v>
      </c>
      <c r="O95" s="510">
        <f t="shared" si="5"/>
        <v>20.694185822044261</v>
      </c>
    </row>
    <row r="96" spans="2:15">
      <c r="B96" s="507">
        <f t="shared" si="6"/>
        <v>2028</v>
      </c>
      <c r="C96" s="570">
        <f>Amnt_Deposited!O92*$D$10*(1-DOCF)*MSW!E97</f>
        <v>0</v>
      </c>
      <c r="D96" s="571">
        <f>Amnt_Deposited!C92*$F$10*(1-DOCF)*Food!E97</f>
        <v>0</v>
      </c>
      <c r="E96" s="572">
        <f>Amnt_Deposited!F92*$F$11*(1-DOCF)*Garden!E97</f>
        <v>0</v>
      </c>
      <c r="F96" s="572">
        <f>Amnt_Deposited!D92*$D$11*(1-DOCF)*Paper!E97</f>
        <v>0</v>
      </c>
      <c r="G96" s="572">
        <f>Amnt_Deposited!G92*$D$12*(1-DOCF)*Wood!E97</f>
        <v>0</v>
      </c>
      <c r="H96" s="572">
        <f>Amnt_Deposited!H92*$F$12*(1-DOCF)*Textiles!E97</f>
        <v>0</v>
      </c>
      <c r="I96" s="573">
        <f>Amnt_Deposited!E92*$H$10*(1-DOCF)*Nappies!E97</f>
        <v>0</v>
      </c>
      <c r="J96" s="574">
        <f>Amnt_Deposited!N92*$H$11*(1-DOCF)*Sludge!E97</f>
        <v>0</v>
      </c>
      <c r="K96" s="575">
        <f>Amnt_Deposited!P92*$H$12*(1-DOCF)*Industry!D97</f>
        <v>0</v>
      </c>
      <c r="L96" s="572">
        <f>Amnt_Deposited!P92*Parameters!$E$58*$D$11*(1-DOCF)*Industry!E97</f>
        <v>0</v>
      </c>
      <c r="M96" s="573">
        <f>Amnt_Deposited!P92*Parameters!$E$59*$D$12*(1-DOCF)*Industry!E97</f>
        <v>0</v>
      </c>
      <c r="N96" s="508">
        <f t="shared" si="4"/>
        <v>0</v>
      </c>
      <c r="O96" s="510">
        <f t="shared" si="5"/>
        <v>20.694185822044261</v>
      </c>
    </row>
    <row r="97" spans="2:15">
      <c r="B97" s="507">
        <f t="shared" si="6"/>
        <v>2029</v>
      </c>
      <c r="C97" s="570">
        <f>Amnt_Deposited!O93*$D$10*(1-DOCF)*MSW!E98</f>
        <v>0</v>
      </c>
      <c r="D97" s="571">
        <f>Amnt_Deposited!C93*$F$10*(1-DOCF)*Food!E98</f>
        <v>0</v>
      </c>
      <c r="E97" s="572">
        <f>Amnt_Deposited!F93*$F$11*(1-DOCF)*Garden!E98</f>
        <v>0</v>
      </c>
      <c r="F97" s="572">
        <f>Amnt_Deposited!D93*$D$11*(1-DOCF)*Paper!E98</f>
        <v>0</v>
      </c>
      <c r="G97" s="572">
        <f>Amnt_Deposited!G93*$D$12*(1-DOCF)*Wood!E98</f>
        <v>0</v>
      </c>
      <c r="H97" s="572">
        <f>Amnt_Deposited!H93*$F$12*(1-DOCF)*Textiles!E98</f>
        <v>0</v>
      </c>
      <c r="I97" s="573">
        <f>Amnt_Deposited!E93*$H$10*(1-DOCF)*Nappies!E98</f>
        <v>0</v>
      </c>
      <c r="J97" s="574">
        <f>Amnt_Deposited!N93*$H$11*(1-DOCF)*Sludge!E98</f>
        <v>0</v>
      </c>
      <c r="K97" s="575">
        <f>Amnt_Deposited!P93*$H$12*(1-DOCF)*Industry!D98</f>
        <v>0</v>
      </c>
      <c r="L97" s="572">
        <f>Amnt_Deposited!P93*Parameters!$E$58*$D$11*(1-DOCF)*Industry!E98</f>
        <v>0</v>
      </c>
      <c r="M97" s="573">
        <f>Amnt_Deposited!P93*Parameters!$E$59*$D$12*(1-DOCF)*Industry!E98</f>
        <v>0</v>
      </c>
      <c r="N97" s="508">
        <f t="shared" si="4"/>
        <v>0</v>
      </c>
      <c r="O97" s="510">
        <f t="shared" si="5"/>
        <v>20.694185822044261</v>
      </c>
    </row>
    <row r="98" spans="2:15" ht="13.5" thickBot="1">
      <c r="B98" s="516">
        <f t="shared" si="6"/>
        <v>2030</v>
      </c>
      <c r="C98" s="570">
        <f>Amnt_Deposited!O94*$D$10*(1-DOCF)*MSW!E99</f>
        <v>0</v>
      </c>
      <c r="D98" s="571">
        <f>Amnt_Deposited!C94*$F$10*(1-DOCF)*Food!E99</f>
        <v>0</v>
      </c>
      <c r="E98" s="572">
        <f>Amnt_Deposited!F94*$F$11*(1-DOCF)*Garden!E99</f>
        <v>0</v>
      </c>
      <c r="F98" s="572">
        <f>Amnt_Deposited!D94*$D$11*(1-DOCF)*Paper!E99</f>
        <v>0</v>
      </c>
      <c r="G98" s="572">
        <f>Amnt_Deposited!G94*$D$12*(1-DOCF)*Wood!E99</f>
        <v>0</v>
      </c>
      <c r="H98" s="572">
        <f>Amnt_Deposited!H94*$F$12*(1-DOCF)*Textiles!E99</f>
        <v>0</v>
      </c>
      <c r="I98" s="573">
        <f>Amnt_Deposited!E94*$H$10*(1-DOCF)*Nappies!E99</f>
        <v>0</v>
      </c>
      <c r="J98" s="574">
        <f>Amnt_Deposited!N94*$H$11*(1-DOCF)*Sludge!E99</f>
        <v>0</v>
      </c>
      <c r="K98" s="575">
        <f>Amnt_Deposited!P94*$H$12*(1-DOCF)*Industry!D99</f>
        <v>0</v>
      </c>
      <c r="L98" s="572">
        <f>Amnt_Deposited!P94*Parameters!$E$58*$D$11*(1-DOCF)*Industry!E99</f>
        <v>0</v>
      </c>
      <c r="M98" s="573">
        <f>Amnt_Deposited!P94*Parameters!$E$59*$D$12*(1-DOCF)*Industry!E99</f>
        <v>0</v>
      </c>
      <c r="N98" s="517">
        <f t="shared" si="4"/>
        <v>0</v>
      </c>
      <c r="O98" s="519">
        <f t="shared" si="5"/>
        <v>20.694185822044261</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0" t="s">
        <v>17</v>
      </c>
    </row>
    <row r="3" spans="2:5" ht="9" customHeight="1"/>
    <row r="4" spans="2:5" ht="15.75">
      <c r="B4" s="11" t="s">
        <v>202</v>
      </c>
      <c r="D4" s="157"/>
      <c r="E4" s="157"/>
    </row>
    <row r="5" spans="2:5" ht="5.25" customHeight="1">
      <c r="B5" s="157"/>
      <c r="C5" s="157"/>
      <c r="D5" s="157"/>
      <c r="E5" s="15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89" customWidth="1"/>
    <col min="2" max="2" width="16.42578125" style="89" customWidth="1"/>
    <col min="3" max="3" width="16" style="89" customWidth="1"/>
    <col min="4" max="4" width="12.140625" style="89" customWidth="1"/>
    <col min="5" max="5" width="11.7109375" style="89" customWidth="1"/>
    <col min="6" max="6" width="9.7109375" style="89" customWidth="1"/>
    <col min="7" max="7" width="11" style="89" customWidth="1"/>
    <col min="8" max="8" width="9.7109375" style="89" customWidth="1"/>
    <col min="9" max="9" width="11.42578125" style="89" customWidth="1"/>
    <col min="10" max="10" width="9.7109375" style="89" customWidth="1"/>
    <col min="11" max="11" width="12.140625" style="89" customWidth="1"/>
    <col min="12" max="12" width="9.7109375" style="89" customWidth="1"/>
    <col min="13" max="14" width="10.7109375" style="89" customWidth="1"/>
    <col min="15" max="15" width="16.140625" style="89" customWidth="1"/>
    <col min="16" max="21" width="8.85546875" style="89"/>
    <col min="22" max="22" width="19.42578125" style="176" customWidth="1"/>
    <col min="23" max="23" width="11" style="89" customWidth="1"/>
    <col min="24" max="24" width="10.140625" style="89" customWidth="1"/>
    <col min="25" max="31" width="9.7109375" style="89" customWidth="1"/>
    <col min="32" max="32" width="12.140625" style="89" customWidth="1"/>
    <col min="33" max="34" width="9.7109375" style="89" customWidth="1"/>
    <col min="35" max="16384" width="8.85546875" style="89"/>
  </cols>
  <sheetData>
    <row r="1" spans="1:35" ht="15">
      <c r="B1" s="91" t="s">
        <v>205</v>
      </c>
      <c r="O1" s="91" t="s">
        <v>112</v>
      </c>
      <c r="V1" s="91" t="s">
        <v>128</v>
      </c>
    </row>
    <row r="2" spans="1:35" ht="12.75" customHeight="1">
      <c r="B2" s="845" t="s">
        <v>52</v>
      </c>
      <c r="C2" s="845"/>
      <c r="D2" s="845"/>
      <c r="E2" s="845"/>
      <c r="F2" s="845"/>
      <c r="G2" s="845"/>
      <c r="H2" s="845"/>
    </row>
    <row r="3" spans="1:35" ht="13.5" thickBot="1">
      <c r="B3" s="845"/>
      <c r="C3" s="845"/>
      <c r="D3" s="845"/>
      <c r="E3" s="845"/>
      <c r="F3" s="845"/>
      <c r="G3" s="845"/>
      <c r="H3" s="845"/>
    </row>
    <row r="4" spans="1:35" ht="13.5" thickBot="1">
      <c r="P4" s="828" t="s">
        <v>242</v>
      </c>
      <c r="Q4" s="829"/>
      <c r="R4" s="830" t="s">
        <v>243</v>
      </c>
      <c r="S4" s="831"/>
      <c r="V4" s="199" t="s">
        <v>155</v>
      </c>
      <c r="W4" s="159">
        <f>P7</f>
        <v>0.44</v>
      </c>
      <c r="X4" s="261">
        <f>P9</f>
        <v>0.3</v>
      </c>
      <c r="Y4" s="261">
        <f>P6</f>
        <v>0.38</v>
      </c>
      <c r="Z4" s="261">
        <f>P11</f>
        <v>0.5</v>
      </c>
      <c r="AA4" s="261">
        <f>P8</f>
        <v>0.49</v>
      </c>
      <c r="AB4" s="261">
        <f>P12</f>
        <v>0.6</v>
      </c>
      <c r="AC4" s="261">
        <f>R18</f>
        <v>0.05</v>
      </c>
      <c r="AD4" s="261">
        <f>P10</f>
        <v>0.47</v>
      </c>
      <c r="AE4" s="262">
        <v>0</v>
      </c>
    </row>
    <row r="5" spans="1:35" ht="13.5" customHeight="1" thickBot="1">
      <c r="B5" s="92"/>
      <c r="C5" s="161"/>
      <c r="D5" s="847" t="s">
        <v>47</v>
      </c>
      <c r="E5" s="848"/>
      <c r="F5" s="848"/>
      <c r="G5" s="837"/>
      <c r="H5" s="848" t="s">
        <v>57</v>
      </c>
      <c r="I5" s="848"/>
      <c r="J5" s="848"/>
      <c r="K5" s="837"/>
      <c r="L5" s="155"/>
      <c r="M5" s="155"/>
      <c r="N5" s="155"/>
      <c r="O5" s="190"/>
      <c r="P5" s="234" t="s">
        <v>116</v>
      </c>
      <c r="Q5" s="235" t="s">
        <v>113</v>
      </c>
      <c r="R5" s="234" t="s">
        <v>116</v>
      </c>
      <c r="S5" s="235" t="s">
        <v>113</v>
      </c>
      <c r="V5" s="340" t="s">
        <v>118</v>
      </c>
      <c r="W5" s="341">
        <v>3</v>
      </c>
      <c r="AF5" s="849" t="s">
        <v>126</v>
      </c>
      <c r="AG5" s="849" t="s">
        <v>129</v>
      </c>
      <c r="AH5" s="849" t="s">
        <v>154</v>
      </c>
      <c r="AI5"/>
    </row>
    <row r="6" spans="1:35" ht="13.5" thickBot="1">
      <c r="B6" s="193"/>
      <c r="C6" s="179"/>
      <c r="D6" s="846" t="s">
        <v>45</v>
      </c>
      <c r="E6" s="846"/>
      <c r="F6" s="846" t="s">
        <v>46</v>
      </c>
      <c r="G6" s="846"/>
      <c r="H6" s="846" t="s">
        <v>45</v>
      </c>
      <c r="I6" s="846"/>
      <c r="J6" s="846" t="s">
        <v>99</v>
      </c>
      <c r="K6" s="846"/>
      <c r="L6" s="155"/>
      <c r="M6" s="155"/>
      <c r="N6" s="155"/>
      <c r="O6" s="230" t="s">
        <v>6</v>
      </c>
      <c r="P6" s="189">
        <v>0.38</v>
      </c>
      <c r="Q6" s="191" t="s">
        <v>234</v>
      </c>
      <c r="R6" s="189">
        <v>0.15</v>
      </c>
      <c r="S6" s="191" t="s">
        <v>244</v>
      </c>
      <c r="W6" s="854" t="s">
        <v>125</v>
      </c>
      <c r="X6" s="856"/>
      <c r="Y6" s="856"/>
      <c r="Z6" s="856"/>
      <c r="AA6" s="856"/>
      <c r="AB6" s="856"/>
      <c r="AC6" s="856"/>
      <c r="AD6" s="856"/>
      <c r="AE6" s="856"/>
      <c r="AF6" s="850"/>
      <c r="AG6" s="850"/>
      <c r="AH6" s="850"/>
      <c r="AI6"/>
    </row>
    <row r="7" spans="1:35" ht="26.25" thickBot="1">
      <c r="B7" s="854" t="s">
        <v>133</v>
      </c>
      <c r="C7" s="855"/>
      <c r="D7" s="234" t="s">
        <v>116</v>
      </c>
      <c r="E7" s="235" t="s">
        <v>113</v>
      </c>
      <c r="F7" s="236" t="s">
        <v>116</v>
      </c>
      <c r="G7" s="235" t="s">
        <v>113</v>
      </c>
      <c r="H7" s="236" t="s">
        <v>116</v>
      </c>
      <c r="I7" s="235" t="s">
        <v>113</v>
      </c>
      <c r="J7" s="236" t="s">
        <v>116</v>
      </c>
      <c r="K7" s="235" t="s">
        <v>113</v>
      </c>
      <c r="M7" s="154"/>
      <c r="N7" s="154"/>
      <c r="O7" s="231" t="s">
        <v>256</v>
      </c>
      <c r="P7" s="188">
        <v>0.44</v>
      </c>
      <c r="Q7" s="192" t="s">
        <v>235</v>
      </c>
      <c r="R7" s="188">
        <v>0.4</v>
      </c>
      <c r="S7" s="192" t="s">
        <v>245</v>
      </c>
      <c r="T7" s="198"/>
      <c r="V7" s="199"/>
      <c r="W7" s="219" t="s">
        <v>127</v>
      </c>
      <c r="X7" s="208" t="s">
        <v>16</v>
      </c>
      <c r="Y7" s="208" t="s">
        <v>6</v>
      </c>
      <c r="Z7" s="208" t="s">
        <v>2</v>
      </c>
      <c r="AA7" s="208" t="s">
        <v>139</v>
      </c>
      <c r="AB7" s="208" t="s">
        <v>140</v>
      </c>
      <c r="AC7" s="208" t="s">
        <v>135</v>
      </c>
      <c r="AD7" s="208" t="s">
        <v>141</v>
      </c>
      <c r="AE7" s="208" t="s">
        <v>142</v>
      </c>
      <c r="AF7" s="851"/>
      <c r="AG7" s="851"/>
      <c r="AH7" s="851"/>
      <c r="AI7"/>
    </row>
    <row r="8" spans="1:35" ht="25.5" customHeight="1">
      <c r="B8" s="852" t="s">
        <v>48</v>
      </c>
      <c r="C8" s="164" t="s">
        <v>56</v>
      </c>
      <c r="D8" s="110">
        <v>0.04</v>
      </c>
      <c r="E8" s="180" t="s">
        <v>169</v>
      </c>
      <c r="F8" s="194">
        <v>0.06</v>
      </c>
      <c r="G8" s="197" t="s">
        <v>170</v>
      </c>
      <c r="H8" s="110">
        <v>4.4999999999999998E-2</v>
      </c>
      <c r="I8" s="180" t="s">
        <v>167</v>
      </c>
      <c r="J8" s="194">
        <v>7.0000000000000007E-2</v>
      </c>
      <c r="K8" s="180" t="s">
        <v>176</v>
      </c>
      <c r="M8" s="156"/>
      <c r="N8" s="156"/>
      <c r="O8" s="231" t="s">
        <v>255</v>
      </c>
      <c r="P8" s="188">
        <v>0.49</v>
      </c>
      <c r="Q8" s="192" t="s">
        <v>236</v>
      </c>
      <c r="R8" s="188">
        <v>0.2</v>
      </c>
      <c r="S8" s="192" t="s">
        <v>246</v>
      </c>
      <c r="T8" s="198"/>
      <c r="U8" s="198">
        <v>1</v>
      </c>
      <c r="V8" s="201" t="s">
        <v>119</v>
      </c>
      <c r="W8" s="217">
        <v>18.8</v>
      </c>
      <c r="X8" s="218">
        <v>3.5</v>
      </c>
      <c r="Y8" s="218">
        <v>26.2</v>
      </c>
      <c r="Z8" s="218">
        <v>3.5</v>
      </c>
      <c r="AA8" s="218"/>
      <c r="AB8" s="218"/>
      <c r="AC8" s="218"/>
      <c r="AD8" s="218">
        <v>1</v>
      </c>
      <c r="AE8" s="218">
        <f>100-SUM(W8:AD8)</f>
        <v>47</v>
      </c>
      <c r="AF8" s="209">
        <v>0.55000000000000004</v>
      </c>
      <c r="AG8" s="212">
        <v>0.55000000000000004</v>
      </c>
      <c r="AH8" s="263">
        <f>ROUND((W8*W$4+X8*X$4+Y8*Y$4+Z8*Z$4+AA8*AA$4+AB8*AB$4+AC8*AC$4+AD8*AD$4)/100,2)</f>
        <v>0.21</v>
      </c>
      <c r="AI8"/>
    </row>
    <row r="9" spans="1:35" ht="25.5">
      <c r="B9" s="853"/>
      <c r="C9" s="222" t="s">
        <v>134</v>
      </c>
      <c r="D9" s="224">
        <v>0.02</v>
      </c>
      <c r="E9" s="225" t="s">
        <v>168</v>
      </c>
      <c r="F9" s="226">
        <v>0.03</v>
      </c>
      <c r="G9" s="227" t="s">
        <v>171</v>
      </c>
      <c r="H9" s="224">
        <v>2.5000000000000001E-2</v>
      </c>
      <c r="I9" s="225" t="s">
        <v>171</v>
      </c>
      <c r="J9" s="226">
        <v>3.5000000000000003E-2</v>
      </c>
      <c r="K9" s="225" t="s">
        <v>169</v>
      </c>
      <c r="M9" s="156"/>
      <c r="N9" s="156"/>
      <c r="O9" s="231" t="s">
        <v>16</v>
      </c>
      <c r="P9" s="188">
        <v>0.3</v>
      </c>
      <c r="Q9" s="192" t="s">
        <v>237</v>
      </c>
      <c r="R9" s="188">
        <v>0.24</v>
      </c>
      <c r="S9" s="192" t="s">
        <v>247</v>
      </c>
      <c r="T9" s="198"/>
      <c r="U9" s="198">
        <v>2</v>
      </c>
      <c r="V9" s="202" t="s">
        <v>214</v>
      </c>
      <c r="W9" s="203">
        <v>11.3</v>
      </c>
      <c r="X9" s="204">
        <v>2.5</v>
      </c>
      <c r="Y9" s="204">
        <v>40.299999999999997</v>
      </c>
      <c r="Z9" s="204">
        <v>7.9</v>
      </c>
      <c r="AA9" s="204"/>
      <c r="AB9" s="204"/>
      <c r="AC9" s="204"/>
      <c r="AD9" s="204">
        <v>0.8</v>
      </c>
      <c r="AE9" s="204">
        <f t="shared" ref="AE9:AE26" si="0">100-SUM(W9:AD9)</f>
        <v>37.20000000000001</v>
      </c>
      <c r="AF9" s="210">
        <v>0.21</v>
      </c>
      <c r="AG9" s="213">
        <v>0.74</v>
      </c>
      <c r="AH9" s="264">
        <f t="shared" ref="AH9:AH26" si="1">ROUND((W9*W$4+X9*X$4+Y9*Y$4+Z9*Z$4+AA9*AA$4+AB9*AB$4+AC9*AC$4+AD9*AD$4)/100,2)</f>
        <v>0.25</v>
      </c>
      <c r="AI9"/>
    </row>
    <row r="10" spans="1:35" ht="25.5" customHeight="1">
      <c r="B10" s="221" t="s">
        <v>49</v>
      </c>
      <c r="C10" s="222" t="s">
        <v>50</v>
      </c>
      <c r="D10" s="111">
        <v>0.05</v>
      </c>
      <c r="E10" s="181" t="s">
        <v>167</v>
      </c>
      <c r="F10" s="195">
        <v>0.1</v>
      </c>
      <c r="G10" s="182" t="s">
        <v>172</v>
      </c>
      <c r="H10" s="111">
        <v>6.5000000000000002E-2</v>
      </c>
      <c r="I10" s="181" t="s">
        <v>166</v>
      </c>
      <c r="J10" s="195">
        <v>0.17</v>
      </c>
      <c r="K10" s="181" t="s">
        <v>177</v>
      </c>
      <c r="M10" s="156"/>
      <c r="N10" s="156"/>
      <c r="O10" s="232" t="s">
        <v>229</v>
      </c>
      <c r="P10" s="228">
        <v>0.47</v>
      </c>
      <c r="Q10" s="229" t="s">
        <v>238</v>
      </c>
      <c r="R10" s="228">
        <v>0.39</v>
      </c>
      <c r="S10" s="229" t="s">
        <v>248</v>
      </c>
      <c r="T10" s="198"/>
      <c r="U10" s="198">
        <v>3</v>
      </c>
      <c r="V10" s="202" t="s">
        <v>120</v>
      </c>
      <c r="W10" s="203">
        <v>12.9</v>
      </c>
      <c r="X10" s="204">
        <v>2.7</v>
      </c>
      <c r="Y10" s="204">
        <v>43.5</v>
      </c>
      <c r="Z10" s="204">
        <v>9.9</v>
      </c>
      <c r="AA10" s="204"/>
      <c r="AB10" s="204"/>
      <c r="AC10" s="204"/>
      <c r="AD10" s="204">
        <v>0.9</v>
      </c>
      <c r="AE10" s="204">
        <f t="shared" si="0"/>
        <v>30.099999999999994</v>
      </c>
      <c r="AF10" s="210">
        <v>0.27</v>
      </c>
      <c r="AG10" s="213">
        <v>0.59</v>
      </c>
      <c r="AH10" s="264">
        <f t="shared" si="1"/>
        <v>0.28000000000000003</v>
      </c>
      <c r="AI10"/>
    </row>
    <row r="11" spans="1:35" ht="25.5" customHeight="1" thickBot="1">
      <c r="B11" s="223" t="s">
        <v>51</v>
      </c>
      <c r="C11" s="165" t="s">
        <v>79</v>
      </c>
      <c r="D11" s="111">
        <v>0.06</v>
      </c>
      <c r="E11" s="181" t="s">
        <v>166</v>
      </c>
      <c r="F11" s="195">
        <v>0.185</v>
      </c>
      <c r="G11" s="182" t="s">
        <v>173</v>
      </c>
      <c r="H11" s="112">
        <v>8.5000000000000006E-2</v>
      </c>
      <c r="I11" s="183" t="s">
        <v>175</v>
      </c>
      <c r="J11" s="196">
        <v>0.4</v>
      </c>
      <c r="K11" s="183" t="s">
        <v>165</v>
      </c>
      <c r="M11" s="156"/>
      <c r="N11" s="156"/>
      <c r="O11" s="232" t="s">
        <v>263</v>
      </c>
      <c r="P11" s="228">
        <v>0.5</v>
      </c>
      <c r="Q11" s="229" t="s">
        <v>259</v>
      </c>
      <c r="R11" s="228">
        <v>0.43</v>
      </c>
      <c r="S11" s="229" t="s">
        <v>257</v>
      </c>
      <c r="T11" s="198"/>
      <c r="U11" s="198">
        <v>4</v>
      </c>
      <c r="V11" s="202" t="s">
        <v>121</v>
      </c>
      <c r="W11" s="203">
        <v>18</v>
      </c>
      <c r="X11" s="204">
        <v>2.9</v>
      </c>
      <c r="Y11" s="204">
        <v>41.1</v>
      </c>
      <c r="Z11" s="204">
        <v>9.8000000000000007</v>
      </c>
      <c r="AA11" s="204"/>
      <c r="AB11" s="204"/>
      <c r="AC11" s="204"/>
      <c r="AD11" s="204">
        <v>0.6</v>
      </c>
      <c r="AE11" s="204">
        <f t="shared" si="0"/>
        <v>27.600000000000009</v>
      </c>
      <c r="AF11" s="210">
        <f>AF$32</f>
        <v>0.42055555555555557</v>
      </c>
      <c r="AG11" s="276">
        <f>AG$32</f>
        <v>0.676111111111111</v>
      </c>
      <c r="AH11" s="264">
        <f t="shared" si="1"/>
        <v>0.3</v>
      </c>
      <c r="AI11"/>
    </row>
    <row r="12" spans="1:35" ht="26.25" thickBot="1">
      <c r="B12" s="237" t="s">
        <v>136</v>
      </c>
      <c r="C12" s="238" t="s">
        <v>78</v>
      </c>
      <c r="D12" s="239">
        <v>0.05</v>
      </c>
      <c r="E12" s="240" t="s">
        <v>167</v>
      </c>
      <c r="F12" s="241">
        <v>0.09</v>
      </c>
      <c r="G12" s="242" t="s">
        <v>174</v>
      </c>
      <c r="H12" s="239">
        <v>6.5000000000000002E-2</v>
      </c>
      <c r="I12" s="240" t="s">
        <v>166</v>
      </c>
      <c r="J12" s="241">
        <v>0.17</v>
      </c>
      <c r="K12" s="240" t="s">
        <v>177</v>
      </c>
      <c r="M12" s="156"/>
      <c r="N12" s="156"/>
      <c r="O12" s="232" t="s">
        <v>267</v>
      </c>
      <c r="P12" s="228">
        <v>0.6</v>
      </c>
      <c r="Q12" s="229" t="s">
        <v>260</v>
      </c>
      <c r="R12" s="228">
        <v>0.24</v>
      </c>
      <c r="S12" s="229" t="s">
        <v>258</v>
      </c>
      <c r="U12" s="198">
        <v>5</v>
      </c>
      <c r="V12" s="202" t="s">
        <v>215</v>
      </c>
      <c r="W12" s="203">
        <v>7.7</v>
      </c>
      <c r="X12" s="204">
        <v>1.7</v>
      </c>
      <c r="Y12" s="204">
        <v>53.9</v>
      </c>
      <c r="Z12" s="204">
        <v>7</v>
      </c>
      <c r="AA12" s="204"/>
      <c r="AB12" s="204"/>
      <c r="AC12" s="204"/>
      <c r="AD12" s="204">
        <v>1.1000000000000001</v>
      </c>
      <c r="AE12" s="204">
        <f t="shared" si="0"/>
        <v>28.600000000000009</v>
      </c>
      <c r="AF12" s="210">
        <v>0.28999999999999998</v>
      </c>
      <c r="AG12" s="276">
        <v>0.69</v>
      </c>
      <c r="AH12" s="264">
        <f t="shared" si="1"/>
        <v>0.28000000000000003</v>
      </c>
      <c r="AI12"/>
    </row>
    <row r="13" spans="1:35" ht="12.75" customHeight="1">
      <c r="I13" s="93"/>
      <c r="M13" s="156"/>
      <c r="N13" s="156"/>
      <c r="O13" s="842" t="s">
        <v>264</v>
      </c>
      <c r="P13" s="843"/>
      <c r="Q13" s="843"/>
      <c r="R13" s="843"/>
      <c r="S13" s="844"/>
      <c r="U13" s="198">
        <v>6</v>
      </c>
      <c r="V13" s="202" t="s">
        <v>216</v>
      </c>
      <c r="W13" s="203">
        <v>16.8</v>
      </c>
      <c r="X13" s="204">
        <v>2.5</v>
      </c>
      <c r="Y13" s="204">
        <v>43.4</v>
      </c>
      <c r="Z13" s="204">
        <v>6.5</v>
      </c>
      <c r="AA13" s="205"/>
      <c r="AB13" s="204"/>
      <c r="AC13" s="204"/>
      <c r="AD13" s="205"/>
      <c r="AE13" s="204">
        <f t="shared" si="0"/>
        <v>30.799999999999997</v>
      </c>
      <c r="AF13" s="210">
        <v>0.28999999999999998</v>
      </c>
      <c r="AG13" s="276">
        <v>0.69</v>
      </c>
      <c r="AH13" s="264">
        <f t="shared" si="1"/>
        <v>0.28000000000000003</v>
      </c>
      <c r="AI13"/>
    </row>
    <row r="14" spans="1:35">
      <c r="A14" s="93"/>
      <c r="B14" s="94" t="s">
        <v>58</v>
      </c>
      <c r="C14" s="93"/>
      <c r="D14" s="93"/>
      <c r="E14" s="93"/>
      <c r="F14" s="93"/>
      <c r="G14" s="93"/>
      <c r="H14" s="93"/>
      <c r="I14" s="93"/>
      <c r="J14" s="93"/>
      <c r="K14" s="93"/>
      <c r="L14" s="93"/>
      <c r="M14" s="156"/>
      <c r="N14" s="156"/>
      <c r="O14" s="432" t="s">
        <v>230</v>
      </c>
      <c r="P14" s="228"/>
      <c r="Q14" s="229"/>
      <c r="R14" s="228"/>
      <c r="S14" s="229"/>
      <c r="U14" s="198">
        <v>7</v>
      </c>
      <c r="V14" s="202" t="s">
        <v>217</v>
      </c>
      <c r="W14" s="203">
        <v>16.5</v>
      </c>
      <c r="X14" s="204">
        <v>2.5</v>
      </c>
      <c r="Y14" s="204">
        <v>51.1</v>
      </c>
      <c r="Z14" s="204">
        <v>2</v>
      </c>
      <c r="AA14" s="205"/>
      <c r="AB14" s="204"/>
      <c r="AC14" s="204"/>
      <c r="AD14" s="205"/>
      <c r="AE14" s="204">
        <f t="shared" si="0"/>
        <v>27.900000000000006</v>
      </c>
      <c r="AF14" s="210">
        <v>0.28999999999999998</v>
      </c>
      <c r="AG14" s="276">
        <v>0.69</v>
      </c>
      <c r="AH14" s="264">
        <f t="shared" si="1"/>
        <v>0.28000000000000003</v>
      </c>
      <c r="AI14"/>
    </row>
    <row r="15" spans="1:35" ht="13.5" thickBot="1">
      <c r="M15" s="156"/>
      <c r="N15" s="156"/>
      <c r="O15" s="433" t="s">
        <v>231</v>
      </c>
      <c r="P15" s="228"/>
      <c r="Q15" s="229"/>
      <c r="R15" s="228"/>
      <c r="S15" s="229"/>
      <c r="U15" s="198">
        <v>8</v>
      </c>
      <c r="V15" s="202" t="s">
        <v>122</v>
      </c>
      <c r="W15" s="203">
        <v>25</v>
      </c>
      <c r="X15" s="204"/>
      <c r="Y15" s="204">
        <v>23</v>
      </c>
      <c r="Z15" s="204">
        <v>15</v>
      </c>
      <c r="AA15" s="204"/>
      <c r="AB15" s="204"/>
      <c r="AC15" s="204"/>
      <c r="AD15" s="204"/>
      <c r="AE15" s="204">
        <f t="shared" si="0"/>
        <v>37</v>
      </c>
      <c r="AF15" s="210">
        <v>0.28999999999999998</v>
      </c>
      <c r="AG15" s="276">
        <v>0.69</v>
      </c>
      <c r="AH15" s="264">
        <f t="shared" si="1"/>
        <v>0.27</v>
      </c>
      <c r="AI15"/>
    </row>
    <row r="16" spans="1:35" ht="13.5" thickBot="1">
      <c r="C16" s="95" t="s">
        <v>59</v>
      </c>
      <c r="D16" s="96" t="s">
        <v>60</v>
      </c>
      <c r="E16" s="97" t="s">
        <v>61</v>
      </c>
      <c r="G16" s="337" t="s">
        <v>62</v>
      </c>
      <c r="N16" s="156"/>
      <c r="O16" s="433" t="s">
        <v>232</v>
      </c>
      <c r="P16" s="228"/>
      <c r="Q16" s="229"/>
      <c r="R16" s="228"/>
      <c r="S16" s="229"/>
      <c r="U16" s="198">
        <v>9</v>
      </c>
      <c r="V16" s="202" t="s">
        <v>218</v>
      </c>
      <c r="W16" s="203">
        <v>9.8000000000000007</v>
      </c>
      <c r="X16" s="204">
        <v>1</v>
      </c>
      <c r="Y16" s="204">
        <v>40.4</v>
      </c>
      <c r="Z16" s="204">
        <v>4.4000000000000004</v>
      </c>
      <c r="AA16" s="204"/>
      <c r="AB16" s="204"/>
      <c r="AC16" s="204"/>
      <c r="AD16" s="204"/>
      <c r="AE16" s="204">
        <f t="shared" si="0"/>
        <v>44.4</v>
      </c>
      <c r="AF16" s="210">
        <v>0.28999999999999998</v>
      </c>
      <c r="AG16" s="276">
        <v>0.69</v>
      </c>
      <c r="AH16" s="264">
        <f t="shared" si="1"/>
        <v>0.22</v>
      </c>
      <c r="AI16"/>
    </row>
    <row r="17" spans="1:35" ht="13.5" thickBot="1">
      <c r="A17" s="89">
        <v>1</v>
      </c>
      <c r="B17" s="398" t="s">
        <v>44</v>
      </c>
      <c r="C17" s="98" t="s">
        <v>63</v>
      </c>
      <c r="D17" s="99"/>
      <c r="E17" s="100" t="s">
        <v>64</v>
      </c>
      <c r="G17" s="338">
        <v>4</v>
      </c>
      <c r="M17" s="93"/>
      <c r="O17" s="433" t="s">
        <v>233</v>
      </c>
      <c r="P17" s="228"/>
      <c r="Q17" s="229"/>
      <c r="R17" s="228"/>
      <c r="S17" s="229"/>
      <c r="U17" s="198">
        <v>10</v>
      </c>
      <c r="V17" s="202" t="s">
        <v>219</v>
      </c>
      <c r="W17" s="203">
        <v>21.8</v>
      </c>
      <c r="X17" s="204">
        <v>4.7</v>
      </c>
      <c r="Y17" s="204">
        <v>30.1</v>
      </c>
      <c r="Z17" s="204">
        <v>7.5</v>
      </c>
      <c r="AA17" s="204"/>
      <c r="AB17" s="204"/>
      <c r="AC17" s="204"/>
      <c r="AD17" s="204">
        <v>1.4</v>
      </c>
      <c r="AE17" s="204">
        <f t="shared" si="0"/>
        <v>34.5</v>
      </c>
      <c r="AF17" s="210">
        <v>0.38</v>
      </c>
      <c r="AG17" s="213">
        <v>0.9</v>
      </c>
      <c r="AH17" s="264">
        <f t="shared" si="1"/>
        <v>0.27</v>
      </c>
      <c r="AI17"/>
    </row>
    <row r="18" spans="1:35" ht="13.5" thickBot="1">
      <c r="A18" s="89">
        <v>2</v>
      </c>
      <c r="B18" s="398" t="s">
        <v>65</v>
      </c>
      <c r="C18" s="101" t="s">
        <v>63</v>
      </c>
      <c r="D18" s="102"/>
      <c r="E18" s="103" t="s">
        <v>66</v>
      </c>
      <c r="O18" s="231" t="s">
        <v>135</v>
      </c>
      <c r="P18" s="441"/>
      <c r="Q18" s="442" t="s">
        <v>277</v>
      </c>
      <c r="R18" s="441">
        <v>0.05</v>
      </c>
      <c r="S18" s="442" t="s">
        <v>137</v>
      </c>
      <c r="U18" s="198">
        <v>11</v>
      </c>
      <c r="V18" s="202" t="s">
        <v>220</v>
      </c>
      <c r="W18" s="203">
        <v>30.6</v>
      </c>
      <c r="X18" s="204">
        <v>2</v>
      </c>
      <c r="Y18" s="204">
        <v>23.8</v>
      </c>
      <c r="Z18" s="204">
        <v>10</v>
      </c>
      <c r="AA18" s="204"/>
      <c r="AB18" s="204"/>
      <c r="AC18" s="204"/>
      <c r="AD18" s="204"/>
      <c r="AE18" s="204">
        <f t="shared" si="0"/>
        <v>33.599999999999994</v>
      </c>
      <c r="AF18" s="210">
        <v>0.64</v>
      </c>
      <c r="AG18" s="213">
        <v>0.47</v>
      </c>
      <c r="AH18" s="264">
        <f t="shared" si="1"/>
        <v>0.28000000000000003</v>
      </c>
      <c r="AI18"/>
    </row>
    <row r="19" spans="1:35" s="93" customFormat="1" ht="26.25" thickBot="1">
      <c r="A19" s="89">
        <v>3</v>
      </c>
      <c r="B19" s="398" t="s">
        <v>67</v>
      </c>
      <c r="C19" s="101" t="s">
        <v>68</v>
      </c>
      <c r="D19" s="102" t="s">
        <v>69</v>
      </c>
      <c r="E19" s="103"/>
      <c r="F19" s="89"/>
      <c r="G19" s="89"/>
      <c r="H19" s="89"/>
      <c r="I19" s="89"/>
      <c r="J19" s="89"/>
      <c r="K19" s="89"/>
      <c r="L19" s="89"/>
      <c r="M19" s="89"/>
      <c r="O19" s="438" t="s">
        <v>143</v>
      </c>
      <c r="P19" s="439"/>
      <c r="Q19" s="440" t="s">
        <v>277</v>
      </c>
      <c r="R19" s="439">
        <v>0.18</v>
      </c>
      <c r="S19" s="440" t="s">
        <v>156</v>
      </c>
      <c r="U19" s="198">
        <v>12</v>
      </c>
      <c r="V19" s="202" t="s">
        <v>123</v>
      </c>
      <c r="W19" s="203">
        <v>17</v>
      </c>
      <c r="X19" s="204"/>
      <c r="Y19" s="204">
        <v>36.9</v>
      </c>
      <c r="Z19" s="204">
        <v>10.6</v>
      </c>
      <c r="AA19" s="204"/>
      <c r="AB19" s="204"/>
      <c r="AC19" s="204"/>
      <c r="AD19" s="204"/>
      <c r="AE19" s="204">
        <f t="shared" si="0"/>
        <v>35.5</v>
      </c>
      <c r="AF19" s="210">
        <v>0.52</v>
      </c>
      <c r="AG19" s="213">
        <v>0.85</v>
      </c>
      <c r="AH19" s="264">
        <f t="shared" si="1"/>
        <v>0.27</v>
      </c>
      <c r="AI19"/>
    </row>
    <row r="20" spans="1:35" ht="26.25" thickBot="1">
      <c r="A20" s="104">
        <v>4</v>
      </c>
      <c r="B20" s="398" t="s">
        <v>98</v>
      </c>
      <c r="C20" s="105" t="s">
        <v>68</v>
      </c>
      <c r="D20" s="106" t="s">
        <v>97</v>
      </c>
      <c r="E20" s="107"/>
      <c r="O20" s="233" t="s">
        <v>23</v>
      </c>
      <c r="P20" s="412"/>
      <c r="Q20" s="413" t="s">
        <v>277</v>
      </c>
      <c r="R20" s="412">
        <v>0.15</v>
      </c>
      <c r="S20" s="413" t="s">
        <v>138</v>
      </c>
      <c r="U20" s="198">
        <v>13</v>
      </c>
      <c r="V20" s="202" t="s">
        <v>221</v>
      </c>
      <c r="W20" s="203">
        <v>27.5</v>
      </c>
      <c r="X20" s="204"/>
      <c r="Y20" s="204">
        <v>24.2</v>
      </c>
      <c r="Z20" s="204">
        <v>11</v>
      </c>
      <c r="AA20" s="204"/>
      <c r="AB20" s="204"/>
      <c r="AC20" s="204"/>
      <c r="AD20" s="204"/>
      <c r="AE20" s="204">
        <f t="shared" si="0"/>
        <v>37.299999999999997</v>
      </c>
      <c r="AF20" s="210">
        <v>0.56000000000000005</v>
      </c>
      <c r="AG20" s="213">
        <v>0.47</v>
      </c>
      <c r="AH20" s="264">
        <f t="shared" si="1"/>
        <v>0.27</v>
      </c>
      <c r="AI20"/>
    </row>
    <row r="21" spans="1:35" ht="26.25" thickBot="1">
      <c r="A21" s="104"/>
      <c r="B21" s="154"/>
      <c r="C21" s="104"/>
      <c r="D21" s="104"/>
      <c r="E21" s="104"/>
      <c r="O21" s="93"/>
      <c r="P21" s="93"/>
      <c r="Q21" s="93"/>
      <c r="R21" s="93"/>
      <c r="U21" s="198">
        <v>14</v>
      </c>
      <c r="V21" s="202" t="s">
        <v>222</v>
      </c>
      <c r="W21" s="203">
        <v>30</v>
      </c>
      <c r="X21" s="204"/>
      <c r="Y21" s="204">
        <v>36</v>
      </c>
      <c r="Z21" s="204">
        <v>24</v>
      </c>
      <c r="AA21" s="204"/>
      <c r="AB21" s="204"/>
      <c r="AC21" s="204"/>
      <c r="AD21" s="204"/>
      <c r="AE21" s="204">
        <f t="shared" si="0"/>
        <v>10</v>
      </c>
      <c r="AF21" s="210">
        <v>0.69</v>
      </c>
      <c r="AG21" s="213">
        <v>0.85</v>
      </c>
      <c r="AH21" s="264">
        <f t="shared" si="1"/>
        <v>0.39</v>
      </c>
      <c r="AI21"/>
    </row>
    <row r="22" spans="1:35" ht="26.25" thickBot="1">
      <c r="O22" s="339" t="s">
        <v>114</v>
      </c>
      <c r="P22" s="89">
        <v>1</v>
      </c>
      <c r="Q22" s="89" t="s">
        <v>145</v>
      </c>
      <c r="U22" s="198">
        <v>15</v>
      </c>
      <c r="V22" s="202" t="s">
        <v>223</v>
      </c>
      <c r="W22" s="203">
        <v>6</v>
      </c>
      <c r="X22" s="204"/>
      <c r="Y22" s="204">
        <v>67.5</v>
      </c>
      <c r="Z22" s="204">
        <v>2.5</v>
      </c>
      <c r="AA22" s="204"/>
      <c r="AB22" s="204"/>
      <c r="AC22" s="204"/>
      <c r="AD22" s="204"/>
      <c r="AE22" s="204">
        <f t="shared" si="0"/>
        <v>24</v>
      </c>
      <c r="AF22" s="210">
        <v>0.69</v>
      </c>
      <c r="AG22" s="213">
        <v>0.85</v>
      </c>
      <c r="AH22" s="264">
        <f t="shared" si="1"/>
        <v>0.3</v>
      </c>
      <c r="AI22"/>
    </row>
    <row r="23" spans="1:35" ht="13.5" thickBot="1">
      <c r="B23" s="89" t="s">
        <v>53</v>
      </c>
      <c r="O23" s="338">
        <v>1</v>
      </c>
      <c r="P23" s="89">
        <v>2</v>
      </c>
      <c r="Q23" s="89" t="s">
        <v>144</v>
      </c>
      <c r="U23" s="198">
        <v>16</v>
      </c>
      <c r="V23" s="202" t="s">
        <v>224</v>
      </c>
      <c r="W23" s="203">
        <v>23.2</v>
      </c>
      <c r="X23" s="204">
        <v>3.9</v>
      </c>
      <c r="Y23" s="204">
        <v>33.9</v>
      </c>
      <c r="Z23" s="204">
        <v>6.2</v>
      </c>
      <c r="AA23" s="204"/>
      <c r="AB23" s="204"/>
      <c r="AC23" s="204"/>
      <c r="AD23" s="204">
        <v>1.4</v>
      </c>
      <c r="AE23" s="204">
        <f t="shared" si="0"/>
        <v>31.399999999999991</v>
      </c>
      <c r="AF23" s="210">
        <v>0.65</v>
      </c>
      <c r="AG23" s="213">
        <v>0.57999999999999996</v>
      </c>
      <c r="AH23" s="264">
        <f t="shared" si="1"/>
        <v>0.28000000000000003</v>
      </c>
      <c r="AI23"/>
    </row>
    <row r="24" spans="1:35">
      <c r="B24" s="89" t="s">
        <v>54</v>
      </c>
      <c r="S24" s="93"/>
      <c r="U24" s="198">
        <v>17</v>
      </c>
      <c r="V24" s="202" t="s">
        <v>225</v>
      </c>
      <c r="W24" s="203">
        <v>13.7</v>
      </c>
      <c r="X24" s="204">
        <v>2.6</v>
      </c>
      <c r="Y24" s="204">
        <v>43.8</v>
      </c>
      <c r="Z24" s="204">
        <v>13.5</v>
      </c>
      <c r="AA24" s="204"/>
      <c r="AB24" s="204"/>
      <c r="AC24" s="204"/>
      <c r="AD24" s="204">
        <v>1.8</v>
      </c>
      <c r="AE24" s="204">
        <f t="shared" si="0"/>
        <v>24.600000000000009</v>
      </c>
      <c r="AF24" s="210">
        <v>0.21</v>
      </c>
      <c r="AG24" s="213">
        <v>0.5</v>
      </c>
      <c r="AH24" s="264">
        <f t="shared" si="1"/>
        <v>0.31</v>
      </c>
      <c r="AI24"/>
    </row>
    <row r="25" spans="1:35">
      <c r="B25" s="89" t="s">
        <v>55</v>
      </c>
      <c r="O25" s="104"/>
      <c r="P25" s="434"/>
      <c r="Q25" s="434"/>
      <c r="R25" s="435"/>
      <c r="S25" s="435"/>
      <c r="U25" s="198">
        <v>18</v>
      </c>
      <c r="V25" s="202" t="s">
        <v>226</v>
      </c>
      <c r="W25" s="203">
        <v>17.100000000000001</v>
      </c>
      <c r="X25" s="204">
        <v>2.6</v>
      </c>
      <c r="Y25" s="204">
        <v>44.9</v>
      </c>
      <c r="Z25" s="204">
        <v>4.7</v>
      </c>
      <c r="AA25" s="204"/>
      <c r="AB25" s="204"/>
      <c r="AC25" s="204"/>
      <c r="AD25" s="204">
        <v>0.7</v>
      </c>
      <c r="AE25" s="204">
        <f t="shared" si="0"/>
        <v>30</v>
      </c>
      <c r="AF25" s="210">
        <v>0.26</v>
      </c>
      <c r="AG25" s="213">
        <v>0.54</v>
      </c>
      <c r="AH25" s="264">
        <f t="shared" si="1"/>
        <v>0.28000000000000003</v>
      </c>
      <c r="AI25"/>
    </row>
    <row r="26" spans="1:35" ht="13.5" thickBot="1">
      <c r="B26" s="834" t="s">
        <v>70</v>
      </c>
      <c r="C26" s="834"/>
      <c r="D26" s="834"/>
      <c r="E26" s="834"/>
      <c r="F26" s="834"/>
      <c r="G26" s="834"/>
      <c r="H26" s="834"/>
      <c r="O26" s="104"/>
      <c r="P26" s="436"/>
      <c r="Q26" s="434"/>
      <c r="R26" s="436"/>
      <c r="S26" s="434"/>
      <c r="U26" s="198">
        <v>19</v>
      </c>
      <c r="V26" s="202" t="s">
        <v>124</v>
      </c>
      <c r="W26" s="206">
        <v>17</v>
      </c>
      <c r="X26" s="207">
        <v>5.0999999999999996</v>
      </c>
      <c r="Y26" s="207">
        <v>46.9</v>
      </c>
      <c r="Z26" s="207">
        <v>2.4</v>
      </c>
      <c r="AA26" s="207"/>
      <c r="AB26" s="207"/>
      <c r="AC26" s="207"/>
      <c r="AD26" s="207">
        <v>1.9</v>
      </c>
      <c r="AE26" s="207">
        <f t="shared" si="0"/>
        <v>26.699999999999989</v>
      </c>
      <c r="AF26" s="211">
        <v>0.49</v>
      </c>
      <c r="AG26" s="214">
        <v>0.83</v>
      </c>
      <c r="AH26" s="265">
        <f t="shared" si="1"/>
        <v>0.28999999999999998</v>
      </c>
      <c r="AI26"/>
    </row>
    <row r="27" spans="1:35">
      <c r="B27" s="835"/>
      <c r="C27" s="835"/>
      <c r="D27" s="835"/>
      <c r="E27" s="835"/>
      <c r="F27" s="835"/>
      <c r="G27" s="835"/>
      <c r="H27" s="835"/>
      <c r="O27" s="104"/>
      <c r="P27" s="437"/>
      <c r="Q27" s="104"/>
      <c r="R27" s="104"/>
      <c r="S27" s="104"/>
      <c r="U27" s="198"/>
      <c r="V27" s="200"/>
    </row>
    <row r="28" spans="1:35">
      <c r="B28" s="835"/>
      <c r="C28" s="835"/>
      <c r="D28" s="835"/>
      <c r="E28" s="835"/>
      <c r="F28" s="835"/>
      <c r="G28" s="835"/>
      <c r="H28" s="835"/>
      <c r="O28" s="104"/>
      <c r="P28" s="437"/>
      <c r="Q28" s="104"/>
      <c r="R28" s="104"/>
      <c r="S28" s="104"/>
      <c r="V28" s="200"/>
    </row>
    <row r="29" spans="1:35">
      <c r="B29" s="835"/>
      <c r="C29" s="835"/>
      <c r="D29" s="835"/>
      <c r="E29" s="835"/>
      <c r="F29" s="835"/>
      <c r="G29" s="835"/>
      <c r="H29" s="835"/>
      <c r="O29" s="429"/>
      <c r="P29" s="430"/>
      <c r="Q29" s="431"/>
      <c r="R29" s="104"/>
      <c r="W29" s="215">
        <f>AVERAGE(W8:W26)</f>
        <v>17.931578947368422</v>
      </c>
      <c r="X29" s="215">
        <f t="shared" ref="X29:AE29" si="2">AVERAGE(X8:X26)</f>
        <v>2.871428571428571</v>
      </c>
      <c r="Y29" s="215">
        <f t="shared" si="2"/>
        <v>39.521052631578939</v>
      </c>
      <c r="Z29" s="215">
        <f t="shared" si="2"/>
        <v>8.3368421052631572</v>
      </c>
      <c r="AA29" s="215"/>
      <c r="AB29" s="215"/>
      <c r="AC29" s="215"/>
      <c r="AD29" s="215">
        <f t="shared" si="2"/>
        <v>1.1600000000000001</v>
      </c>
      <c r="AE29" s="215">
        <f t="shared" si="2"/>
        <v>31.484210526315792</v>
      </c>
      <c r="AF29" s="215">
        <f>SUM(W29:AE29)</f>
        <v>101.30511278195488</v>
      </c>
    </row>
    <row r="30" spans="1:35">
      <c r="B30" s="835"/>
      <c r="C30" s="835"/>
      <c r="D30" s="835"/>
      <c r="E30" s="835"/>
      <c r="F30" s="835"/>
      <c r="G30" s="835"/>
      <c r="H30" s="835"/>
      <c r="O30" s="429"/>
      <c r="P30" s="430"/>
      <c r="Q30" s="431"/>
      <c r="R30" s="104"/>
      <c r="W30" s="216">
        <f t="shared" ref="W30:AE30" si="3">W29/$AF$29</f>
        <v>0.17700566590319725</v>
      </c>
      <c r="X30" s="216">
        <f t="shared" si="3"/>
        <v>2.8344359850908222E-2</v>
      </c>
      <c r="Y30" s="216">
        <f t="shared" si="3"/>
        <v>0.39011903295189543</v>
      </c>
      <c r="Z30" s="216">
        <f t="shared" si="3"/>
        <v>8.229438649564555E-2</v>
      </c>
      <c r="AA30" s="216">
        <f t="shared" si="3"/>
        <v>0</v>
      </c>
      <c r="AB30" s="216">
        <f t="shared" si="3"/>
        <v>0</v>
      </c>
      <c r="AC30" s="216">
        <f t="shared" si="3"/>
        <v>0</v>
      </c>
      <c r="AD30" s="216">
        <f t="shared" si="3"/>
        <v>1.145055731290422E-2</v>
      </c>
      <c r="AE30" s="216">
        <f t="shared" si="3"/>
        <v>0.31078599748544938</v>
      </c>
    </row>
    <row r="31" spans="1:35" ht="13.5" thickBot="1">
      <c r="O31" s="429"/>
      <c r="P31" s="430"/>
      <c r="Q31" s="431"/>
      <c r="R31" s="104"/>
    </row>
    <row r="32" spans="1:35" ht="13.5" thickBot="1">
      <c r="B32" s="108" t="s">
        <v>71</v>
      </c>
      <c r="O32" s="429"/>
      <c r="P32" s="430"/>
      <c r="Q32" s="431"/>
      <c r="R32" s="104"/>
      <c r="AE32" s="159" t="s">
        <v>178</v>
      </c>
      <c r="AF32" s="277">
        <f>AVERAGE(AF12:AF26,AF8:AF10)</f>
        <v>0.42055555555555557</v>
      </c>
      <c r="AG32" s="298">
        <f>AVERAGE(AG12:AG26,AG8:AG10)</f>
        <v>0.676111111111111</v>
      </c>
      <c r="AH32" s="299">
        <f>AVERAGE(AH8:AH26)</f>
        <v>0.27947368421052637</v>
      </c>
    </row>
    <row r="33" spans="2:18">
      <c r="O33" s="429"/>
      <c r="P33" s="430"/>
      <c r="Q33" s="431"/>
      <c r="R33" s="104"/>
    </row>
    <row r="34" spans="2:18">
      <c r="B34" s="89" t="s">
        <v>72</v>
      </c>
      <c r="O34" s="429"/>
      <c r="P34" s="430"/>
      <c r="Q34" s="431"/>
      <c r="R34" s="104"/>
    </row>
    <row r="35" spans="2:18">
      <c r="O35" s="429"/>
      <c r="P35" s="430"/>
      <c r="Q35" s="431"/>
      <c r="R35" s="104"/>
    </row>
    <row r="36" spans="2:18">
      <c r="B36" s="5" t="s">
        <v>73</v>
      </c>
      <c r="O36" s="429"/>
      <c r="P36" s="430"/>
      <c r="Q36" s="431"/>
      <c r="R36" s="104"/>
    </row>
    <row r="37" spans="2:18" ht="13.5" thickBot="1">
      <c r="O37" s="429"/>
      <c r="P37" s="430"/>
      <c r="Q37" s="431"/>
      <c r="R37" s="104"/>
    </row>
    <row r="38" spans="2:18" ht="14.25">
      <c r="B38" s="109" t="s">
        <v>74</v>
      </c>
      <c r="C38" s="836" t="s">
        <v>75</v>
      </c>
      <c r="D38" s="837"/>
      <c r="O38" s="429"/>
      <c r="P38" s="430"/>
      <c r="Q38" s="431"/>
      <c r="R38" s="104"/>
    </row>
    <row r="39" spans="2:18">
      <c r="B39" s="162">
        <v>35</v>
      </c>
      <c r="C39" s="840">
        <f>LN(2)/B39</f>
        <v>1.980420515885558E-2</v>
      </c>
      <c r="D39" s="841"/>
    </row>
    <row r="40" spans="2:18" ht="27">
      <c r="B40" s="399" t="s">
        <v>76</v>
      </c>
      <c r="C40" s="838" t="s">
        <v>77</v>
      </c>
      <c r="D40" s="839"/>
    </row>
    <row r="41" spans="2:18" ht="13.5" thickBot="1">
      <c r="B41" s="163">
        <v>0.05</v>
      </c>
      <c r="C41" s="832">
        <f>LN(2)/B41</f>
        <v>13.862943611198904</v>
      </c>
      <c r="D41" s="833"/>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250" t="s">
        <v>102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Parameters!O15</f>
        <v>0.38</v>
      </c>
      <c r="O6" s="257"/>
      <c r="P6" s="258"/>
      <c r="Q6" s="249"/>
      <c r="R6" s="128" t="s">
        <v>9</v>
      </c>
      <c r="S6" s="129"/>
      <c r="T6" s="129"/>
      <c r="U6" s="133"/>
      <c r="V6" s="140" t="s">
        <v>9</v>
      </c>
      <c r="W6" s="293">
        <f>Parameters!R15</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Parameters!O34</f>
        <v>0.4</v>
      </c>
      <c r="O8" s="67"/>
      <c r="P8" s="67"/>
      <c r="Q8" s="249"/>
      <c r="R8" s="128" t="s">
        <v>192</v>
      </c>
      <c r="S8" s="129"/>
      <c r="T8" s="129"/>
      <c r="U8" s="133"/>
      <c r="V8" s="140" t="s">
        <v>188</v>
      </c>
      <c r="W8" s="134">
        <f>Parameters!O34</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Amnt_Deposited!C14</f>
        <v>17.370889782523204</v>
      </c>
      <c r="D19" s="451">
        <f>Dry_Matter_Content!C6</f>
        <v>0.59</v>
      </c>
      <c r="E19" s="318">
        <f>MCF!R18</f>
        <v>0.8</v>
      </c>
      <c r="F19" s="150">
        <f>C19*D19*$K$6*DOCF*E19</f>
        <v>1.5578213956966809</v>
      </c>
      <c r="G19" s="85">
        <f t="shared" ref="G19:G50" si="0">F19*$K$12</f>
        <v>1.5578213956966809</v>
      </c>
      <c r="H19" s="85">
        <f t="shared" ref="H19:H50" si="1">F19*(1-$K$12)</f>
        <v>0</v>
      </c>
      <c r="I19" s="85">
        <f t="shared" ref="I19:I50" si="2">G19+I18*$K$10</f>
        <v>1.5578213956966809</v>
      </c>
      <c r="J19" s="85">
        <f t="shared" ref="J19:J50" si="3">I18*(1-$K$10)+H19</f>
        <v>0</v>
      </c>
      <c r="K19" s="86">
        <f>J19*CH4_fraction*conv</f>
        <v>0</v>
      </c>
      <c r="O19" s="115">
        <f>Amnt_Deposited!B14</f>
        <v>2000</v>
      </c>
      <c r="P19" s="118">
        <f>Amnt_Deposited!C14</f>
        <v>17.370889782523204</v>
      </c>
      <c r="Q19" s="318">
        <f>MCF!R18</f>
        <v>0.8</v>
      </c>
      <c r="R19" s="150">
        <f t="shared" ref="R19:R50" si="4">P19*$W$6*DOCF*Q19</f>
        <v>1.0422533869513921</v>
      </c>
      <c r="S19" s="85">
        <f>R19*$W$12</f>
        <v>1.0422533869513921</v>
      </c>
      <c r="T19" s="85">
        <f>R19*(1-$W$12)</f>
        <v>0</v>
      </c>
      <c r="U19" s="85">
        <f>S19+U18*$W$10</f>
        <v>1.0422533869513921</v>
      </c>
      <c r="V19" s="85">
        <f>U18*(1-$W$10)+T19</f>
        <v>0</v>
      </c>
      <c r="W19" s="86">
        <f>V19*CH4_fraction*conv</f>
        <v>0</v>
      </c>
    </row>
    <row r="20" spans="2:23">
      <c r="B20" s="116">
        <f>Amnt_Deposited!B15</f>
        <v>2001</v>
      </c>
      <c r="C20" s="119">
        <f>Amnt_Deposited!C15</f>
        <v>17.693873446550402</v>
      </c>
      <c r="D20" s="453">
        <f>Dry_Matter_Content!C7</f>
        <v>0.59</v>
      </c>
      <c r="E20" s="319">
        <f>MCF!R19</f>
        <v>0.8</v>
      </c>
      <c r="F20" s="87">
        <f t="shared" ref="F20:F50" si="5">C20*D20*$K$6*DOCF*E20</f>
        <v>1.5867865706866402</v>
      </c>
      <c r="G20" s="87">
        <f t="shared" si="0"/>
        <v>1.5867865706866402</v>
      </c>
      <c r="H20" s="87">
        <f t="shared" si="1"/>
        <v>0</v>
      </c>
      <c r="I20" s="87">
        <f t="shared" si="2"/>
        <v>2.6310254803653432</v>
      </c>
      <c r="J20" s="87">
        <f t="shared" si="3"/>
        <v>0.51358248601797785</v>
      </c>
      <c r="K20" s="120">
        <f>J20*CH4_fraction*conv</f>
        <v>0.34238832401198521</v>
      </c>
      <c r="M20" s="428"/>
      <c r="O20" s="116">
        <f>Amnt_Deposited!B15</f>
        <v>2001</v>
      </c>
      <c r="P20" s="119">
        <f>Amnt_Deposited!C15</f>
        <v>17.693873446550402</v>
      </c>
      <c r="Q20" s="319">
        <f>MCF!R19</f>
        <v>0.8</v>
      </c>
      <c r="R20" s="87">
        <f t="shared" si="4"/>
        <v>1.0616324067930243</v>
      </c>
      <c r="S20" s="87">
        <f>R20*$W$12</f>
        <v>1.0616324067930243</v>
      </c>
      <c r="T20" s="87">
        <f>R20*(1-$W$12)</f>
        <v>0</v>
      </c>
      <c r="U20" s="87">
        <f>S20+U19*$W$10</f>
        <v>1.7602757451150826</v>
      </c>
      <c r="V20" s="87">
        <f>U19*(1-$W$10)+T20</f>
        <v>0.34361004862933398</v>
      </c>
      <c r="W20" s="120">
        <f>V20*CH4_fraction*conv</f>
        <v>0.22907336575288931</v>
      </c>
    </row>
    <row r="21" spans="2:23">
      <c r="B21" s="116">
        <f>Amnt_Deposited!B16</f>
        <v>2002</v>
      </c>
      <c r="C21" s="119">
        <f>Amnt_Deposited!C16</f>
        <v>18.226640975479203</v>
      </c>
      <c r="D21" s="453">
        <f>Dry_Matter_Content!C8</f>
        <v>0.59</v>
      </c>
      <c r="E21" s="319">
        <f>MCF!R20</f>
        <v>0.8</v>
      </c>
      <c r="F21" s="87">
        <f t="shared" si="5"/>
        <v>1.6345651626809747</v>
      </c>
      <c r="G21" s="87">
        <f t="shared" si="0"/>
        <v>1.6345651626809747</v>
      </c>
      <c r="H21" s="87">
        <f t="shared" si="1"/>
        <v>0</v>
      </c>
      <c r="I21" s="87">
        <f t="shared" si="2"/>
        <v>3.3981942838004118</v>
      </c>
      <c r="J21" s="87">
        <f t="shared" si="3"/>
        <v>0.8673963592459063</v>
      </c>
      <c r="K21" s="120">
        <f t="shared" ref="K21:K84" si="6">J21*CH4_fraction*conv</f>
        <v>0.57826423949727079</v>
      </c>
      <c r="O21" s="116">
        <f>Amnt_Deposited!B16</f>
        <v>2002</v>
      </c>
      <c r="P21" s="119">
        <f>Amnt_Deposited!C16</f>
        <v>18.226640975479203</v>
      </c>
      <c r="Q21" s="319">
        <f>MCF!R20</f>
        <v>0.8</v>
      </c>
      <c r="R21" s="87">
        <f t="shared" si="4"/>
        <v>1.0935984585287521</v>
      </c>
      <c r="S21" s="87">
        <f t="shared" ref="S21:S84" si="7">R21*$W$12</f>
        <v>1.0935984585287521</v>
      </c>
      <c r="T21" s="87">
        <f t="shared" ref="T21:T84" si="8">R21*(1-$W$12)</f>
        <v>0</v>
      </c>
      <c r="U21" s="87">
        <f t="shared" ref="U21:U84" si="9">S21+U20*$W$10</f>
        <v>2.2735465770297134</v>
      </c>
      <c r="V21" s="87">
        <f t="shared" ref="V21:V84" si="10">U20*(1-$W$10)+T21</f>
        <v>0.58032762661412107</v>
      </c>
      <c r="W21" s="120">
        <f t="shared" ref="W21:W84" si="11">V21*CH4_fraction*conv</f>
        <v>0.38688508440941405</v>
      </c>
    </row>
    <row r="22" spans="2:23">
      <c r="B22" s="116">
        <f>Amnt_Deposited!B17</f>
        <v>2003</v>
      </c>
      <c r="C22" s="119">
        <f>Amnt_Deposited!C17</f>
        <v>19.664638568348401</v>
      </c>
      <c r="D22" s="453">
        <f>Dry_Matter_Content!C9</f>
        <v>0.59</v>
      </c>
      <c r="E22" s="319">
        <f>MCF!R21</f>
        <v>0.8</v>
      </c>
      <c r="F22" s="87">
        <f t="shared" si="5"/>
        <v>1.7635247868094848</v>
      </c>
      <c r="G22" s="87">
        <f t="shared" si="0"/>
        <v>1.7635247868094848</v>
      </c>
      <c r="H22" s="87">
        <f t="shared" si="1"/>
        <v>0</v>
      </c>
      <c r="I22" s="87">
        <f t="shared" si="2"/>
        <v>4.0414025355646235</v>
      </c>
      <c r="J22" s="87">
        <f t="shared" si="3"/>
        <v>1.1203165350452733</v>
      </c>
      <c r="K22" s="120">
        <f t="shared" si="6"/>
        <v>0.74687769003018212</v>
      </c>
      <c r="N22" s="290"/>
      <c r="O22" s="116">
        <f>Amnt_Deposited!B17</f>
        <v>2003</v>
      </c>
      <c r="P22" s="119">
        <f>Amnt_Deposited!C17</f>
        <v>19.664638568348401</v>
      </c>
      <c r="Q22" s="319">
        <f>MCF!R21</f>
        <v>0.8</v>
      </c>
      <c r="R22" s="87">
        <f t="shared" si="4"/>
        <v>1.1798783141009042</v>
      </c>
      <c r="S22" s="87">
        <f t="shared" si="7"/>
        <v>1.1798783141009042</v>
      </c>
      <c r="T22" s="87">
        <f t="shared" si="8"/>
        <v>0</v>
      </c>
      <c r="U22" s="87">
        <f t="shared" si="9"/>
        <v>2.7038821602796319</v>
      </c>
      <c r="V22" s="87">
        <f t="shared" si="10"/>
        <v>0.74954273085098566</v>
      </c>
      <c r="W22" s="120">
        <f t="shared" si="11"/>
        <v>0.49969515390065711</v>
      </c>
    </row>
    <row r="23" spans="2:23">
      <c r="B23" s="116">
        <f>Amnt_Deposited!B18</f>
        <v>2004</v>
      </c>
      <c r="C23" s="119">
        <f>Amnt_Deposited!C18</f>
        <v>19.864191070350003</v>
      </c>
      <c r="D23" s="453">
        <f>Dry_Matter_Content!C10</f>
        <v>0.59</v>
      </c>
      <c r="E23" s="319">
        <f>MCF!R22</f>
        <v>0.8</v>
      </c>
      <c r="F23" s="87">
        <f t="shared" si="5"/>
        <v>1.7814206551889882</v>
      </c>
      <c r="G23" s="87">
        <f t="shared" si="0"/>
        <v>1.7814206551889882</v>
      </c>
      <c r="H23" s="87">
        <f t="shared" si="1"/>
        <v>0</v>
      </c>
      <c r="I23" s="87">
        <f t="shared" si="2"/>
        <v>4.4904537888772165</v>
      </c>
      <c r="J23" s="87">
        <f t="shared" si="3"/>
        <v>1.3323694018763956</v>
      </c>
      <c r="K23" s="120">
        <f t="shared" si="6"/>
        <v>0.88824626791759709</v>
      </c>
      <c r="N23" s="290"/>
      <c r="O23" s="116">
        <f>Amnt_Deposited!B18</f>
        <v>2004</v>
      </c>
      <c r="P23" s="119">
        <f>Amnt_Deposited!C18</f>
        <v>19.864191070350003</v>
      </c>
      <c r="Q23" s="319">
        <f>MCF!R22</f>
        <v>0.8</v>
      </c>
      <c r="R23" s="87">
        <f t="shared" si="4"/>
        <v>1.1918514642210001</v>
      </c>
      <c r="S23" s="87">
        <f t="shared" si="7"/>
        <v>1.1918514642210001</v>
      </c>
      <c r="T23" s="87">
        <f t="shared" si="8"/>
        <v>0</v>
      </c>
      <c r="U23" s="87">
        <f t="shared" si="9"/>
        <v>3.0043178783745867</v>
      </c>
      <c r="V23" s="87">
        <f t="shared" si="10"/>
        <v>0.89141574612604513</v>
      </c>
      <c r="W23" s="120">
        <f t="shared" si="11"/>
        <v>0.59427716408403009</v>
      </c>
    </row>
    <row r="24" spans="2:23">
      <c r="B24" s="116">
        <f>Amnt_Deposited!B19</f>
        <v>2005</v>
      </c>
      <c r="C24" s="119">
        <f>Amnt_Deposited!C19</f>
        <v>20.405020913244002</v>
      </c>
      <c r="D24" s="453">
        <f>Dry_Matter_Content!C11</f>
        <v>0.59</v>
      </c>
      <c r="E24" s="319">
        <f>MCF!R23</f>
        <v>0.8</v>
      </c>
      <c r="F24" s="87">
        <f t="shared" si="5"/>
        <v>1.8299222754997222</v>
      </c>
      <c r="G24" s="87">
        <f t="shared" si="0"/>
        <v>1.8299222754997222</v>
      </c>
      <c r="H24" s="87">
        <f t="shared" si="1"/>
        <v>0</v>
      </c>
      <c r="I24" s="87">
        <f t="shared" si="2"/>
        <v>4.8399634659808086</v>
      </c>
      <c r="J24" s="87">
        <f t="shared" si="3"/>
        <v>1.4804125983961296</v>
      </c>
      <c r="K24" s="120">
        <f t="shared" si="6"/>
        <v>0.98694173226408632</v>
      </c>
      <c r="N24" s="290"/>
      <c r="O24" s="116">
        <f>Amnt_Deposited!B19</f>
        <v>2005</v>
      </c>
      <c r="P24" s="119">
        <f>Amnt_Deposited!C19</f>
        <v>20.405020913244002</v>
      </c>
      <c r="Q24" s="319">
        <f>MCF!R23</f>
        <v>0.8</v>
      </c>
      <c r="R24" s="87">
        <f t="shared" si="4"/>
        <v>1.2243012547946401</v>
      </c>
      <c r="S24" s="87">
        <f t="shared" si="7"/>
        <v>1.2243012547946401</v>
      </c>
      <c r="T24" s="87">
        <f t="shared" si="8"/>
        <v>0</v>
      </c>
      <c r="U24" s="87">
        <f t="shared" si="9"/>
        <v>3.2381557533323875</v>
      </c>
      <c r="V24" s="87">
        <f t="shared" si="10"/>
        <v>0.99046337983683952</v>
      </c>
      <c r="W24" s="120">
        <f t="shared" si="11"/>
        <v>0.66030891989122631</v>
      </c>
    </row>
    <row r="25" spans="2:23">
      <c r="B25" s="116">
        <f>Amnt_Deposited!B20</f>
        <v>2006</v>
      </c>
      <c r="C25" s="119">
        <f>Amnt_Deposited!C20</f>
        <v>20.817303912662403</v>
      </c>
      <c r="D25" s="453">
        <f>Dry_Matter_Content!C12</f>
        <v>0.59</v>
      </c>
      <c r="E25" s="319">
        <f>MCF!R24</f>
        <v>0.8</v>
      </c>
      <c r="F25" s="87">
        <f t="shared" si="5"/>
        <v>1.8668958148875643</v>
      </c>
      <c r="G25" s="87">
        <f t="shared" si="0"/>
        <v>1.8668958148875643</v>
      </c>
      <c r="H25" s="87">
        <f t="shared" si="1"/>
        <v>0</v>
      </c>
      <c r="I25" s="87">
        <f t="shared" si="2"/>
        <v>5.1112203482146326</v>
      </c>
      <c r="J25" s="87">
        <f t="shared" si="3"/>
        <v>1.5956389326537406</v>
      </c>
      <c r="K25" s="120">
        <f t="shared" si="6"/>
        <v>1.0637592884358269</v>
      </c>
      <c r="N25" s="290"/>
      <c r="O25" s="116">
        <f>Amnt_Deposited!B20</f>
        <v>2006</v>
      </c>
      <c r="P25" s="119">
        <f>Amnt_Deposited!C20</f>
        <v>20.817303912662403</v>
      </c>
      <c r="Q25" s="319">
        <f>MCF!R24</f>
        <v>0.8</v>
      </c>
      <c r="R25" s="87">
        <f t="shared" si="4"/>
        <v>1.2490382347597442</v>
      </c>
      <c r="S25" s="87">
        <f t="shared" si="7"/>
        <v>1.2490382347597442</v>
      </c>
      <c r="T25" s="87">
        <f t="shared" si="8"/>
        <v>0</v>
      </c>
      <c r="U25" s="87">
        <f t="shared" si="9"/>
        <v>3.4196389484040806</v>
      </c>
      <c r="V25" s="87">
        <f t="shared" si="10"/>
        <v>1.0675550396880511</v>
      </c>
      <c r="W25" s="120">
        <f t="shared" si="11"/>
        <v>0.71170335979203403</v>
      </c>
    </row>
    <row r="26" spans="2:23">
      <c r="B26" s="116">
        <f>Amnt_Deposited!B21</f>
        <v>2007</v>
      </c>
      <c r="C26" s="119">
        <f>Amnt_Deposited!C21</f>
        <v>21.2289321048552</v>
      </c>
      <c r="D26" s="453">
        <f>Dry_Matter_Content!C13</f>
        <v>0.59</v>
      </c>
      <c r="E26" s="319">
        <f>MCF!R25</f>
        <v>0.8</v>
      </c>
      <c r="F26" s="87">
        <f t="shared" si="5"/>
        <v>1.9038106311634142</v>
      </c>
      <c r="G26" s="87">
        <f t="shared" si="0"/>
        <v>1.9038106311634142</v>
      </c>
      <c r="H26" s="87">
        <f t="shared" si="1"/>
        <v>0</v>
      </c>
      <c r="I26" s="87">
        <f t="shared" si="2"/>
        <v>5.3299640902769427</v>
      </c>
      <c r="J26" s="87">
        <f t="shared" si="3"/>
        <v>1.6850668891011036</v>
      </c>
      <c r="K26" s="120">
        <f t="shared" si="6"/>
        <v>1.1233779260674024</v>
      </c>
      <c r="N26" s="290"/>
      <c r="O26" s="116">
        <f>Amnt_Deposited!B21</f>
        <v>2007</v>
      </c>
      <c r="P26" s="119">
        <f>Amnt_Deposited!C21</f>
        <v>21.2289321048552</v>
      </c>
      <c r="Q26" s="319">
        <f>MCF!R25</f>
        <v>0.8</v>
      </c>
      <c r="R26" s="87">
        <f t="shared" si="4"/>
        <v>1.2737359262913122</v>
      </c>
      <c r="S26" s="87">
        <f t="shared" si="7"/>
        <v>1.2737359262913122</v>
      </c>
      <c r="T26" s="87">
        <f t="shared" si="8"/>
        <v>0</v>
      </c>
      <c r="U26" s="87">
        <f t="shared" si="9"/>
        <v>3.5659884636108004</v>
      </c>
      <c r="V26" s="87">
        <f t="shared" si="10"/>
        <v>1.1273864110845919</v>
      </c>
      <c r="W26" s="120">
        <f t="shared" si="11"/>
        <v>0.75159094072306121</v>
      </c>
    </row>
    <row r="27" spans="2:23">
      <c r="B27" s="116">
        <f>Amnt_Deposited!B22</f>
        <v>2008</v>
      </c>
      <c r="C27" s="119">
        <f>Amnt_Deposited!C22</f>
        <v>21.637368111823204</v>
      </c>
      <c r="D27" s="453">
        <f>Dry_Matter_Content!C14</f>
        <v>0.59</v>
      </c>
      <c r="E27" s="319">
        <f>MCF!R26</f>
        <v>0.8</v>
      </c>
      <c r="F27" s="87">
        <f t="shared" si="5"/>
        <v>1.940439172268305</v>
      </c>
      <c r="G27" s="87">
        <f t="shared" si="0"/>
        <v>1.940439172268305</v>
      </c>
      <c r="H27" s="87">
        <f t="shared" si="1"/>
        <v>0</v>
      </c>
      <c r="I27" s="87">
        <f t="shared" si="2"/>
        <v>5.5132209466310496</v>
      </c>
      <c r="J27" s="87">
        <f t="shared" si="3"/>
        <v>1.7571823159141979</v>
      </c>
      <c r="K27" s="120">
        <f t="shared" si="6"/>
        <v>1.171454877276132</v>
      </c>
      <c r="N27" s="290"/>
      <c r="O27" s="116">
        <f>Amnt_Deposited!B22</f>
        <v>2008</v>
      </c>
      <c r="P27" s="119">
        <f>Amnt_Deposited!C22</f>
        <v>21.637368111823204</v>
      </c>
      <c r="Q27" s="319">
        <f>MCF!R26</f>
        <v>0.8</v>
      </c>
      <c r="R27" s="87">
        <f t="shared" si="4"/>
        <v>1.2982420867093922</v>
      </c>
      <c r="S27" s="87">
        <f t="shared" si="7"/>
        <v>1.2982420867093922</v>
      </c>
      <c r="T27" s="87">
        <f t="shared" si="8"/>
        <v>0</v>
      </c>
      <c r="U27" s="87">
        <f t="shared" si="9"/>
        <v>3.6885956377995428</v>
      </c>
      <c r="V27" s="87">
        <f t="shared" si="10"/>
        <v>1.17563491252065</v>
      </c>
      <c r="W27" s="120">
        <f t="shared" si="11"/>
        <v>0.78375660834709993</v>
      </c>
    </row>
    <row r="28" spans="2:23">
      <c r="B28" s="116">
        <f>Amnt_Deposited!B23</f>
        <v>2009</v>
      </c>
      <c r="C28" s="119">
        <f>Amnt_Deposited!C23</f>
        <v>22.039542524696405</v>
      </c>
      <c r="D28" s="453">
        <f>Dry_Matter_Content!C15</f>
        <v>0.59</v>
      </c>
      <c r="E28" s="319">
        <f>MCF!R27</f>
        <v>0.8</v>
      </c>
      <c r="F28" s="87">
        <f t="shared" si="5"/>
        <v>1.9765061736147738</v>
      </c>
      <c r="G28" s="87">
        <f t="shared" si="0"/>
        <v>1.9765061736147738</v>
      </c>
      <c r="H28" s="87">
        <f t="shared" si="1"/>
        <v>0</v>
      </c>
      <c r="I28" s="87">
        <f t="shared" si="2"/>
        <v>5.6721286923651499</v>
      </c>
      <c r="J28" s="87">
        <f t="shared" si="3"/>
        <v>1.8175984278806734</v>
      </c>
      <c r="K28" s="120">
        <f t="shared" si="6"/>
        <v>1.2117322852537822</v>
      </c>
      <c r="N28" s="290"/>
      <c r="O28" s="116">
        <f>Amnt_Deposited!B23</f>
        <v>2009</v>
      </c>
      <c r="P28" s="119">
        <f>Amnt_Deposited!C23</f>
        <v>22.039542524696405</v>
      </c>
      <c r="Q28" s="319">
        <f>MCF!R27</f>
        <v>0.8</v>
      </c>
      <c r="R28" s="87">
        <f t="shared" si="4"/>
        <v>1.3223725514817843</v>
      </c>
      <c r="S28" s="87">
        <f t="shared" si="7"/>
        <v>1.3223725514817843</v>
      </c>
      <c r="T28" s="87">
        <f t="shared" si="8"/>
        <v>0</v>
      </c>
      <c r="U28" s="87">
        <f t="shared" si="9"/>
        <v>3.7949121492184323</v>
      </c>
      <c r="V28" s="87">
        <f t="shared" si="10"/>
        <v>1.2160560400628948</v>
      </c>
      <c r="W28" s="120">
        <f t="shared" si="11"/>
        <v>0.81070402670859654</v>
      </c>
    </row>
    <row r="29" spans="2:23">
      <c r="B29" s="116">
        <f>Amnt_Deposited!B24</f>
        <v>2010</v>
      </c>
      <c r="C29" s="119">
        <f>Amnt_Deposited!C24</f>
        <v>25.647162008688007</v>
      </c>
      <c r="D29" s="453">
        <f>Dry_Matter_Content!C16</f>
        <v>0.59</v>
      </c>
      <c r="E29" s="319">
        <f>MCF!R28</f>
        <v>0.8</v>
      </c>
      <c r="F29" s="87">
        <f t="shared" si="5"/>
        <v>2.3000374889391408</v>
      </c>
      <c r="G29" s="87">
        <f t="shared" si="0"/>
        <v>2.3000374889391408</v>
      </c>
      <c r="H29" s="87">
        <f t="shared" si="1"/>
        <v>0</v>
      </c>
      <c r="I29" s="87">
        <f t="shared" si="2"/>
        <v>6.1021790551254185</v>
      </c>
      <c r="J29" s="87">
        <f t="shared" si="3"/>
        <v>1.8699871261788719</v>
      </c>
      <c r="K29" s="120">
        <f t="shared" si="6"/>
        <v>1.2466580841192478</v>
      </c>
      <c r="O29" s="116">
        <f>Amnt_Deposited!B24</f>
        <v>2010</v>
      </c>
      <c r="P29" s="119">
        <f>Amnt_Deposited!C24</f>
        <v>25.647162008688007</v>
      </c>
      <c r="Q29" s="319">
        <f>MCF!R28</f>
        <v>0.8</v>
      </c>
      <c r="R29" s="87">
        <f t="shared" si="4"/>
        <v>1.5388297205212804</v>
      </c>
      <c r="S29" s="87">
        <f t="shared" si="7"/>
        <v>1.5388297205212804</v>
      </c>
      <c r="T29" s="87">
        <f t="shared" si="8"/>
        <v>0</v>
      </c>
      <c r="U29" s="87">
        <f t="shared" si="9"/>
        <v>4.0826354070865873</v>
      </c>
      <c r="V29" s="87">
        <f t="shared" si="10"/>
        <v>1.2511064626531259</v>
      </c>
      <c r="W29" s="120">
        <f t="shared" si="11"/>
        <v>0.83407097510208383</v>
      </c>
    </row>
    <row r="30" spans="2:23">
      <c r="B30" s="116">
        <f>Amnt_Deposited!B25</f>
        <v>2011</v>
      </c>
      <c r="C30" s="119">
        <f>Amnt_Deposited!C25</f>
        <v>0</v>
      </c>
      <c r="D30" s="453">
        <f>Dry_Matter_Content!C17</f>
        <v>0.59</v>
      </c>
      <c r="E30" s="319">
        <f>MCF!R29</f>
        <v>0.8</v>
      </c>
      <c r="F30" s="87">
        <f t="shared" si="5"/>
        <v>0</v>
      </c>
      <c r="G30" s="87">
        <f t="shared" si="0"/>
        <v>0</v>
      </c>
      <c r="H30" s="87">
        <f t="shared" si="1"/>
        <v>0</v>
      </c>
      <c r="I30" s="87">
        <f t="shared" si="2"/>
        <v>4.0904129451493842</v>
      </c>
      <c r="J30" s="87">
        <f t="shared" si="3"/>
        <v>2.0117661099760338</v>
      </c>
      <c r="K30" s="120">
        <f t="shared" si="6"/>
        <v>1.3411774066506892</v>
      </c>
      <c r="O30" s="116">
        <f>Amnt_Deposited!B25</f>
        <v>2011</v>
      </c>
      <c r="P30" s="119">
        <f>Amnt_Deposited!C25</f>
        <v>0</v>
      </c>
      <c r="Q30" s="319">
        <f>MCF!R29</f>
        <v>0.8</v>
      </c>
      <c r="R30" s="87">
        <f t="shared" si="4"/>
        <v>0</v>
      </c>
      <c r="S30" s="87">
        <f t="shared" si="7"/>
        <v>0</v>
      </c>
      <c r="T30" s="87">
        <f t="shared" si="8"/>
        <v>0</v>
      </c>
      <c r="U30" s="87">
        <f t="shared" si="9"/>
        <v>2.7366723540250124</v>
      </c>
      <c r="V30" s="87">
        <f t="shared" si="10"/>
        <v>1.3459630530615749</v>
      </c>
      <c r="W30" s="120">
        <f t="shared" si="11"/>
        <v>0.89730870204104995</v>
      </c>
    </row>
    <row r="31" spans="2:23">
      <c r="B31" s="116">
        <f>Amnt_Deposited!B26</f>
        <v>2012</v>
      </c>
      <c r="C31" s="119">
        <f>Amnt_Deposited!C26</f>
        <v>0</v>
      </c>
      <c r="D31" s="453">
        <f>Dry_Matter_Content!C18</f>
        <v>0.59</v>
      </c>
      <c r="E31" s="319">
        <f>MCF!R30</f>
        <v>0.8</v>
      </c>
      <c r="F31" s="87">
        <f t="shared" si="5"/>
        <v>0</v>
      </c>
      <c r="G31" s="87">
        <f t="shared" si="0"/>
        <v>0</v>
      </c>
      <c r="H31" s="87">
        <f t="shared" si="1"/>
        <v>0</v>
      </c>
      <c r="I31" s="87">
        <f t="shared" si="2"/>
        <v>2.7418857936973104</v>
      </c>
      <c r="J31" s="87">
        <f t="shared" si="3"/>
        <v>1.348527151452074</v>
      </c>
      <c r="K31" s="120">
        <f t="shared" si="6"/>
        <v>0.89901810096804935</v>
      </c>
      <c r="O31" s="116">
        <f>Amnt_Deposited!B26</f>
        <v>2012</v>
      </c>
      <c r="P31" s="119">
        <f>Amnt_Deposited!C26</f>
        <v>0</v>
      </c>
      <c r="Q31" s="319">
        <f>MCF!R30</f>
        <v>0.8</v>
      </c>
      <c r="R31" s="87">
        <f t="shared" si="4"/>
        <v>0</v>
      </c>
      <c r="S31" s="87">
        <f t="shared" si="7"/>
        <v>0</v>
      </c>
      <c r="T31" s="87">
        <f t="shared" si="8"/>
        <v>0</v>
      </c>
      <c r="U31" s="87">
        <f t="shared" si="9"/>
        <v>1.8344463383345078</v>
      </c>
      <c r="V31" s="87">
        <f t="shared" si="10"/>
        <v>0.90222601569050465</v>
      </c>
      <c r="W31" s="120">
        <f t="shared" si="11"/>
        <v>0.60148401046033639</v>
      </c>
    </row>
    <row r="32" spans="2:23">
      <c r="B32" s="116">
        <f>Amnt_Deposited!B27</f>
        <v>2013</v>
      </c>
      <c r="C32" s="119">
        <f>Amnt_Deposited!C27</f>
        <v>0</v>
      </c>
      <c r="D32" s="453">
        <f>Dry_Matter_Content!C19</f>
        <v>0.59</v>
      </c>
      <c r="E32" s="319">
        <f>MCF!R31</f>
        <v>0.8</v>
      </c>
      <c r="F32" s="87">
        <f t="shared" si="5"/>
        <v>0</v>
      </c>
      <c r="G32" s="87">
        <f t="shared" si="0"/>
        <v>0</v>
      </c>
      <c r="H32" s="87">
        <f t="shared" si="1"/>
        <v>0</v>
      </c>
      <c r="I32" s="87">
        <f t="shared" si="2"/>
        <v>1.8379410114556467</v>
      </c>
      <c r="J32" s="87">
        <f t="shared" si="3"/>
        <v>0.90394478224166386</v>
      </c>
      <c r="K32" s="120">
        <f t="shared" si="6"/>
        <v>0.60262985482777587</v>
      </c>
      <c r="O32" s="116">
        <f>Amnt_Deposited!B27</f>
        <v>2013</v>
      </c>
      <c r="P32" s="119">
        <f>Amnt_Deposited!C27</f>
        <v>0</v>
      </c>
      <c r="Q32" s="319">
        <f>MCF!R31</f>
        <v>0.8</v>
      </c>
      <c r="R32" s="87">
        <f t="shared" si="4"/>
        <v>0</v>
      </c>
      <c r="S32" s="87">
        <f t="shared" si="7"/>
        <v>0</v>
      </c>
      <c r="T32" s="87">
        <f t="shared" si="8"/>
        <v>0</v>
      </c>
      <c r="U32" s="87">
        <f t="shared" si="9"/>
        <v>1.2296661539622973</v>
      </c>
      <c r="V32" s="87">
        <f t="shared" si="10"/>
        <v>0.60478018437221048</v>
      </c>
      <c r="W32" s="120">
        <f t="shared" si="11"/>
        <v>0.40318678958147364</v>
      </c>
    </row>
    <row r="33" spans="2:23">
      <c r="B33" s="116">
        <f>Amnt_Deposited!B28</f>
        <v>2014</v>
      </c>
      <c r="C33" s="119">
        <f>Amnt_Deposited!C28</f>
        <v>0</v>
      </c>
      <c r="D33" s="453">
        <f>Dry_Matter_Content!C20</f>
        <v>0.59</v>
      </c>
      <c r="E33" s="319">
        <f>MCF!R32</f>
        <v>0.8</v>
      </c>
      <c r="F33" s="87">
        <f t="shared" si="5"/>
        <v>0</v>
      </c>
      <c r="G33" s="87">
        <f t="shared" si="0"/>
        <v>0</v>
      </c>
      <c r="H33" s="87">
        <f t="shared" si="1"/>
        <v>0</v>
      </c>
      <c r="I33" s="87">
        <f t="shared" si="2"/>
        <v>1.2320087034097387</v>
      </c>
      <c r="J33" s="87">
        <f t="shared" si="3"/>
        <v>0.60593230804590814</v>
      </c>
      <c r="K33" s="120">
        <f t="shared" si="6"/>
        <v>0.40395487203060543</v>
      </c>
      <c r="O33" s="116">
        <f>Amnt_Deposited!B28</f>
        <v>2014</v>
      </c>
      <c r="P33" s="119">
        <f>Amnt_Deposited!C28</f>
        <v>0</v>
      </c>
      <c r="Q33" s="319">
        <f>MCF!R32</f>
        <v>0.8</v>
      </c>
      <c r="R33" s="87">
        <f t="shared" si="4"/>
        <v>0</v>
      </c>
      <c r="S33" s="87">
        <f t="shared" si="7"/>
        <v>0</v>
      </c>
      <c r="T33" s="87">
        <f t="shared" si="8"/>
        <v>0</v>
      </c>
      <c r="U33" s="87">
        <f t="shared" si="9"/>
        <v>0.82426987293247467</v>
      </c>
      <c r="V33" s="87">
        <f t="shared" si="10"/>
        <v>0.40539628102982261</v>
      </c>
      <c r="W33" s="120">
        <f t="shared" si="11"/>
        <v>0.27026418735321506</v>
      </c>
    </row>
    <row r="34" spans="2:23">
      <c r="B34" s="116">
        <f>Amnt_Deposited!B29</f>
        <v>2015</v>
      </c>
      <c r="C34" s="119">
        <f>Amnt_Deposited!C29</f>
        <v>0</v>
      </c>
      <c r="D34" s="453">
        <f>Dry_Matter_Content!C21</f>
        <v>0.59</v>
      </c>
      <c r="E34" s="319">
        <f>MCF!R33</f>
        <v>0.8</v>
      </c>
      <c r="F34" s="87">
        <f t="shared" si="5"/>
        <v>0</v>
      </c>
      <c r="G34" s="87">
        <f t="shared" si="0"/>
        <v>0</v>
      </c>
      <c r="H34" s="87">
        <f t="shared" si="1"/>
        <v>0</v>
      </c>
      <c r="I34" s="87">
        <f t="shared" si="2"/>
        <v>0.82584013078592433</v>
      </c>
      <c r="J34" s="87">
        <f t="shared" si="3"/>
        <v>0.40616857262381434</v>
      </c>
      <c r="K34" s="120">
        <f t="shared" si="6"/>
        <v>0.27077904841587619</v>
      </c>
      <c r="O34" s="116">
        <f>Amnt_Deposited!B29</f>
        <v>2015</v>
      </c>
      <c r="P34" s="119">
        <f>Amnt_Deposited!C29</f>
        <v>0</v>
      </c>
      <c r="Q34" s="319">
        <f>MCF!R33</f>
        <v>0.8</v>
      </c>
      <c r="R34" s="87">
        <f t="shared" si="4"/>
        <v>0</v>
      </c>
      <c r="S34" s="87">
        <f t="shared" si="7"/>
        <v>0</v>
      </c>
      <c r="T34" s="87">
        <f t="shared" si="8"/>
        <v>0</v>
      </c>
      <c r="U34" s="87">
        <f t="shared" si="9"/>
        <v>0.55252461916988704</v>
      </c>
      <c r="V34" s="87">
        <f t="shared" si="10"/>
        <v>0.27174525376258768</v>
      </c>
      <c r="W34" s="120">
        <f t="shared" si="11"/>
        <v>0.18116350250839178</v>
      </c>
    </row>
    <row r="35" spans="2:23">
      <c r="B35" s="116">
        <f>Amnt_Deposited!B30</f>
        <v>2016</v>
      </c>
      <c r="C35" s="119">
        <f>Amnt_Deposited!C30</f>
        <v>0</v>
      </c>
      <c r="D35" s="453">
        <f>Dry_Matter_Content!C22</f>
        <v>0.59</v>
      </c>
      <c r="E35" s="319">
        <f>MCF!R34</f>
        <v>0.8</v>
      </c>
      <c r="F35" s="87">
        <f t="shared" si="5"/>
        <v>0</v>
      </c>
      <c r="G35" s="87">
        <f t="shared" si="0"/>
        <v>0</v>
      </c>
      <c r="H35" s="87">
        <f t="shared" si="1"/>
        <v>0</v>
      </c>
      <c r="I35" s="87">
        <f t="shared" si="2"/>
        <v>0.55357719448649922</v>
      </c>
      <c r="J35" s="87">
        <f t="shared" si="3"/>
        <v>0.27226293629942511</v>
      </c>
      <c r="K35" s="120">
        <f t="shared" si="6"/>
        <v>0.18150862419961672</v>
      </c>
      <c r="O35" s="116">
        <f>Amnt_Deposited!B30</f>
        <v>2016</v>
      </c>
      <c r="P35" s="119">
        <f>Amnt_Deposited!C30</f>
        <v>0</v>
      </c>
      <c r="Q35" s="319">
        <f>MCF!R34</f>
        <v>0.8</v>
      </c>
      <c r="R35" s="87">
        <f t="shared" si="4"/>
        <v>0</v>
      </c>
      <c r="S35" s="87">
        <f t="shared" si="7"/>
        <v>0</v>
      </c>
      <c r="T35" s="87">
        <f t="shared" si="8"/>
        <v>0</v>
      </c>
      <c r="U35" s="87">
        <f t="shared" si="9"/>
        <v>0.37036832815778276</v>
      </c>
      <c r="V35" s="87">
        <f t="shared" si="10"/>
        <v>0.18215629101210426</v>
      </c>
      <c r="W35" s="120">
        <f t="shared" si="11"/>
        <v>0.12143752734140284</v>
      </c>
    </row>
    <row r="36" spans="2:23">
      <c r="B36" s="116">
        <f>Amnt_Deposited!B31</f>
        <v>2017</v>
      </c>
      <c r="C36" s="119">
        <f>Amnt_Deposited!C31</f>
        <v>0</v>
      </c>
      <c r="D36" s="453">
        <f>Dry_Matter_Content!C23</f>
        <v>0.59</v>
      </c>
      <c r="E36" s="319">
        <f>MCF!R35</f>
        <v>0.8</v>
      </c>
      <c r="F36" s="87">
        <f t="shared" si="5"/>
        <v>0</v>
      </c>
      <c r="G36" s="87">
        <f t="shared" si="0"/>
        <v>0</v>
      </c>
      <c r="H36" s="87">
        <f t="shared" si="1"/>
        <v>0</v>
      </c>
      <c r="I36" s="87">
        <f t="shared" si="2"/>
        <v>0.37107389049247025</v>
      </c>
      <c r="J36" s="87">
        <f t="shared" si="3"/>
        <v>0.182503303994029</v>
      </c>
      <c r="K36" s="120">
        <f t="shared" si="6"/>
        <v>0.12166886932935267</v>
      </c>
      <c r="O36" s="116">
        <f>Amnt_Deposited!B31</f>
        <v>2017</v>
      </c>
      <c r="P36" s="119">
        <f>Amnt_Deposited!C31</f>
        <v>0</v>
      </c>
      <c r="Q36" s="319">
        <f>MCF!R35</f>
        <v>0.8</v>
      </c>
      <c r="R36" s="87">
        <f t="shared" si="4"/>
        <v>0</v>
      </c>
      <c r="S36" s="87">
        <f t="shared" si="7"/>
        <v>0</v>
      </c>
      <c r="T36" s="87">
        <f t="shared" si="8"/>
        <v>0</v>
      </c>
      <c r="U36" s="87">
        <f t="shared" si="9"/>
        <v>0.24826531478086772</v>
      </c>
      <c r="V36" s="87">
        <f t="shared" si="10"/>
        <v>0.12210301337691505</v>
      </c>
      <c r="W36" s="120">
        <f t="shared" si="11"/>
        <v>8.1402008917943358E-2</v>
      </c>
    </row>
    <row r="37" spans="2:23">
      <c r="B37" s="116">
        <f>Amnt_Deposited!B32</f>
        <v>2018</v>
      </c>
      <c r="C37" s="119">
        <f>Amnt_Deposited!C32</f>
        <v>0</v>
      </c>
      <c r="D37" s="453">
        <f>Dry_Matter_Content!C24</f>
        <v>0.59</v>
      </c>
      <c r="E37" s="319">
        <f>MCF!R36</f>
        <v>0.8</v>
      </c>
      <c r="F37" s="87">
        <f t="shared" si="5"/>
        <v>0</v>
      </c>
      <c r="G37" s="87">
        <f t="shared" si="0"/>
        <v>0</v>
      </c>
      <c r="H37" s="87">
        <f t="shared" si="1"/>
        <v>0</v>
      </c>
      <c r="I37" s="87">
        <f t="shared" si="2"/>
        <v>0.24873826735753643</v>
      </c>
      <c r="J37" s="87">
        <f t="shared" si="3"/>
        <v>0.1223356231349338</v>
      </c>
      <c r="K37" s="120">
        <f t="shared" si="6"/>
        <v>8.1557082089955865E-2</v>
      </c>
      <c r="O37" s="116">
        <f>Amnt_Deposited!B32</f>
        <v>2018</v>
      </c>
      <c r="P37" s="119">
        <f>Amnt_Deposited!C32</f>
        <v>0</v>
      </c>
      <c r="Q37" s="319">
        <f>MCF!R36</f>
        <v>0.8</v>
      </c>
      <c r="R37" s="87">
        <f t="shared" si="4"/>
        <v>0</v>
      </c>
      <c r="S37" s="87">
        <f t="shared" si="7"/>
        <v>0</v>
      </c>
      <c r="T37" s="87">
        <f t="shared" si="8"/>
        <v>0</v>
      </c>
      <c r="U37" s="87">
        <f t="shared" si="9"/>
        <v>0.16641721723296374</v>
      </c>
      <c r="V37" s="87">
        <f t="shared" si="10"/>
        <v>8.1848097547903981E-2</v>
      </c>
      <c r="W37" s="120">
        <f t="shared" si="11"/>
        <v>5.4565398365269316E-2</v>
      </c>
    </row>
    <row r="38" spans="2:23">
      <c r="B38" s="116">
        <f>Amnt_Deposited!B33</f>
        <v>2019</v>
      </c>
      <c r="C38" s="119">
        <f>Amnt_Deposited!C33</f>
        <v>0</v>
      </c>
      <c r="D38" s="453">
        <f>Dry_Matter_Content!C25</f>
        <v>0.59</v>
      </c>
      <c r="E38" s="319">
        <f>MCF!R37</f>
        <v>0.8</v>
      </c>
      <c r="F38" s="87">
        <f t="shared" si="5"/>
        <v>0</v>
      </c>
      <c r="G38" s="87">
        <f t="shared" si="0"/>
        <v>0</v>
      </c>
      <c r="H38" s="87">
        <f t="shared" si="1"/>
        <v>0</v>
      </c>
      <c r="I38" s="87">
        <f t="shared" si="2"/>
        <v>0.16673424682592899</v>
      </c>
      <c r="J38" s="87">
        <f t="shared" si="3"/>
        <v>8.2004020531607449E-2</v>
      </c>
      <c r="K38" s="120">
        <f t="shared" si="6"/>
        <v>5.4669347021071631E-2</v>
      </c>
      <c r="O38" s="116">
        <f>Amnt_Deposited!B33</f>
        <v>2019</v>
      </c>
      <c r="P38" s="119">
        <f>Amnt_Deposited!C33</f>
        <v>0</v>
      </c>
      <c r="Q38" s="319">
        <f>MCF!R37</f>
        <v>0.8</v>
      </c>
      <c r="R38" s="87">
        <f t="shared" si="4"/>
        <v>0</v>
      </c>
      <c r="S38" s="87">
        <f t="shared" si="7"/>
        <v>0</v>
      </c>
      <c r="T38" s="87">
        <f t="shared" si="8"/>
        <v>0</v>
      </c>
      <c r="U38" s="87">
        <f t="shared" si="9"/>
        <v>0.11155279671672325</v>
      </c>
      <c r="V38" s="87">
        <f t="shared" si="10"/>
        <v>5.4864420516240492E-2</v>
      </c>
      <c r="W38" s="120">
        <f t="shared" si="11"/>
        <v>3.6576280344160328E-2</v>
      </c>
    </row>
    <row r="39" spans="2:23">
      <c r="B39" s="116">
        <f>Amnt_Deposited!B34</f>
        <v>2020</v>
      </c>
      <c r="C39" s="119">
        <f>Amnt_Deposited!C34</f>
        <v>0</v>
      </c>
      <c r="D39" s="453">
        <f>Dry_Matter_Content!C26</f>
        <v>0.59</v>
      </c>
      <c r="E39" s="319">
        <f>MCF!R38</f>
        <v>0.8</v>
      </c>
      <c r="F39" s="87">
        <f t="shared" si="5"/>
        <v>0</v>
      </c>
      <c r="G39" s="87">
        <f t="shared" si="0"/>
        <v>0</v>
      </c>
      <c r="H39" s="87">
        <f t="shared" si="1"/>
        <v>0</v>
      </c>
      <c r="I39" s="87">
        <f t="shared" si="2"/>
        <v>0.11176530800807437</v>
      </c>
      <c r="J39" s="87">
        <f t="shared" si="3"/>
        <v>5.4968938817854619E-2</v>
      </c>
      <c r="K39" s="120">
        <f t="shared" si="6"/>
        <v>3.6645959211903077E-2</v>
      </c>
      <c r="O39" s="116">
        <f>Amnt_Deposited!B34</f>
        <v>2020</v>
      </c>
      <c r="P39" s="119">
        <f>Amnt_Deposited!C34</f>
        <v>0</v>
      </c>
      <c r="Q39" s="319">
        <f>MCF!R38</f>
        <v>0.8</v>
      </c>
      <c r="R39" s="87">
        <f t="shared" si="4"/>
        <v>0</v>
      </c>
      <c r="S39" s="87">
        <f t="shared" si="7"/>
        <v>0</v>
      </c>
      <c r="T39" s="87">
        <f t="shared" si="8"/>
        <v>0</v>
      </c>
      <c r="U39" s="87">
        <f t="shared" si="9"/>
        <v>7.4776075830558245E-2</v>
      </c>
      <c r="V39" s="87">
        <f t="shared" si="10"/>
        <v>3.6776720886165001E-2</v>
      </c>
      <c r="W39" s="120">
        <f t="shared" si="11"/>
        <v>2.451781392411E-2</v>
      </c>
    </row>
    <row r="40" spans="2:23">
      <c r="B40" s="116">
        <f>Amnt_Deposited!B35</f>
        <v>2021</v>
      </c>
      <c r="C40" s="119">
        <f>Amnt_Deposited!C35</f>
        <v>0</v>
      </c>
      <c r="D40" s="453">
        <f>Dry_Matter_Content!C27</f>
        <v>0.59</v>
      </c>
      <c r="E40" s="319">
        <f>MCF!R39</f>
        <v>0.8</v>
      </c>
      <c r="F40" s="87">
        <f t="shared" si="5"/>
        <v>0</v>
      </c>
      <c r="G40" s="87">
        <f t="shared" si="0"/>
        <v>0</v>
      </c>
      <c r="H40" s="87">
        <f t="shared" si="1"/>
        <v>0</v>
      </c>
      <c r="I40" s="87">
        <f t="shared" si="2"/>
        <v>7.4918526409159816E-2</v>
      </c>
      <c r="J40" s="87">
        <f t="shared" si="3"/>
        <v>3.6846781598914552E-2</v>
      </c>
      <c r="K40" s="120">
        <f t="shared" si="6"/>
        <v>2.4564521065943035E-2</v>
      </c>
      <c r="O40" s="116">
        <f>Amnt_Deposited!B35</f>
        <v>2021</v>
      </c>
      <c r="P40" s="119">
        <f>Amnt_Deposited!C35</f>
        <v>0</v>
      </c>
      <c r="Q40" s="319">
        <f>MCF!R39</f>
        <v>0.8</v>
      </c>
      <c r="R40" s="87">
        <f t="shared" si="4"/>
        <v>0</v>
      </c>
      <c r="S40" s="87">
        <f t="shared" si="7"/>
        <v>0</v>
      </c>
      <c r="T40" s="87">
        <f t="shared" si="8"/>
        <v>0</v>
      </c>
      <c r="U40" s="87">
        <f t="shared" si="9"/>
        <v>5.0123902593104258E-2</v>
      </c>
      <c r="V40" s="87">
        <f t="shared" si="10"/>
        <v>2.4652173237453986E-2</v>
      </c>
      <c r="W40" s="120">
        <f t="shared" si="11"/>
        <v>1.6434782158302658E-2</v>
      </c>
    </row>
    <row r="41" spans="2:23">
      <c r="B41" s="116">
        <f>Amnt_Deposited!B36</f>
        <v>2022</v>
      </c>
      <c r="C41" s="119">
        <f>Amnt_Deposited!C36</f>
        <v>0</v>
      </c>
      <c r="D41" s="453">
        <f>Dry_Matter_Content!C28</f>
        <v>0.59</v>
      </c>
      <c r="E41" s="319">
        <f>MCF!R40</f>
        <v>0.8</v>
      </c>
      <c r="F41" s="87">
        <f t="shared" si="5"/>
        <v>0</v>
      </c>
      <c r="G41" s="87">
        <f t="shared" si="0"/>
        <v>0</v>
      </c>
      <c r="H41" s="87">
        <f t="shared" si="1"/>
        <v>0</v>
      </c>
      <c r="I41" s="87">
        <f t="shared" si="2"/>
        <v>5.0219390071510266E-2</v>
      </c>
      <c r="J41" s="87">
        <f t="shared" si="3"/>
        <v>2.4699136337649547E-2</v>
      </c>
      <c r="K41" s="120">
        <f t="shared" si="6"/>
        <v>1.6466090891766365E-2</v>
      </c>
      <c r="O41" s="116">
        <f>Amnt_Deposited!B36</f>
        <v>2022</v>
      </c>
      <c r="P41" s="119">
        <f>Amnt_Deposited!C36</f>
        <v>0</v>
      </c>
      <c r="Q41" s="319">
        <f>MCF!R40</f>
        <v>0.8</v>
      </c>
      <c r="R41" s="87">
        <f t="shared" si="4"/>
        <v>0</v>
      </c>
      <c r="S41" s="87">
        <f t="shared" si="7"/>
        <v>0</v>
      </c>
      <c r="T41" s="87">
        <f t="shared" si="8"/>
        <v>0</v>
      </c>
      <c r="U41" s="87">
        <f t="shared" si="9"/>
        <v>3.3599056693695548E-2</v>
      </c>
      <c r="V41" s="87">
        <f t="shared" si="10"/>
        <v>1.6524845899408711E-2</v>
      </c>
      <c r="W41" s="120">
        <f t="shared" si="11"/>
        <v>1.1016563932939139E-2</v>
      </c>
    </row>
    <row r="42" spans="2:23">
      <c r="B42" s="116">
        <f>Amnt_Deposited!B37</f>
        <v>2023</v>
      </c>
      <c r="C42" s="119">
        <f>Amnt_Deposited!C37</f>
        <v>0</v>
      </c>
      <c r="D42" s="453">
        <f>Dry_Matter_Content!C29</f>
        <v>0.59</v>
      </c>
      <c r="E42" s="319">
        <f>MCF!R41</f>
        <v>0.8</v>
      </c>
      <c r="F42" s="87">
        <f t="shared" si="5"/>
        <v>0</v>
      </c>
      <c r="G42" s="87">
        <f t="shared" si="0"/>
        <v>0</v>
      </c>
      <c r="H42" s="87">
        <f t="shared" si="1"/>
        <v>0</v>
      </c>
      <c r="I42" s="87">
        <f t="shared" si="2"/>
        <v>3.366306386461649E-2</v>
      </c>
      <c r="J42" s="87">
        <f t="shared" si="3"/>
        <v>1.6556326206893776E-2</v>
      </c>
      <c r="K42" s="120">
        <f t="shared" si="6"/>
        <v>1.103755080459585E-2</v>
      </c>
      <c r="O42" s="116">
        <f>Amnt_Deposited!B37</f>
        <v>2023</v>
      </c>
      <c r="P42" s="119">
        <f>Amnt_Deposited!C37</f>
        <v>0</v>
      </c>
      <c r="Q42" s="319">
        <f>MCF!R41</f>
        <v>0.8</v>
      </c>
      <c r="R42" s="87">
        <f t="shared" si="4"/>
        <v>0</v>
      </c>
      <c r="S42" s="87">
        <f t="shared" si="7"/>
        <v>0</v>
      </c>
      <c r="T42" s="87">
        <f t="shared" si="8"/>
        <v>0</v>
      </c>
      <c r="U42" s="87">
        <f t="shared" si="9"/>
        <v>2.2522121229672055E-2</v>
      </c>
      <c r="V42" s="87">
        <f t="shared" si="10"/>
        <v>1.1076935464023493E-2</v>
      </c>
      <c r="W42" s="120">
        <f t="shared" si="11"/>
        <v>7.3846236426823282E-3</v>
      </c>
    </row>
    <row r="43" spans="2:23">
      <c r="B43" s="116">
        <f>Amnt_Deposited!B38</f>
        <v>2024</v>
      </c>
      <c r="C43" s="119">
        <f>Amnt_Deposited!C38</f>
        <v>0</v>
      </c>
      <c r="D43" s="453">
        <f>Dry_Matter_Content!C30</f>
        <v>0.59</v>
      </c>
      <c r="E43" s="319">
        <f>MCF!R42</f>
        <v>0.8</v>
      </c>
      <c r="F43" s="87">
        <f t="shared" si="5"/>
        <v>0</v>
      </c>
      <c r="G43" s="87">
        <f t="shared" si="0"/>
        <v>0</v>
      </c>
      <c r="H43" s="87">
        <f t="shared" si="1"/>
        <v>0</v>
      </c>
      <c r="I43" s="87">
        <f t="shared" si="2"/>
        <v>2.2565026519430393E-2</v>
      </c>
      <c r="J43" s="87">
        <f t="shared" si="3"/>
        <v>1.1098037345186098E-2</v>
      </c>
      <c r="K43" s="120">
        <f t="shared" si="6"/>
        <v>7.3986915634573986E-3</v>
      </c>
      <c r="O43" s="116">
        <f>Amnt_Deposited!B38</f>
        <v>2024</v>
      </c>
      <c r="P43" s="119">
        <f>Amnt_Deposited!C38</f>
        <v>0</v>
      </c>
      <c r="Q43" s="319">
        <f>MCF!R42</f>
        <v>0.8</v>
      </c>
      <c r="R43" s="87">
        <f t="shared" si="4"/>
        <v>0</v>
      </c>
      <c r="S43" s="87">
        <f t="shared" si="7"/>
        <v>0</v>
      </c>
      <c r="T43" s="87">
        <f t="shared" si="8"/>
        <v>0</v>
      </c>
      <c r="U43" s="87">
        <f t="shared" si="9"/>
        <v>1.5097029339494021E-2</v>
      </c>
      <c r="V43" s="87">
        <f t="shared" si="10"/>
        <v>7.4250918901780328E-3</v>
      </c>
      <c r="W43" s="120">
        <f t="shared" si="11"/>
        <v>4.9500612601186883E-3</v>
      </c>
    </row>
    <row r="44" spans="2:23">
      <c r="B44" s="116">
        <f>Amnt_Deposited!B39</f>
        <v>2025</v>
      </c>
      <c r="C44" s="119">
        <f>Amnt_Deposited!C39</f>
        <v>0</v>
      </c>
      <c r="D44" s="453">
        <f>Dry_Matter_Content!C31</f>
        <v>0.59</v>
      </c>
      <c r="E44" s="319">
        <f>MCF!R43</f>
        <v>0.8</v>
      </c>
      <c r="F44" s="87">
        <f t="shared" si="5"/>
        <v>0</v>
      </c>
      <c r="G44" s="87">
        <f t="shared" si="0"/>
        <v>0</v>
      </c>
      <c r="H44" s="87">
        <f t="shared" si="1"/>
        <v>0</v>
      </c>
      <c r="I44" s="87">
        <f t="shared" si="2"/>
        <v>1.5125789615300003E-2</v>
      </c>
      <c r="J44" s="87">
        <f t="shared" si="3"/>
        <v>7.4392369041303896E-3</v>
      </c>
      <c r="K44" s="120">
        <f t="shared" si="6"/>
        <v>4.9594912694202594E-3</v>
      </c>
      <c r="O44" s="116">
        <f>Amnt_Deposited!B39</f>
        <v>2025</v>
      </c>
      <c r="P44" s="119">
        <f>Amnt_Deposited!C39</f>
        <v>0</v>
      </c>
      <c r="Q44" s="319">
        <f>MCF!R43</f>
        <v>0.8</v>
      </c>
      <c r="R44" s="87">
        <f t="shared" si="4"/>
        <v>0</v>
      </c>
      <c r="S44" s="87">
        <f t="shared" si="7"/>
        <v>0</v>
      </c>
      <c r="T44" s="87">
        <f t="shared" si="8"/>
        <v>0</v>
      </c>
      <c r="U44" s="87">
        <f t="shared" si="9"/>
        <v>1.0119841401851029E-2</v>
      </c>
      <c r="V44" s="87">
        <f t="shared" si="10"/>
        <v>4.9771879376429911E-3</v>
      </c>
      <c r="W44" s="120">
        <f t="shared" si="11"/>
        <v>3.3181252917619938E-3</v>
      </c>
    </row>
    <row r="45" spans="2:23">
      <c r="B45" s="116">
        <f>Amnt_Deposited!B40</f>
        <v>2026</v>
      </c>
      <c r="C45" s="119">
        <f>Amnt_Deposited!C40</f>
        <v>0</v>
      </c>
      <c r="D45" s="453">
        <f>Dry_Matter_Content!C32</f>
        <v>0.59</v>
      </c>
      <c r="E45" s="319">
        <f>MCF!R44</f>
        <v>0.8</v>
      </c>
      <c r="F45" s="87">
        <f t="shared" si="5"/>
        <v>0</v>
      </c>
      <c r="G45" s="87">
        <f t="shared" si="0"/>
        <v>0</v>
      </c>
      <c r="H45" s="87">
        <f t="shared" si="1"/>
        <v>0</v>
      </c>
      <c r="I45" s="87">
        <f t="shared" si="2"/>
        <v>1.0139119991253293E-2</v>
      </c>
      <c r="J45" s="87">
        <f t="shared" si="3"/>
        <v>4.9866696240467093E-3</v>
      </c>
      <c r="K45" s="120">
        <f t="shared" si="6"/>
        <v>3.3244464160311392E-3</v>
      </c>
      <c r="O45" s="116">
        <f>Amnt_Deposited!B40</f>
        <v>2026</v>
      </c>
      <c r="P45" s="119">
        <f>Amnt_Deposited!C40</f>
        <v>0</v>
      </c>
      <c r="Q45" s="319">
        <f>MCF!R44</f>
        <v>0.8</v>
      </c>
      <c r="R45" s="87">
        <f t="shared" si="4"/>
        <v>0</v>
      </c>
      <c r="S45" s="87">
        <f t="shared" si="7"/>
        <v>0</v>
      </c>
      <c r="T45" s="87">
        <f t="shared" si="8"/>
        <v>0</v>
      </c>
      <c r="U45" s="87">
        <f t="shared" si="9"/>
        <v>6.7835325543621509E-3</v>
      </c>
      <c r="V45" s="87">
        <f t="shared" si="10"/>
        <v>3.3363088474888786E-3</v>
      </c>
      <c r="W45" s="120">
        <f t="shared" si="11"/>
        <v>2.2242058983259188E-3</v>
      </c>
    </row>
    <row r="46" spans="2:23">
      <c r="B46" s="116">
        <f>Amnt_Deposited!B41</f>
        <v>2027</v>
      </c>
      <c r="C46" s="119">
        <f>Amnt_Deposited!C41</f>
        <v>0</v>
      </c>
      <c r="D46" s="453">
        <f>Dry_Matter_Content!C33</f>
        <v>0.59</v>
      </c>
      <c r="E46" s="319">
        <f>MCF!R45</f>
        <v>0.8</v>
      </c>
      <c r="F46" s="87">
        <f t="shared" si="5"/>
        <v>0</v>
      </c>
      <c r="G46" s="87">
        <f t="shared" si="0"/>
        <v>0</v>
      </c>
      <c r="H46" s="87">
        <f t="shared" si="1"/>
        <v>0</v>
      </c>
      <c r="I46" s="87">
        <f t="shared" si="2"/>
        <v>6.7964553792977788E-3</v>
      </c>
      <c r="J46" s="87">
        <f t="shared" si="3"/>
        <v>3.3426646119555149E-3</v>
      </c>
      <c r="K46" s="120">
        <f t="shared" si="6"/>
        <v>2.2284430746370098E-3</v>
      </c>
      <c r="O46" s="116">
        <f>Amnt_Deposited!B41</f>
        <v>2027</v>
      </c>
      <c r="P46" s="119">
        <f>Amnt_Deposited!C41</f>
        <v>0</v>
      </c>
      <c r="Q46" s="319">
        <f>MCF!R45</f>
        <v>0.8</v>
      </c>
      <c r="R46" s="87">
        <f t="shared" si="4"/>
        <v>0</v>
      </c>
      <c r="S46" s="87">
        <f t="shared" si="7"/>
        <v>0</v>
      </c>
      <c r="T46" s="87">
        <f t="shared" si="8"/>
        <v>0</v>
      </c>
      <c r="U46" s="87">
        <f t="shared" si="9"/>
        <v>4.5471378541242953E-3</v>
      </c>
      <c r="V46" s="87">
        <f t="shared" si="10"/>
        <v>2.236394700237856E-3</v>
      </c>
      <c r="W46" s="120">
        <f t="shared" si="11"/>
        <v>1.4909298001585707E-3</v>
      </c>
    </row>
    <row r="47" spans="2:23">
      <c r="B47" s="116">
        <f>Amnt_Deposited!B42</f>
        <v>2028</v>
      </c>
      <c r="C47" s="119">
        <f>Amnt_Deposited!C42</f>
        <v>0</v>
      </c>
      <c r="D47" s="453">
        <f>Dry_Matter_Content!C34</f>
        <v>0.59</v>
      </c>
      <c r="E47" s="319">
        <f>MCF!R46</f>
        <v>0.8</v>
      </c>
      <c r="F47" s="87">
        <f t="shared" si="5"/>
        <v>0</v>
      </c>
      <c r="G47" s="87">
        <f t="shared" si="0"/>
        <v>0</v>
      </c>
      <c r="H47" s="87">
        <f t="shared" si="1"/>
        <v>0</v>
      </c>
      <c r="I47" s="87">
        <f t="shared" si="2"/>
        <v>4.555800282730056E-3</v>
      </c>
      <c r="J47" s="87">
        <f t="shared" si="3"/>
        <v>2.2406550965677233E-3</v>
      </c>
      <c r="K47" s="120">
        <f t="shared" si="6"/>
        <v>1.4937700643784821E-3</v>
      </c>
      <c r="O47" s="116">
        <f>Amnt_Deposited!B42</f>
        <v>2028</v>
      </c>
      <c r="P47" s="119">
        <f>Amnt_Deposited!C42</f>
        <v>0</v>
      </c>
      <c r="Q47" s="319">
        <f>MCF!R46</f>
        <v>0.8</v>
      </c>
      <c r="R47" s="87">
        <f t="shared" si="4"/>
        <v>0</v>
      </c>
      <c r="S47" s="87">
        <f t="shared" si="7"/>
        <v>0</v>
      </c>
      <c r="T47" s="87">
        <f t="shared" si="8"/>
        <v>0</v>
      </c>
      <c r="U47" s="87">
        <f t="shared" si="9"/>
        <v>3.048037655706996E-3</v>
      </c>
      <c r="V47" s="87">
        <f t="shared" si="10"/>
        <v>1.4991001984172995E-3</v>
      </c>
      <c r="W47" s="120">
        <f t="shared" si="11"/>
        <v>9.9940013227819958E-4</v>
      </c>
    </row>
    <row r="48" spans="2:23">
      <c r="B48" s="116">
        <f>Amnt_Deposited!B43</f>
        <v>2029</v>
      </c>
      <c r="C48" s="119">
        <f>Amnt_Deposited!C43</f>
        <v>0</v>
      </c>
      <c r="D48" s="453">
        <f>Dry_Matter_Content!C35</f>
        <v>0.59</v>
      </c>
      <c r="E48" s="319">
        <f>MCF!R47</f>
        <v>0.8</v>
      </c>
      <c r="F48" s="87">
        <f t="shared" si="5"/>
        <v>0</v>
      </c>
      <c r="G48" s="87">
        <f t="shared" si="0"/>
        <v>0</v>
      </c>
      <c r="H48" s="87">
        <f t="shared" si="1"/>
        <v>0</v>
      </c>
      <c r="I48" s="87">
        <f t="shared" si="2"/>
        <v>3.05384425524879E-3</v>
      </c>
      <c r="J48" s="87">
        <f t="shared" si="3"/>
        <v>1.5019560274812662E-3</v>
      </c>
      <c r="K48" s="120">
        <f t="shared" si="6"/>
        <v>1.0013040183208441E-3</v>
      </c>
      <c r="O48" s="116">
        <f>Amnt_Deposited!B43</f>
        <v>2029</v>
      </c>
      <c r="P48" s="119">
        <f>Amnt_Deposited!C43</f>
        <v>0</v>
      </c>
      <c r="Q48" s="319">
        <f>MCF!R47</f>
        <v>0.8</v>
      </c>
      <c r="R48" s="87">
        <f t="shared" si="4"/>
        <v>0</v>
      </c>
      <c r="S48" s="87">
        <f t="shared" si="7"/>
        <v>0</v>
      </c>
      <c r="T48" s="87">
        <f t="shared" si="8"/>
        <v>0</v>
      </c>
      <c r="U48" s="87">
        <f t="shared" si="9"/>
        <v>2.0431607416918759E-3</v>
      </c>
      <c r="V48" s="87">
        <f t="shared" si="10"/>
        <v>1.0048769140151204E-3</v>
      </c>
      <c r="W48" s="120">
        <f t="shared" si="11"/>
        <v>6.699179426767469E-4</v>
      </c>
    </row>
    <row r="49" spans="2:23">
      <c r="B49" s="116">
        <f>Amnt_Deposited!B44</f>
        <v>2030</v>
      </c>
      <c r="C49" s="119">
        <f>Amnt_Deposited!C44</f>
        <v>0</v>
      </c>
      <c r="D49" s="453">
        <f>Dry_Matter_Content!C36</f>
        <v>0.59</v>
      </c>
      <c r="E49" s="319">
        <f>MCF!R48</f>
        <v>0.8</v>
      </c>
      <c r="F49" s="87">
        <f t="shared" si="5"/>
        <v>0</v>
      </c>
      <c r="G49" s="87">
        <f t="shared" si="0"/>
        <v>0</v>
      </c>
      <c r="H49" s="87">
        <f t="shared" si="1"/>
        <v>0</v>
      </c>
      <c r="I49" s="87">
        <f t="shared" si="2"/>
        <v>2.0470530217640416E-3</v>
      </c>
      <c r="J49" s="87">
        <f t="shared" si="3"/>
        <v>1.0067912334847484E-3</v>
      </c>
      <c r="K49" s="120">
        <f t="shared" si="6"/>
        <v>6.7119415565649893E-4</v>
      </c>
      <c r="O49" s="116">
        <f>Amnt_Deposited!B44</f>
        <v>2030</v>
      </c>
      <c r="P49" s="119">
        <f>Amnt_Deposited!C44</f>
        <v>0</v>
      </c>
      <c r="Q49" s="319">
        <f>MCF!R48</f>
        <v>0.8</v>
      </c>
      <c r="R49" s="87">
        <f t="shared" si="4"/>
        <v>0</v>
      </c>
      <c r="S49" s="87">
        <f t="shared" si="7"/>
        <v>0</v>
      </c>
      <c r="T49" s="87">
        <f t="shared" si="8"/>
        <v>0</v>
      </c>
      <c r="U49" s="87">
        <f t="shared" si="9"/>
        <v>1.3695716024291092E-3</v>
      </c>
      <c r="V49" s="87">
        <f t="shared" si="10"/>
        <v>6.7358913926276662E-4</v>
      </c>
      <c r="W49" s="120">
        <f t="shared" si="11"/>
        <v>4.4905942617517775E-4</v>
      </c>
    </row>
    <row r="50" spans="2:23">
      <c r="B50" s="116">
        <f>Amnt_Deposited!B45</f>
        <v>2031</v>
      </c>
      <c r="C50" s="119">
        <f>Amnt_Deposited!C45</f>
        <v>0</v>
      </c>
      <c r="D50" s="453">
        <f>Dry_Matter_Content!C37</f>
        <v>0.59</v>
      </c>
      <c r="E50" s="319">
        <f>MCF!R49</f>
        <v>0.8</v>
      </c>
      <c r="F50" s="87">
        <f t="shared" si="5"/>
        <v>0</v>
      </c>
      <c r="G50" s="87">
        <f t="shared" si="0"/>
        <v>0</v>
      </c>
      <c r="H50" s="87">
        <f t="shared" si="1"/>
        <v>0</v>
      </c>
      <c r="I50" s="87">
        <f t="shared" si="2"/>
        <v>1.372180675786267E-3</v>
      </c>
      <c r="J50" s="87">
        <f t="shared" si="3"/>
        <v>6.7487234597777461E-4</v>
      </c>
      <c r="K50" s="120">
        <f t="shared" si="6"/>
        <v>4.4991489731851641E-4</v>
      </c>
      <c r="O50" s="116">
        <f>Amnt_Deposited!B45</f>
        <v>2031</v>
      </c>
      <c r="P50" s="119">
        <f>Amnt_Deposited!C45</f>
        <v>0</v>
      </c>
      <c r="Q50" s="319">
        <f>MCF!R49</f>
        <v>0.8</v>
      </c>
      <c r="R50" s="87">
        <f t="shared" si="4"/>
        <v>0</v>
      </c>
      <c r="S50" s="87">
        <f t="shared" si="7"/>
        <v>0</v>
      </c>
      <c r="T50" s="87">
        <f t="shared" si="8"/>
        <v>0</v>
      </c>
      <c r="U50" s="87">
        <f t="shared" si="9"/>
        <v>9.1805129958938479E-4</v>
      </c>
      <c r="V50" s="87">
        <f t="shared" si="10"/>
        <v>4.5152030283972439E-4</v>
      </c>
      <c r="W50" s="120">
        <f t="shared" si="11"/>
        <v>3.0101353522648291E-4</v>
      </c>
    </row>
    <row r="51" spans="2:23">
      <c r="B51" s="116">
        <f>Amnt_Deposited!B46</f>
        <v>2032</v>
      </c>
      <c r="C51" s="119">
        <f>Amnt_Deposited!C46</f>
        <v>0</v>
      </c>
      <c r="D51" s="453">
        <f>Dry_Matter_Content!C38</f>
        <v>0.59</v>
      </c>
      <c r="E51" s="319">
        <f>MCF!R50</f>
        <v>0.8</v>
      </c>
      <c r="F51" s="87">
        <f t="shared" ref="F51:F82" si="12">C51*D51*$K$6*DOCF*E51</f>
        <v>0</v>
      </c>
      <c r="G51" s="87">
        <f t="shared" ref="G51:G82" si="13">F51*$K$12</f>
        <v>0</v>
      </c>
      <c r="H51" s="87">
        <f t="shared" ref="H51:H82" si="14">F51*(1-$K$12)</f>
        <v>0</v>
      </c>
      <c r="I51" s="87">
        <f t="shared" ref="I51:I82" si="15">G51+I50*$K$10</f>
        <v>9.1980021376226518E-4</v>
      </c>
      <c r="J51" s="87">
        <f t="shared" ref="J51:J82" si="16">I50*(1-$K$10)+H51</f>
        <v>4.523804620240018E-4</v>
      </c>
      <c r="K51" s="120">
        <f t="shared" si="6"/>
        <v>3.0158697468266786E-4</v>
      </c>
      <c r="O51" s="116">
        <f>Amnt_Deposited!B46</f>
        <v>2032</v>
      </c>
      <c r="P51" s="119">
        <f>Amnt_Deposited!C46</f>
        <v>0</v>
      </c>
      <c r="Q51" s="319">
        <f>MCF!R50</f>
        <v>0.8</v>
      </c>
      <c r="R51" s="87">
        <f t="shared" ref="R51:R82" si="17">P51*$W$6*DOCF*Q51</f>
        <v>0</v>
      </c>
      <c r="S51" s="87">
        <f t="shared" si="7"/>
        <v>0</v>
      </c>
      <c r="T51" s="87">
        <f t="shared" si="8"/>
        <v>0</v>
      </c>
      <c r="U51" s="87">
        <f t="shared" si="9"/>
        <v>6.1538818940383487E-4</v>
      </c>
      <c r="V51" s="87">
        <f t="shared" si="10"/>
        <v>3.0266311018554986E-4</v>
      </c>
      <c r="W51" s="120">
        <f t="shared" si="11"/>
        <v>2.0177540679036657E-4</v>
      </c>
    </row>
    <row r="52" spans="2:23">
      <c r="B52" s="116">
        <f>Amnt_Deposited!B47</f>
        <v>2033</v>
      </c>
      <c r="C52" s="119">
        <f>Amnt_Deposited!C47</f>
        <v>0</v>
      </c>
      <c r="D52" s="453">
        <f>Dry_Matter_Content!C39</f>
        <v>0.59</v>
      </c>
      <c r="E52" s="319">
        <f>MCF!R51</f>
        <v>0.8</v>
      </c>
      <c r="F52" s="87">
        <f t="shared" si="12"/>
        <v>0</v>
      </c>
      <c r="G52" s="87">
        <f t="shared" si="13"/>
        <v>0</v>
      </c>
      <c r="H52" s="87">
        <f t="shared" si="14"/>
        <v>0</v>
      </c>
      <c r="I52" s="87">
        <f t="shared" si="15"/>
        <v>6.1656052163271244E-4</v>
      </c>
      <c r="J52" s="87">
        <f t="shared" si="16"/>
        <v>3.0323969212955269E-4</v>
      </c>
      <c r="K52" s="120">
        <f t="shared" si="6"/>
        <v>2.0215979475303513E-4</v>
      </c>
      <c r="O52" s="116">
        <f>Amnt_Deposited!B47</f>
        <v>2033</v>
      </c>
      <c r="P52" s="119">
        <f>Amnt_Deposited!C47</f>
        <v>0</v>
      </c>
      <c r="Q52" s="319">
        <f>MCF!R51</f>
        <v>0.8</v>
      </c>
      <c r="R52" s="87">
        <f t="shared" si="17"/>
        <v>0</v>
      </c>
      <c r="S52" s="87">
        <f t="shared" si="7"/>
        <v>0</v>
      </c>
      <c r="T52" s="87">
        <f t="shared" si="8"/>
        <v>0</v>
      </c>
      <c r="U52" s="87">
        <f t="shared" si="9"/>
        <v>4.1250703945096734E-4</v>
      </c>
      <c r="V52" s="87">
        <f t="shared" si="10"/>
        <v>2.0288114995286756E-4</v>
      </c>
      <c r="W52" s="120">
        <f t="shared" si="11"/>
        <v>1.3525409996857835E-4</v>
      </c>
    </row>
    <row r="53" spans="2:23">
      <c r="B53" s="116">
        <f>Amnt_Deposited!B48</f>
        <v>2034</v>
      </c>
      <c r="C53" s="119">
        <f>Amnt_Deposited!C48</f>
        <v>0</v>
      </c>
      <c r="D53" s="453">
        <f>Dry_Matter_Content!C40</f>
        <v>0.59</v>
      </c>
      <c r="E53" s="319">
        <f>MCF!R52</f>
        <v>0.8</v>
      </c>
      <c r="F53" s="87">
        <f t="shared" si="12"/>
        <v>0</v>
      </c>
      <c r="G53" s="87">
        <f t="shared" si="13"/>
        <v>0</v>
      </c>
      <c r="H53" s="87">
        <f t="shared" si="14"/>
        <v>0</v>
      </c>
      <c r="I53" s="87">
        <f t="shared" si="15"/>
        <v>4.132928772445976E-4</v>
      </c>
      <c r="J53" s="87">
        <f t="shared" si="16"/>
        <v>2.0326764438811484E-4</v>
      </c>
      <c r="K53" s="120">
        <f t="shared" si="6"/>
        <v>1.3551176292540988E-4</v>
      </c>
      <c r="O53" s="116">
        <f>Amnt_Deposited!B48</f>
        <v>2034</v>
      </c>
      <c r="P53" s="119">
        <f>Amnt_Deposited!C48</f>
        <v>0</v>
      </c>
      <c r="Q53" s="319">
        <f>MCF!R52</f>
        <v>0.8</v>
      </c>
      <c r="R53" s="87">
        <f t="shared" si="17"/>
        <v>0</v>
      </c>
      <c r="S53" s="87">
        <f t="shared" si="7"/>
        <v>0</v>
      </c>
      <c r="T53" s="87">
        <f t="shared" si="8"/>
        <v>0</v>
      </c>
      <c r="U53" s="87">
        <f t="shared" si="9"/>
        <v>2.7651173767479772E-4</v>
      </c>
      <c r="V53" s="87">
        <f t="shared" si="10"/>
        <v>1.3599530177616962E-4</v>
      </c>
      <c r="W53" s="120">
        <f t="shared" si="11"/>
        <v>9.0663534517446413E-5</v>
      </c>
    </row>
    <row r="54" spans="2:23">
      <c r="B54" s="116">
        <f>Amnt_Deposited!B49</f>
        <v>2035</v>
      </c>
      <c r="C54" s="119">
        <f>Amnt_Deposited!C49</f>
        <v>0</v>
      </c>
      <c r="D54" s="453">
        <f>Dry_Matter_Content!C41</f>
        <v>0.59</v>
      </c>
      <c r="E54" s="319">
        <f>MCF!R53</f>
        <v>0.8</v>
      </c>
      <c r="F54" s="87">
        <f t="shared" si="12"/>
        <v>0</v>
      </c>
      <c r="G54" s="87">
        <f t="shared" si="13"/>
        <v>0</v>
      </c>
      <c r="H54" s="87">
        <f t="shared" si="14"/>
        <v>0</v>
      </c>
      <c r="I54" s="87">
        <f t="shared" si="15"/>
        <v>2.7703850050080049E-4</v>
      </c>
      <c r="J54" s="87">
        <f t="shared" si="16"/>
        <v>1.3625437674379712E-4</v>
      </c>
      <c r="K54" s="120">
        <f t="shared" si="6"/>
        <v>9.0836251162531402E-5</v>
      </c>
      <c r="O54" s="116">
        <f>Amnt_Deposited!B49</f>
        <v>2035</v>
      </c>
      <c r="P54" s="119">
        <f>Amnt_Deposited!C49</f>
        <v>0</v>
      </c>
      <c r="Q54" s="319">
        <f>MCF!R53</f>
        <v>0.8</v>
      </c>
      <c r="R54" s="87">
        <f t="shared" si="17"/>
        <v>0</v>
      </c>
      <c r="S54" s="87">
        <f t="shared" si="7"/>
        <v>0</v>
      </c>
      <c r="T54" s="87">
        <f t="shared" si="8"/>
        <v>0</v>
      </c>
      <c r="U54" s="87">
        <f t="shared" si="9"/>
        <v>1.8535136072756503E-4</v>
      </c>
      <c r="V54" s="87">
        <f t="shared" si="10"/>
        <v>9.1160376947232693E-5</v>
      </c>
      <c r="W54" s="120">
        <f t="shared" si="11"/>
        <v>6.077358463148846E-5</v>
      </c>
    </row>
    <row r="55" spans="2:23">
      <c r="B55" s="116">
        <f>Amnt_Deposited!B50</f>
        <v>2036</v>
      </c>
      <c r="C55" s="119">
        <f>Amnt_Deposited!C50</f>
        <v>0</v>
      </c>
      <c r="D55" s="453">
        <f>Dry_Matter_Content!C42</f>
        <v>0.59</v>
      </c>
      <c r="E55" s="319">
        <f>MCF!R54</f>
        <v>0.8</v>
      </c>
      <c r="F55" s="87">
        <f t="shared" si="12"/>
        <v>0</v>
      </c>
      <c r="G55" s="87">
        <f t="shared" si="13"/>
        <v>0</v>
      </c>
      <c r="H55" s="87">
        <f t="shared" si="14"/>
        <v>0</v>
      </c>
      <c r="I55" s="87">
        <f t="shared" si="15"/>
        <v>1.8570446040934107E-4</v>
      </c>
      <c r="J55" s="87">
        <f t="shared" si="16"/>
        <v>9.1334040091459412E-5</v>
      </c>
      <c r="K55" s="120">
        <f t="shared" si="6"/>
        <v>6.0889360060972939E-5</v>
      </c>
      <c r="O55" s="116">
        <f>Amnt_Deposited!B50</f>
        <v>2036</v>
      </c>
      <c r="P55" s="119">
        <f>Amnt_Deposited!C50</f>
        <v>0</v>
      </c>
      <c r="Q55" s="319">
        <f>MCF!R54</f>
        <v>0.8</v>
      </c>
      <c r="R55" s="87">
        <f t="shared" si="17"/>
        <v>0</v>
      </c>
      <c r="S55" s="87">
        <f t="shared" si="7"/>
        <v>0</v>
      </c>
      <c r="T55" s="87">
        <f t="shared" si="8"/>
        <v>0</v>
      </c>
      <c r="U55" s="87">
        <f t="shared" si="9"/>
        <v>1.2424473265566977E-4</v>
      </c>
      <c r="V55" s="87">
        <f t="shared" si="10"/>
        <v>6.110662807189524E-5</v>
      </c>
      <c r="W55" s="120">
        <f t="shared" si="11"/>
        <v>4.0737752047930156E-5</v>
      </c>
    </row>
    <row r="56" spans="2:23">
      <c r="B56" s="116">
        <f>Amnt_Deposited!B51</f>
        <v>2037</v>
      </c>
      <c r="C56" s="119">
        <f>Amnt_Deposited!C51</f>
        <v>0</v>
      </c>
      <c r="D56" s="453">
        <f>Dry_Matter_Content!C43</f>
        <v>0.59</v>
      </c>
      <c r="E56" s="319">
        <f>MCF!R55</f>
        <v>0.8</v>
      </c>
      <c r="F56" s="87">
        <f t="shared" si="12"/>
        <v>0</v>
      </c>
      <c r="G56" s="87">
        <f t="shared" si="13"/>
        <v>0</v>
      </c>
      <c r="H56" s="87">
        <f t="shared" si="14"/>
        <v>0</v>
      </c>
      <c r="I56" s="87">
        <f t="shared" si="15"/>
        <v>1.2448142245061308E-4</v>
      </c>
      <c r="J56" s="87">
        <f t="shared" si="16"/>
        <v>6.1223037958728005E-5</v>
      </c>
      <c r="K56" s="120">
        <f t="shared" si="6"/>
        <v>4.0815358639152001E-5</v>
      </c>
      <c r="O56" s="116">
        <f>Amnt_Deposited!B51</f>
        <v>2037</v>
      </c>
      <c r="P56" s="119">
        <f>Amnt_Deposited!C51</f>
        <v>0</v>
      </c>
      <c r="Q56" s="319">
        <f>MCF!R55</f>
        <v>0.8</v>
      </c>
      <c r="R56" s="87">
        <f t="shared" si="17"/>
        <v>0</v>
      </c>
      <c r="S56" s="87">
        <f t="shared" si="7"/>
        <v>0</v>
      </c>
      <c r="T56" s="87">
        <f t="shared" si="8"/>
        <v>0</v>
      </c>
      <c r="U56" s="87">
        <f t="shared" si="9"/>
        <v>8.3283734913434262E-5</v>
      </c>
      <c r="V56" s="87">
        <f t="shared" si="10"/>
        <v>4.0960997742235512E-5</v>
      </c>
      <c r="W56" s="120">
        <f t="shared" si="11"/>
        <v>2.7307331828157008E-5</v>
      </c>
    </row>
    <row r="57" spans="2:23">
      <c r="B57" s="116">
        <f>Amnt_Deposited!B52</f>
        <v>2038</v>
      </c>
      <c r="C57" s="119">
        <f>Amnt_Deposited!C52</f>
        <v>0</v>
      </c>
      <c r="D57" s="453">
        <f>Dry_Matter_Content!C44</f>
        <v>0.59</v>
      </c>
      <c r="E57" s="319">
        <f>MCF!R56</f>
        <v>0.8</v>
      </c>
      <c r="F57" s="87">
        <f t="shared" si="12"/>
        <v>0</v>
      </c>
      <c r="G57" s="87">
        <f t="shared" si="13"/>
        <v>0</v>
      </c>
      <c r="H57" s="87">
        <f t="shared" si="14"/>
        <v>0</v>
      </c>
      <c r="I57" s="87">
        <f t="shared" si="15"/>
        <v>8.3442392827676832E-5</v>
      </c>
      <c r="J57" s="87">
        <f t="shared" si="16"/>
        <v>4.1039029622936257E-5</v>
      </c>
      <c r="K57" s="120">
        <f t="shared" si="6"/>
        <v>2.7359353081957504E-5</v>
      </c>
      <c r="O57" s="116">
        <f>Amnt_Deposited!B52</f>
        <v>2038</v>
      </c>
      <c r="P57" s="119">
        <f>Amnt_Deposited!C52</f>
        <v>0</v>
      </c>
      <c r="Q57" s="319">
        <f>MCF!R56</f>
        <v>0.8</v>
      </c>
      <c r="R57" s="87">
        <f t="shared" si="17"/>
        <v>0</v>
      </c>
      <c r="S57" s="87">
        <f t="shared" si="7"/>
        <v>0</v>
      </c>
      <c r="T57" s="87">
        <f t="shared" si="8"/>
        <v>0</v>
      </c>
      <c r="U57" s="87">
        <f t="shared" si="9"/>
        <v>5.582675702119324E-5</v>
      </c>
      <c r="V57" s="87">
        <f t="shared" si="10"/>
        <v>2.7456977892241025E-5</v>
      </c>
      <c r="W57" s="120">
        <f t="shared" si="11"/>
        <v>1.8304651928160683E-5</v>
      </c>
    </row>
    <row r="58" spans="2:23">
      <c r="B58" s="116">
        <f>Amnt_Deposited!B53</f>
        <v>2039</v>
      </c>
      <c r="C58" s="119">
        <f>Amnt_Deposited!C53</f>
        <v>0</v>
      </c>
      <c r="D58" s="453">
        <f>Dry_Matter_Content!C45</f>
        <v>0.59</v>
      </c>
      <c r="E58" s="319">
        <f>MCF!R57</f>
        <v>0.8</v>
      </c>
      <c r="F58" s="87">
        <f t="shared" si="12"/>
        <v>0</v>
      </c>
      <c r="G58" s="87">
        <f t="shared" si="13"/>
        <v>0</v>
      </c>
      <c r="H58" s="87">
        <f t="shared" si="14"/>
        <v>0</v>
      </c>
      <c r="I58" s="87">
        <f t="shared" si="15"/>
        <v>5.5933108601572235E-5</v>
      </c>
      <c r="J58" s="87">
        <f t="shared" si="16"/>
        <v>2.7509284226104597E-5</v>
      </c>
      <c r="K58" s="120">
        <f t="shared" si="6"/>
        <v>1.8339522817403064E-5</v>
      </c>
      <c r="O58" s="116">
        <f>Amnt_Deposited!B53</f>
        <v>2039</v>
      </c>
      <c r="P58" s="119">
        <f>Amnt_Deposited!C53</f>
        <v>0</v>
      </c>
      <c r="Q58" s="319">
        <f>MCF!R57</f>
        <v>0.8</v>
      </c>
      <c r="R58" s="87">
        <f t="shared" si="17"/>
        <v>0</v>
      </c>
      <c r="S58" s="87">
        <f t="shared" si="7"/>
        <v>0</v>
      </c>
      <c r="T58" s="87">
        <f t="shared" si="8"/>
        <v>0</v>
      </c>
      <c r="U58" s="87">
        <f t="shared" si="9"/>
        <v>3.7421794336466706E-5</v>
      </c>
      <c r="V58" s="87">
        <f t="shared" si="10"/>
        <v>1.8404962684726537E-5</v>
      </c>
      <c r="W58" s="120">
        <f t="shared" si="11"/>
        <v>1.2269975123151024E-5</v>
      </c>
    </row>
    <row r="59" spans="2:23">
      <c r="B59" s="116">
        <f>Amnt_Deposited!B54</f>
        <v>2040</v>
      </c>
      <c r="C59" s="119">
        <f>Amnt_Deposited!C54</f>
        <v>0</v>
      </c>
      <c r="D59" s="453">
        <f>Dry_Matter_Content!C46</f>
        <v>0.59</v>
      </c>
      <c r="E59" s="319">
        <f>MCF!R58</f>
        <v>0.8</v>
      </c>
      <c r="F59" s="87">
        <f t="shared" si="12"/>
        <v>0</v>
      </c>
      <c r="G59" s="87">
        <f t="shared" si="13"/>
        <v>0</v>
      </c>
      <c r="H59" s="87">
        <f t="shared" si="14"/>
        <v>0</v>
      </c>
      <c r="I59" s="87">
        <f t="shared" si="15"/>
        <v>3.7493083932722312E-5</v>
      </c>
      <c r="J59" s="87">
        <f t="shared" si="16"/>
        <v>1.8440024668849919E-5</v>
      </c>
      <c r="K59" s="120">
        <f t="shared" si="6"/>
        <v>1.229334977923328E-5</v>
      </c>
      <c r="O59" s="116">
        <f>Amnt_Deposited!B54</f>
        <v>2040</v>
      </c>
      <c r="P59" s="119">
        <f>Amnt_Deposited!C54</f>
        <v>0</v>
      </c>
      <c r="Q59" s="319">
        <f>MCF!R58</f>
        <v>0.8</v>
      </c>
      <c r="R59" s="87">
        <f t="shared" si="17"/>
        <v>0</v>
      </c>
      <c r="S59" s="87">
        <f t="shared" si="7"/>
        <v>0</v>
      </c>
      <c r="T59" s="87">
        <f t="shared" si="8"/>
        <v>0</v>
      </c>
      <c r="U59" s="87">
        <f t="shared" si="9"/>
        <v>2.5084578902356589E-5</v>
      </c>
      <c r="V59" s="87">
        <f t="shared" si="10"/>
        <v>1.2337215434110117E-5</v>
      </c>
      <c r="W59" s="120">
        <f t="shared" si="11"/>
        <v>8.2248102894067435E-6</v>
      </c>
    </row>
    <row r="60" spans="2:23">
      <c r="B60" s="116">
        <f>Amnt_Deposited!B55</f>
        <v>2041</v>
      </c>
      <c r="C60" s="119">
        <f>Amnt_Deposited!C55</f>
        <v>0</v>
      </c>
      <c r="D60" s="453">
        <f>Dry_Matter_Content!C47</f>
        <v>0.59</v>
      </c>
      <c r="E60" s="319">
        <f>MCF!R59</f>
        <v>0.8</v>
      </c>
      <c r="F60" s="87">
        <f t="shared" si="12"/>
        <v>0</v>
      </c>
      <c r="G60" s="87">
        <f t="shared" si="13"/>
        <v>0</v>
      </c>
      <c r="H60" s="87">
        <f t="shared" si="14"/>
        <v>0</v>
      </c>
      <c r="I60" s="87">
        <f t="shared" si="15"/>
        <v>2.5132365747800511E-5</v>
      </c>
      <c r="J60" s="87">
        <f t="shared" si="16"/>
        <v>1.2360718184921803E-5</v>
      </c>
      <c r="K60" s="120">
        <f t="shared" si="6"/>
        <v>8.2404787899478681E-6</v>
      </c>
      <c r="O60" s="116">
        <f>Amnt_Deposited!B55</f>
        <v>2041</v>
      </c>
      <c r="P60" s="119">
        <f>Amnt_Deposited!C55</f>
        <v>0</v>
      </c>
      <c r="Q60" s="319">
        <f>MCF!R59</f>
        <v>0.8</v>
      </c>
      <c r="R60" s="87">
        <f t="shared" si="17"/>
        <v>0</v>
      </c>
      <c r="S60" s="87">
        <f t="shared" si="7"/>
        <v>0</v>
      </c>
      <c r="T60" s="87">
        <f t="shared" si="8"/>
        <v>0</v>
      </c>
      <c r="U60" s="87">
        <f t="shared" si="9"/>
        <v>1.6814696084612295E-5</v>
      </c>
      <c r="V60" s="87">
        <f t="shared" si="10"/>
        <v>8.2698828177442938E-6</v>
      </c>
      <c r="W60" s="120">
        <f t="shared" si="11"/>
        <v>5.5132552118295286E-6</v>
      </c>
    </row>
    <row r="61" spans="2:23">
      <c r="B61" s="116">
        <f>Amnt_Deposited!B56</f>
        <v>2042</v>
      </c>
      <c r="C61" s="119">
        <f>Amnt_Deposited!C56</f>
        <v>0</v>
      </c>
      <c r="D61" s="453">
        <f>Dry_Matter_Content!C48</f>
        <v>0.59</v>
      </c>
      <c r="E61" s="319">
        <f>MCF!R60</f>
        <v>0.8</v>
      </c>
      <c r="F61" s="87">
        <f t="shared" si="12"/>
        <v>0</v>
      </c>
      <c r="G61" s="87">
        <f t="shared" si="13"/>
        <v>0</v>
      </c>
      <c r="H61" s="87">
        <f t="shared" si="14"/>
        <v>0</v>
      </c>
      <c r="I61" s="87">
        <f t="shared" si="15"/>
        <v>1.6846728565050162E-5</v>
      </c>
      <c r="J61" s="87">
        <f t="shared" si="16"/>
        <v>8.285637182750347E-6</v>
      </c>
      <c r="K61" s="120">
        <f t="shared" si="6"/>
        <v>5.5237581218335647E-6</v>
      </c>
      <c r="O61" s="116">
        <f>Amnt_Deposited!B56</f>
        <v>2042</v>
      </c>
      <c r="P61" s="119">
        <f>Amnt_Deposited!C56</f>
        <v>0</v>
      </c>
      <c r="Q61" s="319">
        <f>MCF!R60</f>
        <v>0.8</v>
      </c>
      <c r="R61" s="87">
        <f t="shared" si="17"/>
        <v>0</v>
      </c>
      <c r="S61" s="87">
        <f t="shared" si="7"/>
        <v>0</v>
      </c>
      <c r="T61" s="87">
        <f t="shared" si="8"/>
        <v>0</v>
      </c>
      <c r="U61" s="87">
        <f t="shared" si="9"/>
        <v>1.1271227853512599E-5</v>
      </c>
      <c r="V61" s="87">
        <f t="shared" si="10"/>
        <v>5.5434682310996975E-6</v>
      </c>
      <c r="W61" s="120">
        <f t="shared" si="11"/>
        <v>3.695645487399798E-6</v>
      </c>
    </row>
    <row r="62" spans="2:23">
      <c r="B62" s="116">
        <f>Amnt_Deposited!B57</f>
        <v>2043</v>
      </c>
      <c r="C62" s="119">
        <f>Amnt_Deposited!C57</f>
        <v>0</v>
      </c>
      <c r="D62" s="453">
        <f>Dry_Matter_Content!C49</f>
        <v>0.59</v>
      </c>
      <c r="E62" s="319">
        <f>MCF!R61</f>
        <v>0.8</v>
      </c>
      <c r="F62" s="87">
        <f t="shared" si="12"/>
        <v>0</v>
      </c>
      <c r="G62" s="87">
        <f t="shared" si="13"/>
        <v>0</v>
      </c>
      <c r="H62" s="87">
        <f t="shared" si="14"/>
        <v>0</v>
      </c>
      <c r="I62" s="87">
        <f t="shared" si="15"/>
        <v>1.1292699867274345E-5</v>
      </c>
      <c r="J62" s="87">
        <f t="shared" si="16"/>
        <v>5.5540286977758177E-6</v>
      </c>
      <c r="K62" s="120">
        <f t="shared" si="6"/>
        <v>3.7026857985172115E-6</v>
      </c>
      <c r="O62" s="116">
        <f>Amnt_Deposited!B57</f>
        <v>2043</v>
      </c>
      <c r="P62" s="119">
        <f>Amnt_Deposited!C57</f>
        <v>0</v>
      </c>
      <c r="Q62" s="319">
        <f>MCF!R61</f>
        <v>0.8</v>
      </c>
      <c r="R62" s="87">
        <f t="shared" si="17"/>
        <v>0</v>
      </c>
      <c r="S62" s="87">
        <f t="shared" si="7"/>
        <v>0</v>
      </c>
      <c r="T62" s="87">
        <f t="shared" si="8"/>
        <v>0</v>
      </c>
      <c r="U62" s="87">
        <f t="shared" si="9"/>
        <v>7.5553299736447459E-6</v>
      </c>
      <c r="V62" s="87">
        <f t="shared" si="10"/>
        <v>3.7158978798678533E-6</v>
      </c>
      <c r="W62" s="120">
        <f t="shared" si="11"/>
        <v>2.4772652532452356E-6</v>
      </c>
    </row>
    <row r="63" spans="2:23">
      <c r="B63" s="116">
        <f>Amnt_Deposited!B58</f>
        <v>2044</v>
      </c>
      <c r="C63" s="119">
        <f>Amnt_Deposited!C58</f>
        <v>0</v>
      </c>
      <c r="D63" s="453">
        <f>Dry_Matter_Content!C50</f>
        <v>0.59</v>
      </c>
      <c r="E63" s="319">
        <f>MCF!R62</f>
        <v>0.8</v>
      </c>
      <c r="F63" s="87">
        <f t="shared" si="12"/>
        <v>0</v>
      </c>
      <c r="G63" s="87">
        <f t="shared" si="13"/>
        <v>0</v>
      </c>
      <c r="H63" s="87">
        <f t="shared" si="14"/>
        <v>0</v>
      </c>
      <c r="I63" s="87">
        <f t="shared" si="15"/>
        <v>7.5697230948979971E-6</v>
      </c>
      <c r="J63" s="87">
        <f t="shared" si="16"/>
        <v>3.722976772376348E-6</v>
      </c>
      <c r="K63" s="120">
        <f t="shared" si="6"/>
        <v>2.481984514917565E-6</v>
      </c>
      <c r="O63" s="116">
        <f>Amnt_Deposited!B58</f>
        <v>2044</v>
      </c>
      <c r="P63" s="119">
        <f>Amnt_Deposited!C58</f>
        <v>0</v>
      </c>
      <c r="Q63" s="319">
        <f>MCF!R62</f>
        <v>0.8</v>
      </c>
      <c r="R63" s="87">
        <f t="shared" si="17"/>
        <v>0</v>
      </c>
      <c r="S63" s="87">
        <f t="shared" si="7"/>
        <v>0</v>
      </c>
      <c r="T63" s="87">
        <f t="shared" si="8"/>
        <v>0</v>
      </c>
      <c r="U63" s="87">
        <f t="shared" si="9"/>
        <v>5.0644891357479915E-6</v>
      </c>
      <c r="V63" s="87">
        <f t="shared" si="10"/>
        <v>2.4908408378967544E-6</v>
      </c>
      <c r="W63" s="120">
        <f t="shared" si="11"/>
        <v>1.6605605585978362E-6</v>
      </c>
    </row>
    <row r="64" spans="2:23">
      <c r="B64" s="116">
        <f>Amnt_Deposited!B59</f>
        <v>2045</v>
      </c>
      <c r="C64" s="119">
        <f>Amnt_Deposited!C59</f>
        <v>0</v>
      </c>
      <c r="D64" s="453">
        <f>Dry_Matter_Content!C51</f>
        <v>0.59</v>
      </c>
      <c r="E64" s="319">
        <f>MCF!R63</f>
        <v>0.8</v>
      </c>
      <c r="F64" s="87">
        <f t="shared" si="12"/>
        <v>0</v>
      </c>
      <c r="G64" s="87">
        <f t="shared" si="13"/>
        <v>0</v>
      </c>
      <c r="H64" s="87">
        <f t="shared" si="14"/>
        <v>0</v>
      </c>
      <c r="I64" s="87">
        <f t="shared" si="15"/>
        <v>5.0741371334490674E-6</v>
      </c>
      <c r="J64" s="87">
        <f t="shared" si="16"/>
        <v>2.4955859614489297E-6</v>
      </c>
      <c r="K64" s="120">
        <f t="shared" si="6"/>
        <v>1.6637239742992864E-6</v>
      </c>
      <c r="O64" s="116">
        <f>Amnt_Deposited!B59</f>
        <v>2045</v>
      </c>
      <c r="P64" s="119">
        <f>Amnt_Deposited!C59</f>
        <v>0</v>
      </c>
      <c r="Q64" s="319">
        <f>MCF!R63</f>
        <v>0.8</v>
      </c>
      <c r="R64" s="87">
        <f t="shared" si="17"/>
        <v>0</v>
      </c>
      <c r="S64" s="87">
        <f t="shared" si="7"/>
        <v>0</v>
      </c>
      <c r="T64" s="87">
        <f t="shared" si="8"/>
        <v>0</v>
      </c>
      <c r="U64" s="87">
        <f t="shared" si="9"/>
        <v>3.394828590621589E-6</v>
      </c>
      <c r="V64" s="87">
        <f t="shared" si="10"/>
        <v>1.6696605451264025E-6</v>
      </c>
      <c r="W64" s="120">
        <f t="shared" si="11"/>
        <v>1.1131070300842682E-6</v>
      </c>
    </row>
    <row r="65" spans="2:23">
      <c r="B65" s="116">
        <f>Amnt_Deposited!B60</f>
        <v>2046</v>
      </c>
      <c r="C65" s="119">
        <f>Amnt_Deposited!C60</f>
        <v>0</v>
      </c>
      <c r="D65" s="453">
        <f>Dry_Matter_Content!C52</f>
        <v>0.59</v>
      </c>
      <c r="E65" s="319">
        <f>MCF!R64</f>
        <v>0.8</v>
      </c>
      <c r="F65" s="87">
        <f t="shared" si="12"/>
        <v>0</v>
      </c>
      <c r="G65" s="87">
        <f t="shared" si="13"/>
        <v>0</v>
      </c>
      <c r="H65" s="87">
        <f t="shared" si="14"/>
        <v>0</v>
      </c>
      <c r="I65" s="87">
        <f t="shared" si="15"/>
        <v>3.401295836884726E-6</v>
      </c>
      <c r="J65" s="87">
        <f t="shared" si="16"/>
        <v>1.6728412965643416E-6</v>
      </c>
      <c r="K65" s="120">
        <f t="shared" si="6"/>
        <v>1.1152275310428943E-6</v>
      </c>
      <c r="O65" s="116">
        <f>Amnt_Deposited!B60</f>
        <v>2046</v>
      </c>
      <c r="P65" s="119">
        <f>Amnt_Deposited!C60</f>
        <v>0</v>
      </c>
      <c r="Q65" s="319">
        <f>MCF!R64</f>
        <v>0.8</v>
      </c>
      <c r="R65" s="87">
        <f t="shared" si="17"/>
        <v>0</v>
      </c>
      <c r="S65" s="87">
        <f t="shared" si="7"/>
        <v>0</v>
      </c>
      <c r="T65" s="87">
        <f t="shared" si="8"/>
        <v>0</v>
      </c>
      <c r="U65" s="87">
        <f t="shared" si="9"/>
        <v>2.2756216571485683E-6</v>
      </c>
      <c r="V65" s="87">
        <f t="shared" si="10"/>
        <v>1.119206933473021E-6</v>
      </c>
      <c r="W65" s="120">
        <f t="shared" si="11"/>
        <v>7.4613795564868057E-7</v>
      </c>
    </row>
    <row r="66" spans="2:23">
      <c r="B66" s="116">
        <f>Amnt_Deposited!B61</f>
        <v>2047</v>
      </c>
      <c r="C66" s="119">
        <f>Amnt_Deposited!C61</f>
        <v>0</v>
      </c>
      <c r="D66" s="453">
        <f>Dry_Matter_Content!C53</f>
        <v>0.59</v>
      </c>
      <c r="E66" s="319">
        <f>MCF!R65</f>
        <v>0.8</v>
      </c>
      <c r="F66" s="87">
        <f t="shared" si="12"/>
        <v>0</v>
      </c>
      <c r="G66" s="87">
        <f t="shared" si="13"/>
        <v>0</v>
      </c>
      <c r="H66" s="87">
        <f t="shared" si="14"/>
        <v>0</v>
      </c>
      <c r="I66" s="87">
        <f t="shared" si="15"/>
        <v>2.2799567819613981E-6</v>
      </c>
      <c r="J66" s="87">
        <f t="shared" si="16"/>
        <v>1.1213390549233281E-6</v>
      </c>
      <c r="K66" s="120">
        <f t="shared" si="6"/>
        <v>7.4755936994888542E-7</v>
      </c>
      <c r="O66" s="116">
        <f>Amnt_Deposited!B61</f>
        <v>2047</v>
      </c>
      <c r="P66" s="119">
        <f>Amnt_Deposited!C61</f>
        <v>0</v>
      </c>
      <c r="Q66" s="319">
        <f>MCF!R65</f>
        <v>0.8</v>
      </c>
      <c r="R66" s="87">
        <f t="shared" si="17"/>
        <v>0</v>
      </c>
      <c r="S66" s="87">
        <f t="shared" si="7"/>
        <v>0</v>
      </c>
      <c r="T66" s="87">
        <f t="shared" si="8"/>
        <v>0</v>
      </c>
      <c r="U66" s="87">
        <f t="shared" si="9"/>
        <v>1.5253948139795262E-6</v>
      </c>
      <c r="V66" s="87">
        <f t="shared" si="10"/>
        <v>7.5022684316904215E-7</v>
      </c>
      <c r="W66" s="120">
        <f t="shared" si="11"/>
        <v>5.0015122877936136E-7</v>
      </c>
    </row>
    <row r="67" spans="2:23">
      <c r="B67" s="116">
        <f>Amnt_Deposited!B62</f>
        <v>2048</v>
      </c>
      <c r="C67" s="119">
        <f>Amnt_Deposited!C62</f>
        <v>0</v>
      </c>
      <c r="D67" s="453">
        <f>Dry_Matter_Content!C54</f>
        <v>0.59</v>
      </c>
      <c r="E67" s="319">
        <f>MCF!R66</f>
        <v>0.8</v>
      </c>
      <c r="F67" s="87">
        <f t="shared" si="12"/>
        <v>0</v>
      </c>
      <c r="G67" s="87">
        <f t="shared" si="13"/>
        <v>0</v>
      </c>
      <c r="H67" s="87">
        <f t="shared" si="14"/>
        <v>0</v>
      </c>
      <c r="I67" s="87">
        <f t="shared" si="15"/>
        <v>1.5283007350436324E-6</v>
      </c>
      <c r="J67" s="87">
        <f t="shared" si="16"/>
        <v>7.5165604691776565E-7</v>
      </c>
      <c r="K67" s="120">
        <f t="shared" si="6"/>
        <v>5.0110403127851043E-7</v>
      </c>
      <c r="O67" s="116">
        <f>Amnt_Deposited!B62</f>
        <v>2048</v>
      </c>
      <c r="P67" s="119">
        <f>Amnt_Deposited!C62</f>
        <v>0</v>
      </c>
      <c r="Q67" s="319">
        <f>MCF!R66</f>
        <v>0.8</v>
      </c>
      <c r="R67" s="87">
        <f t="shared" si="17"/>
        <v>0</v>
      </c>
      <c r="S67" s="87">
        <f t="shared" si="7"/>
        <v>0</v>
      </c>
      <c r="T67" s="87">
        <f t="shared" si="8"/>
        <v>0</v>
      </c>
      <c r="U67" s="87">
        <f t="shared" si="9"/>
        <v>1.0225027219292815E-6</v>
      </c>
      <c r="V67" s="87">
        <f t="shared" si="10"/>
        <v>5.0289209205024471E-7</v>
      </c>
      <c r="W67" s="120">
        <f t="shared" si="11"/>
        <v>3.3526139470016313E-7</v>
      </c>
    </row>
    <row r="68" spans="2:23">
      <c r="B68" s="116">
        <f>Amnt_Deposited!B63</f>
        <v>2049</v>
      </c>
      <c r="C68" s="119">
        <f>Amnt_Deposited!C63</f>
        <v>0</v>
      </c>
      <c r="D68" s="453">
        <f>Dry_Matter_Content!C55</f>
        <v>0.59</v>
      </c>
      <c r="E68" s="319">
        <f>MCF!R67</f>
        <v>0.8</v>
      </c>
      <c r="F68" s="87">
        <f t="shared" si="12"/>
        <v>0</v>
      </c>
      <c r="G68" s="87">
        <f t="shared" si="13"/>
        <v>0</v>
      </c>
      <c r="H68" s="87">
        <f t="shared" si="14"/>
        <v>0</v>
      </c>
      <c r="I68" s="87">
        <f t="shared" si="15"/>
        <v>1.0244506190707491E-6</v>
      </c>
      <c r="J68" s="87">
        <f t="shared" si="16"/>
        <v>5.0385011597288335E-7</v>
      </c>
      <c r="K68" s="120">
        <f t="shared" si="6"/>
        <v>3.3590007731525555E-7</v>
      </c>
      <c r="O68" s="116">
        <f>Amnt_Deposited!B63</f>
        <v>2049</v>
      </c>
      <c r="P68" s="119">
        <f>Amnt_Deposited!C63</f>
        <v>0</v>
      </c>
      <c r="Q68" s="319">
        <f>MCF!R67</f>
        <v>0.8</v>
      </c>
      <c r="R68" s="87">
        <f t="shared" si="17"/>
        <v>0</v>
      </c>
      <c r="S68" s="87">
        <f t="shared" si="7"/>
        <v>0</v>
      </c>
      <c r="T68" s="87">
        <f t="shared" si="8"/>
        <v>0</v>
      </c>
      <c r="U68" s="87">
        <f t="shared" si="9"/>
        <v>6.8540407163520248E-7</v>
      </c>
      <c r="V68" s="87">
        <f t="shared" si="10"/>
        <v>3.3709865029407903E-7</v>
      </c>
      <c r="W68" s="120">
        <f t="shared" si="11"/>
        <v>2.2473243352938602E-7</v>
      </c>
    </row>
    <row r="69" spans="2:23">
      <c r="B69" s="116">
        <f>Amnt_Deposited!B64</f>
        <v>2050</v>
      </c>
      <c r="C69" s="119">
        <f>Amnt_Deposited!C64</f>
        <v>0</v>
      </c>
      <c r="D69" s="453">
        <f>Dry_Matter_Content!C56</f>
        <v>0.59</v>
      </c>
      <c r="E69" s="319">
        <f>MCF!R68</f>
        <v>0.8</v>
      </c>
      <c r="F69" s="87">
        <f t="shared" si="12"/>
        <v>0</v>
      </c>
      <c r="G69" s="87">
        <f t="shared" si="13"/>
        <v>0</v>
      </c>
      <c r="H69" s="87">
        <f t="shared" si="14"/>
        <v>0</v>
      </c>
      <c r="I69" s="87">
        <f t="shared" si="15"/>
        <v>6.8670978613674368E-7</v>
      </c>
      <c r="J69" s="87">
        <f t="shared" si="16"/>
        <v>3.3774083293400534E-7</v>
      </c>
      <c r="K69" s="120">
        <f t="shared" si="6"/>
        <v>2.2516055528933689E-7</v>
      </c>
      <c r="O69" s="116">
        <f>Amnt_Deposited!B64</f>
        <v>2050</v>
      </c>
      <c r="P69" s="119">
        <f>Amnt_Deposited!C64</f>
        <v>0</v>
      </c>
      <c r="Q69" s="319">
        <f>MCF!R68</f>
        <v>0.8</v>
      </c>
      <c r="R69" s="87">
        <f t="shared" si="17"/>
        <v>0</v>
      </c>
      <c r="S69" s="87">
        <f t="shared" si="7"/>
        <v>0</v>
      </c>
      <c r="T69" s="87">
        <f t="shared" si="8"/>
        <v>0</v>
      </c>
      <c r="U69" s="87">
        <f t="shared" si="9"/>
        <v>4.5944008885152354E-7</v>
      </c>
      <c r="V69" s="87">
        <f t="shared" si="10"/>
        <v>2.2596398278367892E-7</v>
      </c>
      <c r="W69" s="120">
        <f t="shared" si="11"/>
        <v>1.5064265518911927E-7</v>
      </c>
    </row>
    <row r="70" spans="2:23">
      <c r="B70" s="116">
        <f>Amnt_Deposited!B65</f>
        <v>2051</v>
      </c>
      <c r="C70" s="119">
        <f>Amnt_Deposited!C65</f>
        <v>0</v>
      </c>
      <c r="D70" s="453">
        <f>Dry_Matter_Content!C57</f>
        <v>0.59</v>
      </c>
      <c r="E70" s="319">
        <f>MCF!R69</f>
        <v>0.8</v>
      </c>
      <c r="F70" s="87">
        <f t="shared" si="12"/>
        <v>0</v>
      </c>
      <c r="G70" s="87">
        <f t="shared" si="13"/>
        <v>0</v>
      </c>
      <c r="H70" s="87">
        <f t="shared" si="14"/>
        <v>0</v>
      </c>
      <c r="I70" s="87">
        <f t="shared" si="15"/>
        <v>4.6031533545630607E-7</v>
      </c>
      <c r="J70" s="87">
        <f t="shared" si="16"/>
        <v>2.2639445068043761E-7</v>
      </c>
      <c r="K70" s="120">
        <f t="shared" si="6"/>
        <v>1.5092963378695839E-7</v>
      </c>
      <c r="O70" s="116">
        <f>Amnt_Deposited!B65</f>
        <v>2051</v>
      </c>
      <c r="P70" s="119">
        <f>Amnt_Deposited!C65</f>
        <v>0</v>
      </c>
      <c r="Q70" s="319">
        <f>MCF!R69</f>
        <v>0.8</v>
      </c>
      <c r="R70" s="87">
        <f t="shared" si="17"/>
        <v>0</v>
      </c>
      <c r="S70" s="87">
        <f t="shared" si="7"/>
        <v>0</v>
      </c>
      <c r="T70" s="87">
        <f t="shared" si="8"/>
        <v>0</v>
      </c>
      <c r="U70" s="87">
        <f t="shared" si="9"/>
        <v>3.0797190150957146E-7</v>
      </c>
      <c r="V70" s="87">
        <f t="shared" si="10"/>
        <v>1.5146818734195205E-7</v>
      </c>
      <c r="W70" s="120">
        <f t="shared" si="11"/>
        <v>1.0097879156130137E-7</v>
      </c>
    </row>
    <row r="71" spans="2:23">
      <c r="B71" s="116">
        <f>Amnt_Deposited!B66</f>
        <v>2052</v>
      </c>
      <c r="C71" s="119">
        <f>Amnt_Deposited!C66</f>
        <v>0</v>
      </c>
      <c r="D71" s="453">
        <f>Dry_Matter_Content!C58</f>
        <v>0.59</v>
      </c>
      <c r="E71" s="319">
        <f>MCF!R70</f>
        <v>0.8</v>
      </c>
      <c r="F71" s="87">
        <f t="shared" si="12"/>
        <v>0</v>
      </c>
      <c r="G71" s="87">
        <f t="shared" si="13"/>
        <v>0</v>
      </c>
      <c r="H71" s="87">
        <f t="shared" si="14"/>
        <v>0</v>
      </c>
      <c r="I71" s="87">
        <f t="shared" si="15"/>
        <v>3.0855859685398184E-7</v>
      </c>
      <c r="J71" s="87">
        <f t="shared" si="16"/>
        <v>1.5175673860232423E-7</v>
      </c>
      <c r="K71" s="120">
        <f t="shared" si="6"/>
        <v>1.0117115906821615E-7</v>
      </c>
      <c r="O71" s="116">
        <f>Amnt_Deposited!B66</f>
        <v>2052</v>
      </c>
      <c r="P71" s="119">
        <f>Amnt_Deposited!C66</f>
        <v>0</v>
      </c>
      <c r="Q71" s="319">
        <f>MCF!R70</f>
        <v>0.8</v>
      </c>
      <c r="R71" s="87">
        <f t="shared" si="17"/>
        <v>0</v>
      </c>
      <c r="S71" s="87">
        <f t="shared" si="7"/>
        <v>0</v>
      </c>
      <c r="T71" s="87">
        <f t="shared" si="8"/>
        <v>0</v>
      </c>
      <c r="U71" s="87">
        <f t="shared" si="9"/>
        <v>2.0643973919757932E-7</v>
      </c>
      <c r="V71" s="87">
        <f t="shared" si="10"/>
        <v>1.0153216231199214E-7</v>
      </c>
      <c r="W71" s="120">
        <f t="shared" si="11"/>
        <v>6.7688108207994749E-8</v>
      </c>
    </row>
    <row r="72" spans="2:23">
      <c r="B72" s="116">
        <f>Amnt_Deposited!B67</f>
        <v>2053</v>
      </c>
      <c r="C72" s="119">
        <f>Amnt_Deposited!C67</f>
        <v>0</v>
      </c>
      <c r="D72" s="453">
        <f>Dry_Matter_Content!C59</f>
        <v>0.59</v>
      </c>
      <c r="E72" s="319">
        <f>MCF!R71</f>
        <v>0.8</v>
      </c>
      <c r="F72" s="87">
        <f t="shared" si="12"/>
        <v>0</v>
      </c>
      <c r="G72" s="87">
        <f t="shared" si="13"/>
        <v>0</v>
      </c>
      <c r="H72" s="87">
        <f t="shared" si="14"/>
        <v>0</v>
      </c>
      <c r="I72" s="87">
        <f t="shared" si="15"/>
        <v>2.0683301284785338E-7</v>
      </c>
      <c r="J72" s="87">
        <f t="shared" si="16"/>
        <v>1.0172558400612846E-7</v>
      </c>
      <c r="K72" s="120">
        <f t="shared" si="6"/>
        <v>6.7817056004085633E-8</v>
      </c>
      <c r="O72" s="116">
        <f>Amnt_Deposited!B67</f>
        <v>2053</v>
      </c>
      <c r="P72" s="119">
        <f>Amnt_Deposited!C67</f>
        <v>0</v>
      </c>
      <c r="Q72" s="319">
        <f>MCF!R71</f>
        <v>0.8</v>
      </c>
      <c r="R72" s="87">
        <f t="shared" si="17"/>
        <v>0</v>
      </c>
      <c r="S72" s="87">
        <f t="shared" si="7"/>
        <v>0</v>
      </c>
      <c r="T72" s="87">
        <f t="shared" si="8"/>
        <v>0</v>
      </c>
      <c r="U72" s="87">
        <f t="shared" si="9"/>
        <v>1.3838069548250674E-7</v>
      </c>
      <c r="V72" s="87">
        <f t="shared" si="10"/>
        <v>6.8059043715072571E-8</v>
      </c>
      <c r="W72" s="120">
        <f t="shared" si="11"/>
        <v>4.5372695810048376E-8</v>
      </c>
    </row>
    <row r="73" spans="2:23">
      <c r="B73" s="116">
        <f>Amnt_Deposited!B68</f>
        <v>2054</v>
      </c>
      <c r="C73" s="119">
        <f>Amnt_Deposited!C68</f>
        <v>0</v>
      </c>
      <c r="D73" s="453">
        <f>Dry_Matter_Content!C60</f>
        <v>0.59</v>
      </c>
      <c r="E73" s="319">
        <f>MCF!R72</f>
        <v>0.8</v>
      </c>
      <c r="F73" s="87">
        <f t="shared" si="12"/>
        <v>0</v>
      </c>
      <c r="G73" s="87">
        <f t="shared" si="13"/>
        <v>0</v>
      </c>
      <c r="H73" s="87">
        <f t="shared" si="14"/>
        <v>0</v>
      </c>
      <c r="I73" s="87">
        <f t="shared" si="15"/>
        <v>1.3864431469386306E-7</v>
      </c>
      <c r="J73" s="87">
        <f t="shared" si="16"/>
        <v>6.8188698153990318E-8</v>
      </c>
      <c r="K73" s="120">
        <f t="shared" si="6"/>
        <v>4.5459132102660207E-8</v>
      </c>
      <c r="O73" s="116">
        <f>Amnt_Deposited!B68</f>
        <v>2054</v>
      </c>
      <c r="P73" s="119">
        <f>Amnt_Deposited!C68</f>
        <v>0</v>
      </c>
      <c r="Q73" s="319">
        <f>MCF!R72</f>
        <v>0.8</v>
      </c>
      <c r="R73" s="87">
        <f t="shared" si="17"/>
        <v>0</v>
      </c>
      <c r="S73" s="87">
        <f t="shared" si="7"/>
        <v>0</v>
      </c>
      <c r="T73" s="87">
        <f t="shared" si="8"/>
        <v>0</v>
      </c>
      <c r="U73" s="87">
        <f t="shared" si="9"/>
        <v>9.2759354166277707E-8</v>
      </c>
      <c r="V73" s="87">
        <f t="shared" si="10"/>
        <v>4.5621341316229032E-8</v>
      </c>
      <c r="W73" s="120">
        <f t="shared" si="11"/>
        <v>3.0414227544152686E-8</v>
      </c>
    </row>
    <row r="74" spans="2:23">
      <c r="B74" s="116">
        <f>Amnt_Deposited!B69</f>
        <v>2055</v>
      </c>
      <c r="C74" s="119">
        <f>Amnt_Deposited!C69</f>
        <v>0</v>
      </c>
      <c r="D74" s="453">
        <f>Dry_Matter_Content!C61</f>
        <v>0.59</v>
      </c>
      <c r="E74" s="319">
        <f>MCF!R73</f>
        <v>0.8</v>
      </c>
      <c r="F74" s="87">
        <f t="shared" si="12"/>
        <v>0</v>
      </c>
      <c r="G74" s="87">
        <f t="shared" si="13"/>
        <v>0</v>
      </c>
      <c r="H74" s="87">
        <f t="shared" si="14"/>
        <v>0</v>
      </c>
      <c r="I74" s="87">
        <f t="shared" si="15"/>
        <v>9.2936063408169953E-8</v>
      </c>
      <c r="J74" s="87">
        <f t="shared" si="16"/>
        <v>4.5708251285693108E-8</v>
      </c>
      <c r="K74" s="120">
        <f t="shared" si="6"/>
        <v>3.0472167523795401E-8</v>
      </c>
      <c r="O74" s="116">
        <f>Amnt_Deposited!B69</f>
        <v>2055</v>
      </c>
      <c r="P74" s="119">
        <f>Amnt_Deposited!C69</f>
        <v>0</v>
      </c>
      <c r="Q74" s="319">
        <f>MCF!R73</f>
        <v>0.8</v>
      </c>
      <c r="R74" s="87">
        <f t="shared" si="17"/>
        <v>0</v>
      </c>
      <c r="S74" s="87">
        <f t="shared" si="7"/>
        <v>0</v>
      </c>
      <c r="T74" s="87">
        <f t="shared" si="8"/>
        <v>0</v>
      </c>
      <c r="U74" s="87">
        <f t="shared" si="9"/>
        <v>6.217845455497544E-8</v>
      </c>
      <c r="V74" s="87">
        <f t="shared" si="10"/>
        <v>3.058089961130226E-8</v>
      </c>
      <c r="W74" s="120">
        <f t="shared" si="11"/>
        <v>2.0387266407534839E-8</v>
      </c>
    </row>
    <row r="75" spans="2:23">
      <c r="B75" s="116">
        <f>Amnt_Deposited!B70</f>
        <v>2056</v>
      </c>
      <c r="C75" s="119">
        <f>Amnt_Deposited!C70</f>
        <v>0</v>
      </c>
      <c r="D75" s="453">
        <f>Dry_Matter_Content!C62</f>
        <v>0.59</v>
      </c>
      <c r="E75" s="319">
        <f>MCF!R74</f>
        <v>0.8</v>
      </c>
      <c r="F75" s="87">
        <f t="shared" si="12"/>
        <v>0</v>
      </c>
      <c r="G75" s="87">
        <f t="shared" si="13"/>
        <v>0</v>
      </c>
      <c r="H75" s="87">
        <f t="shared" si="14"/>
        <v>0</v>
      </c>
      <c r="I75" s="87">
        <f t="shared" si="15"/>
        <v>6.2296906302135575E-8</v>
      </c>
      <c r="J75" s="87">
        <f t="shared" si="16"/>
        <v>3.0639157106034378E-8</v>
      </c>
      <c r="K75" s="120">
        <f t="shared" si="6"/>
        <v>2.042610473735625E-8</v>
      </c>
      <c r="O75" s="116">
        <f>Amnt_Deposited!B70</f>
        <v>2056</v>
      </c>
      <c r="P75" s="119">
        <f>Amnt_Deposited!C70</f>
        <v>0</v>
      </c>
      <c r="Q75" s="319">
        <f>MCF!R74</f>
        <v>0.8</v>
      </c>
      <c r="R75" s="87">
        <f t="shared" si="17"/>
        <v>0</v>
      </c>
      <c r="S75" s="87">
        <f t="shared" si="7"/>
        <v>0</v>
      </c>
      <c r="T75" s="87">
        <f t="shared" si="8"/>
        <v>0</v>
      </c>
      <c r="U75" s="87">
        <f t="shared" si="9"/>
        <v>4.1679464519716045E-8</v>
      </c>
      <c r="V75" s="87">
        <f t="shared" si="10"/>
        <v>2.0498990035259395E-8</v>
      </c>
      <c r="W75" s="120">
        <f t="shared" si="11"/>
        <v>1.3665993356839596E-8</v>
      </c>
    </row>
    <row r="76" spans="2:23">
      <c r="B76" s="116">
        <f>Amnt_Deposited!B71</f>
        <v>2057</v>
      </c>
      <c r="C76" s="119">
        <f>Amnt_Deposited!C71</f>
        <v>0</v>
      </c>
      <c r="D76" s="453">
        <f>Dry_Matter_Content!C63</f>
        <v>0.59</v>
      </c>
      <c r="E76" s="319">
        <f>MCF!R75</f>
        <v>0.8</v>
      </c>
      <c r="F76" s="87">
        <f t="shared" si="12"/>
        <v>0</v>
      </c>
      <c r="G76" s="87">
        <f t="shared" si="13"/>
        <v>0</v>
      </c>
      <c r="H76" s="87">
        <f t="shared" si="14"/>
        <v>0</v>
      </c>
      <c r="I76" s="87">
        <f t="shared" si="15"/>
        <v>4.1758865100325431E-8</v>
      </c>
      <c r="J76" s="87">
        <f t="shared" si="16"/>
        <v>2.0538041201810147E-8</v>
      </c>
      <c r="K76" s="120">
        <f t="shared" si="6"/>
        <v>1.3692027467873432E-8</v>
      </c>
      <c r="O76" s="116">
        <f>Amnt_Deposited!B71</f>
        <v>2057</v>
      </c>
      <c r="P76" s="119">
        <f>Amnt_Deposited!C71</f>
        <v>0</v>
      </c>
      <c r="Q76" s="319">
        <f>MCF!R75</f>
        <v>0.8</v>
      </c>
      <c r="R76" s="87">
        <f t="shared" si="17"/>
        <v>0</v>
      </c>
      <c r="S76" s="87">
        <f t="shared" si="7"/>
        <v>0</v>
      </c>
      <c r="T76" s="87">
        <f t="shared" si="8"/>
        <v>0</v>
      </c>
      <c r="U76" s="87">
        <f t="shared" si="9"/>
        <v>2.7938580575596857E-8</v>
      </c>
      <c r="V76" s="87">
        <f t="shared" si="10"/>
        <v>1.374088394411919E-8</v>
      </c>
      <c r="W76" s="120">
        <f t="shared" si="11"/>
        <v>9.1605892960794599E-9</v>
      </c>
    </row>
    <row r="77" spans="2:23">
      <c r="B77" s="116">
        <f>Amnt_Deposited!B72</f>
        <v>2058</v>
      </c>
      <c r="C77" s="119">
        <f>Amnt_Deposited!C72</f>
        <v>0</v>
      </c>
      <c r="D77" s="453">
        <f>Dry_Matter_Content!C64</f>
        <v>0.59</v>
      </c>
      <c r="E77" s="319">
        <f>MCF!R76</f>
        <v>0.8</v>
      </c>
      <c r="F77" s="87">
        <f t="shared" si="12"/>
        <v>0</v>
      </c>
      <c r="G77" s="87">
        <f t="shared" si="13"/>
        <v>0</v>
      </c>
      <c r="H77" s="87">
        <f t="shared" si="14"/>
        <v>0</v>
      </c>
      <c r="I77" s="87">
        <f t="shared" si="15"/>
        <v>2.7991804376446195E-8</v>
      </c>
      <c r="J77" s="87">
        <f t="shared" si="16"/>
        <v>1.3767060723879236E-8</v>
      </c>
      <c r="K77" s="120">
        <f t="shared" si="6"/>
        <v>9.1780404825861566E-9</v>
      </c>
      <c r="O77" s="116">
        <f>Amnt_Deposited!B72</f>
        <v>2058</v>
      </c>
      <c r="P77" s="119">
        <f>Amnt_Deposited!C72</f>
        <v>0</v>
      </c>
      <c r="Q77" s="319">
        <f>MCF!R76</f>
        <v>0.8</v>
      </c>
      <c r="R77" s="87">
        <f t="shared" si="17"/>
        <v>0</v>
      </c>
      <c r="S77" s="87">
        <f t="shared" si="7"/>
        <v>0</v>
      </c>
      <c r="T77" s="87">
        <f t="shared" si="8"/>
        <v>0</v>
      </c>
      <c r="U77" s="87">
        <f t="shared" si="9"/>
        <v>1.8727790617604505E-8</v>
      </c>
      <c r="V77" s="87">
        <f t="shared" si="10"/>
        <v>9.2107899579923537E-9</v>
      </c>
      <c r="W77" s="120">
        <f t="shared" si="11"/>
        <v>6.1405266386615688E-9</v>
      </c>
    </row>
    <row r="78" spans="2:23">
      <c r="B78" s="116">
        <f>Amnt_Deposited!B73</f>
        <v>2059</v>
      </c>
      <c r="C78" s="119">
        <f>Amnt_Deposited!C73</f>
        <v>0</v>
      </c>
      <c r="D78" s="453">
        <f>Dry_Matter_Content!C65</f>
        <v>0.59</v>
      </c>
      <c r="E78" s="319">
        <f>MCF!R77</f>
        <v>0.8</v>
      </c>
      <c r="F78" s="87">
        <f t="shared" si="12"/>
        <v>0</v>
      </c>
      <c r="G78" s="87">
        <f t="shared" si="13"/>
        <v>0</v>
      </c>
      <c r="H78" s="87">
        <f t="shared" si="14"/>
        <v>0</v>
      </c>
      <c r="I78" s="87">
        <f t="shared" si="15"/>
        <v>1.8763467598240025E-8</v>
      </c>
      <c r="J78" s="87">
        <f t="shared" si="16"/>
        <v>9.2283367782061713E-9</v>
      </c>
      <c r="K78" s="120">
        <f t="shared" si="6"/>
        <v>6.1522245188041139E-9</v>
      </c>
      <c r="O78" s="116">
        <f>Amnt_Deposited!B73</f>
        <v>2059</v>
      </c>
      <c r="P78" s="119">
        <f>Amnt_Deposited!C73</f>
        <v>0</v>
      </c>
      <c r="Q78" s="319">
        <f>MCF!R77</f>
        <v>0.8</v>
      </c>
      <c r="R78" s="87">
        <f t="shared" si="17"/>
        <v>0</v>
      </c>
      <c r="S78" s="87">
        <f t="shared" si="7"/>
        <v>0</v>
      </c>
      <c r="T78" s="87">
        <f t="shared" si="8"/>
        <v>0</v>
      </c>
      <c r="U78" s="87">
        <f t="shared" si="9"/>
        <v>1.2553613468938465E-8</v>
      </c>
      <c r="V78" s="87">
        <f t="shared" si="10"/>
        <v>6.1741771486660387E-9</v>
      </c>
      <c r="W78" s="120">
        <f t="shared" si="11"/>
        <v>4.1161180991106922E-9</v>
      </c>
    </row>
    <row r="79" spans="2:23">
      <c r="B79" s="116">
        <f>Amnt_Deposited!B74</f>
        <v>2060</v>
      </c>
      <c r="C79" s="119">
        <f>Amnt_Deposited!C74</f>
        <v>0</v>
      </c>
      <c r="D79" s="453">
        <f>Dry_Matter_Content!C66</f>
        <v>0.59</v>
      </c>
      <c r="E79" s="319">
        <f>MCF!R78</f>
        <v>0.8</v>
      </c>
      <c r="F79" s="87">
        <f t="shared" si="12"/>
        <v>0</v>
      </c>
      <c r="G79" s="87">
        <f t="shared" si="13"/>
        <v>0</v>
      </c>
      <c r="H79" s="87">
        <f t="shared" si="14"/>
        <v>0</v>
      </c>
      <c r="I79" s="87">
        <f t="shared" si="15"/>
        <v>1.2577528464240481E-8</v>
      </c>
      <c r="J79" s="87">
        <f t="shared" si="16"/>
        <v>6.1859391339995447E-9</v>
      </c>
      <c r="K79" s="120">
        <f t="shared" si="6"/>
        <v>4.1239594226663631E-9</v>
      </c>
      <c r="O79" s="116">
        <f>Amnt_Deposited!B74</f>
        <v>2060</v>
      </c>
      <c r="P79" s="119">
        <f>Amnt_Deposited!C74</f>
        <v>0</v>
      </c>
      <c r="Q79" s="319">
        <f>MCF!R78</f>
        <v>0.8</v>
      </c>
      <c r="R79" s="87">
        <f t="shared" si="17"/>
        <v>0</v>
      </c>
      <c r="S79" s="87">
        <f t="shared" si="7"/>
        <v>0</v>
      </c>
      <c r="T79" s="87">
        <f t="shared" si="8"/>
        <v>0</v>
      </c>
      <c r="U79" s="87">
        <f t="shared" si="9"/>
        <v>8.414938758412454E-9</v>
      </c>
      <c r="V79" s="87">
        <f t="shared" si="10"/>
        <v>4.138674710526011E-9</v>
      </c>
      <c r="W79" s="120">
        <f t="shared" si="11"/>
        <v>2.7591164736840073E-9</v>
      </c>
    </row>
    <row r="80" spans="2:23">
      <c r="B80" s="116">
        <f>Amnt_Deposited!B75</f>
        <v>2061</v>
      </c>
      <c r="C80" s="119">
        <f>Amnt_Deposited!C75</f>
        <v>0</v>
      </c>
      <c r="D80" s="453">
        <f>Dry_Matter_Content!C67</f>
        <v>0.59</v>
      </c>
      <c r="E80" s="319">
        <f>MCF!R79</f>
        <v>0.8</v>
      </c>
      <c r="F80" s="87">
        <f t="shared" si="12"/>
        <v>0</v>
      </c>
      <c r="G80" s="87">
        <f t="shared" si="13"/>
        <v>0</v>
      </c>
      <c r="H80" s="87">
        <f t="shared" si="14"/>
        <v>0</v>
      </c>
      <c r="I80" s="87">
        <f t="shared" si="15"/>
        <v>8.4309694591642436E-9</v>
      </c>
      <c r="J80" s="87">
        <f t="shared" si="16"/>
        <v>4.1465590050762377E-9</v>
      </c>
      <c r="K80" s="120">
        <f t="shared" si="6"/>
        <v>2.764372670050825E-9</v>
      </c>
      <c r="O80" s="116">
        <f>Amnt_Deposited!B75</f>
        <v>2061</v>
      </c>
      <c r="P80" s="119">
        <f>Amnt_Deposited!C75</f>
        <v>0</v>
      </c>
      <c r="Q80" s="319">
        <f>MCF!R79</f>
        <v>0.8</v>
      </c>
      <c r="R80" s="87">
        <f t="shared" si="17"/>
        <v>0</v>
      </c>
      <c r="S80" s="87">
        <f t="shared" si="7"/>
        <v>0</v>
      </c>
      <c r="T80" s="87">
        <f t="shared" si="8"/>
        <v>0</v>
      </c>
      <c r="U80" s="87">
        <f t="shared" si="9"/>
        <v>5.6407021359261216E-9</v>
      </c>
      <c r="V80" s="87">
        <f t="shared" si="10"/>
        <v>2.774236622486332E-9</v>
      </c>
      <c r="W80" s="120">
        <f t="shared" si="11"/>
        <v>1.8494910816575546E-9</v>
      </c>
    </row>
    <row r="81" spans="2:23">
      <c r="B81" s="116">
        <f>Amnt_Deposited!B76</f>
        <v>2062</v>
      </c>
      <c r="C81" s="119">
        <f>Amnt_Deposited!C76</f>
        <v>0</v>
      </c>
      <c r="D81" s="453">
        <f>Dry_Matter_Content!C68</f>
        <v>0.59</v>
      </c>
      <c r="E81" s="319">
        <f>MCF!R80</f>
        <v>0.8</v>
      </c>
      <c r="F81" s="87">
        <f t="shared" si="12"/>
        <v>0</v>
      </c>
      <c r="G81" s="87">
        <f t="shared" si="13"/>
        <v>0</v>
      </c>
      <c r="H81" s="87">
        <f t="shared" si="14"/>
        <v>0</v>
      </c>
      <c r="I81" s="87">
        <f t="shared" si="15"/>
        <v>5.6514478359920447E-9</v>
      </c>
      <c r="J81" s="87">
        <f t="shared" si="16"/>
        <v>2.7795216231721985E-9</v>
      </c>
      <c r="K81" s="120">
        <f t="shared" si="6"/>
        <v>1.8530144154481322E-9</v>
      </c>
      <c r="O81" s="116">
        <f>Amnt_Deposited!B76</f>
        <v>2062</v>
      </c>
      <c r="P81" s="119">
        <f>Amnt_Deposited!C76</f>
        <v>0</v>
      </c>
      <c r="Q81" s="319">
        <f>MCF!R80</f>
        <v>0.8</v>
      </c>
      <c r="R81" s="87">
        <f t="shared" si="17"/>
        <v>0</v>
      </c>
      <c r="S81" s="87">
        <f t="shared" si="7"/>
        <v>0</v>
      </c>
      <c r="T81" s="87">
        <f t="shared" si="8"/>
        <v>0</v>
      </c>
      <c r="U81" s="87">
        <f t="shared" si="9"/>
        <v>3.7810757154273273E-9</v>
      </c>
      <c r="V81" s="87">
        <f t="shared" si="10"/>
        <v>1.8596264204987948E-9</v>
      </c>
      <c r="W81" s="120">
        <f t="shared" si="11"/>
        <v>1.2397509469991964E-9</v>
      </c>
    </row>
    <row r="82" spans="2:23">
      <c r="B82" s="116">
        <f>Amnt_Deposited!B77</f>
        <v>2063</v>
      </c>
      <c r="C82" s="119">
        <f>Amnt_Deposited!C77</f>
        <v>0</v>
      </c>
      <c r="D82" s="453">
        <f>Dry_Matter_Content!C69</f>
        <v>0.59</v>
      </c>
      <c r="E82" s="319">
        <f>MCF!R81</f>
        <v>0.8</v>
      </c>
      <c r="F82" s="87">
        <f t="shared" si="12"/>
        <v>0</v>
      </c>
      <c r="G82" s="87">
        <f t="shared" si="13"/>
        <v>0</v>
      </c>
      <c r="H82" s="87">
        <f t="shared" si="14"/>
        <v>0</v>
      </c>
      <c r="I82" s="87">
        <f t="shared" si="15"/>
        <v>3.7882787735902019E-9</v>
      </c>
      <c r="J82" s="87">
        <f t="shared" si="16"/>
        <v>1.8631690624018432E-9</v>
      </c>
      <c r="K82" s="120">
        <f t="shared" si="6"/>
        <v>1.2421127082678954E-9</v>
      </c>
      <c r="O82" s="116">
        <f>Amnt_Deposited!B77</f>
        <v>2063</v>
      </c>
      <c r="P82" s="119">
        <f>Amnt_Deposited!C77</f>
        <v>0</v>
      </c>
      <c r="Q82" s="319">
        <f>MCF!R81</f>
        <v>0.8</v>
      </c>
      <c r="R82" s="87">
        <f t="shared" si="17"/>
        <v>0</v>
      </c>
      <c r="S82" s="87">
        <f t="shared" si="7"/>
        <v>0</v>
      </c>
      <c r="T82" s="87">
        <f t="shared" si="8"/>
        <v>0</v>
      </c>
      <c r="U82" s="87">
        <f t="shared" si="9"/>
        <v>2.5345308476294838E-9</v>
      </c>
      <c r="V82" s="87">
        <f t="shared" si="10"/>
        <v>1.2465448677978433E-9</v>
      </c>
      <c r="W82" s="120">
        <f t="shared" si="11"/>
        <v>8.3102991186522878E-10</v>
      </c>
    </row>
    <row r="83" spans="2:23">
      <c r="B83" s="116">
        <f>Amnt_Deposited!B78</f>
        <v>2064</v>
      </c>
      <c r="C83" s="119">
        <f>Amnt_Deposited!C78</f>
        <v>0</v>
      </c>
      <c r="D83" s="453">
        <f>Dry_Matter_Content!C70</f>
        <v>0.59</v>
      </c>
      <c r="E83" s="319">
        <f>MCF!R82</f>
        <v>0.8</v>
      </c>
      <c r="F83" s="87">
        <f t="shared" ref="F83:F99" si="18">C83*D83*$K$6*DOCF*E83</f>
        <v>0</v>
      </c>
      <c r="G83" s="87">
        <f t="shared" ref="G83:G99" si="19">F83*$K$12</f>
        <v>0</v>
      </c>
      <c r="H83" s="87">
        <f t="shared" ref="H83:H99" si="20">F83*(1-$K$12)</f>
        <v>0</v>
      </c>
      <c r="I83" s="87">
        <f t="shared" ref="I83:I99" si="21">G83+I82*$K$10</f>
        <v>2.5393592019088193E-9</v>
      </c>
      <c r="J83" s="87">
        <f t="shared" ref="J83:J99" si="22">I82*(1-$K$10)+H83</f>
        <v>1.2489195716813825E-9</v>
      </c>
      <c r="K83" s="120">
        <f t="shared" si="6"/>
        <v>8.3261304778758833E-10</v>
      </c>
      <c r="O83" s="116">
        <f>Amnt_Deposited!B78</f>
        <v>2064</v>
      </c>
      <c r="P83" s="119">
        <f>Amnt_Deposited!C78</f>
        <v>0</v>
      </c>
      <c r="Q83" s="319">
        <f>MCF!R82</f>
        <v>0.8</v>
      </c>
      <c r="R83" s="87">
        <f t="shared" ref="R83:R99" si="23">P83*$W$6*DOCF*Q83</f>
        <v>0</v>
      </c>
      <c r="S83" s="87">
        <f t="shared" si="7"/>
        <v>0</v>
      </c>
      <c r="T83" s="87">
        <f t="shared" si="8"/>
        <v>0</v>
      </c>
      <c r="U83" s="87">
        <f t="shared" si="9"/>
        <v>1.6989468344617435E-9</v>
      </c>
      <c r="V83" s="87">
        <f t="shared" si="10"/>
        <v>8.3558401316774027E-10</v>
      </c>
      <c r="W83" s="120">
        <f t="shared" si="11"/>
        <v>5.5705600877849344E-10</v>
      </c>
    </row>
    <row r="84" spans="2:23">
      <c r="B84" s="116">
        <f>Amnt_Deposited!B79</f>
        <v>2065</v>
      </c>
      <c r="C84" s="119">
        <f>Amnt_Deposited!C79</f>
        <v>0</v>
      </c>
      <c r="D84" s="453">
        <f>Dry_Matter_Content!C71</f>
        <v>0.59</v>
      </c>
      <c r="E84" s="319">
        <f>MCF!R83</f>
        <v>0.8</v>
      </c>
      <c r="F84" s="87">
        <f t="shared" si="18"/>
        <v>0</v>
      </c>
      <c r="G84" s="87">
        <f t="shared" si="19"/>
        <v>0</v>
      </c>
      <c r="H84" s="87">
        <f t="shared" si="20"/>
        <v>0</v>
      </c>
      <c r="I84" s="87">
        <f t="shared" si="21"/>
        <v>1.7021833771245442E-9</v>
      </c>
      <c r="J84" s="87">
        <f t="shared" si="22"/>
        <v>8.3717582478427524E-10</v>
      </c>
      <c r="K84" s="120">
        <f t="shared" si="6"/>
        <v>5.5811721652285009E-10</v>
      </c>
      <c r="O84" s="116">
        <f>Amnt_Deposited!B79</f>
        <v>2065</v>
      </c>
      <c r="P84" s="119">
        <f>Amnt_Deposited!C79</f>
        <v>0</v>
      </c>
      <c r="Q84" s="319">
        <f>MCF!R83</f>
        <v>0.8</v>
      </c>
      <c r="R84" s="87">
        <f t="shared" si="23"/>
        <v>0</v>
      </c>
      <c r="S84" s="87">
        <f t="shared" si="7"/>
        <v>0</v>
      </c>
      <c r="T84" s="87">
        <f t="shared" si="8"/>
        <v>0</v>
      </c>
      <c r="U84" s="87">
        <f t="shared" si="9"/>
        <v>1.1388381202884996E-9</v>
      </c>
      <c r="V84" s="87">
        <f t="shared" si="10"/>
        <v>5.6010871417324394E-10</v>
      </c>
      <c r="W84" s="120">
        <f t="shared" si="11"/>
        <v>3.734058094488293E-10</v>
      </c>
    </row>
    <row r="85" spans="2:23">
      <c r="B85" s="116">
        <f>Amnt_Deposited!B80</f>
        <v>2066</v>
      </c>
      <c r="C85" s="119">
        <f>Amnt_Deposited!C80</f>
        <v>0</v>
      </c>
      <c r="D85" s="453">
        <f>Dry_Matter_Content!C72</f>
        <v>0.59</v>
      </c>
      <c r="E85" s="319">
        <f>MCF!R84</f>
        <v>0.8</v>
      </c>
      <c r="F85" s="87">
        <f t="shared" si="18"/>
        <v>0</v>
      </c>
      <c r="G85" s="87">
        <f t="shared" si="19"/>
        <v>0</v>
      </c>
      <c r="H85" s="87">
        <f t="shared" si="20"/>
        <v>0</v>
      </c>
      <c r="I85" s="87">
        <f t="shared" si="21"/>
        <v>1.1410076397152245E-9</v>
      </c>
      <c r="J85" s="87">
        <f t="shared" si="22"/>
        <v>5.6117573740931971E-10</v>
      </c>
      <c r="K85" s="120">
        <f t="shared" ref="K85:K99" si="24">J85*CH4_fraction*conv</f>
        <v>3.7411715827287977E-10</v>
      </c>
      <c r="O85" s="116">
        <f>Amnt_Deposited!B80</f>
        <v>2066</v>
      </c>
      <c r="P85" s="119">
        <f>Amnt_Deposited!C80</f>
        <v>0</v>
      </c>
      <c r="Q85" s="319">
        <f>MCF!R84</f>
        <v>0.8</v>
      </c>
      <c r="R85" s="87">
        <f t="shared" si="23"/>
        <v>0</v>
      </c>
      <c r="S85" s="87">
        <f t="shared" ref="S85:S98" si="25">R85*$W$12</f>
        <v>0</v>
      </c>
      <c r="T85" s="87">
        <f t="shared" ref="T85:T98" si="26">R85*(1-$W$12)</f>
        <v>0</v>
      </c>
      <c r="U85" s="87">
        <f t="shared" ref="U85:U98" si="27">S85+U84*$W$10</f>
        <v>7.6338602121892802E-10</v>
      </c>
      <c r="V85" s="87">
        <f t="shared" ref="V85:V98" si="28">U84*(1-$W$10)+T85</f>
        <v>3.7545209906957156E-10</v>
      </c>
      <c r="W85" s="120">
        <f t="shared" ref="W85:W99" si="29">V85*CH4_fraction*conv</f>
        <v>2.5030139937971436E-10</v>
      </c>
    </row>
    <row r="86" spans="2:23">
      <c r="B86" s="116">
        <f>Amnt_Deposited!B81</f>
        <v>2067</v>
      </c>
      <c r="C86" s="119">
        <f>Amnt_Deposited!C81</f>
        <v>0</v>
      </c>
      <c r="D86" s="453">
        <f>Dry_Matter_Content!C73</f>
        <v>0.59</v>
      </c>
      <c r="E86" s="319">
        <f>MCF!R85</f>
        <v>0.8</v>
      </c>
      <c r="F86" s="87">
        <f t="shared" si="18"/>
        <v>0</v>
      </c>
      <c r="G86" s="87">
        <f t="shared" si="19"/>
        <v>0</v>
      </c>
      <c r="H86" s="87">
        <f t="shared" si="20"/>
        <v>0</v>
      </c>
      <c r="I86" s="87">
        <f t="shared" si="21"/>
        <v>7.6484029358092543E-10</v>
      </c>
      <c r="J86" s="87">
        <f t="shared" si="22"/>
        <v>3.7616734613429904E-10</v>
      </c>
      <c r="K86" s="120">
        <f t="shared" si="24"/>
        <v>2.5077823075619932E-10</v>
      </c>
      <c r="O86" s="116">
        <f>Amnt_Deposited!B81</f>
        <v>2067</v>
      </c>
      <c r="P86" s="119">
        <f>Amnt_Deposited!C81</f>
        <v>0</v>
      </c>
      <c r="Q86" s="319">
        <f>MCF!R85</f>
        <v>0.8</v>
      </c>
      <c r="R86" s="87">
        <f t="shared" si="23"/>
        <v>0</v>
      </c>
      <c r="S86" s="87">
        <f t="shared" si="25"/>
        <v>0</v>
      </c>
      <c r="T86" s="87">
        <f t="shared" si="26"/>
        <v>0</v>
      </c>
      <c r="U86" s="87">
        <f t="shared" si="27"/>
        <v>5.1171295288643537E-10</v>
      </c>
      <c r="V86" s="87">
        <f t="shared" si="28"/>
        <v>2.5167306833249265E-10</v>
      </c>
      <c r="W86" s="120">
        <f t="shared" si="29"/>
        <v>1.677820455549951E-10</v>
      </c>
    </row>
    <row r="87" spans="2:23">
      <c r="B87" s="116">
        <f>Amnt_Deposited!B82</f>
        <v>2068</v>
      </c>
      <c r="C87" s="119">
        <f>Amnt_Deposited!C82</f>
        <v>0</v>
      </c>
      <c r="D87" s="453">
        <f>Dry_Matter_Content!C74</f>
        <v>0.59</v>
      </c>
      <c r="E87" s="319">
        <f>MCF!R86</f>
        <v>0.8</v>
      </c>
      <c r="F87" s="87">
        <f t="shared" si="18"/>
        <v>0</v>
      </c>
      <c r="G87" s="87">
        <f t="shared" si="19"/>
        <v>0</v>
      </c>
      <c r="H87" s="87">
        <f t="shared" si="20"/>
        <v>0</v>
      </c>
      <c r="I87" s="87">
        <f t="shared" si="21"/>
        <v>5.1268778080307786E-10</v>
      </c>
      <c r="J87" s="87">
        <f t="shared" si="22"/>
        <v>2.5215251277784762E-10</v>
      </c>
      <c r="K87" s="120">
        <f t="shared" si="24"/>
        <v>1.6810167518523173E-10</v>
      </c>
      <c r="O87" s="116">
        <f>Amnt_Deposited!B82</f>
        <v>2068</v>
      </c>
      <c r="P87" s="119">
        <f>Amnt_Deposited!C82</f>
        <v>0</v>
      </c>
      <c r="Q87" s="319">
        <f>MCF!R86</f>
        <v>0.8</v>
      </c>
      <c r="R87" s="87">
        <f t="shared" si="23"/>
        <v>0</v>
      </c>
      <c r="S87" s="87">
        <f t="shared" si="25"/>
        <v>0</v>
      </c>
      <c r="T87" s="87">
        <f t="shared" si="26"/>
        <v>0</v>
      </c>
      <c r="U87" s="87">
        <f t="shared" si="27"/>
        <v>3.4301145013586828E-10</v>
      </c>
      <c r="V87" s="87">
        <f t="shared" si="28"/>
        <v>1.6870150275056706E-10</v>
      </c>
      <c r="W87" s="120">
        <f t="shared" si="29"/>
        <v>1.1246766850037804E-10</v>
      </c>
    </row>
    <row r="88" spans="2:23">
      <c r="B88" s="116">
        <f>Amnt_Deposited!B83</f>
        <v>2069</v>
      </c>
      <c r="C88" s="119">
        <f>Amnt_Deposited!C83</f>
        <v>0</v>
      </c>
      <c r="D88" s="453">
        <f>Dry_Matter_Content!C75</f>
        <v>0.59</v>
      </c>
      <c r="E88" s="319">
        <f>MCF!R87</f>
        <v>0.8</v>
      </c>
      <c r="F88" s="87">
        <f t="shared" si="18"/>
        <v>0</v>
      </c>
      <c r="G88" s="87">
        <f t="shared" si="19"/>
        <v>0</v>
      </c>
      <c r="H88" s="87">
        <f t="shared" si="20"/>
        <v>0</v>
      </c>
      <c r="I88" s="87">
        <f t="shared" si="21"/>
        <v>3.436648968298289E-10</v>
      </c>
      <c r="J88" s="87">
        <f t="shared" si="22"/>
        <v>1.6902288397324894E-10</v>
      </c>
      <c r="K88" s="120">
        <f t="shared" si="24"/>
        <v>1.1268192264883262E-10</v>
      </c>
      <c r="O88" s="116">
        <f>Amnt_Deposited!B83</f>
        <v>2069</v>
      </c>
      <c r="P88" s="119">
        <f>Amnt_Deposited!C83</f>
        <v>0</v>
      </c>
      <c r="Q88" s="319">
        <f>MCF!R87</f>
        <v>0.8</v>
      </c>
      <c r="R88" s="87">
        <f t="shared" si="23"/>
        <v>0</v>
      </c>
      <c r="S88" s="87">
        <f t="shared" si="25"/>
        <v>0</v>
      </c>
      <c r="T88" s="87">
        <f t="shared" si="26"/>
        <v>0</v>
      </c>
      <c r="U88" s="87">
        <f t="shared" si="27"/>
        <v>2.2992745104582662E-10</v>
      </c>
      <c r="V88" s="87">
        <f t="shared" si="28"/>
        <v>1.1308399909004165E-10</v>
      </c>
      <c r="W88" s="120">
        <f t="shared" si="29"/>
        <v>7.5389332726694427E-11</v>
      </c>
    </row>
    <row r="89" spans="2:23">
      <c r="B89" s="116">
        <f>Amnt_Deposited!B84</f>
        <v>2070</v>
      </c>
      <c r="C89" s="119">
        <f>Amnt_Deposited!C84</f>
        <v>0</v>
      </c>
      <c r="D89" s="453">
        <f>Dry_Matter_Content!C76</f>
        <v>0.59</v>
      </c>
      <c r="E89" s="319">
        <f>MCF!R88</f>
        <v>0.8</v>
      </c>
      <c r="F89" s="87">
        <f t="shared" si="18"/>
        <v>0</v>
      </c>
      <c r="G89" s="87">
        <f t="shared" si="19"/>
        <v>0</v>
      </c>
      <c r="H89" s="87">
        <f t="shared" si="20"/>
        <v>0</v>
      </c>
      <c r="I89" s="87">
        <f t="shared" si="21"/>
        <v>2.3036546946380414E-10</v>
      </c>
      <c r="J89" s="87">
        <f t="shared" si="22"/>
        <v>1.1329942736602476E-10</v>
      </c>
      <c r="K89" s="120">
        <f t="shared" si="24"/>
        <v>7.5532951577349838E-11</v>
      </c>
      <c r="O89" s="116">
        <f>Amnt_Deposited!B84</f>
        <v>2070</v>
      </c>
      <c r="P89" s="119">
        <f>Amnt_Deposited!C84</f>
        <v>0</v>
      </c>
      <c r="Q89" s="319">
        <f>MCF!R88</f>
        <v>0.8</v>
      </c>
      <c r="R89" s="87">
        <f t="shared" si="23"/>
        <v>0</v>
      </c>
      <c r="S89" s="87">
        <f t="shared" si="25"/>
        <v>0</v>
      </c>
      <c r="T89" s="87">
        <f t="shared" si="26"/>
        <v>0</v>
      </c>
      <c r="U89" s="87">
        <f t="shared" si="27"/>
        <v>1.5412497956989572E-10</v>
      </c>
      <c r="V89" s="87">
        <f t="shared" si="28"/>
        <v>7.5802471475930913E-11</v>
      </c>
      <c r="W89" s="120">
        <f t="shared" si="29"/>
        <v>5.0534980983953942E-11</v>
      </c>
    </row>
    <row r="90" spans="2:23">
      <c r="B90" s="116">
        <f>Amnt_Deposited!B85</f>
        <v>2071</v>
      </c>
      <c r="C90" s="119">
        <f>Amnt_Deposited!C85</f>
        <v>0</v>
      </c>
      <c r="D90" s="453">
        <f>Dry_Matter_Content!C77</f>
        <v>0.59</v>
      </c>
      <c r="E90" s="319">
        <f>MCF!R89</f>
        <v>0.8</v>
      </c>
      <c r="F90" s="87">
        <f t="shared" si="18"/>
        <v>0</v>
      </c>
      <c r="G90" s="87">
        <f t="shared" si="19"/>
        <v>0</v>
      </c>
      <c r="H90" s="87">
        <f t="shared" si="20"/>
        <v>0</v>
      </c>
      <c r="I90" s="87">
        <f t="shared" si="21"/>
        <v>1.5441859209599887E-10</v>
      </c>
      <c r="J90" s="87">
        <f t="shared" si="22"/>
        <v>7.5946877367805285E-11</v>
      </c>
      <c r="K90" s="120">
        <f t="shared" si="24"/>
        <v>5.0631251578536856E-11</v>
      </c>
      <c r="O90" s="116">
        <f>Amnt_Deposited!B85</f>
        <v>2071</v>
      </c>
      <c r="P90" s="119">
        <f>Amnt_Deposited!C85</f>
        <v>0</v>
      </c>
      <c r="Q90" s="319">
        <f>MCF!R89</f>
        <v>0.8</v>
      </c>
      <c r="R90" s="87">
        <f t="shared" si="23"/>
        <v>0</v>
      </c>
      <c r="S90" s="87">
        <f t="shared" si="25"/>
        <v>0</v>
      </c>
      <c r="T90" s="87">
        <f t="shared" si="26"/>
        <v>0</v>
      </c>
      <c r="U90" s="87">
        <f t="shared" si="27"/>
        <v>1.0331306340053447E-10</v>
      </c>
      <c r="V90" s="87">
        <f t="shared" si="28"/>
        <v>5.0811916169361248E-11</v>
      </c>
      <c r="W90" s="120">
        <f t="shared" si="29"/>
        <v>3.3874610779574165E-11</v>
      </c>
    </row>
    <row r="91" spans="2:23">
      <c r="B91" s="116">
        <f>Amnt_Deposited!B86</f>
        <v>2072</v>
      </c>
      <c r="C91" s="119">
        <f>Amnt_Deposited!C86</f>
        <v>0</v>
      </c>
      <c r="D91" s="453">
        <f>Dry_Matter_Content!C78</f>
        <v>0.59</v>
      </c>
      <c r="E91" s="319">
        <f>MCF!R90</f>
        <v>0.8</v>
      </c>
      <c r="F91" s="87">
        <f t="shared" si="18"/>
        <v>0</v>
      </c>
      <c r="G91" s="87">
        <f t="shared" si="19"/>
        <v>0</v>
      </c>
      <c r="H91" s="87">
        <f t="shared" si="20"/>
        <v>0</v>
      </c>
      <c r="I91" s="87">
        <f t="shared" si="21"/>
        <v>1.0350987776254857E-10</v>
      </c>
      <c r="J91" s="87">
        <f t="shared" si="22"/>
        <v>5.0908714333450298E-11</v>
      </c>
      <c r="K91" s="120">
        <f t="shared" si="24"/>
        <v>3.3939142888966865E-11</v>
      </c>
      <c r="O91" s="116">
        <f>Amnt_Deposited!B86</f>
        <v>2072</v>
      </c>
      <c r="P91" s="119">
        <f>Amnt_Deposited!C86</f>
        <v>0</v>
      </c>
      <c r="Q91" s="319">
        <f>MCF!R90</f>
        <v>0.8</v>
      </c>
      <c r="R91" s="87">
        <f t="shared" si="23"/>
        <v>0</v>
      </c>
      <c r="S91" s="87">
        <f t="shared" si="25"/>
        <v>0</v>
      </c>
      <c r="T91" s="87">
        <f t="shared" si="26"/>
        <v>0</v>
      </c>
      <c r="U91" s="87">
        <f t="shared" si="27"/>
        <v>6.9252817414729189E-11</v>
      </c>
      <c r="V91" s="87">
        <f t="shared" si="28"/>
        <v>3.406024598580528E-11</v>
      </c>
      <c r="W91" s="120">
        <f t="shared" si="29"/>
        <v>2.2706830657203518E-11</v>
      </c>
    </row>
    <row r="92" spans="2:23">
      <c r="B92" s="116">
        <f>Amnt_Deposited!B87</f>
        <v>2073</v>
      </c>
      <c r="C92" s="119">
        <f>Amnt_Deposited!C87</f>
        <v>0</v>
      </c>
      <c r="D92" s="453">
        <f>Dry_Matter_Content!C79</f>
        <v>0.59</v>
      </c>
      <c r="E92" s="319">
        <f>MCF!R91</f>
        <v>0.8</v>
      </c>
      <c r="F92" s="87">
        <f t="shared" si="18"/>
        <v>0</v>
      </c>
      <c r="G92" s="87">
        <f t="shared" si="19"/>
        <v>0</v>
      </c>
      <c r="H92" s="87">
        <f t="shared" si="20"/>
        <v>0</v>
      </c>
      <c r="I92" s="87">
        <f t="shared" si="21"/>
        <v>6.9384746026934962E-11</v>
      </c>
      <c r="J92" s="87">
        <f t="shared" si="22"/>
        <v>3.4125131735613615E-11</v>
      </c>
      <c r="K92" s="120">
        <f t="shared" si="24"/>
        <v>2.2750087823742408E-11</v>
      </c>
      <c r="O92" s="116">
        <f>Amnt_Deposited!B87</f>
        <v>2073</v>
      </c>
      <c r="P92" s="119">
        <f>Amnt_Deposited!C87</f>
        <v>0</v>
      </c>
      <c r="Q92" s="319">
        <f>MCF!R91</f>
        <v>0.8</v>
      </c>
      <c r="R92" s="87">
        <f t="shared" si="23"/>
        <v>0</v>
      </c>
      <c r="S92" s="87">
        <f t="shared" si="25"/>
        <v>0</v>
      </c>
      <c r="T92" s="87">
        <f t="shared" si="26"/>
        <v>0</v>
      </c>
      <c r="U92" s="87">
        <f t="shared" si="27"/>
        <v>4.6421551757538994E-11</v>
      </c>
      <c r="V92" s="87">
        <f t="shared" si="28"/>
        <v>2.2831265657190195E-11</v>
      </c>
      <c r="W92" s="120">
        <f t="shared" si="29"/>
        <v>1.5220843771460129E-11</v>
      </c>
    </row>
    <row r="93" spans="2:23">
      <c r="B93" s="116">
        <f>Amnt_Deposited!B88</f>
        <v>2074</v>
      </c>
      <c r="C93" s="119">
        <f>Amnt_Deposited!C88</f>
        <v>0</v>
      </c>
      <c r="D93" s="453">
        <f>Dry_Matter_Content!C80</f>
        <v>0.59</v>
      </c>
      <c r="E93" s="319">
        <f>MCF!R92</f>
        <v>0.8</v>
      </c>
      <c r="F93" s="87">
        <f t="shared" si="18"/>
        <v>0</v>
      </c>
      <c r="G93" s="87">
        <f t="shared" si="19"/>
        <v>0</v>
      </c>
      <c r="H93" s="87">
        <f t="shared" si="20"/>
        <v>0</v>
      </c>
      <c r="I93" s="87">
        <f t="shared" si="21"/>
        <v>4.6509986150946188E-11</v>
      </c>
      <c r="J93" s="87">
        <f t="shared" si="22"/>
        <v>2.2874759875988775E-11</v>
      </c>
      <c r="K93" s="120">
        <f t="shared" si="24"/>
        <v>1.5249839917325848E-11</v>
      </c>
      <c r="O93" s="116">
        <f>Amnt_Deposited!B88</f>
        <v>2074</v>
      </c>
      <c r="P93" s="119">
        <f>Amnt_Deposited!C88</f>
        <v>0</v>
      </c>
      <c r="Q93" s="319">
        <f>MCF!R92</f>
        <v>0.8</v>
      </c>
      <c r="R93" s="87">
        <f t="shared" si="23"/>
        <v>0</v>
      </c>
      <c r="S93" s="87">
        <f t="shared" si="25"/>
        <v>0</v>
      </c>
      <c r="T93" s="87">
        <f t="shared" si="26"/>
        <v>0</v>
      </c>
      <c r="U93" s="87">
        <f t="shared" si="27"/>
        <v>3.111729671115935E-11</v>
      </c>
      <c r="V93" s="87">
        <f t="shared" si="28"/>
        <v>1.5304255046379641E-11</v>
      </c>
      <c r="W93" s="120">
        <f t="shared" si="29"/>
        <v>1.0202836697586426E-11</v>
      </c>
    </row>
    <row r="94" spans="2:23">
      <c r="B94" s="116">
        <f>Amnt_Deposited!B89</f>
        <v>2075</v>
      </c>
      <c r="C94" s="119">
        <f>Amnt_Deposited!C89</f>
        <v>0</v>
      </c>
      <c r="D94" s="453">
        <f>Dry_Matter_Content!C81</f>
        <v>0.59</v>
      </c>
      <c r="E94" s="319">
        <f>MCF!R93</f>
        <v>0.8</v>
      </c>
      <c r="F94" s="87">
        <f t="shared" si="18"/>
        <v>0</v>
      </c>
      <c r="G94" s="87">
        <f t="shared" si="19"/>
        <v>0</v>
      </c>
      <c r="H94" s="87">
        <f t="shared" si="20"/>
        <v>0</v>
      </c>
      <c r="I94" s="87">
        <f t="shared" si="21"/>
        <v>3.1176576057819198E-11</v>
      </c>
      <c r="J94" s="87">
        <f t="shared" si="22"/>
        <v>1.5333410093126993E-11</v>
      </c>
      <c r="K94" s="120">
        <f t="shared" si="24"/>
        <v>1.0222273395417995E-11</v>
      </c>
      <c r="O94" s="116">
        <f>Amnt_Deposited!B89</f>
        <v>2075</v>
      </c>
      <c r="P94" s="119">
        <f>Amnt_Deposited!C89</f>
        <v>0</v>
      </c>
      <c r="Q94" s="319">
        <f>MCF!R93</f>
        <v>0.8</v>
      </c>
      <c r="R94" s="87">
        <f t="shared" si="23"/>
        <v>0</v>
      </c>
      <c r="S94" s="87">
        <f t="shared" si="25"/>
        <v>0</v>
      </c>
      <c r="T94" s="87">
        <f t="shared" si="26"/>
        <v>0</v>
      </c>
      <c r="U94" s="87">
        <f t="shared" si="27"/>
        <v>2.0858547763928985E-11</v>
      </c>
      <c r="V94" s="87">
        <f t="shared" si="28"/>
        <v>1.0258748947230367E-11</v>
      </c>
      <c r="W94" s="120">
        <f t="shared" si="29"/>
        <v>6.8391659648202444E-12</v>
      </c>
    </row>
    <row r="95" spans="2:23">
      <c r="B95" s="116">
        <f>Amnt_Deposited!B90</f>
        <v>2076</v>
      </c>
      <c r="C95" s="119">
        <f>Amnt_Deposited!C90</f>
        <v>0</v>
      </c>
      <c r="D95" s="453">
        <f>Dry_Matter_Content!C82</f>
        <v>0.59</v>
      </c>
      <c r="E95" s="319">
        <f>MCF!R94</f>
        <v>0.8</v>
      </c>
      <c r="F95" s="87">
        <f t="shared" si="18"/>
        <v>0</v>
      </c>
      <c r="G95" s="87">
        <f t="shared" si="19"/>
        <v>0</v>
      </c>
      <c r="H95" s="87">
        <f t="shared" si="20"/>
        <v>0</v>
      </c>
      <c r="I95" s="87">
        <f t="shared" si="21"/>
        <v>2.0898283898310976E-11</v>
      </c>
      <c r="J95" s="87">
        <f t="shared" si="22"/>
        <v>1.0278292159508222E-11</v>
      </c>
      <c r="K95" s="120">
        <f t="shared" si="24"/>
        <v>6.8521947730054806E-12</v>
      </c>
      <c r="O95" s="116">
        <f>Amnt_Deposited!B90</f>
        <v>2076</v>
      </c>
      <c r="P95" s="119">
        <f>Amnt_Deposited!C90</f>
        <v>0</v>
      </c>
      <c r="Q95" s="319">
        <f>MCF!R94</f>
        <v>0.8</v>
      </c>
      <c r="R95" s="87">
        <f t="shared" si="23"/>
        <v>0</v>
      </c>
      <c r="S95" s="87">
        <f t="shared" si="25"/>
        <v>0</v>
      </c>
      <c r="T95" s="87">
        <f t="shared" si="26"/>
        <v>0</v>
      </c>
      <c r="U95" s="87">
        <f t="shared" si="27"/>
        <v>1.3981902697353459E-11</v>
      </c>
      <c r="V95" s="87">
        <f t="shared" si="28"/>
        <v>6.8766450665755259E-12</v>
      </c>
      <c r="W95" s="120">
        <f t="shared" si="29"/>
        <v>4.5844300443836837E-12</v>
      </c>
    </row>
    <row r="96" spans="2:23">
      <c r="B96" s="116">
        <f>Amnt_Deposited!B91</f>
        <v>2077</v>
      </c>
      <c r="C96" s="119">
        <f>Amnt_Deposited!C91</f>
        <v>0</v>
      </c>
      <c r="D96" s="453">
        <f>Dry_Matter_Content!C83</f>
        <v>0.59</v>
      </c>
      <c r="E96" s="319">
        <f>MCF!R95</f>
        <v>0.8</v>
      </c>
      <c r="F96" s="87">
        <f t="shared" si="18"/>
        <v>0</v>
      </c>
      <c r="G96" s="87">
        <f t="shared" si="19"/>
        <v>0</v>
      </c>
      <c r="H96" s="87">
        <f t="shared" si="20"/>
        <v>0</v>
      </c>
      <c r="I96" s="87">
        <f t="shared" si="21"/>
        <v>1.4008538624781674E-11</v>
      </c>
      <c r="J96" s="87">
        <f t="shared" si="22"/>
        <v>6.8897452735293027E-12</v>
      </c>
      <c r="K96" s="120">
        <f t="shared" si="24"/>
        <v>4.5931635156862018E-12</v>
      </c>
      <c r="O96" s="116">
        <f>Amnt_Deposited!B91</f>
        <v>2077</v>
      </c>
      <c r="P96" s="119">
        <f>Amnt_Deposited!C91</f>
        <v>0</v>
      </c>
      <c r="Q96" s="319">
        <f>MCF!R95</f>
        <v>0.8</v>
      </c>
      <c r="R96" s="87">
        <f t="shared" si="23"/>
        <v>0</v>
      </c>
      <c r="S96" s="87">
        <f t="shared" si="25"/>
        <v>0</v>
      </c>
      <c r="T96" s="87">
        <f t="shared" si="26"/>
        <v>0</v>
      </c>
      <c r="U96" s="87">
        <f t="shared" si="27"/>
        <v>9.3723496597558004E-12</v>
      </c>
      <c r="V96" s="87">
        <f t="shared" si="28"/>
        <v>4.609553037597659E-12</v>
      </c>
      <c r="W96" s="120">
        <f t="shared" si="29"/>
        <v>3.0730353583984392E-12</v>
      </c>
    </row>
    <row r="97" spans="2:23">
      <c r="B97" s="116">
        <f>Amnt_Deposited!B92</f>
        <v>2078</v>
      </c>
      <c r="C97" s="119">
        <f>Amnt_Deposited!C92</f>
        <v>0</v>
      </c>
      <c r="D97" s="453">
        <f>Dry_Matter_Content!C84</f>
        <v>0.59</v>
      </c>
      <c r="E97" s="319">
        <f>MCF!R96</f>
        <v>0.8</v>
      </c>
      <c r="F97" s="87">
        <f t="shared" si="18"/>
        <v>0</v>
      </c>
      <c r="G97" s="87">
        <f t="shared" si="19"/>
        <v>0</v>
      </c>
      <c r="H97" s="87">
        <f t="shared" si="20"/>
        <v>0</v>
      </c>
      <c r="I97" s="87">
        <f t="shared" si="21"/>
        <v>9.3902042558556836E-12</v>
      </c>
      <c r="J97" s="87">
        <f t="shared" si="22"/>
        <v>4.6183343689259908E-12</v>
      </c>
      <c r="K97" s="120">
        <f t="shared" si="24"/>
        <v>3.0788895792839936E-12</v>
      </c>
      <c r="O97" s="116">
        <f>Amnt_Deposited!B92</f>
        <v>2078</v>
      </c>
      <c r="P97" s="119">
        <f>Amnt_Deposited!C92</f>
        <v>0</v>
      </c>
      <c r="Q97" s="319">
        <f>MCF!R96</f>
        <v>0.8</v>
      </c>
      <c r="R97" s="87">
        <f t="shared" si="23"/>
        <v>0</v>
      </c>
      <c r="S97" s="87">
        <f t="shared" si="25"/>
        <v>0</v>
      </c>
      <c r="T97" s="87">
        <f t="shared" si="26"/>
        <v>0</v>
      </c>
      <c r="U97" s="87">
        <f t="shared" si="27"/>
        <v>6.282473855389617E-12</v>
      </c>
      <c r="V97" s="87">
        <f t="shared" si="28"/>
        <v>3.0898758043661838E-12</v>
      </c>
      <c r="W97" s="120">
        <f t="shared" si="29"/>
        <v>2.0599172029107892E-12</v>
      </c>
    </row>
    <row r="98" spans="2:23">
      <c r="B98" s="116">
        <f>Amnt_Deposited!B93</f>
        <v>2079</v>
      </c>
      <c r="C98" s="119">
        <f>Amnt_Deposited!C93</f>
        <v>0</v>
      </c>
      <c r="D98" s="453">
        <f>Dry_Matter_Content!C85</f>
        <v>0.59</v>
      </c>
      <c r="E98" s="319">
        <f>MCF!R97</f>
        <v>0.8</v>
      </c>
      <c r="F98" s="87">
        <f t="shared" si="18"/>
        <v>0</v>
      </c>
      <c r="G98" s="87">
        <f t="shared" si="19"/>
        <v>0</v>
      </c>
      <c r="H98" s="87">
        <f t="shared" si="20"/>
        <v>0</v>
      </c>
      <c r="I98" s="87">
        <f t="shared" si="21"/>
        <v>6.2944421490692381E-12</v>
      </c>
      <c r="J98" s="87">
        <f t="shared" si="22"/>
        <v>3.0957621067864455E-12</v>
      </c>
      <c r="K98" s="120">
        <f t="shared" si="24"/>
        <v>2.0638414045242969E-12</v>
      </c>
      <c r="O98" s="116">
        <f>Amnt_Deposited!B93</f>
        <v>2079</v>
      </c>
      <c r="P98" s="119">
        <f>Amnt_Deposited!C93</f>
        <v>0</v>
      </c>
      <c r="Q98" s="319">
        <f>MCF!R97</f>
        <v>0.8</v>
      </c>
      <c r="R98" s="87">
        <f t="shared" si="23"/>
        <v>0</v>
      </c>
      <c r="S98" s="87">
        <f t="shared" si="25"/>
        <v>0</v>
      </c>
      <c r="T98" s="87">
        <f t="shared" si="26"/>
        <v>0</v>
      </c>
      <c r="U98" s="87">
        <f t="shared" si="27"/>
        <v>4.2112681639624689E-12</v>
      </c>
      <c r="V98" s="87">
        <f t="shared" si="28"/>
        <v>2.0712056914271486E-12</v>
      </c>
      <c r="W98" s="120">
        <f t="shared" si="29"/>
        <v>1.3808037942847657E-12</v>
      </c>
    </row>
    <row r="99" spans="2:23" ht="13.5" thickBot="1">
      <c r="B99" s="117">
        <f>Amnt_Deposited!B94</f>
        <v>2080</v>
      </c>
      <c r="C99" s="121">
        <f>Amnt_Deposited!C94</f>
        <v>0</v>
      </c>
      <c r="D99" s="454">
        <f>Dry_Matter_Content!C86</f>
        <v>0.59</v>
      </c>
      <c r="E99" s="320">
        <f>MCF!R98</f>
        <v>0.8</v>
      </c>
      <c r="F99" s="88">
        <f t="shared" si="18"/>
        <v>0</v>
      </c>
      <c r="G99" s="88">
        <f t="shared" si="19"/>
        <v>0</v>
      </c>
      <c r="H99" s="88">
        <f t="shared" si="20"/>
        <v>0</v>
      </c>
      <c r="I99" s="88">
        <f t="shared" si="21"/>
        <v>4.2192907511327604E-12</v>
      </c>
      <c r="J99" s="88">
        <f t="shared" si="22"/>
        <v>2.0751513979364777E-12</v>
      </c>
      <c r="K99" s="122">
        <f t="shared" si="24"/>
        <v>1.3834342652909851E-12</v>
      </c>
      <c r="O99" s="117">
        <f>Amnt_Deposited!B94</f>
        <v>2080</v>
      </c>
      <c r="P99" s="121">
        <f>Amnt_Deposited!C94</f>
        <v>0</v>
      </c>
      <c r="Q99" s="320">
        <f>MCF!R98</f>
        <v>0.8</v>
      </c>
      <c r="R99" s="88">
        <f t="shared" si="23"/>
        <v>0</v>
      </c>
      <c r="S99" s="88">
        <f>R99*$W$12</f>
        <v>0</v>
      </c>
      <c r="T99" s="88">
        <f>R99*(1-$W$12)</f>
        <v>0</v>
      </c>
      <c r="U99" s="88">
        <f>S99+U98*$W$10</f>
        <v>2.8228974695357444E-12</v>
      </c>
      <c r="V99" s="88">
        <f>U98*(1-$W$10)+T99</f>
        <v>1.3883706944267245E-12</v>
      </c>
      <c r="W99" s="122">
        <f t="shared" si="29"/>
        <v>9.2558046295114952E-13</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314</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Parameters!O16</f>
        <v>0.44</v>
      </c>
      <c r="O6" s="257"/>
      <c r="P6" s="258"/>
      <c r="Q6" s="249"/>
      <c r="R6" s="128" t="s">
        <v>9</v>
      </c>
      <c r="S6" s="129"/>
      <c r="T6" s="129"/>
      <c r="U6" s="133"/>
      <c r="V6" s="140" t="s">
        <v>9</v>
      </c>
      <c r="W6" s="293">
        <f>Parameters!R16</f>
        <v>0.4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Parameters!O35</f>
        <v>7.0000000000000007E-2</v>
      </c>
      <c r="O8" s="67"/>
      <c r="P8" s="67"/>
      <c r="Q8" s="249"/>
      <c r="R8" s="128" t="s">
        <v>192</v>
      </c>
      <c r="S8" s="129"/>
      <c r="T8" s="129"/>
      <c r="U8" s="133"/>
      <c r="V8" s="140" t="s">
        <v>188</v>
      </c>
      <c r="W8" s="134">
        <f>Parameters!O35</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3.3621921028080002</v>
      </c>
      <c r="D19" s="451">
        <f>Dry_Matter_Content!D6</f>
        <v>0.44</v>
      </c>
      <c r="E19" s="318">
        <f>MCF!R18</f>
        <v>0.8</v>
      </c>
      <c r="F19" s="150">
        <f t="shared" ref="F19:F50" si="0">C19*D19*$K$6*DOCF*E19</f>
        <v>0.26036815644145156</v>
      </c>
      <c r="G19" s="85">
        <f t="shared" ref="G19:G82" si="1">F19*$K$12</f>
        <v>0.26036815644145156</v>
      </c>
      <c r="H19" s="85">
        <f t="shared" ref="H19:H82" si="2">F19*(1-$K$12)</f>
        <v>0</v>
      </c>
      <c r="I19" s="85">
        <f t="shared" ref="I19:I82" si="3">G19+I18*$K$10</f>
        <v>0.26036815644145156</v>
      </c>
      <c r="J19" s="85">
        <f t="shared" ref="J19:J82" si="4">I18*(1-$K$10)+H19</f>
        <v>0</v>
      </c>
      <c r="K19" s="86">
        <f>J19*CH4_fraction*conv</f>
        <v>0</v>
      </c>
      <c r="O19" s="115">
        <f>Amnt_Deposited!B14</f>
        <v>2000</v>
      </c>
      <c r="P19" s="118">
        <f>Amnt_Deposited!D14</f>
        <v>3.3621921028080002</v>
      </c>
      <c r="Q19" s="318">
        <f>MCF!R18</f>
        <v>0.8</v>
      </c>
      <c r="R19" s="150">
        <f t="shared" ref="R19:R50" si="5">P19*$W$6*DOCF*Q19</f>
        <v>0.53795073644928004</v>
      </c>
      <c r="S19" s="85">
        <f>R19*$W$12</f>
        <v>0.53795073644928004</v>
      </c>
      <c r="T19" s="85">
        <f>R19*(1-$W$12)</f>
        <v>0</v>
      </c>
      <c r="U19" s="85">
        <f>S19+U18*$W$10</f>
        <v>0.53795073644928004</v>
      </c>
      <c r="V19" s="85">
        <f>U18*(1-$W$10)+T19</f>
        <v>0</v>
      </c>
      <c r="W19" s="86">
        <f>V19*CH4_fraction*conv</f>
        <v>0</v>
      </c>
    </row>
    <row r="20" spans="2:23">
      <c r="B20" s="116">
        <f>Amnt_Deposited!B15</f>
        <v>2001</v>
      </c>
      <c r="C20" s="119">
        <f>Amnt_Deposited!D15</f>
        <v>3.4247066393760006</v>
      </c>
      <c r="D20" s="453">
        <f>Dry_Matter_Content!D7</f>
        <v>0.44</v>
      </c>
      <c r="E20" s="319">
        <f>MCF!R19</f>
        <v>0.8</v>
      </c>
      <c r="F20" s="87">
        <f t="shared" si="0"/>
        <v>0.26520928215327749</v>
      </c>
      <c r="G20" s="87">
        <f t="shared" si="1"/>
        <v>0.26520928215327749</v>
      </c>
      <c r="H20" s="87">
        <f t="shared" si="2"/>
        <v>0</v>
      </c>
      <c r="I20" s="87">
        <f t="shared" si="3"/>
        <v>0.50797494211959204</v>
      </c>
      <c r="J20" s="87">
        <f t="shared" si="4"/>
        <v>1.7602496475137008E-2</v>
      </c>
      <c r="K20" s="120">
        <f>J20*CH4_fraction*conv</f>
        <v>1.1734997650091339E-2</v>
      </c>
      <c r="M20" s="428"/>
      <c r="O20" s="116">
        <f>Amnt_Deposited!B15</f>
        <v>2001</v>
      </c>
      <c r="P20" s="119">
        <f>Amnt_Deposited!D15</f>
        <v>3.4247066393760006</v>
      </c>
      <c r="Q20" s="319">
        <f>MCF!R19</f>
        <v>0.8</v>
      </c>
      <c r="R20" s="87">
        <f t="shared" si="5"/>
        <v>0.54795306230016017</v>
      </c>
      <c r="S20" s="87">
        <f>R20*$W$12</f>
        <v>0.54795306230016017</v>
      </c>
      <c r="T20" s="87">
        <f>R20*(1-$W$12)</f>
        <v>0</v>
      </c>
      <c r="U20" s="87">
        <f>S20+U19*$W$10</f>
        <v>1.0495350043793223</v>
      </c>
      <c r="V20" s="87">
        <f>U19*(1-$W$10)+T20</f>
        <v>3.636879437011778E-2</v>
      </c>
      <c r="W20" s="120">
        <f>V20*CH4_fraction*conv</f>
        <v>2.4245862913411853E-2</v>
      </c>
    </row>
    <row r="21" spans="2:23">
      <c r="B21" s="116">
        <f>Amnt_Deposited!B16</f>
        <v>2002</v>
      </c>
      <c r="C21" s="119">
        <f>Amnt_Deposited!D16</f>
        <v>3.5278255239480005</v>
      </c>
      <c r="D21" s="453">
        <f>Dry_Matter_Content!D8</f>
        <v>0.44</v>
      </c>
      <c r="E21" s="319">
        <f>MCF!R20</f>
        <v>0.8</v>
      </c>
      <c r="F21" s="87">
        <f t="shared" si="0"/>
        <v>0.27319480857453321</v>
      </c>
      <c r="G21" s="87">
        <f t="shared" si="1"/>
        <v>0.27319480857453321</v>
      </c>
      <c r="H21" s="87">
        <f t="shared" si="2"/>
        <v>0</v>
      </c>
      <c r="I21" s="87">
        <f t="shared" si="3"/>
        <v>0.74682750527392261</v>
      </c>
      <c r="J21" s="87">
        <f t="shared" si="4"/>
        <v>3.4342245420202644E-2</v>
      </c>
      <c r="K21" s="120">
        <f t="shared" ref="K21:K84" si="6">J21*CH4_fraction*conv</f>
        <v>2.2894830280135094E-2</v>
      </c>
      <c r="O21" s="116">
        <f>Amnt_Deposited!B16</f>
        <v>2002</v>
      </c>
      <c r="P21" s="119">
        <f>Amnt_Deposited!D16</f>
        <v>3.5278255239480005</v>
      </c>
      <c r="Q21" s="319">
        <f>MCF!R20</f>
        <v>0.8</v>
      </c>
      <c r="R21" s="87">
        <f t="shared" si="5"/>
        <v>0.56445208383168011</v>
      </c>
      <c r="S21" s="87">
        <f t="shared" ref="S21:S84" si="7">R21*$W$12</f>
        <v>0.56445208383168011</v>
      </c>
      <c r="T21" s="87">
        <f t="shared" ref="T21:T84" si="8">R21*(1-$W$12)</f>
        <v>0</v>
      </c>
      <c r="U21" s="87">
        <f t="shared" ref="U21:U84" si="9">S21+U20*$W$10</f>
        <v>1.5430320356899228</v>
      </c>
      <c r="V21" s="87">
        <f t="shared" ref="V21:V84" si="10">U20*(1-$W$10)+T21</f>
        <v>7.0955052521079837E-2</v>
      </c>
      <c r="W21" s="120">
        <f t="shared" ref="W21:W84" si="11">V21*CH4_fraction*conv</f>
        <v>4.7303368347386555E-2</v>
      </c>
    </row>
    <row r="22" spans="2:23">
      <c r="B22" s="116">
        <f>Amnt_Deposited!B17</f>
        <v>2003</v>
      </c>
      <c r="C22" s="119">
        <f>Amnt_Deposited!D17</f>
        <v>3.8061546257460002</v>
      </c>
      <c r="D22" s="453">
        <f>Dry_Matter_Content!D9</f>
        <v>0.44</v>
      </c>
      <c r="E22" s="319">
        <f>MCF!R21</f>
        <v>0.8</v>
      </c>
      <c r="F22" s="87">
        <f t="shared" si="0"/>
        <v>0.29474861421777027</v>
      </c>
      <c r="G22" s="87">
        <f t="shared" si="1"/>
        <v>0.29474861421777027</v>
      </c>
      <c r="H22" s="87">
        <f t="shared" si="2"/>
        <v>0</v>
      </c>
      <c r="I22" s="87">
        <f t="shared" si="3"/>
        <v>0.99108596467095267</v>
      </c>
      <c r="J22" s="87">
        <f t="shared" si="4"/>
        <v>5.049015482074018E-2</v>
      </c>
      <c r="K22" s="120">
        <f t="shared" si="6"/>
        <v>3.3660103213826786E-2</v>
      </c>
      <c r="N22" s="290"/>
      <c r="O22" s="116">
        <f>Amnt_Deposited!B17</f>
        <v>2003</v>
      </c>
      <c r="P22" s="119">
        <f>Amnt_Deposited!D17</f>
        <v>3.8061546257460002</v>
      </c>
      <c r="Q22" s="319">
        <f>MCF!R21</f>
        <v>0.8</v>
      </c>
      <c r="R22" s="87">
        <f t="shared" si="5"/>
        <v>0.6089847401193601</v>
      </c>
      <c r="S22" s="87">
        <f t="shared" si="7"/>
        <v>0.6089847401193601</v>
      </c>
      <c r="T22" s="87">
        <f t="shared" si="8"/>
        <v>0</v>
      </c>
      <c r="U22" s="87">
        <f t="shared" si="9"/>
        <v>2.0476982741135386</v>
      </c>
      <c r="V22" s="87">
        <f t="shared" si="10"/>
        <v>0.10431850169574416</v>
      </c>
      <c r="W22" s="120">
        <f t="shared" si="11"/>
        <v>6.9545667797162772E-2</v>
      </c>
    </row>
    <row r="23" spans="2:23">
      <c r="B23" s="116">
        <f>Amnt_Deposited!B18</f>
        <v>2004</v>
      </c>
      <c r="C23" s="119">
        <f>Amnt_Deposited!D18</f>
        <v>3.8447786602500003</v>
      </c>
      <c r="D23" s="453">
        <f>Dry_Matter_Content!D10</f>
        <v>0.44</v>
      </c>
      <c r="E23" s="319">
        <f>MCF!R22</f>
        <v>0.8</v>
      </c>
      <c r="F23" s="87">
        <f t="shared" si="0"/>
        <v>0.29773965944976005</v>
      </c>
      <c r="G23" s="87">
        <f t="shared" si="1"/>
        <v>0.29773965944976005</v>
      </c>
      <c r="H23" s="87">
        <f t="shared" si="2"/>
        <v>0</v>
      </c>
      <c r="I23" s="87">
        <f t="shared" si="3"/>
        <v>1.2218220879044812</v>
      </c>
      <c r="J23" s="87">
        <f t="shared" si="4"/>
        <v>6.700353621623141E-2</v>
      </c>
      <c r="K23" s="120">
        <f t="shared" si="6"/>
        <v>4.4669024144154273E-2</v>
      </c>
      <c r="N23" s="290"/>
      <c r="O23" s="116">
        <f>Amnt_Deposited!B18</f>
        <v>2004</v>
      </c>
      <c r="P23" s="119">
        <f>Amnt_Deposited!D18</f>
        <v>3.8447786602500003</v>
      </c>
      <c r="Q23" s="319">
        <f>MCF!R22</f>
        <v>0.8</v>
      </c>
      <c r="R23" s="87">
        <f t="shared" si="5"/>
        <v>0.61516458564000009</v>
      </c>
      <c r="S23" s="87">
        <f t="shared" si="7"/>
        <v>0.61516458564000009</v>
      </c>
      <c r="T23" s="87">
        <f t="shared" si="8"/>
        <v>0</v>
      </c>
      <c r="U23" s="87">
        <f t="shared" si="9"/>
        <v>2.5244258014555401</v>
      </c>
      <c r="V23" s="87">
        <f t="shared" si="10"/>
        <v>0.13843705829799879</v>
      </c>
      <c r="W23" s="120">
        <f t="shared" si="11"/>
        <v>9.2291372198665858E-2</v>
      </c>
    </row>
    <row r="24" spans="2:23">
      <c r="B24" s="116">
        <f>Amnt_Deposited!B19</f>
        <v>2005</v>
      </c>
      <c r="C24" s="119">
        <f>Amnt_Deposited!D19</f>
        <v>3.9494580318600003</v>
      </c>
      <c r="D24" s="453">
        <f>Dry_Matter_Content!D11</f>
        <v>0.44</v>
      </c>
      <c r="E24" s="319">
        <f>MCF!R23</f>
        <v>0.8</v>
      </c>
      <c r="F24" s="87">
        <f t="shared" si="0"/>
        <v>0.30584602998723842</v>
      </c>
      <c r="G24" s="87">
        <f t="shared" si="1"/>
        <v>0.30584602998723842</v>
      </c>
      <c r="H24" s="87">
        <f t="shared" si="2"/>
        <v>0</v>
      </c>
      <c r="I24" s="87">
        <f t="shared" si="3"/>
        <v>1.4450653937739588</v>
      </c>
      <c r="J24" s="87">
        <f t="shared" si="4"/>
        <v>8.2602724117760651E-2</v>
      </c>
      <c r="K24" s="120">
        <f t="shared" si="6"/>
        <v>5.5068482745173765E-2</v>
      </c>
      <c r="N24" s="290"/>
      <c r="O24" s="116">
        <f>Amnt_Deposited!B19</f>
        <v>2005</v>
      </c>
      <c r="P24" s="119">
        <f>Amnt_Deposited!D19</f>
        <v>3.9494580318600003</v>
      </c>
      <c r="Q24" s="319">
        <f>MCF!R23</f>
        <v>0.8</v>
      </c>
      <c r="R24" s="87">
        <f t="shared" si="5"/>
        <v>0.63191328509760014</v>
      </c>
      <c r="S24" s="87">
        <f t="shared" si="7"/>
        <v>0.63191328509760014</v>
      </c>
      <c r="T24" s="87">
        <f t="shared" si="8"/>
        <v>0</v>
      </c>
      <c r="U24" s="87">
        <f t="shared" si="9"/>
        <v>2.9856723011858661</v>
      </c>
      <c r="V24" s="87">
        <f t="shared" si="10"/>
        <v>0.17066678536727412</v>
      </c>
      <c r="W24" s="120">
        <f t="shared" si="11"/>
        <v>0.11377785691151607</v>
      </c>
    </row>
    <row r="25" spans="2:23">
      <c r="B25" s="116">
        <f>Amnt_Deposited!B20</f>
        <v>2006</v>
      </c>
      <c r="C25" s="119">
        <f>Amnt_Deposited!D20</f>
        <v>4.0292567446560001</v>
      </c>
      <c r="D25" s="453">
        <f>Dry_Matter_Content!D12</f>
        <v>0.44</v>
      </c>
      <c r="E25" s="319">
        <f>MCF!R24</f>
        <v>0.8</v>
      </c>
      <c r="F25" s="87">
        <f t="shared" si="0"/>
        <v>0.3120256423061607</v>
      </c>
      <c r="G25" s="87">
        <f t="shared" si="1"/>
        <v>0.3120256423061607</v>
      </c>
      <c r="H25" s="87">
        <f t="shared" si="2"/>
        <v>0</v>
      </c>
      <c r="I25" s="87">
        <f t="shared" si="3"/>
        <v>1.6593956848209555</v>
      </c>
      <c r="J25" s="87">
        <f t="shared" si="4"/>
        <v>9.7695351259164037E-2</v>
      </c>
      <c r="K25" s="120">
        <f t="shared" si="6"/>
        <v>6.5130234172776025E-2</v>
      </c>
      <c r="N25" s="290"/>
      <c r="O25" s="116">
        <f>Amnt_Deposited!B20</f>
        <v>2006</v>
      </c>
      <c r="P25" s="119">
        <f>Amnt_Deposited!D20</f>
        <v>4.0292567446560001</v>
      </c>
      <c r="Q25" s="319">
        <f>MCF!R24</f>
        <v>0.8</v>
      </c>
      <c r="R25" s="87">
        <f t="shared" si="5"/>
        <v>0.64468107914496009</v>
      </c>
      <c r="S25" s="87">
        <f t="shared" si="7"/>
        <v>0.64468107914496009</v>
      </c>
      <c r="T25" s="87">
        <f t="shared" si="8"/>
        <v>0</v>
      </c>
      <c r="U25" s="87">
        <f t="shared" si="9"/>
        <v>3.4285034810350328</v>
      </c>
      <c r="V25" s="87">
        <f t="shared" si="10"/>
        <v>0.2018498992957935</v>
      </c>
      <c r="W25" s="120">
        <f t="shared" si="11"/>
        <v>0.13456659953052899</v>
      </c>
    </row>
    <row r="26" spans="2:23">
      <c r="B26" s="116">
        <f>Amnt_Deposited!B21</f>
        <v>2007</v>
      </c>
      <c r="C26" s="119">
        <f>Amnt_Deposited!D21</f>
        <v>4.1089287173880003</v>
      </c>
      <c r="D26" s="453">
        <f>Dry_Matter_Content!D13</f>
        <v>0.44</v>
      </c>
      <c r="E26" s="319">
        <f>MCF!R25</f>
        <v>0.8</v>
      </c>
      <c r="F26" s="87">
        <f t="shared" si="0"/>
        <v>0.31819543987452675</v>
      </c>
      <c r="G26" s="87">
        <f t="shared" si="1"/>
        <v>0.31819543987452675</v>
      </c>
      <c r="H26" s="87">
        <f t="shared" si="2"/>
        <v>0</v>
      </c>
      <c r="I26" s="87">
        <f t="shared" si="3"/>
        <v>1.8654057211801844</v>
      </c>
      <c r="J26" s="87">
        <f t="shared" si="4"/>
        <v>0.11218540351529781</v>
      </c>
      <c r="K26" s="120">
        <f t="shared" si="6"/>
        <v>7.4790269010198529E-2</v>
      </c>
      <c r="N26" s="290"/>
      <c r="O26" s="116">
        <f>Amnt_Deposited!B21</f>
        <v>2007</v>
      </c>
      <c r="P26" s="119">
        <f>Amnt_Deposited!D21</f>
        <v>4.1089287173880003</v>
      </c>
      <c r="Q26" s="319">
        <f>MCF!R25</f>
        <v>0.8</v>
      </c>
      <c r="R26" s="87">
        <f t="shared" si="5"/>
        <v>0.65742859478208016</v>
      </c>
      <c r="S26" s="87">
        <f t="shared" si="7"/>
        <v>0.65742859478208016</v>
      </c>
      <c r="T26" s="87">
        <f t="shared" si="8"/>
        <v>0</v>
      </c>
      <c r="U26" s="87">
        <f t="shared" si="9"/>
        <v>3.8541440520251751</v>
      </c>
      <c r="V26" s="87">
        <f t="shared" si="10"/>
        <v>0.23178802379193769</v>
      </c>
      <c r="W26" s="120">
        <f t="shared" si="11"/>
        <v>0.15452534919462513</v>
      </c>
    </row>
    <row r="27" spans="2:23">
      <c r="B27" s="116">
        <f>Amnt_Deposited!B22</f>
        <v>2008</v>
      </c>
      <c r="C27" s="119">
        <f>Amnt_Deposited!D22</f>
        <v>4.1879828323080002</v>
      </c>
      <c r="D27" s="453">
        <f>Dry_Matter_Content!D14</f>
        <v>0.44</v>
      </c>
      <c r="E27" s="319">
        <f>MCF!R26</f>
        <v>0.8</v>
      </c>
      <c r="F27" s="87">
        <f t="shared" si="0"/>
        <v>0.32431739053393155</v>
      </c>
      <c r="G27" s="87">
        <f t="shared" si="1"/>
        <v>0.32431739053393155</v>
      </c>
      <c r="H27" s="87">
        <f t="shared" si="2"/>
        <v>0</v>
      </c>
      <c r="I27" s="87">
        <f t="shared" si="3"/>
        <v>2.0636101565795339</v>
      </c>
      <c r="J27" s="87">
        <f t="shared" si="4"/>
        <v>0.12611295513458198</v>
      </c>
      <c r="K27" s="120">
        <f t="shared" si="6"/>
        <v>8.4075303423054651E-2</v>
      </c>
      <c r="N27" s="290"/>
      <c r="O27" s="116">
        <f>Amnt_Deposited!B22</f>
        <v>2008</v>
      </c>
      <c r="P27" s="119">
        <f>Amnt_Deposited!D22</f>
        <v>4.1879828323080002</v>
      </c>
      <c r="Q27" s="319">
        <f>MCF!R26</f>
        <v>0.8</v>
      </c>
      <c r="R27" s="87">
        <f t="shared" si="5"/>
        <v>0.67007725316928013</v>
      </c>
      <c r="S27" s="87">
        <f t="shared" si="7"/>
        <v>0.67007725316928013</v>
      </c>
      <c r="T27" s="87">
        <f t="shared" si="8"/>
        <v>0</v>
      </c>
      <c r="U27" s="87">
        <f t="shared" si="9"/>
        <v>4.2636573483048226</v>
      </c>
      <c r="V27" s="87">
        <f t="shared" si="10"/>
        <v>0.26056395688963224</v>
      </c>
      <c r="W27" s="120">
        <f t="shared" si="11"/>
        <v>0.17370930459308814</v>
      </c>
    </row>
    <row r="28" spans="2:23">
      <c r="B28" s="116">
        <f>Amnt_Deposited!B23</f>
        <v>2009</v>
      </c>
      <c r="C28" s="119">
        <f>Amnt_Deposited!D23</f>
        <v>4.2658249953660006</v>
      </c>
      <c r="D28" s="453">
        <f>Dry_Matter_Content!D15</f>
        <v>0.44</v>
      </c>
      <c r="E28" s="319">
        <f>MCF!R27</f>
        <v>0.8</v>
      </c>
      <c r="F28" s="87">
        <f t="shared" si="0"/>
        <v>0.33034548764114313</v>
      </c>
      <c r="G28" s="87">
        <f t="shared" si="1"/>
        <v>0.33034548764114313</v>
      </c>
      <c r="H28" s="87">
        <f t="shared" si="2"/>
        <v>0</v>
      </c>
      <c r="I28" s="87">
        <f t="shared" si="3"/>
        <v>2.2544428443310469</v>
      </c>
      <c r="J28" s="87">
        <f t="shared" si="4"/>
        <v>0.13951279988963025</v>
      </c>
      <c r="K28" s="120">
        <f t="shared" si="6"/>
        <v>9.3008533259753501E-2</v>
      </c>
      <c r="N28" s="290"/>
      <c r="O28" s="116">
        <f>Amnt_Deposited!B23</f>
        <v>2009</v>
      </c>
      <c r="P28" s="119">
        <f>Amnt_Deposited!D23</f>
        <v>4.2658249953660006</v>
      </c>
      <c r="Q28" s="319">
        <f>MCF!R27</f>
        <v>0.8</v>
      </c>
      <c r="R28" s="87">
        <f t="shared" si="5"/>
        <v>0.68253199925856023</v>
      </c>
      <c r="S28" s="87">
        <f t="shared" si="7"/>
        <v>0.68253199925856023</v>
      </c>
      <c r="T28" s="87">
        <f t="shared" si="8"/>
        <v>0</v>
      </c>
      <c r="U28" s="87">
        <f t="shared" si="9"/>
        <v>4.6579397610145596</v>
      </c>
      <c r="V28" s="87">
        <f t="shared" si="10"/>
        <v>0.28824958654882288</v>
      </c>
      <c r="W28" s="120">
        <f t="shared" si="11"/>
        <v>0.19216639103254857</v>
      </c>
    </row>
    <row r="29" spans="2:23">
      <c r="B29" s="116">
        <f>Amnt_Deposited!B24</f>
        <v>2010</v>
      </c>
      <c r="C29" s="119">
        <f>Amnt_Deposited!D24</f>
        <v>4.9640914567200012</v>
      </c>
      <c r="D29" s="453">
        <f>Dry_Matter_Content!D16</f>
        <v>0.44</v>
      </c>
      <c r="E29" s="319">
        <f>MCF!R28</f>
        <v>0.8</v>
      </c>
      <c r="F29" s="87">
        <f t="shared" si="0"/>
        <v>0.38441924240839692</v>
      </c>
      <c r="G29" s="87">
        <f t="shared" si="1"/>
        <v>0.38441924240839692</v>
      </c>
      <c r="H29" s="87">
        <f t="shared" si="2"/>
        <v>0</v>
      </c>
      <c r="I29" s="87">
        <f t="shared" si="3"/>
        <v>2.4864478177938527</v>
      </c>
      <c r="J29" s="87">
        <f t="shared" si="4"/>
        <v>0.15241426894559099</v>
      </c>
      <c r="K29" s="120">
        <f t="shared" si="6"/>
        <v>0.10160951263039399</v>
      </c>
      <c r="O29" s="116">
        <f>Amnt_Deposited!B24</f>
        <v>2010</v>
      </c>
      <c r="P29" s="119">
        <f>Amnt_Deposited!D24</f>
        <v>4.9640914567200012</v>
      </c>
      <c r="Q29" s="319">
        <f>MCF!R28</f>
        <v>0.8</v>
      </c>
      <c r="R29" s="87">
        <f t="shared" si="5"/>
        <v>0.79425463307520028</v>
      </c>
      <c r="S29" s="87">
        <f t="shared" si="7"/>
        <v>0.79425463307520028</v>
      </c>
      <c r="T29" s="87">
        <f t="shared" si="8"/>
        <v>0</v>
      </c>
      <c r="U29" s="87">
        <f t="shared" si="9"/>
        <v>5.1372888797393657</v>
      </c>
      <c r="V29" s="87">
        <f t="shared" si="10"/>
        <v>0.3149055143503946</v>
      </c>
      <c r="W29" s="120">
        <f t="shared" si="11"/>
        <v>0.20993700956692973</v>
      </c>
    </row>
    <row r="30" spans="2:23">
      <c r="B30" s="116">
        <f>Amnt_Deposited!B25</f>
        <v>2011</v>
      </c>
      <c r="C30" s="119">
        <f>Amnt_Deposited!D25</f>
        <v>0</v>
      </c>
      <c r="D30" s="453">
        <f>Dry_Matter_Content!D17</f>
        <v>0.44</v>
      </c>
      <c r="E30" s="319">
        <f>MCF!R29</f>
        <v>0.8</v>
      </c>
      <c r="F30" s="87">
        <f t="shared" si="0"/>
        <v>0</v>
      </c>
      <c r="G30" s="87">
        <f t="shared" si="1"/>
        <v>0</v>
      </c>
      <c r="H30" s="87">
        <f t="shared" si="2"/>
        <v>0</v>
      </c>
      <c r="I30" s="87">
        <f t="shared" si="3"/>
        <v>2.3183485788296196</v>
      </c>
      <c r="J30" s="87">
        <f t="shared" si="4"/>
        <v>0.16809923896423312</v>
      </c>
      <c r="K30" s="120">
        <f t="shared" si="6"/>
        <v>0.11206615930948874</v>
      </c>
      <c r="O30" s="116">
        <f>Amnt_Deposited!B25</f>
        <v>2011</v>
      </c>
      <c r="P30" s="119">
        <f>Amnt_Deposited!D25</f>
        <v>0</v>
      </c>
      <c r="Q30" s="319">
        <f>MCF!R29</f>
        <v>0.8</v>
      </c>
      <c r="R30" s="87">
        <f t="shared" si="5"/>
        <v>0</v>
      </c>
      <c r="S30" s="87">
        <f t="shared" si="7"/>
        <v>0</v>
      </c>
      <c r="T30" s="87">
        <f t="shared" si="8"/>
        <v>0</v>
      </c>
      <c r="U30" s="87">
        <f t="shared" si="9"/>
        <v>4.7899764025405371</v>
      </c>
      <c r="V30" s="87">
        <f t="shared" si="10"/>
        <v>0.3473124771988288</v>
      </c>
      <c r="W30" s="120">
        <f t="shared" si="11"/>
        <v>0.23154165146588584</v>
      </c>
    </row>
    <row r="31" spans="2:23">
      <c r="B31" s="116">
        <f>Amnt_Deposited!B26</f>
        <v>2012</v>
      </c>
      <c r="C31" s="119">
        <f>Amnt_Deposited!D26</f>
        <v>0</v>
      </c>
      <c r="D31" s="453">
        <f>Dry_Matter_Content!D18</f>
        <v>0.44</v>
      </c>
      <c r="E31" s="319">
        <f>MCF!R30</f>
        <v>0.8</v>
      </c>
      <c r="F31" s="87">
        <f t="shared" si="0"/>
        <v>0</v>
      </c>
      <c r="G31" s="87">
        <f t="shared" si="1"/>
        <v>0</v>
      </c>
      <c r="H31" s="87">
        <f t="shared" si="2"/>
        <v>0</v>
      </c>
      <c r="I31" s="87">
        <f t="shared" si="3"/>
        <v>2.1616138872884756</v>
      </c>
      <c r="J31" s="87">
        <f t="shared" si="4"/>
        <v>0.15673469154114414</v>
      </c>
      <c r="K31" s="120">
        <f t="shared" si="6"/>
        <v>0.10448979436076275</v>
      </c>
      <c r="O31" s="116">
        <f>Amnt_Deposited!B26</f>
        <v>2012</v>
      </c>
      <c r="P31" s="119">
        <f>Amnt_Deposited!D26</f>
        <v>0</v>
      </c>
      <c r="Q31" s="319">
        <f>MCF!R30</f>
        <v>0.8</v>
      </c>
      <c r="R31" s="87">
        <f t="shared" si="5"/>
        <v>0</v>
      </c>
      <c r="S31" s="87">
        <f t="shared" si="7"/>
        <v>0</v>
      </c>
      <c r="T31" s="87">
        <f t="shared" si="8"/>
        <v>0</v>
      </c>
      <c r="U31" s="87">
        <f t="shared" si="9"/>
        <v>4.4661443952241235</v>
      </c>
      <c r="V31" s="87">
        <f t="shared" si="10"/>
        <v>0.32383200731641354</v>
      </c>
      <c r="W31" s="120">
        <f t="shared" si="11"/>
        <v>0.21588800487760901</v>
      </c>
    </row>
    <row r="32" spans="2:23">
      <c r="B32" s="116">
        <f>Amnt_Deposited!B27</f>
        <v>2013</v>
      </c>
      <c r="C32" s="119">
        <f>Amnt_Deposited!D27</f>
        <v>0</v>
      </c>
      <c r="D32" s="453">
        <f>Dry_Matter_Content!D19</f>
        <v>0.44</v>
      </c>
      <c r="E32" s="319">
        <f>MCF!R31</f>
        <v>0.8</v>
      </c>
      <c r="F32" s="87">
        <f t="shared" si="0"/>
        <v>0</v>
      </c>
      <c r="G32" s="87">
        <f t="shared" si="1"/>
        <v>0</v>
      </c>
      <c r="H32" s="87">
        <f t="shared" si="2"/>
        <v>0</v>
      </c>
      <c r="I32" s="87">
        <f t="shared" si="3"/>
        <v>2.0154754295306478</v>
      </c>
      <c r="J32" s="87">
        <f t="shared" si="4"/>
        <v>0.14613845775782791</v>
      </c>
      <c r="K32" s="120">
        <f t="shared" si="6"/>
        <v>9.7425638505218598E-2</v>
      </c>
      <c r="O32" s="116">
        <f>Amnt_Deposited!B27</f>
        <v>2013</v>
      </c>
      <c r="P32" s="119">
        <f>Amnt_Deposited!D27</f>
        <v>0</v>
      </c>
      <c r="Q32" s="319">
        <f>MCF!R31</f>
        <v>0.8</v>
      </c>
      <c r="R32" s="87">
        <f t="shared" si="5"/>
        <v>0</v>
      </c>
      <c r="S32" s="87">
        <f t="shared" si="7"/>
        <v>0</v>
      </c>
      <c r="T32" s="87">
        <f t="shared" si="8"/>
        <v>0</v>
      </c>
      <c r="U32" s="87">
        <f t="shared" si="9"/>
        <v>4.1642054329145619</v>
      </c>
      <c r="V32" s="87">
        <f t="shared" si="10"/>
        <v>0.30193896230956185</v>
      </c>
      <c r="W32" s="120">
        <f t="shared" si="11"/>
        <v>0.20129264153970788</v>
      </c>
    </row>
    <row r="33" spans="2:23">
      <c r="B33" s="116">
        <f>Amnt_Deposited!B28</f>
        <v>2014</v>
      </c>
      <c r="C33" s="119">
        <f>Amnt_Deposited!D28</f>
        <v>0</v>
      </c>
      <c r="D33" s="453">
        <f>Dry_Matter_Content!D20</f>
        <v>0.44</v>
      </c>
      <c r="E33" s="319">
        <f>MCF!R32</f>
        <v>0.8</v>
      </c>
      <c r="F33" s="87">
        <f t="shared" si="0"/>
        <v>0</v>
      </c>
      <c r="G33" s="87">
        <f t="shared" si="1"/>
        <v>0</v>
      </c>
      <c r="H33" s="87">
        <f t="shared" si="2"/>
        <v>0</v>
      </c>
      <c r="I33" s="87">
        <f t="shared" si="3"/>
        <v>1.8792168346666627</v>
      </c>
      <c r="J33" s="87">
        <f t="shared" si="4"/>
        <v>0.13625859486398523</v>
      </c>
      <c r="K33" s="120">
        <f t="shared" si="6"/>
        <v>9.0839063242656809E-2</v>
      </c>
      <c r="O33" s="116">
        <f>Amnt_Deposited!B28</f>
        <v>2014</v>
      </c>
      <c r="P33" s="119">
        <f>Amnt_Deposited!D28</f>
        <v>0</v>
      </c>
      <c r="Q33" s="319">
        <f>MCF!R32</f>
        <v>0.8</v>
      </c>
      <c r="R33" s="87">
        <f t="shared" si="5"/>
        <v>0</v>
      </c>
      <c r="S33" s="87">
        <f t="shared" si="7"/>
        <v>0</v>
      </c>
      <c r="T33" s="87">
        <f t="shared" si="8"/>
        <v>0</v>
      </c>
      <c r="U33" s="87">
        <f t="shared" si="9"/>
        <v>3.8826794104683113</v>
      </c>
      <c r="V33" s="87">
        <f t="shared" si="10"/>
        <v>0.28152602244625052</v>
      </c>
      <c r="W33" s="120">
        <f t="shared" si="11"/>
        <v>0.18768401496416701</v>
      </c>
    </row>
    <row r="34" spans="2:23">
      <c r="B34" s="116">
        <f>Amnt_Deposited!B29</f>
        <v>2015</v>
      </c>
      <c r="C34" s="119">
        <f>Amnt_Deposited!D29</f>
        <v>0</v>
      </c>
      <c r="D34" s="453">
        <f>Dry_Matter_Content!D21</f>
        <v>0.44</v>
      </c>
      <c r="E34" s="319">
        <f>MCF!R33</f>
        <v>0.8</v>
      </c>
      <c r="F34" s="87">
        <f t="shared" si="0"/>
        <v>0</v>
      </c>
      <c r="G34" s="87">
        <f t="shared" si="1"/>
        <v>0</v>
      </c>
      <c r="H34" s="87">
        <f t="shared" si="2"/>
        <v>0</v>
      </c>
      <c r="I34" s="87">
        <f t="shared" si="3"/>
        <v>1.7521701629064144</v>
      </c>
      <c r="J34" s="87">
        <f t="shared" si="4"/>
        <v>0.12704667176024823</v>
      </c>
      <c r="K34" s="120">
        <f t="shared" si="6"/>
        <v>8.4697781173498812E-2</v>
      </c>
      <c r="O34" s="116">
        <f>Amnt_Deposited!B29</f>
        <v>2015</v>
      </c>
      <c r="P34" s="119">
        <f>Amnt_Deposited!D29</f>
        <v>0</v>
      </c>
      <c r="Q34" s="319">
        <f>MCF!R33</f>
        <v>0.8</v>
      </c>
      <c r="R34" s="87">
        <f t="shared" si="5"/>
        <v>0</v>
      </c>
      <c r="S34" s="87">
        <f t="shared" si="7"/>
        <v>0</v>
      </c>
      <c r="T34" s="87">
        <f t="shared" si="8"/>
        <v>0</v>
      </c>
      <c r="U34" s="87">
        <f t="shared" si="9"/>
        <v>3.6201862869967241</v>
      </c>
      <c r="V34" s="87">
        <f t="shared" si="10"/>
        <v>0.26249312347158726</v>
      </c>
      <c r="W34" s="120">
        <f t="shared" si="11"/>
        <v>0.17499541564772483</v>
      </c>
    </row>
    <row r="35" spans="2:23">
      <c r="B35" s="116">
        <f>Amnt_Deposited!B30</f>
        <v>2016</v>
      </c>
      <c r="C35" s="119">
        <f>Amnt_Deposited!D30</f>
        <v>0</v>
      </c>
      <c r="D35" s="453">
        <f>Dry_Matter_Content!D22</f>
        <v>0.44</v>
      </c>
      <c r="E35" s="319">
        <f>MCF!R34</f>
        <v>0.8</v>
      </c>
      <c r="F35" s="87">
        <f t="shared" si="0"/>
        <v>0</v>
      </c>
      <c r="G35" s="87">
        <f t="shared" si="1"/>
        <v>0</v>
      </c>
      <c r="H35" s="87">
        <f t="shared" si="2"/>
        <v>0</v>
      </c>
      <c r="I35" s="87">
        <f t="shared" si="3"/>
        <v>1.6337126313175394</v>
      </c>
      <c r="J35" s="87">
        <f t="shared" si="4"/>
        <v>0.118457531588875</v>
      </c>
      <c r="K35" s="120">
        <f t="shared" si="6"/>
        <v>7.8971687725916659E-2</v>
      </c>
      <c r="O35" s="116">
        <f>Amnt_Deposited!B30</f>
        <v>2016</v>
      </c>
      <c r="P35" s="119">
        <f>Amnt_Deposited!D30</f>
        <v>0</v>
      </c>
      <c r="Q35" s="319">
        <f>MCF!R34</f>
        <v>0.8</v>
      </c>
      <c r="R35" s="87">
        <f t="shared" si="5"/>
        <v>0</v>
      </c>
      <c r="S35" s="87">
        <f t="shared" si="7"/>
        <v>0</v>
      </c>
      <c r="T35" s="87">
        <f t="shared" si="8"/>
        <v>0</v>
      </c>
      <c r="U35" s="87">
        <f t="shared" si="9"/>
        <v>3.375439320904007</v>
      </c>
      <c r="V35" s="87">
        <f t="shared" si="10"/>
        <v>0.24474696609271696</v>
      </c>
      <c r="W35" s="120">
        <f t="shared" si="11"/>
        <v>0.1631646440618113</v>
      </c>
    </row>
    <row r="36" spans="2:23">
      <c r="B36" s="116">
        <f>Amnt_Deposited!B31</f>
        <v>2017</v>
      </c>
      <c r="C36" s="119">
        <f>Amnt_Deposited!D31</f>
        <v>0</v>
      </c>
      <c r="D36" s="453">
        <f>Dry_Matter_Content!D23</f>
        <v>0.44</v>
      </c>
      <c r="E36" s="319">
        <f>MCF!R35</f>
        <v>0.8</v>
      </c>
      <c r="F36" s="87">
        <f t="shared" si="0"/>
        <v>0</v>
      </c>
      <c r="G36" s="87">
        <f t="shared" si="1"/>
        <v>0</v>
      </c>
      <c r="H36" s="87">
        <f t="shared" si="2"/>
        <v>0</v>
      </c>
      <c r="I36" s="87">
        <f t="shared" si="3"/>
        <v>1.5232635609427587</v>
      </c>
      <c r="J36" s="87">
        <f t="shared" si="4"/>
        <v>0.1104490703747807</v>
      </c>
      <c r="K36" s="120">
        <f t="shared" si="6"/>
        <v>7.3632713583187126E-2</v>
      </c>
      <c r="O36" s="116">
        <f>Amnt_Deposited!B31</f>
        <v>2017</v>
      </c>
      <c r="P36" s="119">
        <f>Amnt_Deposited!D31</f>
        <v>0</v>
      </c>
      <c r="Q36" s="319">
        <f>MCF!R35</f>
        <v>0.8</v>
      </c>
      <c r="R36" s="87">
        <f t="shared" si="5"/>
        <v>0</v>
      </c>
      <c r="S36" s="87">
        <f t="shared" si="7"/>
        <v>0</v>
      </c>
      <c r="T36" s="87">
        <f t="shared" si="8"/>
        <v>0</v>
      </c>
      <c r="U36" s="87">
        <f t="shared" si="9"/>
        <v>3.1472387622784272</v>
      </c>
      <c r="V36" s="87">
        <f t="shared" si="10"/>
        <v>0.22820055862557995</v>
      </c>
      <c r="W36" s="120">
        <f t="shared" si="11"/>
        <v>0.15213370575038662</v>
      </c>
    </row>
    <row r="37" spans="2:23">
      <c r="B37" s="116">
        <f>Amnt_Deposited!B32</f>
        <v>2018</v>
      </c>
      <c r="C37" s="119">
        <f>Amnt_Deposited!D32</f>
        <v>0</v>
      </c>
      <c r="D37" s="453">
        <f>Dry_Matter_Content!D24</f>
        <v>0.44</v>
      </c>
      <c r="E37" s="319">
        <f>MCF!R36</f>
        <v>0.8</v>
      </c>
      <c r="F37" s="87">
        <f t="shared" si="0"/>
        <v>0</v>
      </c>
      <c r="G37" s="87">
        <f t="shared" si="1"/>
        <v>0</v>
      </c>
      <c r="H37" s="87">
        <f t="shared" si="2"/>
        <v>0</v>
      </c>
      <c r="I37" s="87">
        <f t="shared" si="3"/>
        <v>1.4202815303109559</v>
      </c>
      <c r="J37" s="87">
        <f t="shared" si="4"/>
        <v>0.10298203063180268</v>
      </c>
      <c r="K37" s="120">
        <f t="shared" si="6"/>
        <v>6.8654687087868455E-2</v>
      </c>
      <c r="O37" s="116">
        <f>Amnt_Deposited!B32</f>
        <v>2018</v>
      </c>
      <c r="P37" s="119">
        <f>Amnt_Deposited!D32</f>
        <v>0</v>
      </c>
      <c r="Q37" s="319">
        <f>MCF!R36</f>
        <v>0.8</v>
      </c>
      <c r="R37" s="87">
        <f t="shared" si="5"/>
        <v>0</v>
      </c>
      <c r="S37" s="87">
        <f t="shared" si="7"/>
        <v>0</v>
      </c>
      <c r="T37" s="87">
        <f t="shared" si="8"/>
        <v>0</v>
      </c>
      <c r="U37" s="87">
        <f t="shared" si="9"/>
        <v>2.9344659717168513</v>
      </c>
      <c r="V37" s="87">
        <f t="shared" si="10"/>
        <v>0.2127727905615758</v>
      </c>
      <c r="W37" s="120">
        <f t="shared" si="11"/>
        <v>0.14184852704105053</v>
      </c>
    </row>
    <row r="38" spans="2:23">
      <c r="B38" s="116">
        <f>Amnt_Deposited!B33</f>
        <v>2019</v>
      </c>
      <c r="C38" s="119">
        <f>Amnt_Deposited!D33</f>
        <v>0</v>
      </c>
      <c r="D38" s="453">
        <f>Dry_Matter_Content!D25</f>
        <v>0.44</v>
      </c>
      <c r="E38" s="319">
        <f>MCF!R37</f>
        <v>0.8</v>
      </c>
      <c r="F38" s="87">
        <f t="shared" si="0"/>
        <v>0</v>
      </c>
      <c r="G38" s="87">
        <f t="shared" si="1"/>
        <v>0</v>
      </c>
      <c r="H38" s="87">
        <f t="shared" si="2"/>
        <v>0</v>
      </c>
      <c r="I38" s="87">
        <f t="shared" si="3"/>
        <v>1.324261721388498</v>
      </c>
      <c r="J38" s="87">
        <f t="shared" si="4"/>
        <v>9.6019808922457872E-2</v>
      </c>
      <c r="K38" s="120">
        <f t="shared" si="6"/>
        <v>6.4013205948305243E-2</v>
      </c>
      <c r="O38" s="116">
        <f>Amnt_Deposited!B33</f>
        <v>2019</v>
      </c>
      <c r="P38" s="119">
        <f>Amnt_Deposited!D33</f>
        <v>0</v>
      </c>
      <c r="Q38" s="319">
        <f>MCF!R37</f>
        <v>0.8</v>
      </c>
      <c r="R38" s="87">
        <f t="shared" si="5"/>
        <v>0</v>
      </c>
      <c r="S38" s="87">
        <f t="shared" si="7"/>
        <v>0</v>
      </c>
      <c r="T38" s="87">
        <f t="shared" si="8"/>
        <v>0</v>
      </c>
      <c r="U38" s="87">
        <f t="shared" si="9"/>
        <v>2.7360779367530954</v>
      </c>
      <c r="V38" s="87">
        <f t="shared" si="10"/>
        <v>0.19838803496375595</v>
      </c>
      <c r="W38" s="120">
        <f t="shared" si="11"/>
        <v>0.13225868997583728</v>
      </c>
    </row>
    <row r="39" spans="2:23">
      <c r="B39" s="116">
        <f>Amnt_Deposited!B34</f>
        <v>2020</v>
      </c>
      <c r="C39" s="119">
        <f>Amnt_Deposited!D34</f>
        <v>0</v>
      </c>
      <c r="D39" s="453">
        <f>Dry_Matter_Content!D26</f>
        <v>0.44</v>
      </c>
      <c r="E39" s="319">
        <f>MCF!R38</f>
        <v>0.8</v>
      </c>
      <c r="F39" s="87">
        <f t="shared" si="0"/>
        <v>0</v>
      </c>
      <c r="G39" s="87">
        <f t="shared" si="1"/>
        <v>0</v>
      </c>
      <c r="H39" s="87">
        <f t="shared" si="2"/>
        <v>0</v>
      </c>
      <c r="I39" s="87">
        <f t="shared" si="3"/>
        <v>1.2347334449606482</v>
      </c>
      <c r="J39" s="87">
        <f t="shared" si="4"/>
        <v>8.9528276427849746E-2</v>
      </c>
      <c r="K39" s="120">
        <f t="shared" si="6"/>
        <v>5.9685517618566497E-2</v>
      </c>
      <c r="O39" s="116">
        <f>Amnt_Deposited!B34</f>
        <v>2020</v>
      </c>
      <c r="P39" s="119">
        <f>Amnt_Deposited!D34</f>
        <v>0</v>
      </c>
      <c r="Q39" s="319">
        <f>MCF!R38</f>
        <v>0.8</v>
      </c>
      <c r="R39" s="87">
        <f t="shared" si="5"/>
        <v>0</v>
      </c>
      <c r="S39" s="87">
        <f t="shared" si="7"/>
        <v>0</v>
      </c>
      <c r="T39" s="87">
        <f t="shared" si="8"/>
        <v>0</v>
      </c>
      <c r="U39" s="87">
        <f t="shared" si="9"/>
        <v>2.5511021590096044</v>
      </c>
      <c r="V39" s="87">
        <f t="shared" si="10"/>
        <v>0.18497577774349125</v>
      </c>
      <c r="W39" s="120">
        <f t="shared" si="11"/>
        <v>0.12331718516232749</v>
      </c>
    </row>
    <row r="40" spans="2:23">
      <c r="B40" s="116">
        <f>Amnt_Deposited!B35</f>
        <v>2021</v>
      </c>
      <c r="C40" s="119">
        <f>Amnt_Deposited!D35</f>
        <v>0</v>
      </c>
      <c r="D40" s="453">
        <f>Dry_Matter_Content!D27</f>
        <v>0.44</v>
      </c>
      <c r="E40" s="319">
        <f>MCF!R39</f>
        <v>0.8</v>
      </c>
      <c r="F40" s="87">
        <f t="shared" si="0"/>
        <v>0</v>
      </c>
      <c r="G40" s="87">
        <f t="shared" si="1"/>
        <v>0</v>
      </c>
      <c r="H40" s="87">
        <f t="shared" si="2"/>
        <v>0</v>
      </c>
      <c r="I40" s="87">
        <f t="shared" si="3"/>
        <v>1.1512578333124897</v>
      </c>
      <c r="J40" s="87">
        <f t="shared" si="4"/>
        <v>8.347561164815849E-2</v>
      </c>
      <c r="K40" s="120">
        <f t="shared" si="6"/>
        <v>5.5650407765438989E-2</v>
      </c>
      <c r="O40" s="116">
        <f>Amnt_Deposited!B35</f>
        <v>2021</v>
      </c>
      <c r="P40" s="119">
        <f>Amnt_Deposited!D35</f>
        <v>0</v>
      </c>
      <c r="Q40" s="319">
        <f>MCF!R39</f>
        <v>0.8</v>
      </c>
      <c r="R40" s="87">
        <f t="shared" si="5"/>
        <v>0</v>
      </c>
      <c r="S40" s="87">
        <f t="shared" si="7"/>
        <v>0</v>
      </c>
      <c r="T40" s="87">
        <f t="shared" si="8"/>
        <v>0</v>
      </c>
      <c r="U40" s="87">
        <f t="shared" si="9"/>
        <v>2.3786318870092766</v>
      </c>
      <c r="V40" s="87">
        <f t="shared" si="10"/>
        <v>0.1724702720003275</v>
      </c>
      <c r="W40" s="120">
        <f t="shared" si="11"/>
        <v>0.11498018133355166</v>
      </c>
    </row>
    <row r="41" spans="2:23">
      <c r="B41" s="116">
        <f>Amnt_Deposited!B36</f>
        <v>2022</v>
      </c>
      <c r="C41" s="119">
        <f>Amnt_Deposited!D36</f>
        <v>0</v>
      </c>
      <c r="D41" s="453">
        <f>Dry_Matter_Content!D28</f>
        <v>0.44</v>
      </c>
      <c r="E41" s="319">
        <f>MCF!R40</f>
        <v>0.8</v>
      </c>
      <c r="F41" s="87">
        <f t="shared" si="0"/>
        <v>0</v>
      </c>
      <c r="G41" s="87">
        <f t="shared" si="1"/>
        <v>0</v>
      </c>
      <c r="H41" s="87">
        <f t="shared" si="2"/>
        <v>0</v>
      </c>
      <c r="I41" s="87">
        <f t="shared" si="3"/>
        <v>1.0734256888988778</v>
      </c>
      <c r="J41" s="87">
        <f t="shared" si="4"/>
        <v>7.7832144413611956E-2</v>
      </c>
      <c r="K41" s="120">
        <f t="shared" si="6"/>
        <v>5.1888096275741299E-2</v>
      </c>
      <c r="O41" s="116">
        <f>Amnt_Deposited!B36</f>
        <v>2022</v>
      </c>
      <c r="P41" s="119">
        <f>Amnt_Deposited!D36</f>
        <v>0</v>
      </c>
      <c r="Q41" s="319">
        <f>MCF!R40</f>
        <v>0.8</v>
      </c>
      <c r="R41" s="87">
        <f t="shared" si="5"/>
        <v>0</v>
      </c>
      <c r="S41" s="87">
        <f t="shared" si="7"/>
        <v>0</v>
      </c>
      <c r="T41" s="87">
        <f t="shared" si="8"/>
        <v>0</v>
      </c>
      <c r="U41" s="87">
        <f t="shared" si="9"/>
        <v>2.2178216712786734</v>
      </c>
      <c r="V41" s="87">
        <f t="shared" si="10"/>
        <v>0.16081021573060325</v>
      </c>
      <c r="W41" s="120">
        <f t="shared" si="11"/>
        <v>0.10720681048706883</v>
      </c>
    </row>
    <row r="42" spans="2:23">
      <c r="B42" s="116">
        <f>Amnt_Deposited!B37</f>
        <v>2023</v>
      </c>
      <c r="C42" s="119">
        <f>Amnt_Deposited!D37</f>
        <v>0</v>
      </c>
      <c r="D42" s="453">
        <f>Dry_Matter_Content!D29</f>
        <v>0.44</v>
      </c>
      <c r="E42" s="319">
        <f>MCF!R41</f>
        <v>0.8</v>
      </c>
      <c r="F42" s="87">
        <f t="shared" si="0"/>
        <v>0</v>
      </c>
      <c r="G42" s="87">
        <f t="shared" si="1"/>
        <v>0</v>
      </c>
      <c r="H42" s="87">
        <f t="shared" si="2"/>
        <v>0</v>
      </c>
      <c r="I42" s="87">
        <f t="shared" si="3"/>
        <v>1.0008554784575987</v>
      </c>
      <c r="J42" s="87">
        <f t="shared" si="4"/>
        <v>7.2570210441279079E-2</v>
      </c>
      <c r="K42" s="120">
        <f t="shared" si="6"/>
        <v>4.8380140294186053E-2</v>
      </c>
      <c r="O42" s="116">
        <f>Amnt_Deposited!B37</f>
        <v>2023</v>
      </c>
      <c r="P42" s="119">
        <f>Amnt_Deposited!D37</f>
        <v>0</v>
      </c>
      <c r="Q42" s="319">
        <f>MCF!R41</f>
        <v>0.8</v>
      </c>
      <c r="R42" s="87">
        <f t="shared" si="5"/>
        <v>0</v>
      </c>
      <c r="S42" s="87">
        <f t="shared" si="7"/>
        <v>0</v>
      </c>
      <c r="T42" s="87">
        <f t="shared" si="8"/>
        <v>0</v>
      </c>
      <c r="U42" s="87">
        <f t="shared" si="9"/>
        <v>2.0678832199537167</v>
      </c>
      <c r="V42" s="87">
        <f t="shared" si="10"/>
        <v>0.14993845132495678</v>
      </c>
      <c r="W42" s="120">
        <f t="shared" si="11"/>
        <v>9.9958967549971189E-2</v>
      </c>
    </row>
    <row r="43" spans="2:23">
      <c r="B43" s="116">
        <f>Amnt_Deposited!B38</f>
        <v>2024</v>
      </c>
      <c r="C43" s="119">
        <f>Amnt_Deposited!D38</f>
        <v>0</v>
      </c>
      <c r="D43" s="453">
        <f>Dry_Matter_Content!D30</f>
        <v>0.44</v>
      </c>
      <c r="E43" s="319">
        <f>MCF!R42</f>
        <v>0.8</v>
      </c>
      <c r="F43" s="87">
        <f t="shared" si="0"/>
        <v>0</v>
      </c>
      <c r="G43" s="87">
        <f t="shared" si="1"/>
        <v>0</v>
      </c>
      <c r="H43" s="87">
        <f t="shared" si="2"/>
        <v>0</v>
      </c>
      <c r="I43" s="87">
        <f t="shared" si="3"/>
        <v>0.93319146273287601</v>
      </c>
      <c r="J43" s="87">
        <f t="shared" si="4"/>
        <v>6.766401572472272E-2</v>
      </c>
      <c r="K43" s="120">
        <f t="shared" si="6"/>
        <v>4.5109343816481809E-2</v>
      </c>
      <c r="O43" s="116">
        <f>Amnt_Deposited!B38</f>
        <v>2024</v>
      </c>
      <c r="P43" s="119">
        <f>Amnt_Deposited!D38</f>
        <v>0</v>
      </c>
      <c r="Q43" s="319">
        <f>MCF!R42</f>
        <v>0.8</v>
      </c>
      <c r="R43" s="87">
        <f t="shared" si="5"/>
        <v>0</v>
      </c>
      <c r="S43" s="87">
        <f t="shared" si="7"/>
        <v>0</v>
      </c>
      <c r="T43" s="87">
        <f t="shared" si="8"/>
        <v>0</v>
      </c>
      <c r="U43" s="87">
        <f t="shared" si="9"/>
        <v>1.9280815345720581</v>
      </c>
      <c r="V43" s="87">
        <f t="shared" si="10"/>
        <v>0.13980168538165855</v>
      </c>
      <c r="W43" s="120">
        <f t="shared" si="11"/>
        <v>9.3201123587772355E-2</v>
      </c>
    </row>
    <row r="44" spans="2:23">
      <c r="B44" s="116">
        <f>Amnt_Deposited!B39</f>
        <v>2025</v>
      </c>
      <c r="C44" s="119">
        <f>Amnt_Deposited!D39</f>
        <v>0</v>
      </c>
      <c r="D44" s="453">
        <f>Dry_Matter_Content!D31</f>
        <v>0.44</v>
      </c>
      <c r="E44" s="319">
        <f>MCF!R43</f>
        <v>0.8</v>
      </c>
      <c r="F44" s="87">
        <f t="shared" si="0"/>
        <v>0</v>
      </c>
      <c r="G44" s="87">
        <f t="shared" si="1"/>
        <v>0</v>
      </c>
      <c r="H44" s="87">
        <f t="shared" si="2"/>
        <v>0</v>
      </c>
      <c r="I44" s="87">
        <f t="shared" si="3"/>
        <v>0.87010195264112566</v>
      </c>
      <c r="J44" s="87">
        <f t="shared" si="4"/>
        <v>6.3089510091750373E-2</v>
      </c>
      <c r="K44" s="120">
        <f t="shared" si="6"/>
        <v>4.2059673394500244E-2</v>
      </c>
      <c r="O44" s="116">
        <f>Amnt_Deposited!B39</f>
        <v>2025</v>
      </c>
      <c r="P44" s="119">
        <f>Amnt_Deposited!D39</f>
        <v>0</v>
      </c>
      <c r="Q44" s="319">
        <f>MCF!R43</f>
        <v>0.8</v>
      </c>
      <c r="R44" s="87">
        <f t="shared" si="5"/>
        <v>0</v>
      </c>
      <c r="S44" s="87">
        <f t="shared" si="7"/>
        <v>0</v>
      </c>
      <c r="T44" s="87">
        <f t="shared" si="8"/>
        <v>0</v>
      </c>
      <c r="U44" s="87">
        <f t="shared" si="9"/>
        <v>1.797731307109764</v>
      </c>
      <c r="V44" s="87">
        <f t="shared" si="10"/>
        <v>0.13035022746229419</v>
      </c>
      <c r="W44" s="120">
        <f t="shared" si="11"/>
        <v>8.6900151641529449E-2</v>
      </c>
    </row>
    <row r="45" spans="2:23">
      <c r="B45" s="116">
        <f>Amnt_Deposited!B40</f>
        <v>2026</v>
      </c>
      <c r="C45" s="119">
        <f>Amnt_Deposited!D40</f>
        <v>0</v>
      </c>
      <c r="D45" s="453">
        <f>Dry_Matter_Content!D32</f>
        <v>0.44</v>
      </c>
      <c r="E45" s="319">
        <f>MCF!R44</f>
        <v>0.8</v>
      </c>
      <c r="F45" s="87">
        <f t="shared" si="0"/>
        <v>0</v>
      </c>
      <c r="G45" s="87">
        <f t="shared" si="1"/>
        <v>0</v>
      </c>
      <c r="H45" s="87">
        <f t="shared" si="2"/>
        <v>0</v>
      </c>
      <c r="I45" s="87">
        <f t="shared" si="3"/>
        <v>0.81127768333068362</v>
      </c>
      <c r="J45" s="87">
        <f t="shared" si="4"/>
        <v>5.8824269310442011E-2</v>
      </c>
      <c r="K45" s="120">
        <f t="shared" si="6"/>
        <v>3.9216179540294674E-2</v>
      </c>
      <c r="O45" s="116">
        <f>Amnt_Deposited!B40</f>
        <v>2026</v>
      </c>
      <c r="P45" s="119">
        <f>Amnt_Deposited!D40</f>
        <v>0</v>
      </c>
      <c r="Q45" s="319">
        <f>MCF!R44</f>
        <v>0.8</v>
      </c>
      <c r="R45" s="87">
        <f t="shared" si="5"/>
        <v>0</v>
      </c>
      <c r="S45" s="87">
        <f t="shared" si="7"/>
        <v>0</v>
      </c>
      <c r="T45" s="87">
        <f t="shared" si="8"/>
        <v>0</v>
      </c>
      <c r="U45" s="87">
        <f t="shared" si="9"/>
        <v>1.6761935606005862</v>
      </c>
      <c r="V45" s="87">
        <f t="shared" si="10"/>
        <v>0.12153774650917772</v>
      </c>
      <c r="W45" s="120">
        <f t="shared" si="11"/>
        <v>8.1025164339451811E-2</v>
      </c>
    </row>
    <row r="46" spans="2:23">
      <c r="B46" s="116">
        <f>Amnt_Deposited!B41</f>
        <v>2027</v>
      </c>
      <c r="C46" s="119">
        <f>Amnt_Deposited!D41</f>
        <v>0</v>
      </c>
      <c r="D46" s="453">
        <f>Dry_Matter_Content!D33</f>
        <v>0.44</v>
      </c>
      <c r="E46" s="319">
        <f>MCF!R45</f>
        <v>0.8</v>
      </c>
      <c r="F46" s="87">
        <f t="shared" si="0"/>
        <v>0</v>
      </c>
      <c r="G46" s="87">
        <f t="shared" si="1"/>
        <v>0</v>
      </c>
      <c r="H46" s="87">
        <f t="shared" si="2"/>
        <v>0</v>
      </c>
      <c r="I46" s="87">
        <f t="shared" si="3"/>
        <v>0.7564302981651444</v>
      </c>
      <c r="J46" s="87">
        <f t="shared" si="4"/>
        <v>5.4847385165539261E-2</v>
      </c>
      <c r="K46" s="120">
        <f t="shared" si="6"/>
        <v>3.6564923443692839E-2</v>
      </c>
      <c r="O46" s="116">
        <f>Amnt_Deposited!B41</f>
        <v>2027</v>
      </c>
      <c r="P46" s="119">
        <f>Amnt_Deposited!D41</f>
        <v>0</v>
      </c>
      <c r="Q46" s="319">
        <f>MCF!R45</f>
        <v>0.8</v>
      </c>
      <c r="R46" s="87">
        <f t="shared" si="5"/>
        <v>0</v>
      </c>
      <c r="S46" s="87">
        <f t="shared" si="7"/>
        <v>0</v>
      </c>
      <c r="T46" s="87">
        <f t="shared" si="8"/>
        <v>0</v>
      </c>
      <c r="U46" s="87">
        <f t="shared" si="9"/>
        <v>1.5628725168701332</v>
      </c>
      <c r="V46" s="87">
        <f t="shared" si="10"/>
        <v>0.11332104373045304</v>
      </c>
      <c r="W46" s="120">
        <f t="shared" si="11"/>
        <v>7.5547362486968694E-2</v>
      </c>
    </row>
    <row r="47" spans="2:23">
      <c r="B47" s="116">
        <f>Amnt_Deposited!B42</f>
        <v>2028</v>
      </c>
      <c r="C47" s="119">
        <f>Amnt_Deposited!D42</f>
        <v>0</v>
      </c>
      <c r="D47" s="453">
        <f>Dry_Matter_Content!D34</f>
        <v>0.44</v>
      </c>
      <c r="E47" s="319">
        <f>MCF!R46</f>
        <v>0.8</v>
      </c>
      <c r="F47" s="87">
        <f t="shared" si="0"/>
        <v>0</v>
      </c>
      <c r="G47" s="87">
        <f t="shared" si="1"/>
        <v>0</v>
      </c>
      <c r="H47" s="87">
        <f t="shared" si="2"/>
        <v>0</v>
      </c>
      <c r="I47" s="87">
        <f t="shared" si="3"/>
        <v>0.70529093519879438</v>
      </c>
      <c r="J47" s="87">
        <f t="shared" si="4"/>
        <v>5.1139362966350001E-2</v>
      </c>
      <c r="K47" s="120">
        <f t="shared" si="6"/>
        <v>3.4092908644233332E-2</v>
      </c>
      <c r="O47" s="116">
        <f>Amnt_Deposited!B42</f>
        <v>2028</v>
      </c>
      <c r="P47" s="119">
        <f>Amnt_Deposited!D42</f>
        <v>0</v>
      </c>
      <c r="Q47" s="319">
        <f>MCF!R46</f>
        <v>0.8</v>
      </c>
      <c r="R47" s="87">
        <f t="shared" si="5"/>
        <v>0</v>
      </c>
      <c r="S47" s="87">
        <f t="shared" si="7"/>
        <v>0</v>
      </c>
      <c r="T47" s="87">
        <f t="shared" si="8"/>
        <v>0</v>
      </c>
      <c r="U47" s="87">
        <f t="shared" si="9"/>
        <v>1.457212676030567</v>
      </c>
      <c r="V47" s="87">
        <f t="shared" si="10"/>
        <v>0.10565984083956612</v>
      </c>
      <c r="W47" s="120">
        <f t="shared" si="11"/>
        <v>7.0439893893044073E-2</v>
      </c>
    </row>
    <row r="48" spans="2:23">
      <c r="B48" s="116">
        <f>Amnt_Deposited!B43</f>
        <v>2029</v>
      </c>
      <c r="C48" s="119">
        <f>Amnt_Deposited!D43</f>
        <v>0</v>
      </c>
      <c r="D48" s="453">
        <f>Dry_Matter_Content!D35</f>
        <v>0.44</v>
      </c>
      <c r="E48" s="319">
        <f>MCF!R47</f>
        <v>0.8</v>
      </c>
      <c r="F48" s="87">
        <f t="shared" si="0"/>
        <v>0</v>
      </c>
      <c r="G48" s="87">
        <f t="shared" si="1"/>
        <v>0</v>
      </c>
      <c r="H48" s="87">
        <f t="shared" si="2"/>
        <v>0</v>
      </c>
      <c r="I48" s="87">
        <f t="shared" si="3"/>
        <v>0.65760890921504256</v>
      </c>
      <c r="J48" s="87">
        <f t="shared" si="4"/>
        <v>4.7682025983751861E-2</v>
      </c>
      <c r="K48" s="120">
        <f t="shared" si="6"/>
        <v>3.1788017322501236E-2</v>
      </c>
      <c r="O48" s="116">
        <f>Amnt_Deposited!B43</f>
        <v>2029</v>
      </c>
      <c r="P48" s="119">
        <f>Amnt_Deposited!D43</f>
        <v>0</v>
      </c>
      <c r="Q48" s="319">
        <f>MCF!R47</f>
        <v>0.8</v>
      </c>
      <c r="R48" s="87">
        <f t="shared" si="5"/>
        <v>0</v>
      </c>
      <c r="S48" s="87">
        <f t="shared" si="7"/>
        <v>0</v>
      </c>
      <c r="T48" s="87">
        <f t="shared" si="8"/>
        <v>0</v>
      </c>
      <c r="U48" s="87">
        <f t="shared" si="9"/>
        <v>1.3586960934195094</v>
      </c>
      <c r="V48" s="87">
        <f t="shared" si="10"/>
        <v>9.8516582611057571E-2</v>
      </c>
      <c r="W48" s="120">
        <f t="shared" si="11"/>
        <v>6.5677721740705047E-2</v>
      </c>
    </row>
    <row r="49" spans="2:23">
      <c r="B49" s="116">
        <f>Amnt_Deposited!B44</f>
        <v>2030</v>
      </c>
      <c r="C49" s="119">
        <f>Amnt_Deposited!D44</f>
        <v>0</v>
      </c>
      <c r="D49" s="453">
        <f>Dry_Matter_Content!D36</f>
        <v>0.44</v>
      </c>
      <c r="E49" s="319">
        <f>MCF!R48</f>
        <v>0.8</v>
      </c>
      <c r="F49" s="87">
        <f t="shared" si="0"/>
        <v>0</v>
      </c>
      <c r="G49" s="87">
        <f t="shared" si="1"/>
        <v>0</v>
      </c>
      <c r="H49" s="87">
        <f t="shared" si="2"/>
        <v>0</v>
      </c>
      <c r="I49" s="87">
        <f t="shared" si="3"/>
        <v>0.61315048286719753</v>
      </c>
      <c r="J49" s="87">
        <f t="shared" si="4"/>
        <v>4.4458426347845081E-2</v>
      </c>
      <c r="K49" s="120">
        <f t="shared" si="6"/>
        <v>2.9638950898563388E-2</v>
      </c>
      <c r="O49" s="116">
        <f>Amnt_Deposited!B44</f>
        <v>2030</v>
      </c>
      <c r="P49" s="119">
        <f>Amnt_Deposited!D44</f>
        <v>0</v>
      </c>
      <c r="Q49" s="319">
        <f>MCF!R48</f>
        <v>0.8</v>
      </c>
      <c r="R49" s="87">
        <f t="shared" si="5"/>
        <v>0</v>
      </c>
      <c r="S49" s="87">
        <f t="shared" si="7"/>
        <v>0</v>
      </c>
      <c r="T49" s="87">
        <f t="shared" si="8"/>
        <v>0</v>
      </c>
      <c r="U49" s="87">
        <f t="shared" si="9"/>
        <v>1.2668398406347054</v>
      </c>
      <c r="V49" s="87">
        <f t="shared" si="10"/>
        <v>9.1856252784803874E-2</v>
      </c>
      <c r="W49" s="120">
        <f t="shared" si="11"/>
        <v>6.1237501856535911E-2</v>
      </c>
    </row>
    <row r="50" spans="2:23">
      <c r="B50" s="116">
        <f>Amnt_Deposited!B45</f>
        <v>2031</v>
      </c>
      <c r="C50" s="119">
        <f>Amnt_Deposited!D45</f>
        <v>0</v>
      </c>
      <c r="D50" s="453">
        <f>Dry_Matter_Content!D37</f>
        <v>0.44</v>
      </c>
      <c r="E50" s="319">
        <f>MCF!R49</f>
        <v>0.8</v>
      </c>
      <c r="F50" s="87">
        <f t="shared" si="0"/>
        <v>0</v>
      </c>
      <c r="G50" s="87">
        <f t="shared" si="1"/>
        <v>0</v>
      </c>
      <c r="H50" s="87">
        <f t="shared" si="2"/>
        <v>0</v>
      </c>
      <c r="I50" s="87">
        <f t="shared" si="3"/>
        <v>0.57169772089772297</v>
      </c>
      <c r="J50" s="87">
        <f t="shared" si="4"/>
        <v>4.1452761969474533E-2</v>
      </c>
      <c r="K50" s="120">
        <f t="shared" si="6"/>
        <v>2.7635174646316353E-2</v>
      </c>
      <c r="O50" s="116">
        <f>Amnt_Deposited!B45</f>
        <v>2031</v>
      </c>
      <c r="P50" s="119">
        <f>Amnt_Deposited!D45</f>
        <v>0</v>
      </c>
      <c r="Q50" s="319">
        <f>MCF!R49</f>
        <v>0.8</v>
      </c>
      <c r="R50" s="87">
        <f t="shared" si="5"/>
        <v>0</v>
      </c>
      <c r="S50" s="87">
        <f t="shared" si="7"/>
        <v>0</v>
      </c>
      <c r="T50" s="87">
        <f t="shared" si="8"/>
        <v>0</v>
      </c>
      <c r="U50" s="87">
        <f t="shared" si="9"/>
        <v>1.1811936382184358</v>
      </c>
      <c r="V50" s="87">
        <f t="shared" si="10"/>
        <v>8.564620241626969E-2</v>
      </c>
      <c r="W50" s="120">
        <f t="shared" si="11"/>
        <v>5.7097468277513122E-2</v>
      </c>
    </row>
    <row r="51" spans="2:23">
      <c r="B51" s="116">
        <f>Amnt_Deposited!B46</f>
        <v>2032</v>
      </c>
      <c r="C51" s="119">
        <f>Amnt_Deposited!D46</f>
        <v>0</v>
      </c>
      <c r="D51" s="453">
        <f>Dry_Matter_Content!D38</f>
        <v>0.44</v>
      </c>
      <c r="E51" s="319">
        <f>MCF!R50</f>
        <v>0.8</v>
      </c>
      <c r="F51" s="87">
        <f t="shared" ref="F51:F82" si="12">C51*D51*$K$6*DOCF*E51</f>
        <v>0</v>
      </c>
      <c r="G51" s="87">
        <f t="shared" si="1"/>
        <v>0</v>
      </c>
      <c r="H51" s="87">
        <f t="shared" si="2"/>
        <v>0</v>
      </c>
      <c r="I51" s="87">
        <f t="shared" si="3"/>
        <v>0.53304742181935261</v>
      </c>
      <c r="J51" s="87">
        <f t="shared" si="4"/>
        <v>3.8650299078370379E-2</v>
      </c>
      <c r="K51" s="120">
        <f t="shared" si="6"/>
        <v>2.5766866052246918E-2</v>
      </c>
      <c r="O51" s="116">
        <f>Amnt_Deposited!B46</f>
        <v>2032</v>
      </c>
      <c r="P51" s="119">
        <f>Amnt_Deposited!D46</f>
        <v>0</v>
      </c>
      <c r="Q51" s="319">
        <f>MCF!R50</f>
        <v>0.8</v>
      </c>
      <c r="R51" s="87">
        <f t="shared" ref="R51:R82" si="13">P51*$W$6*DOCF*Q51</f>
        <v>0</v>
      </c>
      <c r="S51" s="87">
        <f t="shared" si="7"/>
        <v>0</v>
      </c>
      <c r="T51" s="87">
        <f t="shared" si="8"/>
        <v>0</v>
      </c>
      <c r="U51" s="87">
        <f t="shared" si="9"/>
        <v>1.101337648387092</v>
      </c>
      <c r="V51" s="87">
        <f t="shared" si="10"/>
        <v>7.9855989831343746E-2</v>
      </c>
      <c r="W51" s="120">
        <f t="shared" si="11"/>
        <v>5.3237326554229164E-2</v>
      </c>
    </row>
    <row r="52" spans="2:23">
      <c r="B52" s="116">
        <f>Amnt_Deposited!B47</f>
        <v>2033</v>
      </c>
      <c r="C52" s="119">
        <f>Amnt_Deposited!D47</f>
        <v>0</v>
      </c>
      <c r="D52" s="453">
        <f>Dry_Matter_Content!D39</f>
        <v>0.44</v>
      </c>
      <c r="E52" s="319">
        <f>MCF!R51</f>
        <v>0.8</v>
      </c>
      <c r="F52" s="87">
        <f t="shared" si="12"/>
        <v>0</v>
      </c>
      <c r="G52" s="87">
        <f t="shared" si="1"/>
        <v>0</v>
      </c>
      <c r="H52" s="87">
        <f t="shared" si="2"/>
        <v>0</v>
      </c>
      <c r="I52" s="87">
        <f t="shared" si="3"/>
        <v>0.4970101218211635</v>
      </c>
      <c r="J52" s="87">
        <f t="shared" si="4"/>
        <v>3.603729999818911E-2</v>
      </c>
      <c r="K52" s="120">
        <f t="shared" si="6"/>
        <v>2.4024866665459405E-2</v>
      </c>
      <c r="O52" s="116">
        <f>Amnt_Deposited!B47</f>
        <v>2033</v>
      </c>
      <c r="P52" s="119">
        <f>Amnt_Deposited!D47</f>
        <v>0</v>
      </c>
      <c r="Q52" s="319">
        <f>MCF!R51</f>
        <v>0.8</v>
      </c>
      <c r="R52" s="87">
        <f t="shared" si="13"/>
        <v>0</v>
      </c>
      <c r="S52" s="87">
        <f t="shared" si="7"/>
        <v>0</v>
      </c>
      <c r="T52" s="87">
        <f t="shared" si="8"/>
        <v>0</v>
      </c>
      <c r="U52" s="87">
        <f t="shared" si="9"/>
        <v>1.026880416985875</v>
      </c>
      <c r="V52" s="87">
        <f t="shared" si="10"/>
        <v>7.4457231401217155E-2</v>
      </c>
      <c r="W52" s="120">
        <f t="shared" si="11"/>
        <v>4.9638154267478099E-2</v>
      </c>
    </row>
    <row r="53" spans="2:23">
      <c r="B53" s="116">
        <f>Amnt_Deposited!B48</f>
        <v>2034</v>
      </c>
      <c r="C53" s="119">
        <f>Amnt_Deposited!D48</f>
        <v>0</v>
      </c>
      <c r="D53" s="453">
        <f>Dry_Matter_Content!D40</f>
        <v>0.44</v>
      </c>
      <c r="E53" s="319">
        <f>MCF!R52</f>
        <v>0.8</v>
      </c>
      <c r="F53" s="87">
        <f t="shared" si="12"/>
        <v>0</v>
      </c>
      <c r="G53" s="87">
        <f t="shared" si="1"/>
        <v>0</v>
      </c>
      <c r="H53" s="87">
        <f t="shared" si="2"/>
        <v>0</v>
      </c>
      <c r="I53" s="87">
        <f t="shared" si="3"/>
        <v>0.4634091660167553</v>
      </c>
      <c r="J53" s="87">
        <f t="shared" si="4"/>
        <v>3.3600955804408167E-2</v>
      </c>
      <c r="K53" s="120">
        <f t="shared" si="6"/>
        <v>2.2400637202938778E-2</v>
      </c>
      <c r="O53" s="116">
        <f>Amnt_Deposited!B48</f>
        <v>2034</v>
      </c>
      <c r="P53" s="119">
        <f>Amnt_Deposited!D48</f>
        <v>0</v>
      </c>
      <c r="Q53" s="319">
        <f>MCF!R52</f>
        <v>0.8</v>
      </c>
      <c r="R53" s="87">
        <f t="shared" si="13"/>
        <v>0</v>
      </c>
      <c r="S53" s="87">
        <f t="shared" si="7"/>
        <v>0</v>
      </c>
      <c r="T53" s="87">
        <f t="shared" si="8"/>
        <v>0</v>
      </c>
      <c r="U53" s="87">
        <f t="shared" si="9"/>
        <v>0.95745695458007296</v>
      </c>
      <c r="V53" s="87">
        <f t="shared" si="10"/>
        <v>6.9423462405801994E-2</v>
      </c>
      <c r="W53" s="120">
        <f t="shared" si="11"/>
        <v>4.6282308270534658E-2</v>
      </c>
    </row>
    <row r="54" spans="2:23">
      <c r="B54" s="116">
        <f>Amnt_Deposited!B49</f>
        <v>2035</v>
      </c>
      <c r="C54" s="119">
        <f>Amnt_Deposited!D49</f>
        <v>0</v>
      </c>
      <c r="D54" s="453">
        <f>Dry_Matter_Content!D41</f>
        <v>0.44</v>
      </c>
      <c r="E54" s="319">
        <f>MCF!R53</f>
        <v>0.8</v>
      </c>
      <c r="F54" s="87">
        <f t="shared" si="12"/>
        <v>0</v>
      </c>
      <c r="G54" s="87">
        <f t="shared" si="1"/>
        <v>0</v>
      </c>
      <c r="H54" s="87">
        <f t="shared" si="2"/>
        <v>0</v>
      </c>
      <c r="I54" s="87">
        <f t="shared" si="3"/>
        <v>0.43207984248179221</v>
      </c>
      <c r="J54" s="87">
        <f t="shared" si="4"/>
        <v>3.1329323534963073E-2</v>
      </c>
      <c r="K54" s="120">
        <f t="shared" si="6"/>
        <v>2.0886215689975382E-2</v>
      </c>
      <c r="O54" s="116">
        <f>Amnt_Deposited!B49</f>
        <v>2035</v>
      </c>
      <c r="P54" s="119">
        <f>Amnt_Deposited!D49</f>
        <v>0</v>
      </c>
      <c r="Q54" s="319">
        <f>MCF!R53</f>
        <v>0.8</v>
      </c>
      <c r="R54" s="87">
        <f t="shared" si="13"/>
        <v>0</v>
      </c>
      <c r="S54" s="87">
        <f t="shared" si="7"/>
        <v>0</v>
      </c>
      <c r="T54" s="87">
        <f t="shared" si="8"/>
        <v>0</v>
      </c>
      <c r="U54" s="87">
        <f t="shared" si="9"/>
        <v>0.8927269472764302</v>
      </c>
      <c r="V54" s="87">
        <f t="shared" si="10"/>
        <v>6.4730007303642714E-2</v>
      </c>
      <c r="W54" s="120">
        <f t="shared" si="11"/>
        <v>4.3153338202428476E-2</v>
      </c>
    </row>
    <row r="55" spans="2:23">
      <c r="B55" s="116">
        <f>Amnt_Deposited!B50</f>
        <v>2036</v>
      </c>
      <c r="C55" s="119">
        <f>Amnt_Deposited!D50</f>
        <v>0</v>
      </c>
      <c r="D55" s="453">
        <f>Dry_Matter_Content!D42</f>
        <v>0.44</v>
      </c>
      <c r="E55" s="319">
        <f>MCF!R54</f>
        <v>0.8</v>
      </c>
      <c r="F55" s="87">
        <f t="shared" si="12"/>
        <v>0</v>
      </c>
      <c r="G55" s="87">
        <f t="shared" si="1"/>
        <v>0</v>
      </c>
      <c r="H55" s="87">
        <f t="shared" si="2"/>
        <v>0</v>
      </c>
      <c r="I55" s="87">
        <f t="shared" si="3"/>
        <v>0.40286857483595867</v>
      </c>
      <c r="J55" s="87">
        <f t="shared" si="4"/>
        <v>2.9211267645833545E-2</v>
      </c>
      <c r="K55" s="120">
        <f t="shared" si="6"/>
        <v>1.9474178430555697E-2</v>
      </c>
      <c r="O55" s="116">
        <f>Amnt_Deposited!B50</f>
        <v>2036</v>
      </c>
      <c r="P55" s="119">
        <f>Amnt_Deposited!D50</f>
        <v>0</v>
      </c>
      <c r="Q55" s="319">
        <f>MCF!R54</f>
        <v>0.8</v>
      </c>
      <c r="R55" s="87">
        <f t="shared" si="13"/>
        <v>0</v>
      </c>
      <c r="S55" s="87">
        <f t="shared" si="7"/>
        <v>0</v>
      </c>
      <c r="T55" s="87">
        <f t="shared" si="8"/>
        <v>0</v>
      </c>
      <c r="U55" s="87">
        <f t="shared" si="9"/>
        <v>0.8323730885040469</v>
      </c>
      <c r="V55" s="87">
        <f t="shared" si="10"/>
        <v>6.0353858772383362E-2</v>
      </c>
      <c r="W55" s="120">
        <f t="shared" si="11"/>
        <v>4.0235905848255572E-2</v>
      </c>
    </row>
    <row r="56" spans="2:23">
      <c r="B56" s="116">
        <f>Amnt_Deposited!B51</f>
        <v>2037</v>
      </c>
      <c r="C56" s="119">
        <f>Amnt_Deposited!D51</f>
        <v>0</v>
      </c>
      <c r="D56" s="453">
        <f>Dry_Matter_Content!D43</f>
        <v>0.44</v>
      </c>
      <c r="E56" s="319">
        <f>MCF!R55</f>
        <v>0.8</v>
      </c>
      <c r="F56" s="87">
        <f t="shared" si="12"/>
        <v>0</v>
      </c>
      <c r="G56" s="87">
        <f t="shared" si="1"/>
        <v>0</v>
      </c>
      <c r="H56" s="87">
        <f t="shared" si="2"/>
        <v>0</v>
      </c>
      <c r="I56" s="87">
        <f t="shared" si="3"/>
        <v>0.3756321694113649</v>
      </c>
      <c r="J56" s="87">
        <f t="shared" si="4"/>
        <v>2.7236405424593779E-2</v>
      </c>
      <c r="K56" s="120">
        <f t="shared" si="6"/>
        <v>1.8157603616395852E-2</v>
      </c>
      <c r="O56" s="116">
        <f>Amnt_Deposited!B51</f>
        <v>2037</v>
      </c>
      <c r="P56" s="119">
        <f>Amnt_Deposited!D51</f>
        <v>0</v>
      </c>
      <c r="Q56" s="319">
        <f>MCF!R55</f>
        <v>0.8</v>
      </c>
      <c r="R56" s="87">
        <f t="shared" si="13"/>
        <v>0</v>
      </c>
      <c r="S56" s="87">
        <f t="shared" si="7"/>
        <v>0</v>
      </c>
      <c r="T56" s="87">
        <f t="shared" si="8"/>
        <v>0</v>
      </c>
      <c r="U56" s="87">
        <f t="shared" si="9"/>
        <v>0.77609952357720025</v>
      </c>
      <c r="V56" s="87">
        <f t="shared" si="10"/>
        <v>5.6273564926846653E-2</v>
      </c>
      <c r="W56" s="120">
        <f t="shared" si="11"/>
        <v>3.7515709951231102E-2</v>
      </c>
    </row>
    <row r="57" spans="2:23">
      <c r="B57" s="116">
        <f>Amnt_Deposited!B52</f>
        <v>2038</v>
      </c>
      <c r="C57" s="119">
        <f>Amnt_Deposited!D52</f>
        <v>0</v>
      </c>
      <c r="D57" s="453">
        <f>Dry_Matter_Content!D44</f>
        <v>0.44</v>
      </c>
      <c r="E57" s="319">
        <f>MCF!R56</f>
        <v>0.8</v>
      </c>
      <c r="F57" s="87">
        <f t="shared" si="12"/>
        <v>0</v>
      </c>
      <c r="G57" s="87">
        <f t="shared" si="1"/>
        <v>0</v>
      </c>
      <c r="H57" s="87">
        <f t="shared" si="2"/>
        <v>0</v>
      </c>
      <c r="I57" s="87">
        <f t="shared" si="3"/>
        <v>0.35023711331702084</v>
      </c>
      <c r="J57" s="87">
        <f t="shared" si="4"/>
        <v>2.5395056094344084E-2</v>
      </c>
      <c r="K57" s="120">
        <f t="shared" si="6"/>
        <v>1.6930037396229388E-2</v>
      </c>
      <c r="O57" s="116">
        <f>Amnt_Deposited!B52</f>
        <v>2038</v>
      </c>
      <c r="P57" s="119">
        <f>Amnt_Deposited!D52</f>
        <v>0</v>
      </c>
      <c r="Q57" s="319">
        <f>MCF!R56</f>
        <v>0.8</v>
      </c>
      <c r="R57" s="87">
        <f t="shared" si="13"/>
        <v>0</v>
      </c>
      <c r="S57" s="87">
        <f t="shared" si="7"/>
        <v>0</v>
      </c>
      <c r="T57" s="87">
        <f t="shared" si="8"/>
        <v>0</v>
      </c>
      <c r="U57" s="87">
        <f t="shared" si="9"/>
        <v>0.72363039941533225</v>
      </c>
      <c r="V57" s="87">
        <f t="shared" si="10"/>
        <v>5.2469124161867942E-2</v>
      </c>
      <c r="W57" s="120">
        <f t="shared" si="11"/>
        <v>3.4979416107911956E-2</v>
      </c>
    </row>
    <row r="58" spans="2:23">
      <c r="B58" s="116">
        <f>Amnt_Deposited!B53</f>
        <v>2039</v>
      </c>
      <c r="C58" s="119">
        <f>Amnt_Deposited!D53</f>
        <v>0</v>
      </c>
      <c r="D58" s="453">
        <f>Dry_Matter_Content!D45</f>
        <v>0.44</v>
      </c>
      <c r="E58" s="319">
        <f>MCF!R57</f>
        <v>0.8</v>
      </c>
      <c r="F58" s="87">
        <f t="shared" si="12"/>
        <v>0</v>
      </c>
      <c r="G58" s="87">
        <f t="shared" si="1"/>
        <v>0</v>
      </c>
      <c r="H58" s="87">
        <f t="shared" si="2"/>
        <v>0</v>
      </c>
      <c r="I58" s="87">
        <f t="shared" si="3"/>
        <v>0.32655891995848951</v>
      </c>
      <c r="J58" s="87">
        <f t="shared" si="4"/>
        <v>2.3678193358531312E-2</v>
      </c>
      <c r="K58" s="120">
        <f t="shared" si="6"/>
        <v>1.5785462239020873E-2</v>
      </c>
      <c r="O58" s="116">
        <f>Amnt_Deposited!B53</f>
        <v>2039</v>
      </c>
      <c r="P58" s="119">
        <f>Amnt_Deposited!D53</f>
        <v>0</v>
      </c>
      <c r="Q58" s="319">
        <f>MCF!R57</f>
        <v>0.8</v>
      </c>
      <c r="R58" s="87">
        <f t="shared" si="13"/>
        <v>0</v>
      </c>
      <c r="S58" s="87">
        <f t="shared" si="7"/>
        <v>0</v>
      </c>
      <c r="T58" s="87">
        <f t="shared" si="8"/>
        <v>0</v>
      </c>
      <c r="U58" s="87">
        <f t="shared" si="9"/>
        <v>0.67470851231092877</v>
      </c>
      <c r="V58" s="87">
        <f t="shared" si="10"/>
        <v>4.8921887104403539E-2</v>
      </c>
      <c r="W58" s="120">
        <f t="shared" si="11"/>
        <v>3.261459140293569E-2</v>
      </c>
    </row>
    <row r="59" spans="2:23">
      <c r="B59" s="116">
        <f>Amnt_Deposited!B54</f>
        <v>2040</v>
      </c>
      <c r="C59" s="119">
        <f>Amnt_Deposited!D54</f>
        <v>0</v>
      </c>
      <c r="D59" s="453">
        <f>Dry_Matter_Content!D46</f>
        <v>0.44</v>
      </c>
      <c r="E59" s="319">
        <f>MCF!R58</f>
        <v>0.8</v>
      </c>
      <c r="F59" s="87">
        <f t="shared" si="12"/>
        <v>0</v>
      </c>
      <c r="G59" s="87">
        <f t="shared" si="1"/>
        <v>0</v>
      </c>
      <c r="H59" s="87">
        <f t="shared" si="2"/>
        <v>0</v>
      </c>
      <c r="I59" s="87">
        <f t="shared" si="3"/>
        <v>0.30448151880445684</v>
      </c>
      <c r="J59" s="87">
        <f t="shared" si="4"/>
        <v>2.2077401154032665E-2</v>
      </c>
      <c r="K59" s="120">
        <f t="shared" si="6"/>
        <v>1.4718267436021776E-2</v>
      </c>
      <c r="O59" s="116">
        <f>Amnt_Deposited!B54</f>
        <v>2040</v>
      </c>
      <c r="P59" s="119">
        <f>Amnt_Deposited!D54</f>
        <v>0</v>
      </c>
      <c r="Q59" s="319">
        <f>MCF!R58</f>
        <v>0.8</v>
      </c>
      <c r="R59" s="87">
        <f t="shared" si="13"/>
        <v>0</v>
      </c>
      <c r="S59" s="87">
        <f t="shared" si="7"/>
        <v>0</v>
      </c>
      <c r="T59" s="87">
        <f t="shared" si="8"/>
        <v>0</v>
      </c>
      <c r="U59" s="87">
        <f t="shared" si="9"/>
        <v>0.6290940471166464</v>
      </c>
      <c r="V59" s="87">
        <f t="shared" si="10"/>
        <v>4.5614465194282368E-2</v>
      </c>
      <c r="W59" s="120">
        <f t="shared" si="11"/>
        <v>3.0409643462854911E-2</v>
      </c>
    </row>
    <row r="60" spans="2:23">
      <c r="B60" s="116">
        <f>Amnt_Deposited!B55</f>
        <v>2041</v>
      </c>
      <c r="C60" s="119">
        <f>Amnt_Deposited!D55</f>
        <v>0</v>
      </c>
      <c r="D60" s="453">
        <f>Dry_Matter_Content!D47</f>
        <v>0.44</v>
      </c>
      <c r="E60" s="319">
        <f>MCF!R59</f>
        <v>0.8</v>
      </c>
      <c r="F60" s="87">
        <f t="shared" si="12"/>
        <v>0</v>
      </c>
      <c r="G60" s="87">
        <f t="shared" si="1"/>
        <v>0</v>
      </c>
      <c r="H60" s="87">
        <f t="shared" si="2"/>
        <v>0</v>
      </c>
      <c r="I60" s="87">
        <f t="shared" si="3"/>
        <v>0.28389668640885235</v>
      </c>
      <c r="J60" s="87">
        <f t="shared" si="4"/>
        <v>2.0584832395604505E-2</v>
      </c>
      <c r="K60" s="120">
        <f t="shared" si="6"/>
        <v>1.3723221597069669E-2</v>
      </c>
      <c r="O60" s="116">
        <f>Amnt_Deposited!B55</f>
        <v>2041</v>
      </c>
      <c r="P60" s="119">
        <f>Amnt_Deposited!D55</f>
        <v>0</v>
      </c>
      <c r="Q60" s="319">
        <f>MCF!R59</f>
        <v>0.8</v>
      </c>
      <c r="R60" s="87">
        <f t="shared" si="13"/>
        <v>0</v>
      </c>
      <c r="S60" s="87">
        <f t="shared" si="7"/>
        <v>0</v>
      </c>
      <c r="T60" s="87">
        <f t="shared" si="8"/>
        <v>0</v>
      </c>
      <c r="U60" s="87">
        <f t="shared" si="9"/>
        <v>0.58656340167118259</v>
      </c>
      <c r="V60" s="87">
        <f t="shared" si="10"/>
        <v>4.2530645445463859E-2</v>
      </c>
      <c r="W60" s="120">
        <f t="shared" si="11"/>
        <v>2.8353763630309239E-2</v>
      </c>
    </row>
    <row r="61" spans="2:23">
      <c r="B61" s="116">
        <f>Amnt_Deposited!B56</f>
        <v>2042</v>
      </c>
      <c r="C61" s="119">
        <f>Amnt_Deposited!D56</f>
        <v>0</v>
      </c>
      <c r="D61" s="453">
        <f>Dry_Matter_Content!D48</f>
        <v>0.44</v>
      </c>
      <c r="E61" s="319">
        <f>MCF!R60</f>
        <v>0.8</v>
      </c>
      <c r="F61" s="87">
        <f t="shared" si="12"/>
        <v>0</v>
      </c>
      <c r="G61" s="87">
        <f t="shared" si="1"/>
        <v>0</v>
      </c>
      <c r="H61" s="87">
        <f t="shared" si="2"/>
        <v>0</v>
      </c>
      <c r="I61" s="87">
        <f t="shared" si="3"/>
        <v>0.26470351589939095</v>
      </c>
      <c r="J61" s="87">
        <f t="shared" si="4"/>
        <v>1.9193170509461399E-2</v>
      </c>
      <c r="K61" s="120">
        <f t="shared" si="6"/>
        <v>1.2795447006307598E-2</v>
      </c>
      <c r="O61" s="116">
        <f>Amnt_Deposited!B56</f>
        <v>2042</v>
      </c>
      <c r="P61" s="119">
        <f>Amnt_Deposited!D56</f>
        <v>0</v>
      </c>
      <c r="Q61" s="319">
        <f>MCF!R60</f>
        <v>0.8</v>
      </c>
      <c r="R61" s="87">
        <f t="shared" si="13"/>
        <v>0</v>
      </c>
      <c r="S61" s="87">
        <f t="shared" si="7"/>
        <v>0</v>
      </c>
      <c r="T61" s="87">
        <f t="shared" si="8"/>
        <v>0</v>
      </c>
      <c r="U61" s="87">
        <f t="shared" si="9"/>
        <v>0.54690809070122104</v>
      </c>
      <c r="V61" s="87">
        <f t="shared" si="10"/>
        <v>3.9655310969961569E-2</v>
      </c>
      <c r="W61" s="120">
        <f t="shared" si="11"/>
        <v>2.6436873979974379E-2</v>
      </c>
    </row>
    <row r="62" spans="2:23">
      <c r="B62" s="116">
        <f>Amnt_Deposited!B57</f>
        <v>2043</v>
      </c>
      <c r="C62" s="119">
        <f>Amnt_Deposited!D57</f>
        <v>0</v>
      </c>
      <c r="D62" s="453">
        <f>Dry_Matter_Content!D49</f>
        <v>0.44</v>
      </c>
      <c r="E62" s="319">
        <f>MCF!R61</f>
        <v>0.8</v>
      </c>
      <c r="F62" s="87">
        <f t="shared" si="12"/>
        <v>0</v>
      </c>
      <c r="G62" s="87">
        <f t="shared" si="1"/>
        <v>0</v>
      </c>
      <c r="H62" s="87">
        <f t="shared" si="2"/>
        <v>0</v>
      </c>
      <c r="I62" s="87">
        <f t="shared" si="3"/>
        <v>0.24680792233196805</v>
      </c>
      <c r="J62" s="87">
        <f t="shared" si="4"/>
        <v>1.7895593567422909E-2</v>
      </c>
      <c r="K62" s="120">
        <f t="shared" si="6"/>
        <v>1.1930395711615272E-2</v>
      </c>
      <c r="O62" s="116">
        <f>Amnt_Deposited!B57</f>
        <v>2043</v>
      </c>
      <c r="P62" s="119">
        <f>Amnt_Deposited!D57</f>
        <v>0</v>
      </c>
      <c r="Q62" s="319">
        <f>MCF!R61</f>
        <v>0.8</v>
      </c>
      <c r="R62" s="87">
        <f t="shared" si="13"/>
        <v>0</v>
      </c>
      <c r="S62" s="87">
        <f t="shared" si="7"/>
        <v>0</v>
      </c>
      <c r="T62" s="87">
        <f t="shared" si="8"/>
        <v>0</v>
      </c>
      <c r="U62" s="87">
        <f t="shared" si="9"/>
        <v>0.50993372382638036</v>
      </c>
      <c r="V62" s="87">
        <f t="shared" si="10"/>
        <v>3.6974366874840729E-2</v>
      </c>
      <c r="W62" s="120">
        <f t="shared" si="11"/>
        <v>2.4649577916560486E-2</v>
      </c>
    </row>
    <row r="63" spans="2:23">
      <c r="B63" s="116">
        <f>Amnt_Deposited!B58</f>
        <v>2044</v>
      </c>
      <c r="C63" s="119">
        <f>Amnt_Deposited!D58</f>
        <v>0</v>
      </c>
      <c r="D63" s="453">
        <f>Dry_Matter_Content!D50</f>
        <v>0.44</v>
      </c>
      <c r="E63" s="319">
        <f>MCF!R62</f>
        <v>0.8</v>
      </c>
      <c r="F63" s="87">
        <f t="shared" si="12"/>
        <v>0</v>
      </c>
      <c r="G63" s="87">
        <f t="shared" si="1"/>
        <v>0</v>
      </c>
      <c r="H63" s="87">
        <f t="shared" si="2"/>
        <v>0</v>
      </c>
      <c r="I63" s="87">
        <f t="shared" si="3"/>
        <v>0.23012218148615429</v>
      </c>
      <c r="J63" s="87">
        <f t="shared" si="4"/>
        <v>1.6685740845813764E-2</v>
      </c>
      <c r="K63" s="120">
        <f t="shared" si="6"/>
        <v>1.1123827230542508E-2</v>
      </c>
      <c r="O63" s="116">
        <f>Amnt_Deposited!B58</f>
        <v>2044</v>
      </c>
      <c r="P63" s="119">
        <f>Amnt_Deposited!D58</f>
        <v>0</v>
      </c>
      <c r="Q63" s="319">
        <f>MCF!R62</f>
        <v>0.8</v>
      </c>
      <c r="R63" s="87">
        <f t="shared" si="13"/>
        <v>0</v>
      </c>
      <c r="S63" s="87">
        <f t="shared" si="7"/>
        <v>0</v>
      </c>
      <c r="T63" s="87">
        <f t="shared" si="8"/>
        <v>0</v>
      </c>
      <c r="U63" s="87">
        <f t="shared" si="9"/>
        <v>0.47545905265734367</v>
      </c>
      <c r="V63" s="87">
        <f t="shared" si="10"/>
        <v>3.4474671169036707E-2</v>
      </c>
      <c r="W63" s="120">
        <f t="shared" si="11"/>
        <v>2.2983114112691137E-2</v>
      </c>
    </row>
    <row r="64" spans="2:23">
      <c r="B64" s="116">
        <f>Amnt_Deposited!B59</f>
        <v>2045</v>
      </c>
      <c r="C64" s="119">
        <f>Amnt_Deposited!D59</f>
        <v>0</v>
      </c>
      <c r="D64" s="453">
        <f>Dry_Matter_Content!D51</f>
        <v>0.44</v>
      </c>
      <c r="E64" s="319">
        <f>MCF!R63</f>
        <v>0.8</v>
      </c>
      <c r="F64" s="87">
        <f t="shared" si="12"/>
        <v>0</v>
      </c>
      <c r="G64" s="87">
        <f t="shared" si="1"/>
        <v>0</v>
      </c>
      <c r="H64" s="87">
        <f t="shared" si="2"/>
        <v>0</v>
      </c>
      <c r="I64" s="87">
        <f t="shared" si="3"/>
        <v>0.21456449984096529</v>
      </c>
      <c r="J64" s="87">
        <f t="shared" si="4"/>
        <v>1.5557681645189003E-2</v>
      </c>
      <c r="K64" s="120">
        <f t="shared" si="6"/>
        <v>1.0371787763459334E-2</v>
      </c>
      <c r="O64" s="116">
        <f>Amnt_Deposited!B59</f>
        <v>2045</v>
      </c>
      <c r="P64" s="119">
        <f>Amnt_Deposited!D59</f>
        <v>0</v>
      </c>
      <c r="Q64" s="319">
        <f>MCF!R63</f>
        <v>0.8</v>
      </c>
      <c r="R64" s="87">
        <f t="shared" si="13"/>
        <v>0</v>
      </c>
      <c r="S64" s="87">
        <f t="shared" si="7"/>
        <v>0</v>
      </c>
      <c r="T64" s="87">
        <f t="shared" si="8"/>
        <v>0</v>
      </c>
      <c r="U64" s="87">
        <f t="shared" si="9"/>
        <v>0.44331508231604405</v>
      </c>
      <c r="V64" s="87">
        <f t="shared" si="10"/>
        <v>3.2143970341299601E-2</v>
      </c>
      <c r="W64" s="120">
        <f t="shared" si="11"/>
        <v>2.14293135608664E-2</v>
      </c>
    </row>
    <row r="65" spans="2:23">
      <c r="B65" s="116">
        <f>Amnt_Deposited!B60</f>
        <v>2046</v>
      </c>
      <c r="C65" s="119">
        <f>Amnt_Deposited!D60</f>
        <v>0</v>
      </c>
      <c r="D65" s="453">
        <f>Dry_Matter_Content!D52</f>
        <v>0.44</v>
      </c>
      <c r="E65" s="319">
        <f>MCF!R64</f>
        <v>0.8</v>
      </c>
      <c r="F65" s="87">
        <f t="shared" si="12"/>
        <v>0</v>
      </c>
      <c r="G65" s="87">
        <f t="shared" si="1"/>
        <v>0</v>
      </c>
      <c r="H65" s="87">
        <f t="shared" si="2"/>
        <v>0</v>
      </c>
      <c r="I65" s="87">
        <f t="shared" si="3"/>
        <v>0.20005861362292685</v>
      </c>
      <c r="J65" s="87">
        <f t="shared" si="4"/>
        <v>1.4505886218038432E-2</v>
      </c>
      <c r="K65" s="120">
        <f t="shared" si="6"/>
        <v>9.6705908120256201E-3</v>
      </c>
      <c r="O65" s="116">
        <f>Amnt_Deposited!B60</f>
        <v>2046</v>
      </c>
      <c r="P65" s="119">
        <f>Amnt_Deposited!D60</f>
        <v>0</v>
      </c>
      <c r="Q65" s="319">
        <f>MCF!R64</f>
        <v>0.8</v>
      </c>
      <c r="R65" s="87">
        <f t="shared" si="13"/>
        <v>0</v>
      </c>
      <c r="S65" s="87">
        <f t="shared" si="7"/>
        <v>0</v>
      </c>
      <c r="T65" s="87">
        <f t="shared" si="8"/>
        <v>0</v>
      </c>
      <c r="U65" s="87">
        <f t="shared" si="9"/>
        <v>0.41334424302257622</v>
      </c>
      <c r="V65" s="87">
        <f t="shared" si="10"/>
        <v>2.9970839293467839E-2</v>
      </c>
      <c r="W65" s="120">
        <f t="shared" si="11"/>
        <v>1.9980559528978557E-2</v>
      </c>
    </row>
    <row r="66" spans="2:23">
      <c r="B66" s="116">
        <f>Amnt_Deposited!B61</f>
        <v>2047</v>
      </c>
      <c r="C66" s="119">
        <f>Amnt_Deposited!D61</f>
        <v>0</v>
      </c>
      <c r="D66" s="453">
        <f>Dry_Matter_Content!D53</f>
        <v>0.44</v>
      </c>
      <c r="E66" s="319">
        <f>MCF!R65</f>
        <v>0.8</v>
      </c>
      <c r="F66" s="87">
        <f t="shared" si="12"/>
        <v>0</v>
      </c>
      <c r="G66" s="87">
        <f t="shared" si="1"/>
        <v>0</v>
      </c>
      <c r="H66" s="87">
        <f t="shared" si="2"/>
        <v>0</v>
      </c>
      <c r="I66" s="87">
        <f t="shared" si="3"/>
        <v>0.18653341496096895</v>
      </c>
      <c r="J66" s="87">
        <f t="shared" si="4"/>
        <v>1.3525198661957902E-2</v>
      </c>
      <c r="K66" s="120">
        <f t="shared" si="6"/>
        <v>9.0167991079719342E-3</v>
      </c>
      <c r="O66" s="116">
        <f>Amnt_Deposited!B61</f>
        <v>2047</v>
      </c>
      <c r="P66" s="119">
        <f>Amnt_Deposited!D61</f>
        <v>0</v>
      </c>
      <c r="Q66" s="319">
        <f>MCF!R65</f>
        <v>0.8</v>
      </c>
      <c r="R66" s="87">
        <f t="shared" si="13"/>
        <v>0</v>
      </c>
      <c r="S66" s="87">
        <f t="shared" si="7"/>
        <v>0</v>
      </c>
      <c r="T66" s="87">
        <f t="shared" si="8"/>
        <v>0</v>
      </c>
      <c r="U66" s="87">
        <f t="shared" si="9"/>
        <v>0.38539961768795244</v>
      </c>
      <c r="V66" s="87">
        <f t="shared" si="10"/>
        <v>2.794462533462377E-2</v>
      </c>
      <c r="W66" s="120">
        <f t="shared" si="11"/>
        <v>1.8629750223082511E-2</v>
      </c>
    </row>
    <row r="67" spans="2:23">
      <c r="B67" s="116">
        <f>Amnt_Deposited!B62</f>
        <v>2048</v>
      </c>
      <c r="C67" s="119">
        <f>Amnt_Deposited!D62</f>
        <v>0</v>
      </c>
      <c r="D67" s="453">
        <f>Dry_Matter_Content!D54</f>
        <v>0.44</v>
      </c>
      <c r="E67" s="319">
        <f>MCF!R66</f>
        <v>0.8</v>
      </c>
      <c r="F67" s="87">
        <f t="shared" si="12"/>
        <v>0</v>
      </c>
      <c r="G67" s="87">
        <f t="shared" si="1"/>
        <v>0</v>
      </c>
      <c r="H67" s="87">
        <f t="shared" si="2"/>
        <v>0</v>
      </c>
      <c r="I67" s="87">
        <f t="shared" si="3"/>
        <v>0.1739226033155592</v>
      </c>
      <c r="J67" s="87">
        <f t="shared" si="4"/>
        <v>1.2610811645409749E-2</v>
      </c>
      <c r="K67" s="120">
        <f t="shared" si="6"/>
        <v>8.4072077636064991E-3</v>
      </c>
      <c r="O67" s="116">
        <f>Amnt_Deposited!B62</f>
        <v>2048</v>
      </c>
      <c r="P67" s="119">
        <f>Amnt_Deposited!D62</f>
        <v>0</v>
      </c>
      <c r="Q67" s="319">
        <f>MCF!R66</f>
        <v>0.8</v>
      </c>
      <c r="R67" s="87">
        <f t="shared" si="13"/>
        <v>0</v>
      </c>
      <c r="S67" s="87">
        <f t="shared" si="7"/>
        <v>0</v>
      </c>
      <c r="T67" s="87">
        <f t="shared" si="8"/>
        <v>0</v>
      </c>
      <c r="U67" s="87">
        <f t="shared" si="9"/>
        <v>0.35934422172636205</v>
      </c>
      <c r="V67" s="87">
        <f t="shared" si="10"/>
        <v>2.6055395961590396E-2</v>
      </c>
      <c r="W67" s="120">
        <f t="shared" si="11"/>
        <v>1.7370263974393597E-2</v>
      </c>
    </row>
    <row r="68" spans="2:23">
      <c r="B68" s="116">
        <f>Amnt_Deposited!B63</f>
        <v>2049</v>
      </c>
      <c r="C68" s="119">
        <f>Amnt_Deposited!D63</f>
        <v>0</v>
      </c>
      <c r="D68" s="453">
        <f>Dry_Matter_Content!D55</f>
        <v>0.44</v>
      </c>
      <c r="E68" s="319">
        <f>MCF!R67</f>
        <v>0.8</v>
      </c>
      <c r="F68" s="87">
        <f t="shared" si="12"/>
        <v>0</v>
      </c>
      <c r="G68" s="87">
        <f t="shared" si="1"/>
        <v>0</v>
      </c>
      <c r="H68" s="87">
        <f t="shared" si="2"/>
        <v>0</v>
      </c>
      <c r="I68" s="87">
        <f t="shared" si="3"/>
        <v>0.16216436047338117</v>
      </c>
      <c r="J68" s="87">
        <f t="shared" si="4"/>
        <v>1.1758242842178013E-2</v>
      </c>
      <c r="K68" s="120">
        <f t="shared" si="6"/>
        <v>7.838828561452009E-3</v>
      </c>
      <c r="O68" s="116">
        <f>Amnt_Deposited!B63</f>
        <v>2049</v>
      </c>
      <c r="P68" s="119">
        <f>Amnt_Deposited!D63</f>
        <v>0</v>
      </c>
      <c r="Q68" s="319">
        <f>MCF!R67</f>
        <v>0.8</v>
      </c>
      <c r="R68" s="87">
        <f t="shared" si="13"/>
        <v>0</v>
      </c>
      <c r="S68" s="87">
        <f t="shared" si="7"/>
        <v>0</v>
      </c>
      <c r="T68" s="87">
        <f t="shared" si="8"/>
        <v>0</v>
      </c>
      <c r="U68" s="87">
        <f t="shared" si="9"/>
        <v>0.33505033155657277</v>
      </c>
      <c r="V68" s="87">
        <f t="shared" si="10"/>
        <v>2.4293890169789289E-2</v>
      </c>
      <c r="W68" s="120">
        <f t="shared" si="11"/>
        <v>1.6195926779859524E-2</v>
      </c>
    </row>
    <row r="69" spans="2:23">
      <c r="B69" s="116">
        <f>Amnt_Deposited!B64</f>
        <v>2050</v>
      </c>
      <c r="C69" s="119">
        <f>Amnt_Deposited!D64</f>
        <v>0</v>
      </c>
      <c r="D69" s="453">
        <f>Dry_Matter_Content!D56</f>
        <v>0.44</v>
      </c>
      <c r="E69" s="319">
        <f>MCF!R68</f>
        <v>0.8</v>
      </c>
      <c r="F69" s="87">
        <f t="shared" si="12"/>
        <v>0</v>
      </c>
      <c r="G69" s="87">
        <f t="shared" si="1"/>
        <v>0</v>
      </c>
      <c r="H69" s="87">
        <f t="shared" si="2"/>
        <v>0</v>
      </c>
      <c r="I69" s="87">
        <f t="shared" si="3"/>
        <v>0.15120104751438104</v>
      </c>
      <c r="J69" s="87">
        <f t="shared" si="4"/>
        <v>1.096331295900013E-2</v>
      </c>
      <c r="K69" s="120">
        <f t="shared" si="6"/>
        <v>7.3088753060000866E-3</v>
      </c>
      <c r="O69" s="116">
        <f>Amnt_Deposited!B64</f>
        <v>2050</v>
      </c>
      <c r="P69" s="119">
        <f>Amnt_Deposited!D64</f>
        <v>0</v>
      </c>
      <c r="Q69" s="319">
        <f>MCF!R68</f>
        <v>0.8</v>
      </c>
      <c r="R69" s="87">
        <f t="shared" si="13"/>
        <v>0</v>
      </c>
      <c r="S69" s="87">
        <f t="shared" si="7"/>
        <v>0</v>
      </c>
      <c r="T69" s="87">
        <f t="shared" si="8"/>
        <v>0</v>
      </c>
      <c r="U69" s="87">
        <f t="shared" si="9"/>
        <v>0.31239885850078736</v>
      </c>
      <c r="V69" s="87">
        <f t="shared" si="10"/>
        <v>2.2651473055785402E-2</v>
      </c>
      <c r="W69" s="120">
        <f t="shared" si="11"/>
        <v>1.5100982037190267E-2</v>
      </c>
    </row>
    <row r="70" spans="2:23">
      <c r="B70" s="116">
        <f>Amnt_Deposited!B65</f>
        <v>2051</v>
      </c>
      <c r="C70" s="119">
        <f>Amnt_Deposited!D65</f>
        <v>0</v>
      </c>
      <c r="D70" s="453">
        <f>Dry_Matter_Content!D57</f>
        <v>0.44</v>
      </c>
      <c r="E70" s="319">
        <f>MCF!R69</f>
        <v>0.8</v>
      </c>
      <c r="F70" s="87">
        <f t="shared" si="12"/>
        <v>0</v>
      </c>
      <c r="G70" s="87">
        <f t="shared" si="1"/>
        <v>0</v>
      </c>
      <c r="H70" s="87">
        <f t="shared" si="2"/>
        <v>0</v>
      </c>
      <c r="I70" s="87">
        <f t="shared" si="3"/>
        <v>0.14097892226571451</v>
      </c>
      <c r="J70" s="87">
        <f t="shared" si="4"/>
        <v>1.0222125248666517E-2</v>
      </c>
      <c r="K70" s="120">
        <f t="shared" si="6"/>
        <v>6.8147501657776777E-3</v>
      </c>
      <c r="O70" s="116">
        <f>Amnt_Deposited!B65</f>
        <v>2051</v>
      </c>
      <c r="P70" s="119">
        <f>Amnt_Deposited!D65</f>
        <v>0</v>
      </c>
      <c r="Q70" s="319">
        <f>MCF!R69</f>
        <v>0.8</v>
      </c>
      <c r="R70" s="87">
        <f t="shared" si="13"/>
        <v>0</v>
      </c>
      <c r="S70" s="87">
        <f t="shared" si="7"/>
        <v>0</v>
      </c>
      <c r="T70" s="87">
        <f t="shared" si="8"/>
        <v>0</v>
      </c>
      <c r="U70" s="87">
        <f t="shared" si="9"/>
        <v>0.29127876501180694</v>
      </c>
      <c r="V70" s="87">
        <f t="shared" si="10"/>
        <v>2.1120093488980411E-2</v>
      </c>
      <c r="W70" s="120">
        <f t="shared" si="11"/>
        <v>1.408006232598694E-2</v>
      </c>
    </row>
    <row r="71" spans="2:23">
      <c r="B71" s="116">
        <f>Amnt_Deposited!B66</f>
        <v>2052</v>
      </c>
      <c r="C71" s="119">
        <f>Amnt_Deposited!D66</f>
        <v>0</v>
      </c>
      <c r="D71" s="453">
        <f>Dry_Matter_Content!D58</f>
        <v>0.44</v>
      </c>
      <c r="E71" s="319">
        <f>MCF!R70</f>
        <v>0.8</v>
      </c>
      <c r="F71" s="87">
        <f t="shared" si="12"/>
        <v>0</v>
      </c>
      <c r="G71" s="87">
        <f t="shared" si="1"/>
        <v>0</v>
      </c>
      <c r="H71" s="87">
        <f t="shared" si="2"/>
        <v>0</v>
      </c>
      <c r="I71" s="87">
        <f t="shared" si="3"/>
        <v>0.1314478758575533</v>
      </c>
      <c r="J71" s="87">
        <f t="shared" si="4"/>
        <v>9.5310464081612145E-3</v>
      </c>
      <c r="K71" s="120">
        <f t="shared" si="6"/>
        <v>6.3540309387741427E-3</v>
      </c>
      <c r="O71" s="116">
        <f>Amnt_Deposited!B66</f>
        <v>2052</v>
      </c>
      <c r="P71" s="119">
        <f>Amnt_Deposited!D66</f>
        <v>0</v>
      </c>
      <c r="Q71" s="319">
        <f>MCF!R70</f>
        <v>0.8</v>
      </c>
      <c r="R71" s="87">
        <f t="shared" si="13"/>
        <v>0</v>
      </c>
      <c r="S71" s="87">
        <f t="shared" si="7"/>
        <v>0</v>
      </c>
      <c r="T71" s="87">
        <f t="shared" si="8"/>
        <v>0</v>
      </c>
      <c r="U71" s="87">
        <f t="shared" si="9"/>
        <v>0.27158652036684577</v>
      </c>
      <c r="V71" s="87">
        <f t="shared" si="10"/>
        <v>1.9692244644961193E-2</v>
      </c>
      <c r="W71" s="120">
        <f t="shared" si="11"/>
        <v>1.3128163096640794E-2</v>
      </c>
    </row>
    <row r="72" spans="2:23">
      <c r="B72" s="116">
        <f>Amnt_Deposited!B67</f>
        <v>2053</v>
      </c>
      <c r="C72" s="119">
        <f>Amnt_Deposited!D67</f>
        <v>0</v>
      </c>
      <c r="D72" s="453">
        <f>Dry_Matter_Content!D59</f>
        <v>0.44</v>
      </c>
      <c r="E72" s="319">
        <f>MCF!R71</f>
        <v>0.8</v>
      </c>
      <c r="F72" s="87">
        <f t="shared" si="12"/>
        <v>0</v>
      </c>
      <c r="G72" s="87">
        <f t="shared" si="1"/>
        <v>0</v>
      </c>
      <c r="H72" s="87">
        <f t="shared" si="2"/>
        <v>0</v>
      </c>
      <c r="I72" s="87">
        <f t="shared" si="3"/>
        <v>0.12256118708934699</v>
      </c>
      <c r="J72" s="87">
        <f t="shared" si="4"/>
        <v>8.8866887682063026E-3</v>
      </c>
      <c r="K72" s="120">
        <f t="shared" si="6"/>
        <v>5.9244591788042015E-3</v>
      </c>
      <c r="O72" s="116">
        <f>Amnt_Deposited!B67</f>
        <v>2053</v>
      </c>
      <c r="P72" s="119">
        <f>Amnt_Deposited!D67</f>
        <v>0</v>
      </c>
      <c r="Q72" s="319">
        <f>MCF!R71</f>
        <v>0.8</v>
      </c>
      <c r="R72" s="87">
        <f t="shared" si="13"/>
        <v>0</v>
      </c>
      <c r="S72" s="87">
        <f t="shared" si="7"/>
        <v>0</v>
      </c>
      <c r="T72" s="87">
        <f t="shared" si="8"/>
        <v>0</v>
      </c>
      <c r="U72" s="87">
        <f t="shared" si="9"/>
        <v>0.25322559315980797</v>
      </c>
      <c r="V72" s="87">
        <f t="shared" si="10"/>
        <v>1.8360927207037823E-2</v>
      </c>
      <c r="W72" s="120">
        <f t="shared" si="11"/>
        <v>1.2240618138025215E-2</v>
      </c>
    </row>
    <row r="73" spans="2:23">
      <c r="B73" s="116">
        <f>Amnt_Deposited!B68</f>
        <v>2054</v>
      </c>
      <c r="C73" s="119">
        <f>Amnt_Deposited!D68</f>
        <v>0</v>
      </c>
      <c r="D73" s="453">
        <f>Dry_Matter_Content!D60</f>
        <v>0.44</v>
      </c>
      <c r="E73" s="319">
        <f>MCF!R72</f>
        <v>0.8</v>
      </c>
      <c r="F73" s="87">
        <f t="shared" si="12"/>
        <v>0</v>
      </c>
      <c r="G73" s="87">
        <f t="shared" si="1"/>
        <v>0</v>
      </c>
      <c r="H73" s="87">
        <f t="shared" si="2"/>
        <v>0</v>
      </c>
      <c r="I73" s="87">
        <f t="shared" si="3"/>
        <v>0.11427529340244383</v>
      </c>
      <c r="J73" s="87">
        <f t="shared" si="4"/>
        <v>8.2858936869031601E-3</v>
      </c>
      <c r="K73" s="120">
        <f t="shared" si="6"/>
        <v>5.5239291246021067E-3</v>
      </c>
      <c r="O73" s="116">
        <f>Amnt_Deposited!B68</f>
        <v>2054</v>
      </c>
      <c r="P73" s="119">
        <f>Amnt_Deposited!D68</f>
        <v>0</v>
      </c>
      <c r="Q73" s="319">
        <f>MCF!R72</f>
        <v>0.8</v>
      </c>
      <c r="R73" s="87">
        <f t="shared" si="13"/>
        <v>0</v>
      </c>
      <c r="S73" s="87">
        <f t="shared" si="7"/>
        <v>0</v>
      </c>
      <c r="T73" s="87">
        <f t="shared" si="8"/>
        <v>0</v>
      </c>
      <c r="U73" s="87">
        <f t="shared" si="9"/>
        <v>0.23610597810422293</v>
      </c>
      <c r="V73" s="87">
        <f t="shared" si="10"/>
        <v>1.7119615055585052E-2</v>
      </c>
      <c r="W73" s="120">
        <f t="shared" si="11"/>
        <v>1.1413076703723367E-2</v>
      </c>
    </row>
    <row r="74" spans="2:23">
      <c r="B74" s="116">
        <f>Amnt_Deposited!B69</f>
        <v>2055</v>
      </c>
      <c r="C74" s="119">
        <f>Amnt_Deposited!D69</f>
        <v>0</v>
      </c>
      <c r="D74" s="453">
        <f>Dry_Matter_Content!D61</f>
        <v>0.44</v>
      </c>
      <c r="E74" s="319">
        <f>MCF!R73</f>
        <v>0.8</v>
      </c>
      <c r="F74" s="87">
        <f t="shared" si="12"/>
        <v>0</v>
      </c>
      <c r="G74" s="87">
        <f t="shared" si="1"/>
        <v>0</v>
      </c>
      <c r="H74" s="87">
        <f t="shared" si="2"/>
        <v>0</v>
      </c>
      <c r="I74" s="87">
        <f t="shared" si="3"/>
        <v>0.10654957733637761</v>
      </c>
      <c r="J74" s="87">
        <f t="shared" si="4"/>
        <v>7.7257160660662181E-3</v>
      </c>
      <c r="K74" s="120">
        <f t="shared" si="6"/>
        <v>5.1504773773774788E-3</v>
      </c>
      <c r="O74" s="116">
        <f>Amnt_Deposited!B69</f>
        <v>2055</v>
      </c>
      <c r="P74" s="119">
        <f>Amnt_Deposited!D69</f>
        <v>0</v>
      </c>
      <c r="Q74" s="319">
        <f>MCF!R73</f>
        <v>0.8</v>
      </c>
      <c r="R74" s="87">
        <f t="shared" si="13"/>
        <v>0</v>
      </c>
      <c r="S74" s="87">
        <f t="shared" si="7"/>
        <v>0</v>
      </c>
      <c r="T74" s="87">
        <f t="shared" si="8"/>
        <v>0</v>
      </c>
      <c r="U74" s="87">
        <f t="shared" si="9"/>
        <v>0.22014375482722659</v>
      </c>
      <c r="V74" s="87">
        <f t="shared" si="10"/>
        <v>1.596222327699633E-2</v>
      </c>
      <c r="W74" s="120">
        <f t="shared" si="11"/>
        <v>1.0641482184664219E-2</v>
      </c>
    </row>
    <row r="75" spans="2:23">
      <c r="B75" s="116">
        <f>Amnt_Deposited!B70</f>
        <v>2056</v>
      </c>
      <c r="C75" s="119">
        <f>Amnt_Deposited!D70</f>
        <v>0</v>
      </c>
      <c r="D75" s="453">
        <f>Dry_Matter_Content!D62</f>
        <v>0.44</v>
      </c>
      <c r="E75" s="319">
        <f>MCF!R74</f>
        <v>0.8</v>
      </c>
      <c r="F75" s="87">
        <f t="shared" si="12"/>
        <v>0</v>
      </c>
      <c r="G75" s="87">
        <f t="shared" si="1"/>
        <v>0</v>
      </c>
      <c r="H75" s="87">
        <f t="shared" si="2"/>
        <v>0</v>
      </c>
      <c r="I75" s="87">
        <f t="shared" si="3"/>
        <v>9.9346167422029369E-2</v>
      </c>
      <c r="J75" s="87">
        <f t="shared" si="4"/>
        <v>7.2034099143482369E-3</v>
      </c>
      <c r="K75" s="120">
        <f t="shared" si="6"/>
        <v>4.8022732762321579E-3</v>
      </c>
      <c r="O75" s="116">
        <f>Amnt_Deposited!B70</f>
        <v>2056</v>
      </c>
      <c r="P75" s="119">
        <f>Amnt_Deposited!D70</f>
        <v>0</v>
      </c>
      <c r="Q75" s="319">
        <f>MCF!R74</f>
        <v>0.8</v>
      </c>
      <c r="R75" s="87">
        <f t="shared" si="13"/>
        <v>0</v>
      </c>
      <c r="S75" s="87">
        <f t="shared" si="7"/>
        <v>0</v>
      </c>
      <c r="T75" s="87">
        <f t="shared" si="8"/>
        <v>0</v>
      </c>
      <c r="U75" s="87">
        <f t="shared" si="9"/>
        <v>0.20526067649179633</v>
      </c>
      <c r="V75" s="87">
        <f t="shared" si="10"/>
        <v>1.4883078335430251E-2</v>
      </c>
      <c r="W75" s="120">
        <f t="shared" si="11"/>
        <v>9.9220522236201664E-3</v>
      </c>
    </row>
    <row r="76" spans="2:23">
      <c r="B76" s="116">
        <f>Amnt_Deposited!B71</f>
        <v>2057</v>
      </c>
      <c r="C76" s="119">
        <f>Amnt_Deposited!D71</f>
        <v>0</v>
      </c>
      <c r="D76" s="453">
        <f>Dry_Matter_Content!D63</f>
        <v>0.44</v>
      </c>
      <c r="E76" s="319">
        <f>MCF!R75</f>
        <v>0.8</v>
      </c>
      <c r="F76" s="87">
        <f t="shared" si="12"/>
        <v>0</v>
      </c>
      <c r="G76" s="87">
        <f t="shared" si="1"/>
        <v>0</v>
      </c>
      <c r="H76" s="87">
        <f t="shared" si="2"/>
        <v>0</v>
      </c>
      <c r="I76" s="87">
        <f t="shared" si="3"/>
        <v>9.2629752535641832E-2</v>
      </c>
      <c r="J76" s="87">
        <f t="shared" si="4"/>
        <v>6.7164148863875324E-3</v>
      </c>
      <c r="K76" s="120">
        <f t="shared" si="6"/>
        <v>4.4776099242583543E-3</v>
      </c>
      <c r="O76" s="116">
        <f>Amnt_Deposited!B71</f>
        <v>2057</v>
      </c>
      <c r="P76" s="119">
        <f>Amnt_Deposited!D71</f>
        <v>0</v>
      </c>
      <c r="Q76" s="319">
        <f>MCF!R75</f>
        <v>0.8</v>
      </c>
      <c r="R76" s="87">
        <f t="shared" si="13"/>
        <v>0</v>
      </c>
      <c r="S76" s="87">
        <f t="shared" si="7"/>
        <v>0</v>
      </c>
      <c r="T76" s="87">
        <f t="shared" si="8"/>
        <v>0</v>
      </c>
      <c r="U76" s="87">
        <f t="shared" si="9"/>
        <v>0.19138378623066507</v>
      </c>
      <c r="V76" s="87">
        <f t="shared" si="10"/>
        <v>1.3876890261131272E-2</v>
      </c>
      <c r="W76" s="120">
        <f t="shared" si="11"/>
        <v>9.2512601740875142E-3</v>
      </c>
    </row>
    <row r="77" spans="2:23">
      <c r="B77" s="116">
        <f>Amnt_Deposited!B72</f>
        <v>2058</v>
      </c>
      <c r="C77" s="119">
        <f>Amnt_Deposited!D72</f>
        <v>0</v>
      </c>
      <c r="D77" s="453">
        <f>Dry_Matter_Content!D64</f>
        <v>0.44</v>
      </c>
      <c r="E77" s="319">
        <f>MCF!R76</f>
        <v>0.8</v>
      </c>
      <c r="F77" s="87">
        <f t="shared" si="12"/>
        <v>0</v>
      </c>
      <c r="G77" s="87">
        <f t="shared" si="1"/>
        <v>0</v>
      </c>
      <c r="H77" s="87">
        <f t="shared" si="2"/>
        <v>0</v>
      </c>
      <c r="I77" s="87">
        <f t="shared" si="3"/>
        <v>8.6367408803649792E-2</v>
      </c>
      <c r="J77" s="87">
        <f t="shared" si="4"/>
        <v>6.262343731992046E-3</v>
      </c>
      <c r="K77" s="120">
        <f t="shared" si="6"/>
        <v>4.1748958213280304E-3</v>
      </c>
      <c r="O77" s="116">
        <f>Amnt_Deposited!B72</f>
        <v>2058</v>
      </c>
      <c r="P77" s="119">
        <f>Amnt_Deposited!D72</f>
        <v>0</v>
      </c>
      <c r="Q77" s="319">
        <f>MCF!R76</f>
        <v>0.8</v>
      </c>
      <c r="R77" s="87">
        <f t="shared" si="13"/>
        <v>0</v>
      </c>
      <c r="S77" s="87">
        <f t="shared" si="7"/>
        <v>0</v>
      </c>
      <c r="T77" s="87">
        <f t="shared" si="8"/>
        <v>0</v>
      </c>
      <c r="U77" s="87">
        <f t="shared" si="9"/>
        <v>0.17844505951167322</v>
      </c>
      <c r="V77" s="87">
        <f t="shared" si="10"/>
        <v>1.2938726718991839E-2</v>
      </c>
      <c r="W77" s="120">
        <f t="shared" si="11"/>
        <v>8.6258178126612257E-3</v>
      </c>
    </row>
    <row r="78" spans="2:23">
      <c r="B78" s="116">
        <f>Amnt_Deposited!B73</f>
        <v>2059</v>
      </c>
      <c r="C78" s="119">
        <f>Amnt_Deposited!D73</f>
        <v>0</v>
      </c>
      <c r="D78" s="453">
        <f>Dry_Matter_Content!D65</f>
        <v>0.44</v>
      </c>
      <c r="E78" s="319">
        <f>MCF!R77</f>
        <v>0.8</v>
      </c>
      <c r="F78" s="87">
        <f t="shared" si="12"/>
        <v>0</v>
      </c>
      <c r="G78" s="87">
        <f t="shared" si="1"/>
        <v>0</v>
      </c>
      <c r="H78" s="87">
        <f t="shared" si="2"/>
        <v>0</v>
      </c>
      <c r="I78" s="87">
        <f t="shared" si="3"/>
        <v>8.052843820981366E-2</v>
      </c>
      <c r="J78" s="87">
        <f t="shared" si="4"/>
        <v>5.8389705938361363E-3</v>
      </c>
      <c r="K78" s="120">
        <f t="shared" si="6"/>
        <v>3.892647062557424E-3</v>
      </c>
      <c r="O78" s="116">
        <f>Amnt_Deposited!B73</f>
        <v>2059</v>
      </c>
      <c r="P78" s="119">
        <f>Amnt_Deposited!D73</f>
        <v>0</v>
      </c>
      <c r="Q78" s="319">
        <f>MCF!R77</f>
        <v>0.8</v>
      </c>
      <c r="R78" s="87">
        <f t="shared" si="13"/>
        <v>0</v>
      </c>
      <c r="S78" s="87">
        <f t="shared" si="7"/>
        <v>0</v>
      </c>
      <c r="T78" s="87">
        <f t="shared" si="8"/>
        <v>0</v>
      </c>
      <c r="U78" s="87">
        <f t="shared" si="9"/>
        <v>0.16638107068143326</v>
      </c>
      <c r="V78" s="87">
        <f t="shared" si="10"/>
        <v>1.2063988830239958E-2</v>
      </c>
      <c r="W78" s="120">
        <f t="shared" si="11"/>
        <v>8.0426592201599707E-3</v>
      </c>
    </row>
    <row r="79" spans="2:23">
      <c r="B79" s="116">
        <f>Amnt_Deposited!B74</f>
        <v>2060</v>
      </c>
      <c r="C79" s="119">
        <f>Amnt_Deposited!D74</f>
        <v>0</v>
      </c>
      <c r="D79" s="453">
        <f>Dry_Matter_Content!D66</f>
        <v>0.44</v>
      </c>
      <c r="E79" s="319">
        <f>MCF!R78</f>
        <v>0.8</v>
      </c>
      <c r="F79" s="87">
        <f t="shared" si="12"/>
        <v>0</v>
      </c>
      <c r="G79" s="87">
        <f t="shared" si="1"/>
        <v>0</v>
      </c>
      <c r="H79" s="87">
        <f t="shared" si="2"/>
        <v>0</v>
      </c>
      <c r="I79" s="87">
        <f t="shared" si="3"/>
        <v>7.508421811350828E-2</v>
      </c>
      <c r="J79" s="87">
        <f t="shared" si="4"/>
        <v>5.4442200963053791E-3</v>
      </c>
      <c r="K79" s="120">
        <f t="shared" si="6"/>
        <v>3.6294800642035861E-3</v>
      </c>
      <c r="O79" s="116">
        <f>Amnt_Deposited!B74</f>
        <v>2060</v>
      </c>
      <c r="P79" s="119">
        <f>Amnt_Deposited!D74</f>
        <v>0</v>
      </c>
      <c r="Q79" s="319">
        <f>MCF!R78</f>
        <v>0.8</v>
      </c>
      <c r="R79" s="87">
        <f t="shared" si="13"/>
        <v>0</v>
      </c>
      <c r="S79" s="87">
        <f t="shared" si="7"/>
        <v>0</v>
      </c>
      <c r="T79" s="87">
        <f t="shared" si="8"/>
        <v>0</v>
      </c>
      <c r="U79" s="87">
        <f t="shared" si="9"/>
        <v>0.15513268205270314</v>
      </c>
      <c r="V79" s="87">
        <f t="shared" si="10"/>
        <v>1.1248388628730127E-2</v>
      </c>
      <c r="W79" s="120">
        <f t="shared" si="11"/>
        <v>7.4989257524867509E-3</v>
      </c>
    </row>
    <row r="80" spans="2:23">
      <c r="B80" s="116">
        <f>Amnt_Deposited!B75</f>
        <v>2061</v>
      </c>
      <c r="C80" s="119">
        <f>Amnt_Deposited!D75</f>
        <v>0</v>
      </c>
      <c r="D80" s="453">
        <f>Dry_Matter_Content!D67</f>
        <v>0.44</v>
      </c>
      <c r="E80" s="319">
        <f>MCF!R79</f>
        <v>0.8</v>
      </c>
      <c r="F80" s="87">
        <f t="shared" si="12"/>
        <v>0</v>
      </c>
      <c r="G80" s="87">
        <f t="shared" si="1"/>
        <v>0</v>
      </c>
      <c r="H80" s="87">
        <f t="shared" si="2"/>
        <v>0</v>
      </c>
      <c r="I80" s="87">
        <f t="shared" si="3"/>
        <v>7.0008060941505385E-2</v>
      </c>
      <c r="J80" s="87">
        <f t="shared" si="4"/>
        <v>5.0761571720029019E-3</v>
      </c>
      <c r="K80" s="120">
        <f t="shared" si="6"/>
        <v>3.3841047813352679E-3</v>
      </c>
      <c r="O80" s="116">
        <f>Amnt_Deposited!B75</f>
        <v>2061</v>
      </c>
      <c r="P80" s="119">
        <f>Amnt_Deposited!D75</f>
        <v>0</v>
      </c>
      <c r="Q80" s="319">
        <f>MCF!R79</f>
        <v>0.8</v>
      </c>
      <c r="R80" s="87">
        <f t="shared" si="13"/>
        <v>0</v>
      </c>
      <c r="S80" s="87">
        <f t="shared" si="7"/>
        <v>0</v>
      </c>
      <c r="T80" s="87">
        <f t="shared" si="8"/>
        <v>0</v>
      </c>
      <c r="U80" s="87">
        <f t="shared" si="9"/>
        <v>0.14464475401137483</v>
      </c>
      <c r="V80" s="87">
        <f t="shared" si="10"/>
        <v>1.0487928041328315E-2</v>
      </c>
      <c r="W80" s="120">
        <f t="shared" si="11"/>
        <v>6.9919520275522097E-3</v>
      </c>
    </row>
    <row r="81" spans="2:23">
      <c r="B81" s="116">
        <f>Amnt_Deposited!B76</f>
        <v>2062</v>
      </c>
      <c r="C81" s="119">
        <f>Amnt_Deposited!D76</f>
        <v>0</v>
      </c>
      <c r="D81" s="453">
        <f>Dry_Matter_Content!D68</f>
        <v>0.44</v>
      </c>
      <c r="E81" s="319">
        <f>MCF!R80</f>
        <v>0.8</v>
      </c>
      <c r="F81" s="87">
        <f t="shared" si="12"/>
        <v>0</v>
      </c>
      <c r="G81" s="87">
        <f t="shared" si="1"/>
        <v>0</v>
      </c>
      <c r="H81" s="87">
        <f t="shared" si="2"/>
        <v>0</v>
      </c>
      <c r="I81" s="87">
        <f t="shared" si="3"/>
        <v>6.5275083365458619E-2</v>
      </c>
      <c r="J81" s="87">
        <f t="shared" si="4"/>
        <v>4.7329775760467617E-3</v>
      </c>
      <c r="K81" s="120">
        <f t="shared" si="6"/>
        <v>3.1553183840311743E-3</v>
      </c>
      <c r="O81" s="116">
        <f>Amnt_Deposited!B76</f>
        <v>2062</v>
      </c>
      <c r="P81" s="119">
        <f>Amnt_Deposited!D76</f>
        <v>0</v>
      </c>
      <c r="Q81" s="319">
        <f>MCF!R80</f>
        <v>0.8</v>
      </c>
      <c r="R81" s="87">
        <f t="shared" si="13"/>
        <v>0</v>
      </c>
      <c r="S81" s="87">
        <f t="shared" si="7"/>
        <v>0</v>
      </c>
      <c r="T81" s="87">
        <f t="shared" si="8"/>
        <v>0</v>
      </c>
      <c r="U81" s="87">
        <f t="shared" si="9"/>
        <v>0.13486587472202202</v>
      </c>
      <c r="V81" s="87">
        <f t="shared" si="10"/>
        <v>9.7788792893528185E-3</v>
      </c>
      <c r="W81" s="120">
        <f t="shared" si="11"/>
        <v>6.5192528595685454E-3</v>
      </c>
    </row>
    <row r="82" spans="2:23">
      <c r="B82" s="116">
        <f>Amnt_Deposited!B77</f>
        <v>2063</v>
      </c>
      <c r="C82" s="119">
        <f>Amnt_Deposited!D77</f>
        <v>0</v>
      </c>
      <c r="D82" s="453">
        <f>Dry_Matter_Content!D69</f>
        <v>0.44</v>
      </c>
      <c r="E82" s="319">
        <f>MCF!R81</f>
        <v>0.8</v>
      </c>
      <c r="F82" s="87">
        <f t="shared" si="12"/>
        <v>0</v>
      </c>
      <c r="G82" s="87">
        <f t="shared" si="1"/>
        <v>0</v>
      </c>
      <c r="H82" s="87">
        <f t="shared" si="2"/>
        <v>0</v>
      </c>
      <c r="I82" s="87">
        <f t="shared" si="3"/>
        <v>6.0862084323799186E-2</v>
      </c>
      <c r="J82" s="87">
        <f t="shared" si="4"/>
        <v>4.4129990416594354E-3</v>
      </c>
      <c r="K82" s="120">
        <f t="shared" si="6"/>
        <v>2.9419993611062901E-3</v>
      </c>
      <c r="O82" s="116">
        <f>Amnt_Deposited!B77</f>
        <v>2063</v>
      </c>
      <c r="P82" s="119">
        <f>Amnt_Deposited!D77</f>
        <v>0</v>
      </c>
      <c r="Q82" s="319">
        <f>MCF!R81</f>
        <v>0.8</v>
      </c>
      <c r="R82" s="87">
        <f t="shared" si="13"/>
        <v>0</v>
      </c>
      <c r="S82" s="87">
        <f t="shared" si="7"/>
        <v>0</v>
      </c>
      <c r="T82" s="87">
        <f t="shared" si="8"/>
        <v>0</v>
      </c>
      <c r="U82" s="87">
        <f t="shared" si="9"/>
        <v>0.12574810810702319</v>
      </c>
      <c r="V82" s="87">
        <f t="shared" si="10"/>
        <v>9.1177666149988394E-3</v>
      </c>
      <c r="W82" s="120">
        <f t="shared" si="11"/>
        <v>6.0785110766658924E-3</v>
      </c>
    </row>
    <row r="83" spans="2:23">
      <c r="B83" s="116">
        <f>Amnt_Deposited!B78</f>
        <v>2064</v>
      </c>
      <c r="C83" s="119">
        <f>Amnt_Deposited!D78</f>
        <v>0</v>
      </c>
      <c r="D83" s="453">
        <f>Dry_Matter_Content!D70</f>
        <v>0.44</v>
      </c>
      <c r="E83" s="319">
        <f>MCF!R82</f>
        <v>0.8</v>
      </c>
      <c r="F83" s="87">
        <f t="shared" ref="F83:F99" si="14">C83*D83*$K$6*DOCF*E83</f>
        <v>0</v>
      </c>
      <c r="G83" s="87">
        <f t="shared" ref="G83:G99" si="15">F83*$K$12</f>
        <v>0</v>
      </c>
      <c r="H83" s="87">
        <f t="shared" ref="H83:H99" si="16">F83*(1-$K$12)</f>
        <v>0</v>
      </c>
      <c r="I83" s="87">
        <f t="shared" ref="I83:I99" si="17">G83+I82*$K$10</f>
        <v>5.6747431290105059E-2</v>
      </c>
      <c r="J83" s="87">
        <f t="shared" ref="J83:J99" si="18">I82*(1-$K$10)+H83</f>
        <v>4.1146530336941302E-3</v>
      </c>
      <c r="K83" s="120">
        <f t="shared" si="6"/>
        <v>2.7431020224627533E-3</v>
      </c>
      <c r="O83" s="116">
        <f>Amnt_Deposited!B78</f>
        <v>2064</v>
      </c>
      <c r="P83" s="119">
        <f>Amnt_Deposited!D78</f>
        <v>0</v>
      </c>
      <c r="Q83" s="319">
        <f>MCF!R82</f>
        <v>0.8</v>
      </c>
      <c r="R83" s="87">
        <f t="shared" ref="R83:R99" si="19">P83*$W$6*DOCF*Q83</f>
        <v>0</v>
      </c>
      <c r="S83" s="87">
        <f t="shared" si="7"/>
        <v>0</v>
      </c>
      <c r="T83" s="87">
        <f t="shared" si="8"/>
        <v>0</v>
      </c>
      <c r="U83" s="87">
        <f t="shared" si="9"/>
        <v>0.1172467588638535</v>
      </c>
      <c r="V83" s="87">
        <f t="shared" si="10"/>
        <v>8.5013492431696962E-3</v>
      </c>
      <c r="W83" s="120">
        <f t="shared" si="11"/>
        <v>5.6675661621131308E-3</v>
      </c>
    </row>
    <row r="84" spans="2:23">
      <c r="B84" s="116">
        <f>Amnt_Deposited!B79</f>
        <v>2065</v>
      </c>
      <c r="C84" s="119">
        <f>Amnt_Deposited!D79</f>
        <v>0</v>
      </c>
      <c r="D84" s="453">
        <f>Dry_Matter_Content!D71</f>
        <v>0.44</v>
      </c>
      <c r="E84" s="319">
        <f>MCF!R83</f>
        <v>0.8</v>
      </c>
      <c r="F84" s="87">
        <f t="shared" si="14"/>
        <v>0</v>
      </c>
      <c r="G84" s="87">
        <f t="shared" si="15"/>
        <v>0</v>
      </c>
      <c r="H84" s="87">
        <f t="shared" si="16"/>
        <v>0</v>
      </c>
      <c r="I84" s="87">
        <f t="shared" si="17"/>
        <v>5.2910954230431392E-2</v>
      </c>
      <c r="J84" s="87">
        <f t="shared" si="18"/>
        <v>3.8364770596736688E-3</v>
      </c>
      <c r="K84" s="120">
        <f t="shared" si="6"/>
        <v>2.5576513731157789E-3</v>
      </c>
      <c r="O84" s="116">
        <f>Amnt_Deposited!B79</f>
        <v>2065</v>
      </c>
      <c r="P84" s="119">
        <f>Amnt_Deposited!D79</f>
        <v>0</v>
      </c>
      <c r="Q84" s="319">
        <f>MCF!R83</f>
        <v>0.8</v>
      </c>
      <c r="R84" s="87">
        <f t="shared" si="19"/>
        <v>0</v>
      </c>
      <c r="S84" s="87">
        <f t="shared" si="7"/>
        <v>0</v>
      </c>
      <c r="T84" s="87">
        <f t="shared" si="8"/>
        <v>0</v>
      </c>
      <c r="U84" s="87">
        <f t="shared" si="9"/>
        <v>0.10932015336865997</v>
      </c>
      <c r="V84" s="87">
        <f t="shared" si="10"/>
        <v>7.9266054951935352E-3</v>
      </c>
      <c r="W84" s="120">
        <f t="shared" si="11"/>
        <v>5.2844036634623563E-3</v>
      </c>
    </row>
    <row r="85" spans="2:23">
      <c r="B85" s="116">
        <f>Amnt_Deposited!B80</f>
        <v>2066</v>
      </c>
      <c r="C85" s="119">
        <f>Amnt_Deposited!D80</f>
        <v>0</v>
      </c>
      <c r="D85" s="453">
        <f>Dry_Matter_Content!D72</f>
        <v>0.44</v>
      </c>
      <c r="E85" s="319">
        <f>MCF!R84</f>
        <v>0.8</v>
      </c>
      <c r="F85" s="87">
        <f t="shared" si="14"/>
        <v>0</v>
      </c>
      <c r="G85" s="87">
        <f t="shared" si="15"/>
        <v>0</v>
      </c>
      <c r="H85" s="87">
        <f t="shared" si="16"/>
        <v>0</v>
      </c>
      <c r="I85" s="87">
        <f t="shared" si="17"/>
        <v>4.9333846729780723E-2</v>
      </c>
      <c r="J85" s="87">
        <f t="shared" si="18"/>
        <v>3.5771075006506728E-3</v>
      </c>
      <c r="K85" s="120">
        <f t="shared" ref="K85:K99" si="20">J85*CH4_fraction*conv</f>
        <v>2.384738333767115E-3</v>
      </c>
      <c r="O85" s="116">
        <f>Amnt_Deposited!B80</f>
        <v>2066</v>
      </c>
      <c r="P85" s="119">
        <f>Amnt_Deposited!D80</f>
        <v>0</v>
      </c>
      <c r="Q85" s="319">
        <f>MCF!R84</f>
        <v>0.8</v>
      </c>
      <c r="R85" s="87">
        <f t="shared" si="19"/>
        <v>0</v>
      </c>
      <c r="S85" s="87">
        <f t="shared" ref="S85:S98" si="21">R85*$W$12</f>
        <v>0</v>
      </c>
      <c r="T85" s="87">
        <f t="shared" ref="T85:T98" si="22">R85*(1-$W$12)</f>
        <v>0</v>
      </c>
      <c r="U85" s="87">
        <f t="shared" ref="U85:U98" si="23">S85+U84*$W$10</f>
        <v>0.10192943539210898</v>
      </c>
      <c r="V85" s="87">
        <f t="shared" ref="V85:V98" si="24">U84*(1-$W$10)+T85</f>
        <v>7.3907179765509813E-3</v>
      </c>
      <c r="W85" s="120">
        <f t="shared" ref="W85:W99" si="25">V85*CH4_fraction*conv</f>
        <v>4.9271453177006539E-3</v>
      </c>
    </row>
    <row r="86" spans="2:23">
      <c r="B86" s="116">
        <f>Amnt_Deposited!B81</f>
        <v>2067</v>
      </c>
      <c r="C86" s="119">
        <f>Amnt_Deposited!D81</f>
        <v>0</v>
      </c>
      <c r="D86" s="453">
        <f>Dry_Matter_Content!D73</f>
        <v>0.44</v>
      </c>
      <c r="E86" s="319">
        <f>MCF!R85</f>
        <v>0.8</v>
      </c>
      <c r="F86" s="87">
        <f t="shared" si="14"/>
        <v>0</v>
      </c>
      <c r="G86" s="87">
        <f t="shared" si="15"/>
        <v>0</v>
      </c>
      <c r="H86" s="87">
        <f t="shared" si="16"/>
        <v>0</v>
      </c>
      <c r="I86" s="87">
        <f t="shared" si="17"/>
        <v>4.599857380303482E-2</v>
      </c>
      <c r="J86" s="87">
        <f t="shared" si="18"/>
        <v>3.3352729267459003E-3</v>
      </c>
      <c r="K86" s="120">
        <f t="shared" si="20"/>
        <v>2.2235152844972666E-3</v>
      </c>
      <c r="O86" s="116">
        <f>Amnt_Deposited!B81</f>
        <v>2067</v>
      </c>
      <c r="P86" s="119">
        <f>Amnt_Deposited!D81</f>
        <v>0</v>
      </c>
      <c r="Q86" s="319">
        <f>MCF!R85</f>
        <v>0.8</v>
      </c>
      <c r="R86" s="87">
        <f t="shared" si="19"/>
        <v>0</v>
      </c>
      <c r="S86" s="87">
        <f t="shared" si="21"/>
        <v>0</v>
      </c>
      <c r="T86" s="87">
        <f t="shared" si="22"/>
        <v>0</v>
      </c>
      <c r="U86" s="87">
        <f t="shared" si="23"/>
        <v>9.5038375626105051E-2</v>
      </c>
      <c r="V86" s="87">
        <f t="shared" si="24"/>
        <v>6.8910597660039302E-3</v>
      </c>
      <c r="W86" s="120">
        <f t="shared" si="25"/>
        <v>4.5940398440026198E-3</v>
      </c>
    </row>
    <row r="87" spans="2:23">
      <c r="B87" s="116">
        <f>Amnt_Deposited!B82</f>
        <v>2068</v>
      </c>
      <c r="C87" s="119">
        <f>Amnt_Deposited!D82</f>
        <v>0</v>
      </c>
      <c r="D87" s="453">
        <f>Dry_Matter_Content!D74</f>
        <v>0.44</v>
      </c>
      <c r="E87" s="319">
        <f>MCF!R86</f>
        <v>0.8</v>
      </c>
      <c r="F87" s="87">
        <f t="shared" si="14"/>
        <v>0</v>
      </c>
      <c r="G87" s="87">
        <f t="shared" si="15"/>
        <v>0</v>
      </c>
      <c r="H87" s="87">
        <f t="shared" si="16"/>
        <v>0</v>
      </c>
      <c r="I87" s="87">
        <f t="shared" si="17"/>
        <v>4.288878593843732E-2</v>
      </c>
      <c r="J87" s="87">
        <f t="shared" si="18"/>
        <v>3.1097878645975018E-3</v>
      </c>
      <c r="K87" s="120">
        <f t="shared" si="20"/>
        <v>2.0731919097316679E-3</v>
      </c>
      <c r="O87" s="116">
        <f>Amnt_Deposited!B82</f>
        <v>2068</v>
      </c>
      <c r="P87" s="119">
        <f>Amnt_Deposited!D82</f>
        <v>0</v>
      </c>
      <c r="Q87" s="319">
        <f>MCF!R86</f>
        <v>0.8</v>
      </c>
      <c r="R87" s="87">
        <f t="shared" si="19"/>
        <v>0</v>
      </c>
      <c r="S87" s="87">
        <f t="shared" si="21"/>
        <v>0</v>
      </c>
      <c r="T87" s="87">
        <f t="shared" si="22"/>
        <v>0</v>
      </c>
      <c r="U87" s="87">
        <f t="shared" si="23"/>
        <v>8.8613194087680452E-2</v>
      </c>
      <c r="V87" s="87">
        <f t="shared" si="24"/>
        <v>6.4251815384245943E-3</v>
      </c>
      <c r="W87" s="120">
        <f t="shared" si="25"/>
        <v>4.2834543589497292E-3</v>
      </c>
    </row>
    <row r="88" spans="2:23">
      <c r="B88" s="116">
        <f>Amnt_Deposited!B83</f>
        <v>2069</v>
      </c>
      <c r="C88" s="119">
        <f>Amnt_Deposited!D83</f>
        <v>0</v>
      </c>
      <c r="D88" s="453">
        <f>Dry_Matter_Content!D75</f>
        <v>0.44</v>
      </c>
      <c r="E88" s="319">
        <f>MCF!R87</f>
        <v>0.8</v>
      </c>
      <c r="F88" s="87">
        <f t="shared" si="14"/>
        <v>0</v>
      </c>
      <c r="G88" s="87">
        <f t="shared" si="15"/>
        <v>0</v>
      </c>
      <c r="H88" s="87">
        <f t="shared" si="16"/>
        <v>0</v>
      </c>
      <c r="I88" s="87">
        <f t="shared" si="17"/>
        <v>3.9989238952268094E-2</v>
      </c>
      <c r="J88" s="87">
        <f t="shared" si="18"/>
        <v>2.8995469861692268E-3</v>
      </c>
      <c r="K88" s="120">
        <f t="shared" si="20"/>
        <v>1.9330313241128177E-3</v>
      </c>
      <c r="O88" s="116">
        <f>Amnt_Deposited!B83</f>
        <v>2069</v>
      </c>
      <c r="P88" s="119">
        <f>Amnt_Deposited!D83</f>
        <v>0</v>
      </c>
      <c r="Q88" s="319">
        <f>MCF!R87</f>
        <v>0.8</v>
      </c>
      <c r="R88" s="87">
        <f t="shared" si="19"/>
        <v>0</v>
      </c>
      <c r="S88" s="87">
        <f t="shared" si="21"/>
        <v>0</v>
      </c>
      <c r="T88" s="87">
        <f t="shared" si="22"/>
        <v>0</v>
      </c>
      <c r="U88" s="87">
        <f t="shared" si="23"/>
        <v>8.2622394529479573E-2</v>
      </c>
      <c r="V88" s="87">
        <f t="shared" si="24"/>
        <v>5.9907995582008846E-3</v>
      </c>
      <c r="W88" s="120">
        <f t="shared" si="25"/>
        <v>3.9938663721339231E-3</v>
      </c>
    </row>
    <row r="89" spans="2:23">
      <c r="B89" s="116">
        <f>Amnt_Deposited!B84</f>
        <v>2070</v>
      </c>
      <c r="C89" s="119">
        <f>Amnt_Deposited!D84</f>
        <v>0</v>
      </c>
      <c r="D89" s="453">
        <f>Dry_Matter_Content!D76</f>
        <v>0.44</v>
      </c>
      <c r="E89" s="319">
        <f>MCF!R88</f>
        <v>0.8</v>
      </c>
      <c r="F89" s="87">
        <f t="shared" si="14"/>
        <v>0</v>
      </c>
      <c r="G89" s="87">
        <f t="shared" si="15"/>
        <v>0</v>
      </c>
      <c r="H89" s="87">
        <f t="shared" si="16"/>
        <v>0</v>
      </c>
      <c r="I89" s="87">
        <f t="shared" si="17"/>
        <v>3.7285719261836991E-2</v>
      </c>
      <c r="J89" s="87">
        <f t="shared" si="18"/>
        <v>2.7035196904311052E-3</v>
      </c>
      <c r="K89" s="120">
        <f t="shared" si="20"/>
        <v>1.8023464602874035E-3</v>
      </c>
      <c r="O89" s="116">
        <f>Amnt_Deposited!B84</f>
        <v>2070</v>
      </c>
      <c r="P89" s="119">
        <f>Amnt_Deposited!D84</f>
        <v>0</v>
      </c>
      <c r="Q89" s="319">
        <f>MCF!R88</f>
        <v>0.8</v>
      </c>
      <c r="R89" s="87">
        <f t="shared" si="19"/>
        <v>0</v>
      </c>
      <c r="S89" s="87">
        <f t="shared" si="21"/>
        <v>0</v>
      </c>
      <c r="T89" s="87">
        <f t="shared" si="22"/>
        <v>0</v>
      </c>
      <c r="U89" s="87">
        <f t="shared" si="23"/>
        <v>7.7036610045117776E-2</v>
      </c>
      <c r="V89" s="87">
        <f t="shared" si="24"/>
        <v>5.5857844843617901E-3</v>
      </c>
      <c r="W89" s="120">
        <f t="shared" si="25"/>
        <v>3.72385632290786E-3</v>
      </c>
    </row>
    <row r="90" spans="2:23">
      <c r="B90" s="116">
        <f>Amnt_Deposited!B85</f>
        <v>2071</v>
      </c>
      <c r="C90" s="119">
        <f>Amnt_Deposited!D85</f>
        <v>0</v>
      </c>
      <c r="D90" s="453">
        <f>Dry_Matter_Content!D77</f>
        <v>0.44</v>
      </c>
      <c r="E90" s="319">
        <f>MCF!R89</f>
        <v>0.8</v>
      </c>
      <c r="F90" s="87">
        <f t="shared" si="14"/>
        <v>0</v>
      </c>
      <c r="G90" s="87">
        <f t="shared" si="15"/>
        <v>0</v>
      </c>
      <c r="H90" s="87">
        <f t="shared" si="16"/>
        <v>0</v>
      </c>
      <c r="I90" s="87">
        <f t="shared" si="17"/>
        <v>3.4764974210484988E-2</v>
      </c>
      <c r="J90" s="87">
        <f t="shared" si="18"/>
        <v>2.5207450513520051E-3</v>
      </c>
      <c r="K90" s="120">
        <f t="shared" si="20"/>
        <v>1.6804967009013366E-3</v>
      </c>
      <c r="O90" s="116">
        <f>Amnt_Deposited!B85</f>
        <v>2071</v>
      </c>
      <c r="P90" s="119">
        <f>Amnt_Deposited!D85</f>
        <v>0</v>
      </c>
      <c r="Q90" s="319">
        <f>MCF!R89</f>
        <v>0.8</v>
      </c>
      <c r="R90" s="87">
        <f t="shared" si="19"/>
        <v>0</v>
      </c>
      <c r="S90" s="87">
        <f t="shared" si="21"/>
        <v>0</v>
      </c>
      <c r="T90" s="87">
        <f t="shared" si="22"/>
        <v>0</v>
      </c>
      <c r="U90" s="87">
        <f t="shared" si="23"/>
        <v>7.182845911257231E-2</v>
      </c>
      <c r="V90" s="87">
        <f t="shared" si="24"/>
        <v>5.208150932545467E-3</v>
      </c>
      <c r="W90" s="120">
        <f t="shared" si="25"/>
        <v>3.4721006216969779E-3</v>
      </c>
    </row>
    <row r="91" spans="2:23">
      <c r="B91" s="116">
        <f>Amnt_Deposited!B86</f>
        <v>2072</v>
      </c>
      <c r="C91" s="119">
        <f>Amnt_Deposited!D86</f>
        <v>0</v>
      </c>
      <c r="D91" s="453">
        <f>Dry_Matter_Content!D78</f>
        <v>0.44</v>
      </c>
      <c r="E91" s="319">
        <f>MCF!R90</f>
        <v>0.8</v>
      </c>
      <c r="F91" s="87">
        <f t="shared" si="14"/>
        <v>0</v>
      </c>
      <c r="G91" s="87">
        <f t="shared" si="15"/>
        <v>0</v>
      </c>
      <c r="H91" s="87">
        <f t="shared" si="16"/>
        <v>0</v>
      </c>
      <c r="I91" s="87">
        <f t="shared" si="17"/>
        <v>3.2414647103045875E-2</v>
      </c>
      <c r="J91" s="87">
        <f t="shared" si="18"/>
        <v>2.350327107439112E-3</v>
      </c>
      <c r="K91" s="120">
        <f t="shared" si="20"/>
        <v>1.5668847382927413E-3</v>
      </c>
      <c r="O91" s="116">
        <f>Amnt_Deposited!B86</f>
        <v>2072</v>
      </c>
      <c r="P91" s="119">
        <f>Amnt_Deposited!D86</f>
        <v>0</v>
      </c>
      <c r="Q91" s="319">
        <f>MCF!R90</f>
        <v>0.8</v>
      </c>
      <c r="R91" s="87">
        <f t="shared" si="19"/>
        <v>0</v>
      </c>
      <c r="S91" s="87">
        <f t="shared" si="21"/>
        <v>0</v>
      </c>
      <c r="T91" s="87">
        <f t="shared" si="22"/>
        <v>0</v>
      </c>
      <c r="U91" s="87">
        <f t="shared" si="23"/>
        <v>6.6972411369929513E-2</v>
      </c>
      <c r="V91" s="87">
        <f t="shared" si="24"/>
        <v>4.8560477426427941E-3</v>
      </c>
      <c r="W91" s="120">
        <f t="shared" si="25"/>
        <v>3.2373651617618624E-3</v>
      </c>
    </row>
    <row r="92" spans="2:23">
      <c r="B92" s="116">
        <f>Amnt_Deposited!B87</f>
        <v>2073</v>
      </c>
      <c r="C92" s="119">
        <f>Amnt_Deposited!D87</f>
        <v>0</v>
      </c>
      <c r="D92" s="453">
        <f>Dry_Matter_Content!D79</f>
        <v>0.44</v>
      </c>
      <c r="E92" s="319">
        <f>MCF!R91</f>
        <v>0.8</v>
      </c>
      <c r="F92" s="87">
        <f t="shared" si="14"/>
        <v>0</v>
      </c>
      <c r="G92" s="87">
        <f t="shared" si="15"/>
        <v>0</v>
      </c>
      <c r="H92" s="87">
        <f t="shared" si="16"/>
        <v>0</v>
      </c>
      <c r="I92" s="87">
        <f t="shared" si="17"/>
        <v>3.0223216633312223E-2</v>
      </c>
      <c r="J92" s="87">
        <f t="shared" si="18"/>
        <v>2.1914304697336516E-3</v>
      </c>
      <c r="K92" s="120">
        <f t="shared" si="20"/>
        <v>1.460953646489101E-3</v>
      </c>
      <c r="O92" s="116">
        <f>Amnt_Deposited!B87</f>
        <v>2073</v>
      </c>
      <c r="P92" s="119">
        <f>Amnt_Deposited!D87</f>
        <v>0</v>
      </c>
      <c r="Q92" s="319">
        <f>MCF!R91</f>
        <v>0.8</v>
      </c>
      <c r="R92" s="87">
        <f t="shared" si="19"/>
        <v>0</v>
      </c>
      <c r="S92" s="87">
        <f t="shared" si="21"/>
        <v>0</v>
      </c>
      <c r="T92" s="87">
        <f t="shared" si="22"/>
        <v>0</v>
      </c>
      <c r="U92" s="87">
        <f t="shared" si="23"/>
        <v>6.244466246552114E-2</v>
      </c>
      <c r="V92" s="87">
        <f t="shared" si="24"/>
        <v>4.5277489044083718E-3</v>
      </c>
      <c r="W92" s="120">
        <f t="shared" si="25"/>
        <v>3.0184992696055809E-3</v>
      </c>
    </row>
    <row r="93" spans="2:23">
      <c r="B93" s="116">
        <f>Amnt_Deposited!B88</f>
        <v>2074</v>
      </c>
      <c r="C93" s="119">
        <f>Amnt_Deposited!D88</f>
        <v>0</v>
      </c>
      <c r="D93" s="453">
        <f>Dry_Matter_Content!D80</f>
        <v>0.44</v>
      </c>
      <c r="E93" s="319">
        <f>MCF!R92</f>
        <v>0.8</v>
      </c>
      <c r="F93" s="87">
        <f t="shared" si="14"/>
        <v>0</v>
      </c>
      <c r="G93" s="87">
        <f t="shared" si="15"/>
        <v>0</v>
      </c>
      <c r="H93" s="87">
        <f t="shared" si="16"/>
        <v>0</v>
      </c>
      <c r="I93" s="87">
        <f t="shared" si="17"/>
        <v>2.8179940406578976E-2</v>
      </c>
      <c r="J93" s="87">
        <f t="shared" si="18"/>
        <v>2.043276226733246E-3</v>
      </c>
      <c r="K93" s="120">
        <f t="shared" si="20"/>
        <v>1.3621841511554972E-3</v>
      </c>
      <c r="O93" s="116">
        <f>Amnt_Deposited!B88</f>
        <v>2074</v>
      </c>
      <c r="P93" s="119">
        <f>Amnt_Deposited!D88</f>
        <v>0</v>
      </c>
      <c r="Q93" s="319">
        <f>MCF!R92</f>
        <v>0.8</v>
      </c>
      <c r="R93" s="87">
        <f t="shared" si="19"/>
        <v>0</v>
      </c>
      <c r="S93" s="87">
        <f t="shared" si="21"/>
        <v>0</v>
      </c>
      <c r="T93" s="87">
        <f t="shared" si="22"/>
        <v>0</v>
      </c>
      <c r="U93" s="87">
        <f t="shared" si="23"/>
        <v>5.8223017368964847E-2</v>
      </c>
      <c r="V93" s="87">
        <f t="shared" si="24"/>
        <v>4.2216450965562946E-3</v>
      </c>
      <c r="W93" s="120">
        <f t="shared" si="25"/>
        <v>2.814430064370863E-3</v>
      </c>
    </row>
    <row r="94" spans="2:23">
      <c r="B94" s="116">
        <f>Amnt_Deposited!B89</f>
        <v>2075</v>
      </c>
      <c r="C94" s="119">
        <f>Amnt_Deposited!D89</f>
        <v>0</v>
      </c>
      <c r="D94" s="453">
        <f>Dry_Matter_Content!D81</f>
        <v>0.44</v>
      </c>
      <c r="E94" s="319">
        <f>MCF!R93</f>
        <v>0.8</v>
      </c>
      <c r="F94" s="87">
        <f t="shared" si="14"/>
        <v>0</v>
      </c>
      <c r="G94" s="87">
        <f t="shared" si="15"/>
        <v>0</v>
      </c>
      <c r="H94" s="87">
        <f t="shared" si="16"/>
        <v>0</v>
      </c>
      <c r="I94" s="87">
        <f t="shared" si="17"/>
        <v>2.6274802280412152E-2</v>
      </c>
      <c r="J94" s="87">
        <f t="shared" si="18"/>
        <v>1.9051381261668235E-3</v>
      </c>
      <c r="K94" s="120">
        <f t="shared" si="20"/>
        <v>1.2700920841112156E-3</v>
      </c>
      <c r="O94" s="116">
        <f>Amnt_Deposited!B89</f>
        <v>2075</v>
      </c>
      <c r="P94" s="119">
        <f>Amnt_Deposited!D89</f>
        <v>0</v>
      </c>
      <c r="Q94" s="319">
        <f>MCF!R93</f>
        <v>0.8</v>
      </c>
      <c r="R94" s="87">
        <f t="shared" si="19"/>
        <v>0</v>
      </c>
      <c r="S94" s="87">
        <f t="shared" si="21"/>
        <v>0</v>
      </c>
      <c r="T94" s="87">
        <f t="shared" si="22"/>
        <v>0</v>
      </c>
      <c r="U94" s="87">
        <f t="shared" si="23"/>
        <v>5.4286781571099507E-2</v>
      </c>
      <c r="V94" s="87">
        <f t="shared" si="24"/>
        <v>3.9362357978653395E-3</v>
      </c>
      <c r="W94" s="120">
        <f t="shared" si="25"/>
        <v>2.624157198576893E-3</v>
      </c>
    </row>
    <row r="95" spans="2:23">
      <c r="B95" s="116">
        <f>Amnt_Deposited!B90</f>
        <v>2076</v>
      </c>
      <c r="C95" s="119">
        <f>Amnt_Deposited!D90</f>
        <v>0</v>
      </c>
      <c r="D95" s="453">
        <f>Dry_Matter_Content!D82</f>
        <v>0.44</v>
      </c>
      <c r="E95" s="319">
        <f>MCF!R94</f>
        <v>0.8</v>
      </c>
      <c r="F95" s="87">
        <f t="shared" si="14"/>
        <v>0</v>
      </c>
      <c r="G95" s="87">
        <f t="shared" si="15"/>
        <v>0</v>
      </c>
      <c r="H95" s="87">
        <f t="shared" si="16"/>
        <v>0</v>
      </c>
      <c r="I95" s="87">
        <f t="shared" si="17"/>
        <v>2.4498463265507007E-2</v>
      </c>
      <c r="J95" s="87">
        <f t="shared" si="18"/>
        <v>1.7763390149051449E-3</v>
      </c>
      <c r="K95" s="120">
        <f t="shared" si="20"/>
        <v>1.1842260099367632E-3</v>
      </c>
      <c r="O95" s="116">
        <f>Amnt_Deposited!B90</f>
        <v>2076</v>
      </c>
      <c r="P95" s="119">
        <f>Amnt_Deposited!D90</f>
        <v>0</v>
      </c>
      <c r="Q95" s="319">
        <f>MCF!R94</f>
        <v>0.8</v>
      </c>
      <c r="R95" s="87">
        <f t="shared" si="19"/>
        <v>0</v>
      </c>
      <c r="S95" s="87">
        <f t="shared" si="21"/>
        <v>0</v>
      </c>
      <c r="T95" s="87">
        <f t="shared" si="22"/>
        <v>0</v>
      </c>
      <c r="U95" s="87">
        <f t="shared" si="23"/>
        <v>5.0616659639477306E-2</v>
      </c>
      <c r="V95" s="87">
        <f t="shared" si="24"/>
        <v>3.6701219316222014E-3</v>
      </c>
      <c r="W95" s="120">
        <f t="shared" si="25"/>
        <v>2.4467479544148006E-3</v>
      </c>
    </row>
    <row r="96" spans="2:23">
      <c r="B96" s="116">
        <f>Amnt_Deposited!B91</f>
        <v>2077</v>
      </c>
      <c r="C96" s="119">
        <f>Amnt_Deposited!D91</f>
        <v>0</v>
      </c>
      <c r="D96" s="453">
        <f>Dry_Matter_Content!D83</f>
        <v>0.44</v>
      </c>
      <c r="E96" s="319">
        <f>MCF!R95</f>
        <v>0.8</v>
      </c>
      <c r="F96" s="87">
        <f t="shared" si="14"/>
        <v>0</v>
      </c>
      <c r="G96" s="87">
        <f t="shared" si="15"/>
        <v>0</v>
      </c>
      <c r="H96" s="87">
        <f t="shared" si="16"/>
        <v>0</v>
      </c>
      <c r="I96" s="87">
        <f t="shared" si="17"/>
        <v>2.2842215745951629E-2</v>
      </c>
      <c r="J96" s="87">
        <f t="shared" si="18"/>
        <v>1.6562475195553773E-3</v>
      </c>
      <c r="K96" s="120">
        <f t="shared" si="20"/>
        <v>1.1041650130369182E-3</v>
      </c>
      <c r="O96" s="116">
        <f>Amnt_Deposited!B91</f>
        <v>2077</v>
      </c>
      <c r="P96" s="119">
        <f>Amnt_Deposited!D91</f>
        <v>0</v>
      </c>
      <c r="Q96" s="319">
        <f>MCF!R95</f>
        <v>0.8</v>
      </c>
      <c r="R96" s="87">
        <f t="shared" si="19"/>
        <v>0</v>
      </c>
      <c r="S96" s="87">
        <f t="shared" si="21"/>
        <v>0</v>
      </c>
      <c r="T96" s="87">
        <f t="shared" si="22"/>
        <v>0</v>
      </c>
      <c r="U96" s="87">
        <f t="shared" si="23"/>
        <v>4.7194660632131485E-2</v>
      </c>
      <c r="V96" s="87">
        <f t="shared" si="24"/>
        <v>3.4219990073458221E-3</v>
      </c>
      <c r="W96" s="120">
        <f t="shared" si="25"/>
        <v>2.2813326715638814E-3</v>
      </c>
    </row>
    <row r="97" spans="2:23">
      <c r="B97" s="116">
        <f>Amnt_Deposited!B92</f>
        <v>2078</v>
      </c>
      <c r="C97" s="119">
        <f>Amnt_Deposited!D92</f>
        <v>0</v>
      </c>
      <c r="D97" s="453">
        <f>Dry_Matter_Content!D84</f>
        <v>0.44</v>
      </c>
      <c r="E97" s="319">
        <f>MCF!R96</f>
        <v>0.8</v>
      </c>
      <c r="F97" s="87">
        <f t="shared" si="14"/>
        <v>0</v>
      </c>
      <c r="G97" s="87">
        <f t="shared" si="15"/>
        <v>0</v>
      </c>
      <c r="H97" s="87">
        <f t="shared" si="16"/>
        <v>0</v>
      </c>
      <c r="I97" s="87">
        <f t="shared" si="17"/>
        <v>2.129794079448364E-2</v>
      </c>
      <c r="J97" s="87">
        <f t="shared" si="18"/>
        <v>1.5442749514679899E-3</v>
      </c>
      <c r="K97" s="120">
        <f t="shared" si="20"/>
        <v>1.0295166343119932E-3</v>
      </c>
      <c r="O97" s="116">
        <f>Amnt_Deposited!B92</f>
        <v>2078</v>
      </c>
      <c r="P97" s="119">
        <f>Amnt_Deposited!D92</f>
        <v>0</v>
      </c>
      <c r="Q97" s="319">
        <f>MCF!R96</f>
        <v>0.8</v>
      </c>
      <c r="R97" s="87">
        <f t="shared" si="19"/>
        <v>0</v>
      </c>
      <c r="S97" s="87">
        <f t="shared" si="21"/>
        <v>0</v>
      </c>
      <c r="T97" s="87">
        <f t="shared" si="22"/>
        <v>0</v>
      </c>
      <c r="U97" s="87">
        <f t="shared" si="23"/>
        <v>4.4004009905957951E-2</v>
      </c>
      <c r="V97" s="87">
        <f t="shared" si="24"/>
        <v>3.1906507261735342E-3</v>
      </c>
      <c r="W97" s="120">
        <f t="shared" si="25"/>
        <v>2.1271004841156892E-3</v>
      </c>
    </row>
    <row r="98" spans="2:23">
      <c r="B98" s="116">
        <f>Amnt_Deposited!B93</f>
        <v>2079</v>
      </c>
      <c r="C98" s="119">
        <f>Amnt_Deposited!D93</f>
        <v>0</v>
      </c>
      <c r="D98" s="453">
        <f>Dry_Matter_Content!D85</f>
        <v>0.44</v>
      </c>
      <c r="E98" s="319">
        <f>MCF!R97</f>
        <v>0.8</v>
      </c>
      <c r="F98" s="87">
        <f t="shared" si="14"/>
        <v>0</v>
      </c>
      <c r="G98" s="87">
        <f t="shared" si="15"/>
        <v>0</v>
      </c>
      <c r="H98" s="87">
        <f t="shared" si="16"/>
        <v>0</v>
      </c>
      <c r="I98" s="87">
        <f t="shared" si="17"/>
        <v>1.9858068373499328E-2</v>
      </c>
      <c r="J98" s="87">
        <f t="shared" si="18"/>
        <v>1.4398724209843121E-3</v>
      </c>
      <c r="K98" s="120">
        <f t="shared" si="20"/>
        <v>9.5991494732287474E-4</v>
      </c>
      <c r="O98" s="116">
        <f>Amnt_Deposited!B93</f>
        <v>2079</v>
      </c>
      <c r="P98" s="119">
        <f>Amnt_Deposited!D93</f>
        <v>0</v>
      </c>
      <c r="Q98" s="319">
        <f>MCF!R97</f>
        <v>0.8</v>
      </c>
      <c r="R98" s="87">
        <f t="shared" si="19"/>
        <v>0</v>
      </c>
      <c r="S98" s="87">
        <f t="shared" si="21"/>
        <v>0</v>
      </c>
      <c r="T98" s="87">
        <f t="shared" si="22"/>
        <v>0</v>
      </c>
      <c r="U98" s="87">
        <f t="shared" si="23"/>
        <v>4.102906688739532E-2</v>
      </c>
      <c r="V98" s="87">
        <f t="shared" si="24"/>
        <v>2.9749430185626296E-3</v>
      </c>
      <c r="W98" s="120">
        <f t="shared" si="25"/>
        <v>1.9832953457084197E-3</v>
      </c>
    </row>
    <row r="99" spans="2:23" ht="13.5" thickBot="1">
      <c r="B99" s="117">
        <f>Amnt_Deposited!B94</f>
        <v>2080</v>
      </c>
      <c r="C99" s="121">
        <f>Amnt_Deposited!D94</f>
        <v>0</v>
      </c>
      <c r="D99" s="454">
        <f>Dry_Matter_Content!D86</f>
        <v>0.44</v>
      </c>
      <c r="E99" s="320">
        <f>MCF!R98</f>
        <v>0.8</v>
      </c>
      <c r="F99" s="88">
        <f t="shared" si="14"/>
        <v>0</v>
      </c>
      <c r="G99" s="88">
        <f t="shared" si="15"/>
        <v>0</v>
      </c>
      <c r="H99" s="88">
        <f t="shared" si="16"/>
        <v>0</v>
      </c>
      <c r="I99" s="88">
        <f t="shared" si="17"/>
        <v>1.8515540226720539E-2</v>
      </c>
      <c r="J99" s="88">
        <f t="shared" si="18"/>
        <v>1.3425281467787885E-3</v>
      </c>
      <c r="K99" s="122">
        <f t="shared" si="20"/>
        <v>8.9501876451919234E-4</v>
      </c>
      <c r="O99" s="117">
        <f>Amnt_Deposited!B94</f>
        <v>2080</v>
      </c>
      <c r="P99" s="121">
        <f>Amnt_Deposited!D94</f>
        <v>0</v>
      </c>
      <c r="Q99" s="320">
        <f>MCF!R98</f>
        <v>0.8</v>
      </c>
      <c r="R99" s="88">
        <f t="shared" si="19"/>
        <v>0</v>
      </c>
      <c r="S99" s="88">
        <f>R99*$W$12</f>
        <v>0</v>
      </c>
      <c r="T99" s="88">
        <f>R99*(1-$W$12)</f>
        <v>0</v>
      </c>
      <c r="U99" s="88">
        <f>S99+U98*$W$10</f>
        <v>3.825524840231518E-2</v>
      </c>
      <c r="V99" s="88">
        <f>U98*(1-$W$10)+T99</f>
        <v>2.7738184850801422E-3</v>
      </c>
      <c r="W99" s="122">
        <f t="shared" si="25"/>
        <v>1.8492123233867614E-3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Parameters!O21</f>
        <v>0.6</v>
      </c>
      <c r="O6" s="257"/>
      <c r="P6" s="258"/>
      <c r="Q6" s="249"/>
      <c r="R6" s="128" t="s">
        <v>9</v>
      </c>
      <c r="S6" s="129"/>
      <c r="T6" s="129"/>
      <c r="U6" s="133"/>
      <c r="V6" s="140" t="s">
        <v>9</v>
      </c>
      <c r="W6" s="293">
        <f>Parameters!R21</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Parameters!O40</f>
        <v>0.17</v>
      </c>
      <c r="O8" s="67"/>
      <c r="P8" s="67"/>
      <c r="Q8" s="249"/>
      <c r="R8" s="128" t="s">
        <v>192</v>
      </c>
      <c r="S8" s="129"/>
      <c r="T8" s="129"/>
      <c r="U8" s="133"/>
      <c r="V8" s="140" t="s">
        <v>188</v>
      </c>
      <c r="W8" s="134">
        <f>Parameters!O40</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3.3621921028080002</v>
      </c>
      <c r="D19" s="451">
        <f>Dry_Matter_Content!E6</f>
        <v>0.44</v>
      </c>
      <c r="E19" s="318">
        <f>MCF!R18</f>
        <v>0.8</v>
      </c>
      <c r="F19" s="150">
        <f t="shared" ref="F19:F82" si="0">C19*D19*$K$6*DOCF*E19</f>
        <v>0.35504748605652486</v>
      </c>
      <c r="G19" s="85">
        <f t="shared" ref="G19:G82" si="1">F19*$K$12</f>
        <v>0.35504748605652486</v>
      </c>
      <c r="H19" s="85">
        <f t="shared" ref="H19:H82" si="2">F19*(1-$K$12)</f>
        <v>0</v>
      </c>
      <c r="I19" s="85">
        <f t="shared" ref="I19:I82" si="3">G19+I18*$K$10</f>
        <v>0.35504748605652486</v>
      </c>
      <c r="J19" s="85">
        <f t="shared" ref="J19:J82" si="4">I18*(1-$K$10)+H19</f>
        <v>0</v>
      </c>
      <c r="K19" s="86">
        <f>J19*CH4_fraction*conv</f>
        <v>0</v>
      </c>
      <c r="O19" s="115">
        <f>Amnt_Deposited!B14</f>
        <v>2000</v>
      </c>
      <c r="P19" s="118">
        <f>Amnt_Deposited!E14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Amnt_Deposited!D15</f>
        <v>3.4247066393760006</v>
      </c>
      <c r="D20" s="453">
        <f>Dry_Matter_Content!E7</f>
        <v>0.44</v>
      </c>
      <c r="E20" s="319">
        <f>MCF!R19</f>
        <v>0.8</v>
      </c>
      <c r="F20" s="87">
        <f t="shared" si="0"/>
        <v>0.36164902111810565</v>
      </c>
      <c r="G20" s="87">
        <f t="shared" si="1"/>
        <v>0.36164902111810565</v>
      </c>
      <c r="H20" s="87">
        <f t="shared" si="2"/>
        <v>0</v>
      </c>
      <c r="I20" s="87">
        <f t="shared" si="3"/>
        <v>0.66119009332499079</v>
      </c>
      <c r="J20" s="87">
        <f t="shared" si="4"/>
        <v>5.5506413849639717E-2</v>
      </c>
      <c r="K20" s="120">
        <f>J20*CH4_fraction*conv</f>
        <v>3.7004275899759811E-2</v>
      </c>
      <c r="M20" s="428"/>
      <c r="O20" s="116">
        <f>Amnt_Deposited!B15</f>
        <v>2001</v>
      </c>
      <c r="P20" s="119">
        <f>Amnt_Deposited!E15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Amnt_Deposited!D16</f>
        <v>3.5278255239480005</v>
      </c>
      <c r="D21" s="453">
        <f>Dry_Matter_Content!E8</f>
        <v>0.44</v>
      </c>
      <c r="E21" s="319">
        <f>MCF!R20</f>
        <v>0.8</v>
      </c>
      <c r="F21" s="87">
        <f t="shared" si="0"/>
        <v>0.37253837532890888</v>
      </c>
      <c r="G21" s="87">
        <f t="shared" si="1"/>
        <v>0.37253837532890888</v>
      </c>
      <c r="H21" s="87">
        <f t="shared" si="2"/>
        <v>0</v>
      </c>
      <c r="I21" s="87">
        <f t="shared" si="3"/>
        <v>0.93036119414928309</v>
      </c>
      <c r="J21" s="87">
        <f t="shared" si="4"/>
        <v>0.10336727450461661</v>
      </c>
      <c r="K21" s="120">
        <f t="shared" ref="K21:K84" si="6">J21*CH4_fraction*conv</f>
        <v>6.8911516336411072E-2</v>
      </c>
      <c r="O21" s="116">
        <f>Amnt_Deposited!B16</f>
        <v>2002</v>
      </c>
      <c r="P21" s="119">
        <f>Amnt_Deposited!E16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Amnt_Deposited!D17</f>
        <v>3.8061546257460002</v>
      </c>
      <c r="D22" s="453">
        <f>Dry_Matter_Content!E9</f>
        <v>0.44</v>
      </c>
      <c r="E22" s="319">
        <f>MCF!R21</f>
        <v>0.8</v>
      </c>
      <c r="F22" s="87">
        <f t="shared" si="0"/>
        <v>0.40192992847877762</v>
      </c>
      <c r="G22" s="87">
        <f t="shared" si="1"/>
        <v>0.40192992847877762</v>
      </c>
      <c r="H22" s="87">
        <f t="shared" si="2"/>
        <v>0</v>
      </c>
      <c r="I22" s="87">
        <f t="shared" si="3"/>
        <v>1.1868429347091252</v>
      </c>
      <c r="J22" s="87">
        <f t="shared" si="4"/>
        <v>0.14544818791893563</v>
      </c>
      <c r="K22" s="120">
        <f t="shared" si="6"/>
        <v>9.6965458612623748E-2</v>
      </c>
      <c r="N22" s="290"/>
      <c r="O22" s="116">
        <f>Amnt_Deposited!B17</f>
        <v>2003</v>
      </c>
      <c r="P22" s="119">
        <f>Amnt_Deposited!E17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Amnt_Deposited!D18</f>
        <v>3.8447786602500003</v>
      </c>
      <c r="D23" s="453">
        <f>Dry_Matter_Content!E10</f>
        <v>0.44</v>
      </c>
      <c r="E23" s="319">
        <f>MCF!R22</f>
        <v>0.8</v>
      </c>
      <c r="F23" s="87">
        <f t="shared" si="0"/>
        <v>0.40600862652240005</v>
      </c>
      <c r="G23" s="87">
        <f t="shared" si="1"/>
        <v>0.40600862652240005</v>
      </c>
      <c r="H23" s="87">
        <f t="shared" si="2"/>
        <v>0</v>
      </c>
      <c r="I23" s="87">
        <f t="shared" si="3"/>
        <v>1.407306253362488</v>
      </c>
      <c r="J23" s="87">
        <f t="shared" si="4"/>
        <v>0.18554530786903728</v>
      </c>
      <c r="K23" s="120">
        <f t="shared" si="6"/>
        <v>0.12369687191269152</v>
      </c>
      <c r="N23" s="290"/>
      <c r="O23" s="116">
        <f>Amnt_Deposited!B18</f>
        <v>2004</v>
      </c>
      <c r="P23" s="119">
        <f>Amnt_Deposited!E18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Amnt_Deposited!D19</f>
        <v>3.9494580318600003</v>
      </c>
      <c r="D24" s="453">
        <f>Dry_Matter_Content!E11</f>
        <v>0.44</v>
      </c>
      <c r="E24" s="319">
        <f>MCF!R23</f>
        <v>0.8</v>
      </c>
      <c r="F24" s="87">
        <f t="shared" si="0"/>
        <v>0.41706276816441606</v>
      </c>
      <c r="G24" s="87">
        <f t="shared" si="1"/>
        <v>0.41706276816441606</v>
      </c>
      <c r="H24" s="87">
        <f t="shared" si="2"/>
        <v>0</v>
      </c>
      <c r="I24" s="87">
        <f t="shared" si="3"/>
        <v>1.6043575403024235</v>
      </c>
      <c r="J24" s="87">
        <f t="shared" si="4"/>
        <v>0.22001148122448067</v>
      </c>
      <c r="K24" s="120">
        <f t="shared" si="6"/>
        <v>0.14667432081632042</v>
      </c>
      <c r="N24" s="290"/>
      <c r="O24" s="116">
        <f>Amnt_Deposited!B19</f>
        <v>2005</v>
      </c>
      <c r="P24" s="119">
        <f>Amnt_Deposited!E19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Amnt_Deposited!D20</f>
        <v>4.0292567446560001</v>
      </c>
      <c r="D25" s="453">
        <f>Dry_Matter_Content!E12</f>
        <v>0.44</v>
      </c>
      <c r="E25" s="319">
        <f>MCF!R24</f>
        <v>0.8</v>
      </c>
      <c r="F25" s="87">
        <f t="shared" si="0"/>
        <v>0.42548951223567361</v>
      </c>
      <c r="G25" s="87">
        <f t="shared" si="1"/>
        <v>0.42548951223567361</v>
      </c>
      <c r="H25" s="87">
        <f t="shared" si="2"/>
        <v>0</v>
      </c>
      <c r="I25" s="87">
        <f t="shared" si="3"/>
        <v>1.779029522229943</v>
      </c>
      <c r="J25" s="87">
        <f t="shared" si="4"/>
        <v>0.25081753030815412</v>
      </c>
      <c r="K25" s="120">
        <f t="shared" si="6"/>
        <v>0.16721168687210275</v>
      </c>
      <c r="N25" s="290"/>
      <c r="O25" s="116">
        <f>Amnt_Deposited!B20</f>
        <v>2006</v>
      </c>
      <c r="P25" s="119">
        <f>Amnt_Deposited!E20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Amnt_Deposited!D21</f>
        <v>4.1089287173880003</v>
      </c>
      <c r="D26" s="453">
        <f>Dry_Matter_Content!E13</f>
        <v>0.44</v>
      </c>
      <c r="E26" s="319">
        <f>MCF!R25</f>
        <v>0.8</v>
      </c>
      <c r="F26" s="87">
        <f t="shared" si="0"/>
        <v>0.43390287255617283</v>
      </c>
      <c r="G26" s="87">
        <f t="shared" si="1"/>
        <v>0.43390287255617283</v>
      </c>
      <c r="H26" s="87">
        <f t="shared" si="2"/>
        <v>0</v>
      </c>
      <c r="I26" s="87">
        <f t="shared" si="3"/>
        <v>1.9348074881478499</v>
      </c>
      <c r="J26" s="87">
        <f t="shared" si="4"/>
        <v>0.278124906638266</v>
      </c>
      <c r="K26" s="120">
        <f t="shared" si="6"/>
        <v>0.18541660442551067</v>
      </c>
      <c r="N26" s="290"/>
      <c r="O26" s="116">
        <f>Amnt_Deposited!B21</f>
        <v>2007</v>
      </c>
      <c r="P26" s="119">
        <f>Amnt_Deposited!E21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Amnt_Deposited!D22</f>
        <v>4.1879828323080002</v>
      </c>
      <c r="D27" s="453">
        <f>Dry_Matter_Content!E14</f>
        <v>0.44</v>
      </c>
      <c r="E27" s="319">
        <f>MCF!R26</f>
        <v>0.8</v>
      </c>
      <c r="F27" s="87">
        <f t="shared" si="0"/>
        <v>0.44225098709172478</v>
      </c>
      <c r="G27" s="87">
        <f t="shared" si="1"/>
        <v>0.44225098709172478</v>
      </c>
      <c r="H27" s="87">
        <f t="shared" si="2"/>
        <v>0</v>
      </c>
      <c r="I27" s="87">
        <f t="shared" si="3"/>
        <v>2.0745799917292902</v>
      </c>
      <c r="J27" s="87">
        <f t="shared" si="4"/>
        <v>0.30247848351028428</v>
      </c>
      <c r="K27" s="120">
        <f t="shared" si="6"/>
        <v>0.20165232234018951</v>
      </c>
      <c r="N27" s="290"/>
      <c r="O27" s="116">
        <f>Amnt_Deposited!B22</f>
        <v>2008</v>
      </c>
      <c r="P27" s="119">
        <f>Amnt_Deposited!E22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Amnt_Deposited!D23</f>
        <v>4.2658249953660006</v>
      </c>
      <c r="D28" s="453">
        <f>Dry_Matter_Content!E15</f>
        <v>0.44</v>
      </c>
      <c r="E28" s="319">
        <f>MCF!R27</f>
        <v>0.8</v>
      </c>
      <c r="F28" s="87">
        <f t="shared" si="0"/>
        <v>0.45047111951064966</v>
      </c>
      <c r="G28" s="87">
        <f t="shared" si="1"/>
        <v>0.45047111951064966</v>
      </c>
      <c r="H28" s="87">
        <f t="shared" si="2"/>
        <v>0</v>
      </c>
      <c r="I28" s="87">
        <f t="shared" si="3"/>
        <v>2.2007212677474683</v>
      </c>
      <c r="J28" s="87">
        <f t="shared" si="4"/>
        <v>0.32432984349247135</v>
      </c>
      <c r="K28" s="120">
        <f t="shared" si="6"/>
        <v>0.21621989566164757</v>
      </c>
      <c r="N28" s="290"/>
      <c r="O28" s="116">
        <f>Amnt_Deposited!B23</f>
        <v>2009</v>
      </c>
      <c r="P28" s="119">
        <f>Amnt_Deposited!E23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Amnt_Deposited!D24</f>
        <v>4.9640914567200012</v>
      </c>
      <c r="D29" s="453">
        <f>Dry_Matter_Content!E16</f>
        <v>0.44</v>
      </c>
      <c r="E29" s="319">
        <f>MCF!R28</f>
        <v>0.8</v>
      </c>
      <c r="F29" s="87">
        <f t="shared" si="0"/>
        <v>0.52420805782963209</v>
      </c>
      <c r="G29" s="87">
        <f t="shared" si="1"/>
        <v>0.52420805782963209</v>
      </c>
      <c r="H29" s="87">
        <f t="shared" si="2"/>
        <v>0</v>
      </c>
      <c r="I29" s="87">
        <f t="shared" si="3"/>
        <v>2.380879162563561</v>
      </c>
      <c r="J29" s="87">
        <f t="shared" si="4"/>
        <v>0.34405016301353941</v>
      </c>
      <c r="K29" s="120">
        <f t="shared" si="6"/>
        <v>0.22936677534235961</v>
      </c>
      <c r="O29" s="116">
        <f>Amnt_Deposited!B24</f>
        <v>2010</v>
      </c>
      <c r="P29" s="119">
        <f>Amnt_Deposited!E24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Amnt_Deposited!D25</f>
        <v>0</v>
      </c>
      <c r="D30" s="453">
        <f>Dry_Matter_Content!E17</f>
        <v>0.44</v>
      </c>
      <c r="E30" s="319">
        <f>MCF!R29</f>
        <v>0.8</v>
      </c>
      <c r="F30" s="87">
        <f t="shared" si="0"/>
        <v>0</v>
      </c>
      <c r="G30" s="87">
        <f t="shared" si="1"/>
        <v>0</v>
      </c>
      <c r="H30" s="87">
        <f t="shared" si="2"/>
        <v>0</v>
      </c>
      <c r="I30" s="87">
        <f t="shared" si="3"/>
        <v>2.0086639820223384</v>
      </c>
      <c r="J30" s="87">
        <f t="shared" si="4"/>
        <v>0.37221518054122271</v>
      </c>
      <c r="K30" s="120">
        <f t="shared" si="6"/>
        <v>0.24814345369414847</v>
      </c>
      <c r="O30" s="116">
        <f>Amnt_Deposited!B25</f>
        <v>2011</v>
      </c>
      <c r="P30" s="119">
        <f>Amnt_Deposited!E25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Amnt_Deposited!D26</f>
        <v>0</v>
      </c>
      <c r="D31" s="453">
        <f>Dry_Matter_Content!E18</f>
        <v>0.44</v>
      </c>
      <c r="E31" s="319">
        <f>MCF!R30</f>
        <v>0.8</v>
      </c>
      <c r="F31" s="87">
        <f t="shared" si="0"/>
        <v>0</v>
      </c>
      <c r="G31" s="87">
        <f t="shared" si="1"/>
        <v>0</v>
      </c>
      <c r="H31" s="87">
        <f t="shared" si="2"/>
        <v>0</v>
      </c>
      <c r="I31" s="87">
        <f t="shared" si="3"/>
        <v>1.6946391299966379</v>
      </c>
      <c r="J31" s="87">
        <f t="shared" si="4"/>
        <v>0.31402485202570052</v>
      </c>
      <c r="K31" s="120">
        <f t="shared" si="6"/>
        <v>0.20934990135046699</v>
      </c>
      <c r="O31" s="116">
        <f>Amnt_Deposited!B26</f>
        <v>2012</v>
      </c>
      <c r="P31" s="119">
        <f>Amnt_Deposited!E26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Amnt_Deposited!D27</f>
        <v>0</v>
      </c>
      <c r="D32" s="453">
        <f>Dry_Matter_Content!E19</f>
        <v>0.44</v>
      </c>
      <c r="E32" s="319">
        <f>MCF!R31</f>
        <v>0.8</v>
      </c>
      <c r="F32" s="87">
        <f t="shared" si="0"/>
        <v>0</v>
      </c>
      <c r="G32" s="87">
        <f t="shared" si="1"/>
        <v>0</v>
      </c>
      <c r="H32" s="87">
        <f t="shared" si="2"/>
        <v>0</v>
      </c>
      <c r="I32" s="87">
        <f t="shared" si="3"/>
        <v>1.4297074108056687</v>
      </c>
      <c r="J32" s="87">
        <f t="shared" si="4"/>
        <v>0.26493171919096914</v>
      </c>
      <c r="K32" s="120">
        <f t="shared" si="6"/>
        <v>0.17662114612731275</v>
      </c>
      <c r="O32" s="116">
        <f>Amnt_Deposited!B27</f>
        <v>2013</v>
      </c>
      <c r="P32" s="119">
        <f>Amnt_Deposited!E27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Amnt_Deposited!D28</f>
        <v>0</v>
      </c>
      <c r="D33" s="453">
        <f>Dry_Matter_Content!E20</f>
        <v>0.44</v>
      </c>
      <c r="E33" s="319">
        <f>MCF!R32</f>
        <v>0.8</v>
      </c>
      <c r="F33" s="87">
        <f t="shared" si="0"/>
        <v>0</v>
      </c>
      <c r="G33" s="87">
        <f t="shared" si="1"/>
        <v>0</v>
      </c>
      <c r="H33" s="87">
        <f t="shared" si="2"/>
        <v>0</v>
      </c>
      <c r="I33" s="87">
        <f t="shared" si="3"/>
        <v>1.206193840523855</v>
      </c>
      <c r="J33" s="87">
        <f t="shared" si="4"/>
        <v>0.22351357028181359</v>
      </c>
      <c r="K33" s="120">
        <f t="shared" si="6"/>
        <v>0.14900904685454239</v>
      </c>
      <c r="O33" s="116">
        <f>Amnt_Deposited!B28</f>
        <v>2014</v>
      </c>
      <c r="P33" s="119">
        <f>Amnt_Deposited!E28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Amnt_Deposited!D29</f>
        <v>0</v>
      </c>
      <c r="D34" s="453">
        <f>Dry_Matter_Content!E21</f>
        <v>0.44</v>
      </c>
      <c r="E34" s="319">
        <f>MCF!R33</f>
        <v>0.8</v>
      </c>
      <c r="F34" s="87">
        <f t="shared" si="0"/>
        <v>0</v>
      </c>
      <c r="G34" s="87">
        <f t="shared" si="1"/>
        <v>0</v>
      </c>
      <c r="H34" s="87">
        <f t="shared" si="2"/>
        <v>0</v>
      </c>
      <c r="I34" s="87">
        <f t="shared" si="3"/>
        <v>1.0176233052452459</v>
      </c>
      <c r="J34" s="87">
        <f t="shared" si="4"/>
        <v>0.18857053527860917</v>
      </c>
      <c r="K34" s="120">
        <f t="shared" si="6"/>
        <v>0.12571369018573944</v>
      </c>
      <c r="O34" s="116">
        <f>Amnt_Deposited!B29</f>
        <v>2015</v>
      </c>
      <c r="P34" s="119">
        <f>Amnt_Deposited!E29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Amnt_Deposited!D30</f>
        <v>0</v>
      </c>
      <c r="D35" s="453">
        <f>Dry_Matter_Content!E22</f>
        <v>0.44</v>
      </c>
      <c r="E35" s="319">
        <f>MCF!R34</f>
        <v>0.8</v>
      </c>
      <c r="F35" s="87">
        <f t="shared" si="0"/>
        <v>0</v>
      </c>
      <c r="G35" s="87">
        <f t="shared" si="1"/>
        <v>0</v>
      </c>
      <c r="H35" s="87">
        <f t="shared" si="2"/>
        <v>0</v>
      </c>
      <c r="I35" s="87">
        <f t="shared" si="3"/>
        <v>0.85853297918393623</v>
      </c>
      <c r="J35" s="87">
        <f t="shared" si="4"/>
        <v>0.15909032606130974</v>
      </c>
      <c r="K35" s="120">
        <f t="shared" si="6"/>
        <v>0.10606021737420648</v>
      </c>
      <c r="O35" s="116">
        <f>Amnt_Deposited!B30</f>
        <v>2016</v>
      </c>
      <c r="P35" s="119">
        <f>Amnt_Deposited!E30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Amnt_Deposited!D31</f>
        <v>0</v>
      </c>
      <c r="D36" s="453">
        <f>Dry_Matter_Content!E23</f>
        <v>0.44</v>
      </c>
      <c r="E36" s="319">
        <f>MCF!R35</f>
        <v>0.8</v>
      </c>
      <c r="F36" s="87">
        <f t="shared" si="0"/>
        <v>0</v>
      </c>
      <c r="G36" s="87">
        <f t="shared" si="1"/>
        <v>0</v>
      </c>
      <c r="H36" s="87">
        <f t="shared" si="2"/>
        <v>0</v>
      </c>
      <c r="I36" s="87">
        <f t="shared" si="3"/>
        <v>0.72431406842516244</v>
      </c>
      <c r="J36" s="87">
        <f t="shared" si="4"/>
        <v>0.13421891075877376</v>
      </c>
      <c r="K36" s="120">
        <f t="shared" si="6"/>
        <v>8.9479273839182499E-2</v>
      </c>
      <c r="O36" s="116">
        <f>Amnt_Deposited!B31</f>
        <v>2017</v>
      </c>
      <c r="P36" s="119">
        <f>Amnt_Deposited!E31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Amnt_Deposited!D32</f>
        <v>0</v>
      </c>
      <c r="D37" s="453">
        <f>Dry_Matter_Content!E24</f>
        <v>0.44</v>
      </c>
      <c r="E37" s="319">
        <f>MCF!R36</f>
        <v>0.8</v>
      </c>
      <c r="F37" s="87">
        <f t="shared" si="0"/>
        <v>0</v>
      </c>
      <c r="G37" s="87">
        <f t="shared" si="1"/>
        <v>0</v>
      </c>
      <c r="H37" s="87">
        <f t="shared" si="2"/>
        <v>0</v>
      </c>
      <c r="I37" s="87">
        <f t="shared" si="3"/>
        <v>0.61107829569609518</v>
      </c>
      <c r="J37" s="87">
        <f t="shared" si="4"/>
        <v>0.11323577272906725</v>
      </c>
      <c r="K37" s="120">
        <f t="shared" si="6"/>
        <v>7.549051515271149E-2</v>
      </c>
      <c r="O37" s="116">
        <f>Amnt_Deposited!B32</f>
        <v>2018</v>
      </c>
      <c r="P37" s="119">
        <f>Amnt_Deposited!E32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Amnt_Deposited!D33</f>
        <v>0</v>
      </c>
      <c r="D38" s="453">
        <f>Dry_Matter_Content!E25</f>
        <v>0.44</v>
      </c>
      <c r="E38" s="319">
        <f>MCF!R37</f>
        <v>0.8</v>
      </c>
      <c r="F38" s="87">
        <f t="shared" si="0"/>
        <v>0</v>
      </c>
      <c r="G38" s="87">
        <f t="shared" si="1"/>
        <v>0</v>
      </c>
      <c r="H38" s="87">
        <f t="shared" si="2"/>
        <v>0</v>
      </c>
      <c r="I38" s="87">
        <f t="shared" si="3"/>
        <v>0.51554525826447684</v>
      </c>
      <c r="J38" s="87">
        <f t="shared" si="4"/>
        <v>9.5533037431618312E-2</v>
      </c>
      <c r="K38" s="120">
        <f t="shared" si="6"/>
        <v>6.3688691621078874E-2</v>
      </c>
      <c r="O38" s="116">
        <f>Amnt_Deposited!B33</f>
        <v>2019</v>
      </c>
      <c r="P38" s="119">
        <f>Amnt_Deposited!E33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Amnt_Deposited!D34</f>
        <v>0</v>
      </c>
      <c r="D39" s="453">
        <f>Dry_Matter_Content!E26</f>
        <v>0.44</v>
      </c>
      <c r="E39" s="319">
        <f>MCF!R38</f>
        <v>0.8</v>
      </c>
      <c r="F39" s="87">
        <f t="shared" si="0"/>
        <v>0</v>
      </c>
      <c r="G39" s="87">
        <f t="shared" si="1"/>
        <v>0</v>
      </c>
      <c r="H39" s="87">
        <f t="shared" si="2"/>
        <v>0</v>
      </c>
      <c r="I39" s="87">
        <f t="shared" si="3"/>
        <v>0.43494739576083513</v>
      </c>
      <c r="J39" s="87">
        <f t="shared" si="4"/>
        <v>8.0597862503641718E-2</v>
      </c>
      <c r="K39" s="120">
        <f t="shared" si="6"/>
        <v>5.3731908335761143E-2</v>
      </c>
      <c r="O39" s="116">
        <f>Amnt_Deposited!B34</f>
        <v>2020</v>
      </c>
      <c r="P39" s="119">
        <f>Amnt_Deposited!E34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Amnt_Deposited!D35</f>
        <v>0</v>
      </c>
      <c r="D40" s="453">
        <f>Dry_Matter_Content!E27</f>
        <v>0.44</v>
      </c>
      <c r="E40" s="319">
        <f>MCF!R39</f>
        <v>0.8</v>
      </c>
      <c r="F40" s="87">
        <f t="shared" si="0"/>
        <v>0</v>
      </c>
      <c r="G40" s="87">
        <f t="shared" si="1"/>
        <v>0</v>
      </c>
      <c r="H40" s="87">
        <f t="shared" si="2"/>
        <v>0</v>
      </c>
      <c r="I40" s="87">
        <f t="shared" si="3"/>
        <v>0.3669498148736397</v>
      </c>
      <c r="J40" s="87">
        <f t="shared" si="4"/>
        <v>6.7997580887195444E-2</v>
      </c>
      <c r="K40" s="120">
        <f t="shared" si="6"/>
        <v>4.5331720591463627E-2</v>
      </c>
      <c r="O40" s="116">
        <f>Amnt_Deposited!B35</f>
        <v>2021</v>
      </c>
      <c r="P40" s="119">
        <f>Amnt_Deposited!E35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Amnt_Deposited!D36</f>
        <v>0</v>
      </c>
      <c r="D41" s="453">
        <f>Dry_Matter_Content!E28</f>
        <v>0.44</v>
      </c>
      <c r="E41" s="319">
        <f>MCF!R40</f>
        <v>0.8</v>
      </c>
      <c r="F41" s="87">
        <f t="shared" si="0"/>
        <v>0</v>
      </c>
      <c r="G41" s="87">
        <f t="shared" si="1"/>
        <v>0</v>
      </c>
      <c r="H41" s="87">
        <f t="shared" si="2"/>
        <v>0</v>
      </c>
      <c r="I41" s="87">
        <f t="shared" si="3"/>
        <v>0.30958264826544618</v>
      </c>
      <c r="J41" s="87">
        <f t="shared" si="4"/>
        <v>5.7367166608193507E-2</v>
      </c>
      <c r="K41" s="120">
        <f t="shared" si="6"/>
        <v>3.8244777738795671E-2</v>
      </c>
      <c r="O41" s="116">
        <f>Amnt_Deposited!B36</f>
        <v>2022</v>
      </c>
      <c r="P41" s="119">
        <f>Amnt_Deposited!E36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Amnt_Deposited!D37</f>
        <v>0</v>
      </c>
      <c r="D42" s="453">
        <f>Dry_Matter_Content!E29</f>
        <v>0.44</v>
      </c>
      <c r="E42" s="319">
        <f>MCF!R41</f>
        <v>0.8</v>
      </c>
      <c r="F42" s="87">
        <f t="shared" si="0"/>
        <v>0</v>
      </c>
      <c r="G42" s="87">
        <f t="shared" si="1"/>
        <v>0</v>
      </c>
      <c r="H42" s="87">
        <f t="shared" si="2"/>
        <v>0</v>
      </c>
      <c r="I42" s="87">
        <f t="shared" si="3"/>
        <v>0.26118398817029043</v>
      </c>
      <c r="J42" s="87">
        <f t="shared" si="4"/>
        <v>4.8398660095155761E-2</v>
      </c>
      <c r="K42" s="120">
        <f t="shared" si="6"/>
        <v>3.2265773396770503E-2</v>
      </c>
      <c r="O42" s="116">
        <f>Amnt_Deposited!B37</f>
        <v>2023</v>
      </c>
      <c r="P42" s="119">
        <f>Amnt_Deposited!E37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Amnt_Deposited!D38</f>
        <v>0</v>
      </c>
      <c r="D43" s="453">
        <f>Dry_Matter_Content!E30</f>
        <v>0.44</v>
      </c>
      <c r="E43" s="319">
        <f>MCF!R42</f>
        <v>0.8</v>
      </c>
      <c r="F43" s="87">
        <f t="shared" si="0"/>
        <v>0</v>
      </c>
      <c r="G43" s="87">
        <f t="shared" si="1"/>
        <v>0</v>
      </c>
      <c r="H43" s="87">
        <f t="shared" si="2"/>
        <v>0</v>
      </c>
      <c r="I43" s="87">
        <f t="shared" si="3"/>
        <v>0.22035174147760012</v>
      </c>
      <c r="J43" s="87">
        <f t="shared" si="4"/>
        <v>4.0832246692690304E-2</v>
      </c>
      <c r="K43" s="120">
        <f t="shared" si="6"/>
        <v>2.7221497795126868E-2</v>
      </c>
      <c r="O43" s="116">
        <f>Amnt_Deposited!B38</f>
        <v>2024</v>
      </c>
      <c r="P43" s="119">
        <f>Amnt_Deposited!E38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Amnt_Deposited!D39</f>
        <v>0</v>
      </c>
      <c r="D44" s="453">
        <f>Dry_Matter_Content!E31</f>
        <v>0.44</v>
      </c>
      <c r="E44" s="319">
        <f>MCF!R43</f>
        <v>0.8</v>
      </c>
      <c r="F44" s="87">
        <f t="shared" si="0"/>
        <v>0</v>
      </c>
      <c r="G44" s="87">
        <f t="shared" si="1"/>
        <v>0</v>
      </c>
      <c r="H44" s="87">
        <f t="shared" si="2"/>
        <v>0</v>
      </c>
      <c r="I44" s="87">
        <f t="shared" si="3"/>
        <v>0.18590301156039327</v>
      </c>
      <c r="J44" s="87">
        <f t="shared" si="4"/>
        <v>3.4448729917206856E-2</v>
      </c>
      <c r="K44" s="120">
        <f t="shared" si="6"/>
        <v>2.296581994480457E-2</v>
      </c>
      <c r="O44" s="116">
        <f>Amnt_Deposited!B39</f>
        <v>2025</v>
      </c>
      <c r="P44" s="119">
        <f>Amnt_Deposited!E39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Amnt_Deposited!D40</f>
        <v>0</v>
      </c>
      <c r="D45" s="453">
        <f>Dry_Matter_Content!E32</f>
        <v>0.44</v>
      </c>
      <c r="E45" s="319">
        <f>MCF!R44</f>
        <v>0.8</v>
      </c>
      <c r="F45" s="87">
        <f t="shared" si="0"/>
        <v>0</v>
      </c>
      <c r="G45" s="87">
        <f t="shared" si="1"/>
        <v>0</v>
      </c>
      <c r="H45" s="87">
        <f t="shared" si="2"/>
        <v>0</v>
      </c>
      <c r="I45" s="87">
        <f t="shared" si="3"/>
        <v>0.15683983015281458</v>
      </c>
      <c r="J45" s="87">
        <f t="shared" si="4"/>
        <v>2.9063181407578683E-2</v>
      </c>
      <c r="K45" s="120">
        <f t="shared" si="6"/>
        <v>1.937545427171912E-2</v>
      </c>
      <c r="O45" s="116">
        <f>Amnt_Deposited!B40</f>
        <v>2026</v>
      </c>
      <c r="P45" s="119">
        <f>Amnt_Deposited!E40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Amnt_Deposited!D41</f>
        <v>0</v>
      </c>
      <c r="D46" s="453">
        <f>Dry_Matter_Content!E33</f>
        <v>0.44</v>
      </c>
      <c r="E46" s="319">
        <f>MCF!R45</f>
        <v>0.8</v>
      </c>
      <c r="F46" s="87">
        <f t="shared" si="0"/>
        <v>0</v>
      </c>
      <c r="G46" s="87">
        <f t="shared" si="1"/>
        <v>0</v>
      </c>
      <c r="H46" s="87">
        <f t="shared" si="2"/>
        <v>0</v>
      </c>
      <c r="I46" s="87">
        <f t="shared" si="3"/>
        <v>0.13232024654088229</v>
      </c>
      <c r="J46" s="87">
        <f t="shared" si="4"/>
        <v>2.4519583611932298E-2</v>
      </c>
      <c r="K46" s="120">
        <f t="shared" si="6"/>
        <v>1.6346389074621531E-2</v>
      </c>
      <c r="O46" s="116">
        <f>Amnt_Deposited!B41</f>
        <v>2027</v>
      </c>
      <c r="P46" s="119">
        <f>Amnt_Deposited!E41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Amnt_Deposited!D42</f>
        <v>0</v>
      </c>
      <c r="D47" s="453">
        <f>Dry_Matter_Content!E34</f>
        <v>0.44</v>
      </c>
      <c r="E47" s="319">
        <f>MCF!R46</f>
        <v>0.8</v>
      </c>
      <c r="F47" s="87">
        <f t="shared" si="0"/>
        <v>0</v>
      </c>
      <c r="G47" s="87">
        <f t="shared" si="1"/>
        <v>0</v>
      </c>
      <c r="H47" s="87">
        <f t="shared" si="2"/>
        <v>0</v>
      </c>
      <c r="I47" s="87">
        <f t="shared" si="3"/>
        <v>0.11163393652990172</v>
      </c>
      <c r="J47" s="87">
        <f t="shared" si="4"/>
        <v>2.0686310010980556E-2</v>
      </c>
      <c r="K47" s="120">
        <f t="shared" si="6"/>
        <v>1.3790873340653704E-2</v>
      </c>
      <c r="O47" s="116">
        <f>Amnt_Deposited!B42</f>
        <v>2028</v>
      </c>
      <c r="P47" s="119">
        <f>Amnt_Deposited!E42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Amnt_Deposited!D43</f>
        <v>0</v>
      </c>
      <c r="D48" s="453">
        <f>Dry_Matter_Content!E35</f>
        <v>0.44</v>
      </c>
      <c r="E48" s="319">
        <f>MCF!R47</f>
        <v>0.8</v>
      </c>
      <c r="F48" s="87">
        <f t="shared" si="0"/>
        <v>0</v>
      </c>
      <c r="G48" s="87">
        <f t="shared" si="1"/>
        <v>0</v>
      </c>
      <c r="H48" s="87">
        <f t="shared" si="2"/>
        <v>0</v>
      </c>
      <c r="I48" s="87">
        <f t="shared" si="3"/>
        <v>9.4181624588431878E-2</v>
      </c>
      <c r="J48" s="87">
        <f t="shared" si="4"/>
        <v>1.7452311941469848E-2</v>
      </c>
      <c r="K48" s="120">
        <f t="shared" si="6"/>
        <v>1.1634874627646565E-2</v>
      </c>
      <c r="O48" s="116">
        <f>Amnt_Deposited!B43</f>
        <v>2029</v>
      </c>
      <c r="P48" s="119">
        <f>Amnt_Deposited!E43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Amnt_Deposited!D44</f>
        <v>0</v>
      </c>
      <c r="D49" s="453">
        <f>Dry_Matter_Content!E36</f>
        <v>0.44</v>
      </c>
      <c r="E49" s="319">
        <f>MCF!R48</f>
        <v>0.8</v>
      </c>
      <c r="F49" s="87">
        <f t="shared" si="0"/>
        <v>0</v>
      </c>
      <c r="G49" s="87">
        <f t="shared" si="1"/>
        <v>0</v>
      </c>
      <c r="H49" s="87">
        <f t="shared" si="2"/>
        <v>0</v>
      </c>
      <c r="I49" s="87">
        <f t="shared" si="3"/>
        <v>7.9457723035148836E-2</v>
      </c>
      <c r="J49" s="87">
        <f t="shared" si="4"/>
        <v>1.4723901553283035E-2</v>
      </c>
      <c r="K49" s="120">
        <f t="shared" si="6"/>
        <v>9.8159343688553561E-3</v>
      </c>
      <c r="O49" s="116">
        <f>Amnt_Deposited!B44</f>
        <v>2030</v>
      </c>
      <c r="P49" s="119">
        <f>Amnt_Deposited!E44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Amnt_Deposited!D45</f>
        <v>0</v>
      </c>
      <c r="D50" s="453">
        <f>Dry_Matter_Content!E37</f>
        <v>0.44</v>
      </c>
      <c r="E50" s="319">
        <f>MCF!R49</f>
        <v>0.8</v>
      </c>
      <c r="F50" s="87">
        <f t="shared" si="0"/>
        <v>0</v>
      </c>
      <c r="G50" s="87">
        <f t="shared" si="1"/>
        <v>0</v>
      </c>
      <c r="H50" s="87">
        <f t="shared" si="2"/>
        <v>0</v>
      </c>
      <c r="I50" s="87">
        <f t="shared" si="3"/>
        <v>6.7035685331615094E-2</v>
      </c>
      <c r="J50" s="87">
        <f t="shared" si="4"/>
        <v>1.242203770353374E-2</v>
      </c>
      <c r="K50" s="120">
        <f t="shared" si="6"/>
        <v>8.2813584690224935E-3</v>
      </c>
      <c r="O50" s="116">
        <f>Amnt_Deposited!B45</f>
        <v>2031</v>
      </c>
      <c r="P50" s="119">
        <f>Amnt_Deposited!E45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Amnt_Deposited!D46</f>
        <v>0</v>
      </c>
      <c r="D51" s="453">
        <f>Dry_Matter_Content!E38</f>
        <v>0.44</v>
      </c>
      <c r="E51" s="319">
        <f>MCF!R50</f>
        <v>0.8</v>
      </c>
      <c r="F51" s="87">
        <f t="shared" si="0"/>
        <v>0</v>
      </c>
      <c r="G51" s="87">
        <f t="shared" si="1"/>
        <v>0</v>
      </c>
      <c r="H51" s="87">
        <f t="shared" si="2"/>
        <v>0</v>
      </c>
      <c r="I51" s="87">
        <f t="shared" si="3"/>
        <v>5.6555649170709939E-2</v>
      </c>
      <c r="J51" s="87">
        <f t="shared" si="4"/>
        <v>1.0480036160905157E-2</v>
      </c>
      <c r="K51" s="120">
        <f t="shared" si="6"/>
        <v>6.9866907739367708E-3</v>
      </c>
      <c r="O51" s="116">
        <f>Amnt_Deposited!B46</f>
        <v>2032</v>
      </c>
      <c r="P51" s="119">
        <f>Amnt_Deposited!E46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Amnt_Deposited!D47</f>
        <v>0</v>
      </c>
      <c r="D52" s="453">
        <f>Dry_Matter_Content!E39</f>
        <v>0.44</v>
      </c>
      <c r="E52" s="319">
        <f>MCF!R51</f>
        <v>0.8</v>
      </c>
      <c r="F52" s="87">
        <f t="shared" si="0"/>
        <v>0</v>
      </c>
      <c r="G52" s="87">
        <f t="shared" si="1"/>
        <v>0</v>
      </c>
      <c r="H52" s="87">
        <f t="shared" si="2"/>
        <v>0</v>
      </c>
      <c r="I52" s="87">
        <f t="shared" si="3"/>
        <v>4.7714011385096421E-2</v>
      </c>
      <c r="J52" s="87">
        <f t="shared" si="4"/>
        <v>8.8416377856135181E-3</v>
      </c>
      <c r="K52" s="120">
        <f t="shared" si="6"/>
        <v>5.8944251904090115E-3</v>
      </c>
      <c r="O52" s="116">
        <f>Amnt_Deposited!B47</f>
        <v>2033</v>
      </c>
      <c r="P52" s="119">
        <f>Amnt_Deposited!E47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Amnt_Deposited!D48</f>
        <v>0</v>
      </c>
      <c r="D53" s="453">
        <f>Dry_Matter_Content!E40</f>
        <v>0.44</v>
      </c>
      <c r="E53" s="319">
        <f>MCF!R52</f>
        <v>0.8</v>
      </c>
      <c r="F53" s="87">
        <f t="shared" si="0"/>
        <v>0</v>
      </c>
      <c r="G53" s="87">
        <f t="shared" si="1"/>
        <v>0</v>
      </c>
      <c r="H53" s="87">
        <f t="shared" si="2"/>
        <v>0</v>
      </c>
      <c r="I53" s="87">
        <f t="shared" si="3"/>
        <v>4.0254632664285132E-2</v>
      </c>
      <c r="J53" s="87">
        <f t="shared" si="4"/>
        <v>7.4593787208112848E-3</v>
      </c>
      <c r="K53" s="120">
        <f t="shared" si="6"/>
        <v>4.9729191472075232E-3</v>
      </c>
      <c r="O53" s="116">
        <f>Amnt_Deposited!B48</f>
        <v>2034</v>
      </c>
      <c r="P53" s="119">
        <f>Amnt_Deposited!E48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Amnt_Deposited!D49</f>
        <v>0</v>
      </c>
      <c r="D54" s="453">
        <f>Dry_Matter_Content!E41</f>
        <v>0.44</v>
      </c>
      <c r="E54" s="319">
        <f>MCF!R53</f>
        <v>0.8</v>
      </c>
      <c r="F54" s="87">
        <f t="shared" si="0"/>
        <v>0</v>
      </c>
      <c r="G54" s="87">
        <f t="shared" si="1"/>
        <v>0</v>
      </c>
      <c r="H54" s="87">
        <f t="shared" si="2"/>
        <v>0</v>
      </c>
      <c r="I54" s="87">
        <f t="shared" si="3"/>
        <v>3.3961417283868915E-2</v>
      </c>
      <c r="J54" s="87">
        <f t="shared" si="4"/>
        <v>6.2932153804162198E-3</v>
      </c>
      <c r="K54" s="120">
        <f t="shared" si="6"/>
        <v>4.1954769202774793E-3</v>
      </c>
      <c r="O54" s="116">
        <f>Amnt_Deposited!B49</f>
        <v>2035</v>
      </c>
      <c r="P54" s="119">
        <f>Amnt_Deposited!E49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Amnt_Deposited!D50</f>
        <v>0</v>
      </c>
      <c r="D55" s="453">
        <f>Dry_Matter_Content!E42</f>
        <v>0.44</v>
      </c>
      <c r="E55" s="319">
        <f>MCF!R54</f>
        <v>0.8</v>
      </c>
      <c r="F55" s="87">
        <f t="shared" si="0"/>
        <v>0</v>
      </c>
      <c r="G55" s="87">
        <f t="shared" si="1"/>
        <v>0</v>
      </c>
      <c r="H55" s="87">
        <f t="shared" si="2"/>
        <v>0</v>
      </c>
      <c r="I55" s="87">
        <f t="shared" si="3"/>
        <v>2.8652052884148523E-2</v>
      </c>
      <c r="J55" s="87">
        <f t="shared" si="4"/>
        <v>5.3093643997203909E-3</v>
      </c>
      <c r="K55" s="120">
        <f t="shared" si="6"/>
        <v>3.5395762664802606E-3</v>
      </c>
      <c r="O55" s="116">
        <f>Amnt_Deposited!B50</f>
        <v>2036</v>
      </c>
      <c r="P55" s="119">
        <f>Amnt_Deposited!E50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Amnt_Deposited!D51</f>
        <v>0</v>
      </c>
      <c r="D56" s="453">
        <f>Dry_Matter_Content!E43</f>
        <v>0.44</v>
      </c>
      <c r="E56" s="319">
        <f>MCF!R55</f>
        <v>0.8</v>
      </c>
      <c r="F56" s="87">
        <f t="shared" si="0"/>
        <v>0</v>
      </c>
      <c r="G56" s="87">
        <f t="shared" si="1"/>
        <v>0</v>
      </c>
      <c r="H56" s="87">
        <f t="shared" si="2"/>
        <v>0</v>
      </c>
      <c r="I56" s="87">
        <f t="shared" si="3"/>
        <v>2.4172728941615051E-2</v>
      </c>
      <c r="J56" s="87">
        <f t="shared" si="4"/>
        <v>4.4793239425334726E-3</v>
      </c>
      <c r="K56" s="120">
        <f t="shared" si="6"/>
        <v>2.9862159616889815E-3</v>
      </c>
      <c r="O56" s="116">
        <f>Amnt_Deposited!B51</f>
        <v>2037</v>
      </c>
      <c r="P56" s="119">
        <f>Amnt_Deposited!E51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Amnt_Deposited!D52</f>
        <v>0</v>
      </c>
      <c r="D57" s="453">
        <f>Dry_Matter_Content!E44</f>
        <v>0.44</v>
      </c>
      <c r="E57" s="319">
        <f>MCF!R56</f>
        <v>0.8</v>
      </c>
      <c r="F57" s="87">
        <f t="shared" si="0"/>
        <v>0</v>
      </c>
      <c r="G57" s="87">
        <f t="shared" si="1"/>
        <v>0</v>
      </c>
      <c r="H57" s="87">
        <f t="shared" si="2"/>
        <v>0</v>
      </c>
      <c r="I57" s="87">
        <f t="shared" si="3"/>
        <v>2.0393680929161759E-2</v>
      </c>
      <c r="J57" s="87">
        <f t="shared" si="4"/>
        <v>3.7790480124532924E-3</v>
      </c>
      <c r="K57" s="120">
        <f t="shared" si="6"/>
        <v>2.519365341635528E-3</v>
      </c>
      <c r="O57" s="116">
        <f>Amnt_Deposited!B52</f>
        <v>2038</v>
      </c>
      <c r="P57" s="119">
        <f>Amnt_Deposited!E52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Amnt_Deposited!D53</f>
        <v>0</v>
      </c>
      <c r="D58" s="453">
        <f>Dry_Matter_Content!E45</f>
        <v>0.44</v>
      </c>
      <c r="E58" s="319">
        <f>MCF!R57</f>
        <v>0.8</v>
      </c>
      <c r="F58" s="87">
        <f t="shared" si="0"/>
        <v>0</v>
      </c>
      <c r="G58" s="87">
        <f t="shared" si="1"/>
        <v>0</v>
      </c>
      <c r="H58" s="87">
        <f t="shared" si="2"/>
        <v>0</v>
      </c>
      <c r="I58" s="87">
        <f t="shared" si="3"/>
        <v>1.7205431080826422E-2</v>
      </c>
      <c r="J58" s="87">
        <f t="shared" si="4"/>
        <v>3.1882498483353353E-3</v>
      </c>
      <c r="K58" s="120">
        <f t="shared" si="6"/>
        <v>2.1254998988902234E-3</v>
      </c>
      <c r="O58" s="116">
        <f>Amnt_Deposited!B53</f>
        <v>2039</v>
      </c>
      <c r="P58" s="119">
        <f>Amnt_Deposited!E53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Amnt_Deposited!D54</f>
        <v>0</v>
      </c>
      <c r="D59" s="453">
        <f>Dry_Matter_Content!E46</f>
        <v>0.44</v>
      </c>
      <c r="E59" s="319">
        <f>MCF!R58</f>
        <v>0.8</v>
      </c>
      <c r="F59" s="87">
        <f t="shared" si="0"/>
        <v>0</v>
      </c>
      <c r="G59" s="87">
        <f t="shared" si="1"/>
        <v>0</v>
      </c>
      <c r="H59" s="87">
        <f t="shared" si="2"/>
        <v>0</v>
      </c>
      <c r="I59" s="87">
        <f t="shared" si="3"/>
        <v>1.4515616857267143E-2</v>
      </c>
      <c r="J59" s="87">
        <f t="shared" si="4"/>
        <v>2.6898142235592787E-3</v>
      </c>
      <c r="K59" s="120">
        <f t="shared" si="6"/>
        <v>1.7932094823728524E-3</v>
      </c>
      <c r="O59" s="116">
        <f>Amnt_Deposited!B54</f>
        <v>2040</v>
      </c>
      <c r="P59" s="119">
        <f>Amnt_Deposited!E54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Amnt_Deposited!D55</f>
        <v>0</v>
      </c>
      <c r="D60" s="453">
        <f>Dry_Matter_Content!E47</f>
        <v>0.44</v>
      </c>
      <c r="E60" s="319">
        <f>MCF!R59</f>
        <v>0.8</v>
      </c>
      <c r="F60" s="87">
        <f t="shared" si="0"/>
        <v>0</v>
      </c>
      <c r="G60" s="87">
        <f t="shared" si="1"/>
        <v>0</v>
      </c>
      <c r="H60" s="87">
        <f t="shared" si="2"/>
        <v>0</v>
      </c>
      <c r="I60" s="87">
        <f t="shared" si="3"/>
        <v>1.2246315233669659E-2</v>
      </c>
      <c r="J60" s="87">
        <f t="shared" si="4"/>
        <v>2.2693016235974832E-3</v>
      </c>
      <c r="K60" s="120">
        <f t="shared" si="6"/>
        <v>1.5128677490649886E-3</v>
      </c>
      <c r="O60" s="116">
        <f>Amnt_Deposited!B55</f>
        <v>2041</v>
      </c>
      <c r="P60" s="119">
        <f>Amnt_Deposited!E55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Amnt_Deposited!D56</f>
        <v>0</v>
      </c>
      <c r="D61" s="453">
        <f>Dry_Matter_Content!E48</f>
        <v>0.44</v>
      </c>
      <c r="E61" s="319">
        <f>MCF!R60</f>
        <v>0.8</v>
      </c>
      <c r="F61" s="87">
        <f t="shared" si="0"/>
        <v>0</v>
      </c>
      <c r="G61" s="87">
        <f t="shared" si="1"/>
        <v>0</v>
      </c>
      <c r="H61" s="87">
        <f t="shared" si="2"/>
        <v>0</v>
      </c>
      <c r="I61" s="87">
        <f t="shared" si="3"/>
        <v>1.0331785295595412E-2</v>
      </c>
      <c r="J61" s="87">
        <f t="shared" si="4"/>
        <v>1.9145299380742462E-3</v>
      </c>
      <c r="K61" s="120">
        <f t="shared" si="6"/>
        <v>1.2763532920494975E-3</v>
      </c>
      <c r="O61" s="116">
        <f>Amnt_Deposited!B56</f>
        <v>2042</v>
      </c>
      <c r="P61" s="119">
        <f>Amnt_Deposited!E56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Amnt_Deposited!D57</f>
        <v>0</v>
      </c>
      <c r="D62" s="453">
        <f>Dry_Matter_Content!E49</f>
        <v>0.44</v>
      </c>
      <c r="E62" s="319">
        <f>MCF!R61</f>
        <v>0.8</v>
      </c>
      <c r="F62" s="87">
        <f t="shared" si="0"/>
        <v>0</v>
      </c>
      <c r="G62" s="87">
        <f t="shared" si="1"/>
        <v>0</v>
      </c>
      <c r="H62" s="87">
        <f t="shared" si="2"/>
        <v>0</v>
      </c>
      <c r="I62" s="87">
        <f t="shared" si="3"/>
        <v>8.7165637465217178E-3</v>
      </c>
      <c r="J62" s="87">
        <f t="shared" si="4"/>
        <v>1.6152215490736947E-3</v>
      </c>
      <c r="K62" s="120">
        <f t="shared" si="6"/>
        <v>1.0768143660491297E-3</v>
      </c>
      <c r="O62" s="116">
        <f>Amnt_Deposited!B57</f>
        <v>2043</v>
      </c>
      <c r="P62" s="119">
        <f>Amnt_Deposited!E57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Amnt_Deposited!D58</f>
        <v>0</v>
      </c>
      <c r="D63" s="453">
        <f>Dry_Matter_Content!E50</f>
        <v>0.44</v>
      </c>
      <c r="E63" s="319">
        <f>MCF!R62</f>
        <v>0.8</v>
      </c>
      <c r="F63" s="87">
        <f t="shared" si="0"/>
        <v>0</v>
      </c>
      <c r="G63" s="87">
        <f t="shared" si="1"/>
        <v>0</v>
      </c>
      <c r="H63" s="87">
        <f t="shared" si="2"/>
        <v>0</v>
      </c>
      <c r="I63" s="87">
        <f t="shared" si="3"/>
        <v>7.3538581545599321E-3</v>
      </c>
      <c r="J63" s="87">
        <f t="shared" si="4"/>
        <v>1.3627055919617854E-3</v>
      </c>
      <c r="K63" s="120">
        <f t="shared" si="6"/>
        <v>9.0847039464119026E-4</v>
      </c>
      <c r="O63" s="116">
        <f>Amnt_Deposited!B58</f>
        <v>2044</v>
      </c>
      <c r="P63" s="119">
        <f>Amnt_Deposited!E58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Amnt_Deposited!D59</f>
        <v>0</v>
      </c>
      <c r="D64" s="453">
        <f>Dry_Matter_Content!E51</f>
        <v>0.44</v>
      </c>
      <c r="E64" s="319">
        <f>MCF!R63</f>
        <v>0.8</v>
      </c>
      <c r="F64" s="87">
        <f t="shared" si="0"/>
        <v>0</v>
      </c>
      <c r="G64" s="87">
        <f t="shared" si="1"/>
        <v>0</v>
      </c>
      <c r="H64" s="87">
        <f t="shared" si="2"/>
        <v>0</v>
      </c>
      <c r="I64" s="87">
        <f t="shared" si="3"/>
        <v>6.2041913912426255E-3</v>
      </c>
      <c r="J64" s="87">
        <f t="shared" si="4"/>
        <v>1.1496667633173062E-3</v>
      </c>
      <c r="K64" s="120">
        <f t="shared" si="6"/>
        <v>7.6644450887820414E-4</v>
      </c>
      <c r="O64" s="116">
        <f>Amnt_Deposited!B59</f>
        <v>2045</v>
      </c>
      <c r="P64" s="119">
        <f>Amnt_Deposited!E59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Amnt_Deposited!D60</f>
        <v>0</v>
      </c>
      <c r="D65" s="453">
        <f>Dry_Matter_Content!E52</f>
        <v>0.44</v>
      </c>
      <c r="E65" s="319">
        <f>MCF!R64</f>
        <v>0.8</v>
      </c>
      <c r="F65" s="87">
        <f t="shared" si="0"/>
        <v>0</v>
      </c>
      <c r="G65" s="87">
        <f t="shared" si="1"/>
        <v>0</v>
      </c>
      <c r="H65" s="87">
        <f t="shared" si="2"/>
        <v>0</v>
      </c>
      <c r="I65" s="87">
        <f t="shared" si="3"/>
        <v>5.2342579922215722E-3</v>
      </c>
      <c r="J65" s="87">
        <f t="shared" si="4"/>
        <v>9.6993339902105315E-4</v>
      </c>
      <c r="K65" s="120">
        <f t="shared" si="6"/>
        <v>6.4662226601403536E-4</v>
      </c>
      <c r="O65" s="116">
        <f>Amnt_Deposited!B60</f>
        <v>2046</v>
      </c>
      <c r="P65" s="119">
        <f>Amnt_Deposited!E60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Amnt_Deposited!D61</f>
        <v>0</v>
      </c>
      <c r="D66" s="453">
        <f>Dry_Matter_Content!E53</f>
        <v>0.44</v>
      </c>
      <c r="E66" s="319">
        <f>MCF!R65</f>
        <v>0.8</v>
      </c>
      <c r="F66" s="87">
        <f t="shared" si="0"/>
        <v>0</v>
      </c>
      <c r="G66" s="87">
        <f t="shared" si="1"/>
        <v>0</v>
      </c>
      <c r="H66" s="87">
        <f t="shared" si="2"/>
        <v>0</v>
      </c>
      <c r="I66" s="87">
        <f t="shared" si="3"/>
        <v>4.4159593090257682E-3</v>
      </c>
      <c r="J66" s="87">
        <f t="shared" si="4"/>
        <v>8.1829868319580393E-4</v>
      </c>
      <c r="K66" s="120">
        <f t="shared" si="6"/>
        <v>5.4553245546386925E-4</v>
      </c>
      <c r="O66" s="116">
        <f>Amnt_Deposited!B61</f>
        <v>2047</v>
      </c>
      <c r="P66" s="119">
        <f>Amnt_Deposited!E61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Amnt_Deposited!D62</f>
        <v>0</v>
      </c>
      <c r="D67" s="453">
        <f>Dry_Matter_Content!E54</f>
        <v>0.44</v>
      </c>
      <c r="E67" s="319">
        <f>MCF!R66</f>
        <v>0.8</v>
      </c>
      <c r="F67" s="87">
        <f t="shared" si="0"/>
        <v>0</v>
      </c>
      <c r="G67" s="87">
        <f t="shared" si="1"/>
        <v>0</v>
      </c>
      <c r="H67" s="87">
        <f t="shared" si="2"/>
        <v>0</v>
      </c>
      <c r="I67" s="87">
        <f t="shared" si="3"/>
        <v>3.725589500546318E-3</v>
      </c>
      <c r="J67" s="87">
        <f t="shared" si="4"/>
        <v>6.9036980847945019E-4</v>
      </c>
      <c r="K67" s="120">
        <f t="shared" si="6"/>
        <v>4.6024653898630013E-4</v>
      </c>
      <c r="O67" s="116">
        <f>Amnt_Deposited!B62</f>
        <v>2048</v>
      </c>
      <c r="P67" s="119">
        <f>Amnt_Deposited!E62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Amnt_Deposited!D63</f>
        <v>0</v>
      </c>
      <c r="D68" s="453">
        <f>Dry_Matter_Content!E55</f>
        <v>0.44</v>
      </c>
      <c r="E68" s="319">
        <f>MCF!R67</f>
        <v>0.8</v>
      </c>
      <c r="F68" s="87">
        <f t="shared" si="0"/>
        <v>0</v>
      </c>
      <c r="G68" s="87">
        <f t="shared" si="1"/>
        <v>0</v>
      </c>
      <c r="H68" s="87">
        <f t="shared" si="2"/>
        <v>0</v>
      </c>
      <c r="I68" s="87">
        <f t="shared" si="3"/>
        <v>3.1431487826918221E-3</v>
      </c>
      <c r="J68" s="87">
        <f t="shared" si="4"/>
        <v>5.8244071785449583E-4</v>
      </c>
      <c r="K68" s="120">
        <f t="shared" si="6"/>
        <v>3.882938119029972E-4</v>
      </c>
      <c r="O68" s="116">
        <f>Amnt_Deposited!B63</f>
        <v>2049</v>
      </c>
      <c r="P68" s="119">
        <f>Amnt_Deposited!E63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Amnt_Deposited!D64</f>
        <v>0</v>
      </c>
      <c r="D69" s="453">
        <f>Dry_Matter_Content!E56</f>
        <v>0.44</v>
      </c>
      <c r="E69" s="319">
        <f>MCF!R68</f>
        <v>0.8</v>
      </c>
      <c r="F69" s="87">
        <f t="shared" si="0"/>
        <v>0</v>
      </c>
      <c r="G69" s="87">
        <f t="shared" si="1"/>
        <v>0</v>
      </c>
      <c r="H69" s="87">
        <f t="shared" si="2"/>
        <v>0</v>
      </c>
      <c r="I69" s="87">
        <f t="shared" si="3"/>
        <v>2.6517640412848428E-3</v>
      </c>
      <c r="J69" s="87">
        <f t="shared" si="4"/>
        <v>4.913847414069793E-4</v>
      </c>
      <c r="K69" s="120">
        <f t="shared" si="6"/>
        <v>3.2758982760465287E-4</v>
      </c>
      <c r="O69" s="116">
        <f>Amnt_Deposited!B64</f>
        <v>2050</v>
      </c>
      <c r="P69" s="119">
        <f>Amnt_Deposited!E64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Amnt_Deposited!D65</f>
        <v>0</v>
      </c>
      <c r="D70" s="453">
        <f>Dry_Matter_Content!E57</f>
        <v>0.44</v>
      </c>
      <c r="E70" s="319">
        <f>MCF!R69</f>
        <v>0.8</v>
      </c>
      <c r="F70" s="87">
        <f t="shared" si="0"/>
        <v>0</v>
      </c>
      <c r="G70" s="87">
        <f t="shared" si="1"/>
        <v>0</v>
      </c>
      <c r="H70" s="87">
        <f t="shared" si="2"/>
        <v>0</v>
      </c>
      <c r="I70" s="87">
        <f t="shared" si="3"/>
        <v>2.2372000235474621E-3</v>
      </c>
      <c r="J70" s="87">
        <f t="shared" si="4"/>
        <v>4.1456401773738065E-4</v>
      </c>
      <c r="K70" s="120">
        <f t="shared" si="6"/>
        <v>2.7637601182492044E-4</v>
      </c>
      <c r="O70" s="116">
        <f>Amnt_Deposited!B65</f>
        <v>2051</v>
      </c>
      <c r="P70" s="119">
        <f>Amnt_Deposited!E65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Amnt_Deposited!D66</f>
        <v>0</v>
      </c>
      <c r="D71" s="453">
        <f>Dry_Matter_Content!E58</f>
        <v>0.44</v>
      </c>
      <c r="E71" s="319">
        <f>MCF!R70</f>
        <v>0.8</v>
      </c>
      <c r="F71" s="87">
        <f t="shared" si="0"/>
        <v>0</v>
      </c>
      <c r="G71" s="87">
        <f t="shared" si="1"/>
        <v>0</v>
      </c>
      <c r="H71" s="87">
        <f t="shared" si="2"/>
        <v>0</v>
      </c>
      <c r="I71" s="87">
        <f t="shared" si="3"/>
        <v>1.8874469475555948E-3</v>
      </c>
      <c r="J71" s="87">
        <f t="shared" si="4"/>
        <v>3.4975307599186716E-4</v>
      </c>
      <c r="K71" s="120">
        <f t="shared" si="6"/>
        <v>2.3316871732791144E-4</v>
      </c>
      <c r="O71" s="116">
        <f>Amnt_Deposited!B66</f>
        <v>2052</v>
      </c>
      <c r="P71" s="119">
        <f>Amnt_Deposited!E66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Amnt_Deposited!D67</f>
        <v>0</v>
      </c>
      <c r="D72" s="453">
        <f>Dry_Matter_Content!E59</f>
        <v>0.44</v>
      </c>
      <c r="E72" s="319">
        <f>MCF!R71</f>
        <v>0.8</v>
      </c>
      <c r="F72" s="87">
        <f t="shared" si="0"/>
        <v>0</v>
      </c>
      <c r="G72" s="87">
        <f t="shared" si="1"/>
        <v>0</v>
      </c>
      <c r="H72" s="87">
        <f t="shared" si="2"/>
        <v>0</v>
      </c>
      <c r="I72" s="87">
        <f t="shared" si="3"/>
        <v>1.5923725828448953E-3</v>
      </c>
      <c r="J72" s="87">
        <f t="shared" si="4"/>
        <v>2.9507436471069967E-4</v>
      </c>
      <c r="K72" s="120">
        <f t="shared" si="6"/>
        <v>1.9671624314046644E-4</v>
      </c>
      <c r="O72" s="116">
        <f>Amnt_Deposited!B67</f>
        <v>2053</v>
      </c>
      <c r="P72" s="119">
        <f>Amnt_Deposited!E67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Amnt_Deposited!D68</f>
        <v>0</v>
      </c>
      <c r="D73" s="453">
        <f>Dry_Matter_Content!E60</f>
        <v>0.44</v>
      </c>
      <c r="E73" s="319">
        <f>MCF!R72</f>
        <v>0.8</v>
      </c>
      <c r="F73" s="87">
        <f t="shared" si="0"/>
        <v>0</v>
      </c>
      <c r="G73" s="87">
        <f t="shared" si="1"/>
        <v>0</v>
      </c>
      <c r="H73" s="87">
        <f t="shared" si="2"/>
        <v>0</v>
      </c>
      <c r="I73" s="87">
        <f t="shared" si="3"/>
        <v>1.3434287230589485E-3</v>
      </c>
      <c r="J73" s="87">
        <f t="shared" si="4"/>
        <v>2.4894385978594687E-4</v>
      </c>
      <c r="K73" s="120">
        <f t="shared" si="6"/>
        <v>1.6596257319063124E-4</v>
      </c>
      <c r="O73" s="116">
        <f>Amnt_Deposited!B68</f>
        <v>2054</v>
      </c>
      <c r="P73" s="119">
        <f>Amnt_Deposited!E68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Amnt_Deposited!D69</f>
        <v>0</v>
      </c>
      <c r="D74" s="453">
        <f>Dry_Matter_Content!E61</f>
        <v>0.44</v>
      </c>
      <c r="E74" s="319">
        <f>MCF!R73</f>
        <v>0.8</v>
      </c>
      <c r="F74" s="87">
        <f t="shared" si="0"/>
        <v>0</v>
      </c>
      <c r="G74" s="87">
        <f t="shared" si="1"/>
        <v>0</v>
      </c>
      <c r="H74" s="87">
        <f t="shared" si="2"/>
        <v>0</v>
      </c>
      <c r="I74" s="87">
        <f t="shared" si="3"/>
        <v>1.1334035472498416E-3</v>
      </c>
      <c r="J74" s="87">
        <f t="shared" si="4"/>
        <v>2.1002517580910674E-4</v>
      </c>
      <c r="K74" s="120">
        <f t="shared" si="6"/>
        <v>1.4001678387273782E-4</v>
      </c>
      <c r="O74" s="116">
        <f>Amnt_Deposited!B69</f>
        <v>2055</v>
      </c>
      <c r="P74" s="119">
        <f>Amnt_Deposited!E69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Amnt_Deposited!D70</f>
        <v>0</v>
      </c>
      <c r="D75" s="453">
        <f>Dry_Matter_Content!E62</f>
        <v>0.44</v>
      </c>
      <c r="E75" s="319">
        <f>MCF!R74</f>
        <v>0.8</v>
      </c>
      <c r="F75" s="87">
        <f t="shared" si="0"/>
        <v>0</v>
      </c>
      <c r="G75" s="87">
        <f t="shared" si="1"/>
        <v>0</v>
      </c>
      <c r="H75" s="87">
        <f t="shared" si="2"/>
        <v>0</v>
      </c>
      <c r="I75" s="87">
        <f t="shared" si="3"/>
        <v>9.5621269582022838E-4</v>
      </c>
      <c r="J75" s="87">
        <f t="shared" si="4"/>
        <v>1.7719085142961329E-4</v>
      </c>
      <c r="K75" s="120">
        <f t="shared" si="6"/>
        <v>1.1812723428640885E-4</v>
      </c>
      <c r="O75" s="116">
        <f>Amnt_Deposited!B70</f>
        <v>2056</v>
      </c>
      <c r="P75" s="119">
        <f>Amnt_Deposited!E70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Amnt_Deposited!D71</f>
        <v>0</v>
      </c>
      <c r="D76" s="453">
        <f>Dry_Matter_Content!E63</f>
        <v>0.44</v>
      </c>
      <c r="E76" s="319">
        <f>MCF!R75</f>
        <v>0.8</v>
      </c>
      <c r="F76" s="87">
        <f t="shared" si="0"/>
        <v>0</v>
      </c>
      <c r="G76" s="87">
        <f t="shared" si="1"/>
        <v>0</v>
      </c>
      <c r="H76" s="87">
        <f t="shared" si="2"/>
        <v>0</v>
      </c>
      <c r="I76" s="87">
        <f t="shared" si="3"/>
        <v>8.0672300864630662E-4</v>
      </c>
      <c r="J76" s="87">
        <f t="shared" si="4"/>
        <v>1.4948968717392176E-4</v>
      </c>
      <c r="K76" s="120">
        <f t="shared" si="6"/>
        <v>9.9659791449281169E-5</v>
      </c>
      <c r="O76" s="116">
        <f>Amnt_Deposited!B71</f>
        <v>2057</v>
      </c>
      <c r="P76" s="119">
        <f>Amnt_Deposited!E71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Amnt_Deposited!D72</f>
        <v>0</v>
      </c>
      <c r="D77" s="453">
        <f>Dry_Matter_Content!E64</f>
        <v>0.44</v>
      </c>
      <c r="E77" s="319">
        <f>MCF!R76</f>
        <v>0.8</v>
      </c>
      <c r="F77" s="87">
        <f t="shared" si="0"/>
        <v>0</v>
      </c>
      <c r="G77" s="87">
        <f t="shared" si="1"/>
        <v>0</v>
      </c>
      <c r="H77" s="87">
        <f t="shared" si="2"/>
        <v>0</v>
      </c>
      <c r="I77" s="87">
        <f t="shared" si="3"/>
        <v>6.806038191336691E-4</v>
      </c>
      <c r="J77" s="87">
        <f t="shared" si="4"/>
        <v>1.2611918951263749E-4</v>
      </c>
      <c r="K77" s="120">
        <f t="shared" si="6"/>
        <v>8.4079459675091657E-5</v>
      </c>
      <c r="O77" s="116">
        <f>Amnt_Deposited!B72</f>
        <v>2058</v>
      </c>
      <c r="P77" s="119">
        <f>Amnt_Deposited!E72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Amnt_Deposited!D73</f>
        <v>0</v>
      </c>
      <c r="D78" s="453">
        <f>Dry_Matter_Content!E65</f>
        <v>0.44</v>
      </c>
      <c r="E78" s="319">
        <f>MCF!R77</f>
        <v>0.8</v>
      </c>
      <c r="F78" s="87">
        <f t="shared" si="0"/>
        <v>0</v>
      </c>
      <c r="G78" s="87">
        <f t="shared" si="1"/>
        <v>0</v>
      </c>
      <c r="H78" s="87">
        <f t="shared" si="2"/>
        <v>0</v>
      </c>
      <c r="I78" s="87">
        <f t="shared" si="3"/>
        <v>5.7420149624420522E-4</v>
      </c>
      <c r="J78" s="87">
        <f t="shared" si="4"/>
        <v>1.0640232288946385E-4</v>
      </c>
      <c r="K78" s="120">
        <f t="shared" si="6"/>
        <v>7.0934881926309226E-5</v>
      </c>
      <c r="O78" s="116">
        <f>Amnt_Deposited!B73</f>
        <v>2059</v>
      </c>
      <c r="P78" s="119">
        <f>Amnt_Deposited!E73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Amnt_Deposited!D74</f>
        <v>0</v>
      </c>
      <c r="D79" s="453">
        <f>Dry_Matter_Content!E66</f>
        <v>0.44</v>
      </c>
      <c r="E79" s="319">
        <f>MCF!R78</f>
        <v>0.8</v>
      </c>
      <c r="F79" s="87">
        <f t="shared" si="0"/>
        <v>0</v>
      </c>
      <c r="G79" s="87">
        <f t="shared" si="1"/>
        <v>0</v>
      </c>
      <c r="H79" s="87">
        <f t="shared" si="2"/>
        <v>0</v>
      </c>
      <c r="I79" s="87">
        <f t="shared" si="3"/>
        <v>4.8443360001823653E-4</v>
      </c>
      <c r="J79" s="87">
        <f t="shared" si="4"/>
        <v>8.9767896225968719E-5</v>
      </c>
      <c r="K79" s="120">
        <f t="shared" si="6"/>
        <v>5.9845264150645808E-5</v>
      </c>
      <c r="O79" s="116">
        <f>Amnt_Deposited!B74</f>
        <v>2060</v>
      </c>
      <c r="P79" s="119">
        <f>Amnt_Deposited!E74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Amnt_Deposited!D75</f>
        <v>0</v>
      </c>
      <c r="D80" s="453">
        <f>Dry_Matter_Content!E67</f>
        <v>0.44</v>
      </c>
      <c r="E80" s="319">
        <f>MCF!R79</f>
        <v>0.8</v>
      </c>
      <c r="F80" s="87">
        <f t="shared" si="0"/>
        <v>0</v>
      </c>
      <c r="G80" s="87">
        <f t="shared" si="1"/>
        <v>0</v>
      </c>
      <c r="H80" s="87">
        <f t="shared" si="2"/>
        <v>0</v>
      </c>
      <c r="I80" s="87">
        <f t="shared" si="3"/>
        <v>4.0869958431251141E-4</v>
      </c>
      <c r="J80" s="87">
        <f t="shared" si="4"/>
        <v>7.5734015705725108E-5</v>
      </c>
      <c r="K80" s="120">
        <f t="shared" si="6"/>
        <v>5.0489343803816739E-5</v>
      </c>
      <c r="O80" s="116">
        <f>Amnt_Deposited!B75</f>
        <v>2061</v>
      </c>
      <c r="P80" s="119">
        <f>Amnt_Deposited!E75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Amnt_Deposited!D76</f>
        <v>0</v>
      </c>
      <c r="D81" s="453">
        <f>Dry_Matter_Content!E68</f>
        <v>0.44</v>
      </c>
      <c r="E81" s="319">
        <f>MCF!R80</f>
        <v>0.8</v>
      </c>
      <c r="F81" s="87">
        <f t="shared" si="0"/>
        <v>0</v>
      </c>
      <c r="G81" s="87">
        <f t="shared" si="1"/>
        <v>0</v>
      </c>
      <c r="H81" s="87">
        <f t="shared" si="2"/>
        <v>0</v>
      </c>
      <c r="I81" s="87">
        <f t="shared" si="3"/>
        <v>3.4480545984203322E-4</v>
      </c>
      <c r="J81" s="87">
        <f t="shared" si="4"/>
        <v>6.3894124470478217E-5</v>
      </c>
      <c r="K81" s="120">
        <f t="shared" si="6"/>
        <v>4.2596082980318807E-5</v>
      </c>
      <c r="O81" s="116">
        <f>Amnt_Deposited!B76</f>
        <v>2062</v>
      </c>
      <c r="P81" s="119">
        <f>Amnt_Deposited!E76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Amnt_Deposited!D77</f>
        <v>0</v>
      </c>
      <c r="D82" s="453">
        <f>Dry_Matter_Content!E69</f>
        <v>0.44</v>
      </c>
      <c r="E82" s="319">
        <f>MCF!R81</f>
        <v>0.8</v>
      </c>
      <c r="F82" s="87">
        <f t="shared" si="0"/>
        <v>0</v>
      </c>
      <c r="G82" s="87">
        <f t="shared" si="1"/>
        <v>0</v>
      </c>
      <c r="H82" s="87">
        <f t="shared" si="2"/>
        <v>0</v>
      </c>
      <c r="I82" s="87">
        <f t="shared" si="3"/>
        <v>2.9090023503906072E-4</v>
      </c>
      <c r="J82" s="87">
        <f t="shared" si="4"/>
        <v>5.3905224802972515E-5</v>
      </c>
      <c r="K82" s="120">
        <f t="shared" si="6"/>
        <v>3.5936816535315006E-5</v>
      </c>
      <c r="O82" s="116">
        <f>Amnt_Deposited!B77</f>
        <v>2063</v>
      </c>
      <c r="P82" s="119">
        <f>Amnt_Deposited!E77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Amnt_Deposited!D78</f>
        <v>0</v>
      </c>
      <c r="D83" s="453">
        <f>Dry_Matter_Content!E70</f>
        <v>0.44</v>
      </c>
      <c r="E83" s="319">
        <f>MCF!R82</f>
        <v>0.8</v>
      </c>
      <c r="F83" s="87">
        <f t="shared" ref="F83:F99" si="12">C83*D83*$K$6*DOCF*E83</f>
        <v>0</v>
      </c>
      <c r="G83" s="87">
        <f t="shared" ref="G83:G99" si="13">F83*$K$12</f>
        <v>0</v>
      </c>
      <c r="H83" s="87">
        <f t="shared" ref="H83:H99" si="14">F83*(1-$K$12)</f>
        <v>0</v>
      </c>
      <c r="I83" s="87">
        <f t="shared" ref="I83:I99" si="15">G83+I82*$K$10</f>
        <v>2.454222934420741E-4</v>
      </c>
      <c r="J83" s="87">
        <f t="shared" ref="J83:J99" si="16">I82*(1-$K$10)+H83</f>
        <v>4.5477941596986645E-5</v>
      </c>
      <c r="K83" s="120">
        <f t="shared" si="6"/>
        <v>3.031862773132443E-5</v>
      </c>
      <c r="O83" s="116">
        <f>Amnt_Deposited!B78</f>
        <v>2064</v>
      </c>
      <c r="P83" s="119">
        <f>Amnt_Deposited!E78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Amnt_Deposited!D79</f>
        <v>0</v>
      </c>
      <c r="D84" s="453">
        <f>Dry_Matter_Content!E71</f>
        <v>0.44</v>
      </c>
      <c r="E84" s="319">
        <f>MCF!R83</f>
        <v>0.8</v>
      </c>
      <c r="F84" s="87">
        <f t="shared" si="12"/>
        <v>0</v>
      </c>
      <c r="G84" s="87">
        <f t="shared" si="13"/>
        <v>0</v>
      </c>
      <c r="H84" s="87">
        <f t="shared" si="14"/>
        <v>0</v>
      </c>
      <c r="I84" s="87">
        <f t="shared" si="15"/>
        <v>2.070541541854713E-4</v>
      </c>
      <c r="J84" s="87">
        <f t="shared" si="16"/>
        <v>3.8368139256602793E-5</v>
      </c>
      <c r="K84" s="120">
        <f t="shared" si="6"/>
        <v>2.557875950440186E-5</v>
      </c>
      <c r="O84" s="116">
        <f>Amnt_Deposited!B79</f>
        <v>2065</v>
      </c>
      <c r="P84" s="119">
        <f>Amnt_Deposited!E79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Amnt_Deposited!D80</f>
        <v>0</v>
      </c>
      <c r="D85" s="453">
        <f>Dry_Matter_Content!E72</f>
        <v>0.44</v>
      </c>
      <c r="E85" s="319">
        <f>MCF!R84</f>
        <v>0.8</v>
      </c>
      <c r="F85" s="87">
        <f t="shared" si="12"/>
        <v>0</v>
      </c>
      <c r="G85" s="87">
        <f t="shared" si="13"/>
        <v>0</v>
      </c>
      <c r="H85" s="87">
        <f t="shared" si="14"/>
        <v>0</v>
      </c>
      <c r="I85" s="87">
        <f t="shared" si="15"/>
        <v>1.7468430501640499E-4</v>
      </c>
      <c r="J85" s="87">
        <f t="shared" si="16"/>
        <v>3.2369849169066303E-5</v>
      </c>
      <c r="K85" s="120">
        <f t="shared" ref="K85:K99" si="18">J85*CH4_fraction*conv</f>
        <v>2.15798994460442E-5</v>
      </c>
      <c r="O85" s="116">
        <f>Amnt_Deposited!B80</f>
        <v>2066</v>
      </c>
      <c r="P85" s="119">
        <f>Amnt_Deposited!E80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Amnt_Deposited!D81</f>
        <v>0</v>
      </c>
      <c r="D86" s="453">
        <f>Dry_Matter_Content!E73</f>
        <v>0.44</v>
      </c>
      <c r="E86" s="319">
        <f>MCF!R85</f>
        <v>0.8</v>
      </c>
      <c r="F86" s="87">
        <f t="shared" si="12"/>
        <v>0</v>
      </c>
      <c r="G86" s="87">
        <f t="shared" si="13"/>
        <v>0</v>
      </c>
      <c r="H86" s="87">
        <f t="shared" si="14"/>
        <v>0</v>
      </c>
      <c r="I86" s="87">
        <f t="shared" si="15"/>
        <v>1.4737500215393208E-4</v>
      </c>
      <c r="J86" s="87">
        <f t="shared" si="16"/>
        <v>2.7309302862472923E-5</v>
      </c>
      <c r="K86" s="120">
        <f t="shared" si="18"/>
        <v>1.8206201908315281E-5</v>
      </c>
      <c r="O86" s="116">
        <f>Amnt_Deposited!B81</f>
        <v>2067</v>
      </c>
      <c r="P86" s="119">
        <f>Amnt_Deposited!E81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Amnt_Deposited!D82</f>
        <v>0</v>
      </c>
      <c r="D87" s="453">
        <f>Dry_Matter_Content!E74</f>
        <v>0.44</v>
      </c>
      <c r="E87" s="319">
        <f>MCF!R86</f>
        <v>0.8</v>
      </c>
      <c r="F87" s="87">
        <f t="shared" si="12"/>
        <v>0</v>
      </c>
      <c r="G87" s="87">
        <f t="shared" si="13"/>
        <v>0</v>
      </c>
      <c r="H87" s="87">
        <f t="shared" si="14"/>
        <v>0</v>
      </c>
      <c r="I87" s="87">
        <f t="shared" si="15"/>
        <v>1.2433510416308877E-4</v>
      </c>
      <c r="J87" s="87">
        <f t="shared" si="16"/>
        <v>2.3039897990843317E-5</v>
      </c>
      <c r="K87" s="120">
        <f t="shared" si="18"/>
        <v>1.5359931993895545E-5</v>
      </c>
      <c r="O87" s="116">
        <f>Amnt_Deposited!B82</f>
        <v>2068</v>
      </c>
      <c r="P87" s="119">
        <f>Amnt_Deposited!E82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Amnt_Deposited!D83</f>
        <v>0</v>
      </c>
      <c r="D88" s="453">
        <f>Dry_Matter_Content!E75</f>
        <v>0.44</v>
      </c>
      <c r="E88" s="319">
        <f>MCF!R87</f>
        <v>0.8</v>
      </c>
      <c r="F88" s="87">
        <f t="shared" si="12"/>
        <v>0</v>
      </c>
      <c r="G88" s="87">
        <f t="shared" si="13"/>
        <v>0</v>
      </c>
      <c r="H88" s="87">
        <f t="shared" si="14"/>
        <v>0</v>
      </c>
      <c r="I88" s="87">
        <f t="shared" si="15"/>
        <v>1.0489715285024454E-4</v>
      </c>
      <c r="J88" s="87">
        <f t="shared" si="16"/>
        <v>1.9437951312844218E-5</v>
      </c>
      <c r="K88" s="120">
        <f t="shared" si="18"/>
        <v>1.2958634208562811E-5</v>
      </c>
      <c r="O88" s="116">
        <f>Amnt_Deposited!B83</f>
        <v>2069</v>
      </c>
      <c r="P88" s="119">
        <f>Amnt_Deposited!E83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Amnt_Deposited!D84</f>
        <v>0</v>
      </c>
      <c r="D89" s="453">
        <f>Dry_Matter_Content!E76</f>
        <v>0.44</v>
      </c>
      <c r="E89" s="319">
        <f>MCF!R88</f>
        <v>0.8</v>
      </c>
      <c r="F89" s="87">
        <f t="shared" si="12"/>
        <v>0</v>
      </c>
      <c r="G89" s="87">
        <f t="shared" si="13"/>
        <v>0</v>
      </c>
      <c r="H89" s="87">
        <f t="shared" si="14"/>
        <v>0</v>
      </c>
      <c r="I89" s="87">
        <f t="shared" si="15"/>
        <v>8.8498037220884393E-5</v>
      </c>
      <c r="J89" s="87">
        <f t="shared" si="16"/>
        <v>1.6399115629360152E-5</v>
      </c>
      <c r="K89" s="120">
        <f t="shared" si="18"/>
        <v>1.0932743752906767E-5</v>
      </c>
      <c r="O89" s="116">
        <f>Amnt_Deposited!B84</f>
        <v>2070</v>
      </c>
      <c r="P89" s="119">
        <f>Amnt_Deposited!E84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Amnt_Deposited!D85</f>
        <v>0</v>
      </c>
      <c r="D90" s="453">
        <f>Dry_Matter_Content!E77</f>
        <v>0.44</v>
      </c>
      <c r="E90" s="319">
        <f>MCF!R89</f>
        <v>0.8</v>
      </c>
      <c r="F90" s="87">
        <f t="shared" si="12"/>
        <v>0</v>
      </c>
      <c r="G90" s="87">
        <f t="shared" si="13"/>
        <v>0</v>
      </c>
      <c r="H90" s="87">
        <f t="shared" si="14"/>
        <v>0</v>
      </c>
      <c r="I90" s="87">
        <f t="shared" si="15"/>
        <v>7.4662680341097367E-5</v>
      </c>
      <c r="J90" s="87">
        <f t="shared" si="16"/>
        <v>1.3835356879787023E-5</v>
      </c>
      <c r="K90" s="120">
        <f t="shared" si="18"/>
        <v>9.223571253191348E-6</v>
      </c>
      <c r="O90" s="116">
        <f>Amnt_Deposited!B85</f>
        <v>2071</v>
      </c>
      <c r="P90" s="119">
        <f>Amnt_Deposited!E85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Amnt_Deposited!D86</f>
        <v>0</v>
      </c>
      <c r="D91" s="453">
        <f>Dry_Matter_Content!E78</f>
        <v>0.44</v>
      </c>
      <c r="E91" s="319">
        <f>MCF!R90</f>
        <v>0.8</v>
      </c>
      <c r="F91" s="87">
        <f t="shared" si="12"/>
        <v>0</v>
      </c>
      <c r="G91" s="87">
        <f t="shared" si="13"/>
        <v>0</v>
      </c>
      <c r="H91" s="87">
        <f t="shared" si="14"/>
        <v>0</v>
      </c>
      <c r="I91" s="87">
        <f t="shared" si="15"/>
        <v>6.2990276516566336E-5</v>
      </c>
      <c r="J91" s="87">
        <f t="shared" si="16"/>
        <v>1.1672403824531034E-5</v>
      </c>
      <c r="K91" s="120">
        <f t="shared" si="18"/>
        <v>7.7816025496873562E-6</v>
      </c>
      <c r="O91" s="116">
        <f>Amnt_Deposited!B86</f>
        <v>2072</v>
      </c>
      <c r="P91" s="119">
        <f>Amnt_Deposited!E86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Amnt_Deposited!D87</f>
        <v>0</v>
      </c>
      <c r="D92" s="453">
        <f>Dry_Matter_Content!E79</f>
        <v>0.44</v>
      </c>
      <c r="E92" s="319">
        <f>MCF!R91</f>
        <v>0.8</v>
      </c>
      <c r="F92" s="87">
        <f t="shared" si="12"/>
        <v>0</v>
      </c>
      <c r="G92" s="87">
        <f t="shared" si="13"/>
        <v>0</v>
      </c>
      <c r="H92" s="87">
        <f t="shared" si="14"/>
        <v>0</v>
      </c>
      <c r="I92" s="87">
        <f t="shared" si="15"/>
        <v>5.3142680084704434E-5</v>
      </c>
      <c r="J92" s="87">
        <f t="shared" si="16"/>
        <v>9.8475964318619024E-6</v>
      </c>
      <c r="K92" s="120">
        <f t="shared" si="18"/>
        <v>6.5650642879079344E-6</v>
      </c>
      <c r="O92" s="116">
        <f>Amnt_Deposited!B87</f>
        <v>2073</v>
      </c>
      <c r="P92" s="119">
        <f>Amnt_Deposited!E87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Amnt_Deposited!D88</f>
        <v>0</v>
      </c>
      <c r="D93" s="453">
        <f>Dry_Matter_Content!E80</f>
        <v>0.44</v>
      </c>
      <c r="E93" s="319">
        <f>MCF!R92</f>
        <v>0.8</v>
      </c>
      <c r="F93" s="87">
        <f t="shared" si="12"/>
        <v>0</v>
      </c>
      <c r="G93" s="87">
        <f t="shared" si="13"/>
        <v>0</v>
      </c>
      <c r="H93" s="87">
        <f t="shared" si="14"/>
        <v>0</v>
      </c>
      <c r="I93" s="87">
        <f t="shared" si="15"/>
        <v>4.4834609447102456E-5</v>
      </c>
      <c r="J93" s="87">
        <f t="shared" si="16"/>
        <v>8.3080706376019747E-6</v>
      </c>
      <c r="K93" s="120">
        <f t="shared" si="18"/>
        <v>5.5387137584013159E-6</v>
      </c>
      <c r="O93" s="116">
        <f>Amnt_Deposited!B88</f>
        <v>2074</v>
      </c>
      <c r="P93" s="119">
        <f>Amnt_Deposited!E88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Amnt_Deposited!D89</f>
        <v>0</v>
      </c>
      <c r="D94" s="453">
        <f>Dry_Matter_Content!E81</f>
        <v>0.44</v>
      </c>
      <c r="E94" s="319">
        <f>MCF!R93</f>
        <v>0.8</v>
      </c>
      <c r="F94" s="87">
        <f t="shared" si="12"/>
        <v>0</v>
      </c>
      <c r="G94" s="87">
        <f t="shared" si="13"/>
        <v>0</v>
      </c>
      <c r="H94" s="87">
        <f t="shared" si="14"/>
        <v>0</v>
      </c>
      <c r="I94" s="87">
        <f t="shared" si="15"/>
        <v>3.7825382556360184E-5</v>
      </c>
      <c r="J94" s="87">
        <f t="shared" si="16"/>
        <v>7.0092268907422699E-6</v>
      </c>
      <c r="K94" s="120">
        <f t="shared" si="18"/>
        <v>4.672817927161513E-6</v>
      </c>
      <c r="O94" s="116">
        <f>Amnt_Deposited!B89</f>
        <v>2075</v>
      </c>
      <c r="P94" s="119">
        <f>Amnt_Deposited!E89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Amnt_Deposited!D90</f>
        <v>0</v>
      </c>
      <c r="D95" s="453">
        <f>Dry_Matter_Content!E82</f>
        <v>0.44</v>
      </c>
      <c r="E95" s="319">
        <f>MCF!R94</f>
        <v>0.8</v>
      </c>
      <c r="F95" s="87">
        <f t="shared" si="12"/>
        <v>0</v>
      </c>
      <c r="G95" s="87">
        <f t="shared" si="13"/>
        <v>0</v>
      </c>
      <c r="H95" s="87">
        <f t="shared" si="14"/>
        <v>0</v>
      </c>
      <c r="I95" s="87">
        <f t="shared" si="15"/>
        <v>3.1911944437099666E-5</v>
      </c>
      <c r="J95" s="87">
        <f t="shared" si="16"/>
        <v>5.9134381192605176E-6</v>
      </c>
      <c r="K95" s="120">
        <f t="shared" si="18"/>
        <v>3.9422920795070112E-6</v>
      </c>
      <c r="O95" s="116">
        <f>Amnt_Deposited!B90</f>
        <v>2076</v>
      </c>
      <c r="P95" s="119">
        <f>Amnt_Deposited!E90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Amnt_Deposited!D91</f>
        <v>0</v>
      </c>
      <c r="D96" s="453">
        <f>Dry_Matter_Content!E83</f>
        <v>0.44</v>
      </c>
      <c r="E96" s="319">
        <f>MCF!R95</f>
        <v>0.8</v>
      </c>
      <c r="F96" s="87">
        <f t="shared" si="12"/>
        <v>0</v>
      </c>
      <c r="G96" s="87">
        <f t="shared" si="13"/>
        <v>0</v>
      </c>
      <c r="H96" s="87">
        <f t="shared" si="14"/>
        <v>0</v>
      </c>
      <c r="I96" s="87">
        <f t="shared" si="15"/>
        <v>2.6922984750759676E-5</v>
      </c>
      <c r="J96" s="87">
        <f t="shared" si="16"/>
        <v>4.9889596863399894E-6</v>
      </c>
      <c r="K96" s="120">
        <f t="shared" si="18"/>
        <v>3.3259731242266596E-6</v>
      </c>
      <c r="O96" s="116">
        <f>Amnt_Deposited!B91</f>
        <v>2077</v>
      </c>
      <c r="P96" s="119">
        <f>Amnt_Deposited!E91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Amnt_Deposited!D92</f>
        <v>0</v>
      </c>
      <c r="D97" s="453">
        <f>Dry_Matter_Content!E84</f>
        <v>0.44</v>
      </c>
      <c r="E97" s="319">
        <f>MCF!R96</f>
        <v>0.8</v>
      </c>
      <c r="F97" s="87">
        <f t="shared" si="12"/>
        <v>0</v>
      </c>
      <c r="G97" s="87">
        <f t="shared" si="13"/>
        <v>0</v>
      </c>
      <c r="H97" s="87">
        <f t="shared" si="14"/>
        <v>0</v>
      </c>
      <c r="I97" s="87">
        <f t="shared" si="15"/>
        <v>2.2713974991976898E-5</v>
      </c>
      <c r="J97" s="87">
        <f t="shared" si="16"/>
        <v>4.2090097587827786E-6</v>
      </c>
      <c r="K97" s="120">
        <f t="shared" si="18"/>
        <v>2.8060065058551857E-6</v>
      </c>
      <c r="O97" s="116">
        <f>Amnt_Deposited!B92</f>
        <v>2078</v>
      </c>
      <c r="P97" s="119">
        <f>Amnt_Deposited!E92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Amnt_Deposited!D93</f>
        <v>0</v>
      </c>
      <c r="D98" s="453">
        <f>Dry_Matter_Content!E85</f>
        <v>0.44</v>
      </c>
      <c r="E98" s="319">
        <f>MCF!R97</f>
        <v>0.8</v>
      </c>
      <c r="F98" s="87">
        <f t="shared" si="12"/>
        <v>0</v>
      </c>
      <c r="G98" s="87">
        <f t="shared" si="13"/>
        <v>0</v>
      </c>
      <c r="H98" s="87">
        <f t="shared" si="14"/>
        <v>0</v>
      </c>
      <c r="I98" s="87">
        <f t="shared" si="15"/>
        <v>1.9162981545781035E-5</v>
      </c>
      <c r="J98" s="87">
        <f t="shared" si="16"/>
        <v>3.5509934461958625E-6</v>
      </c>
      <c r="K98" s="120">
        <f t="shared" si="18"/>
        <v>2.367328964130575E-6</v>
      </c>
      <c r="O98" s="116">
        <f>Amnt_Deposited!B93</f>
        <v>2079</v>
      </c>
      <c r="P98" s="119">
        <f>Amnt_Deposited!E93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Amnt_Deposited!D94</f>
        <v>0</v>
      </c>
      <c r="D99" s="453">
        <f>Dry_Matter_Content!E86</f>
        <v>0.44</v>
      </c>
      <c r="E99" s="320">
        <f>MCF!R98</f>
        <v>0.8</v>
      </c>
      <c r="F99" s="88">
        <f t="shared" si="12"/>
        <v>0</v>
      </c>
      <c r="G99" s="88">
        <f t="shared" si="13"/>
        <v>0</v>
      </c>
      <c r="H99" s="88">
        <f t="shared" si="14"/>
        <v>0</v>
      </c>
      <c r="I99" s="88">
        <f t="shared" si="15"/>
        <v>1.6167133311261244E-5</v>
      </c>
      <c r="J99" s="88">
        <f t="shared" si="16"/>
        <v>2.9958482345197928E-6</v>
      </c>
      <c r="K99" s="122">
        <f t="shared" si="18"/>
        <v>1.9972321563465283E-6</v>
      </c>
      <c r="O99" s="117">
        <f>Amnt_Deposited!B94</f>
        <v>2080</v>
      </c>
      <c r="P99" s="119">
        <f>Amnt_Deposited!E94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Parameters!O17</f>
        <v>0.49</v>
      </c>
      <c r="O6" s="257"/>
      <c r="P6" s="258"/>
      <c r="Q6" s="249"/>
      <c r="R6" s="128" t="s">
        <v>9</v>
      </c>
      <c r="S6" s="129"/>
      <c r="T6" s="129"/>
      <c r="U6" s="133"/>
      <c r="V6" s="140" t="s">
        <v>9</v>
      </c>
      <c r="W6" s="293">
        <f>Parameters!R17</f>
        <v>0.2</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Parameters!O36</f>
        <v>0.17</v>
      </c>
      <c r="O8" s="67"/>
      <c r="P8" s="67"/>
      <c r="Q8" s="249"/>
      <c r="R8" s="128" t="s">
        <v>192</v>
      </c>
      <c r="S8" s="129"/>
      <c r="T8" s="129"/>
      <c r="U8" s="133"/>
      <c r="V8" s="140" t="s">
        <v>188</v>
      </c>
      <c r="W8" s="134">
        <f>Parameters!O36</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Dry_Matter_Content!F6</f>
        <v>0.56999999999999995</v>
      </c>
      <c r="E19" s="318">
        <f>MCF!R18</f>
        <v>0.8</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Amnt_Deposited!F14</f>
        <v>0</v>
      </c>
      <c r="Q19" s="318">
        <f>MCF!R18</f>
        <v>0.8</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Dry_Matter_Content!F7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Amnt_Deposited!F15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Dry_Matter_Content!F8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Amnt_Deposited!F16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Dry_Matter_Content!F9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Amnt_Deposited!F17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Dry_Matter_Content!F10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Amnt_Deposited!F18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Dry_Matter_Content!F11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Amnt_Deposited!F19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Dry_Matter_Content!F12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Amnt_Deposited!F20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Dry_Matter_Content!F13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Amnt_Deposited!F21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Dry_Matter_Content!F14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Amnt_Deposited!F22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Dry_Matter_Content!F15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Amnt_Deposited!F23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Dry_Matter_Content!F16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Amnt_Deposited!F24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Dry_Matter_Content!F17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Amnt_Deposited!F25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Dry_Matter_Content!F18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Amnt_Deposited!F26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Dry_Matter_Content!F19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Amnt_Deposited!F27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Dry_Matter_Content!F20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Amnt_Deposited!F28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Dry_Matter_Content!F21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Amnt_Deposited!F29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Dry_Matter_Content!F22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Amnt_Deposited!F30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Dry_Matter_Content!F23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Amnt_Deposited!F31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Dry_Matter_Content!F24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Amnt_Deposited!F32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Dry_Matter_Content!F25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Amnt_Deposited!F33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Dry_Matter_Content!F26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Amnt_Deposited!F34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Dry_Matter_Content!F27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Amnt_Deposited!F35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Dry_Matter_Content!F28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Amnt_Deposited!F36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Dry_Matter_Content!F29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Amnt_Deposited!F37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Dry_Matter_Content!F30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Amnt_Deposited!F38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Dry_Matter_Content!F31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Amnt_Deposited!F39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Dry_Matter_Content!F32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Amnt_Deposited!F40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Dry_Matter_Content!F33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Amnt_Deposited!F41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Dry_Matter_Content!F34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Amnt_Deposited!F42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Dry_Matter_Content!F35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Amnt_Deposited!F43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Dry_Matter_Content!F36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Amnt_Deposited!F44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Dry_Matter_Content!F37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Amnt_Deposited!F45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Dry_Matter_Content!F38</f>
        <v>0.56999999999999995</v>
      </c>
      <c r="E51" s="319">
        <f>MCF!R50</f>
        <v>0.8</v>
      </c>
      <c r="F51" s="87">
        <f t="shared" ref="F51:F82" si="12">C51*D51*$K$6*DOCF*E51</f>
        <v>0</v>
      </c>
      <c r="G51" s="87">
        <f t="shared" si="1"/>
        <v>0</v>
      </c>
      <c r="H51" s="87">
        <f t="shared" si="2"/>
        <v>0</v>
      </c>
      <c r="I51" s="87">
        <f t="shared" si="3"/>
        <v>0</v>
      </c>
      <c r="J51" s="87">
        <f t="shared" si="4"/>
        <v>0</v>
      </c>
      <c r="K51" s="120">
        <f t="shared" si="6"/>
        <v>0</v>
      </c>
      <c r="O51" s="116">
        <f>Amnt_Deposited!B46</f>
        <v>2032</v>
      </c>
      <c r="P51" s="119">
        <f>Amnt_Deposited!F46</f>
        <v>0</v>
      </c>
      <c r="Q51" s="319">
        <f>MCF!R50</f>
        <v>0.8</v>
      </c>
      <c r="R51" s="87">
        <f t="shared" ref="R51:R82" si="13">P51*$W$6*DOCF*Q51</f>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Dry_Matter_Content!F39</f>
        <v>0.56999999999999995</v>
      </c>
      <c r="E52" s="319">
        <f>MCF!R51</f>
        <v>0.8</v>
      </c>
      <c r="F52" s="87">
        <f t="shared" si="12"/>
        <v>0</v>
      </c>
      <c r="G52" s="87">
        <f t="shared" si="1"/>
        <v>0</v>
      </c>
      <c r="H52" s="87">
        <f t="shared" si="2"/>
        <v>0</v>
      </c>
      <c r="I52" s="87">
        <f t="shared" si="3"/>
        <v>0</v>
      </c>
      <c r="J52" s="87">
        <f t="shared" si="4"/>
        <v>0</v>
      </c>
      <c r="K52" s="120">
        <f t="shared" si="6"/>
        <v>0</v>
      </c>
      <c r="O52" s="116">
        <f>Amnt_Deposited!B47</f>
        <v>2033</v>
      </c>
      <c r="P52" s="119">
        <f>Amnt_Deposited!F47</f>
        <v>0</v>
      </c>
      <c r="Q52" s="319">
        <f>MCF!R51</f>
        <v>0.8</v>
      </c>
      <c r="R52" s="87">
        <f t="shared" si="13"/>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Dry_Matter_Content!F40</f>
        <v>0.56999999999999995</v>
      </c>
      <c r="E53" s="319">
        <f>MCF!R52</f>
        <v>0.8</v>
      </c>
      <c r="F53" s="87">
        <f t="shared" si="12"/>
        <v>0</v>
      </c>
      <c r="G53" s="87">
        <f t="shared" si="1"/>
        <v>0</v>
      </c>
      <c r="H53" s="87">
        <f t="shared" si="2"/>
        <v>0</v>
      </c>
      <c r="I53" s="87">
        <f t="shared" si="3"/>
        <v>0</v>
      </c>
      <c r="J53" s="87">
        <f t="shared" si="4"/>
        <v>0</v>
      </c>
      <c r="K53" s="120">
        <f t="shared" si="6"/>
        <v>0</v>
      </c>
      <c r="O53" s="116">
        <f>Amnt_Deposited!B48</f>
        <v>2034</v>
      </c>
      <c r="P53" s="119">
        <f>Amnt_Deposited!F48</f>
        <v>0</v>
      </c>
      <c r="Q53" s="319">
        <f>MCF!R52</f>
        <v>0.8</v>
      </c>
      <c r="R53" s="87">
        <f t="shared" si="13"/>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Dry_Matter_Content!F41</f>
        <v>0.56999999999999995</v>
      </c>
      <c r="E54" s="319">
        <f>MCF!R53</f>
        <v>0.8</v>
      </c>
      <c r="F54" s="87">
        <f t="shared" si="12"/>
        <v>0</v>
      </c>
      <c r="G54" s="87">
        <f t="shared" si="1"/>
        <v>0</v>
      </c>
      <c r="H54" s="87">
        <f t="shared" si="2"/>
        <v>0</v>
      </c>
      <c r="I54" s="87">
        <f t="shared" si="3"/>
        <v>0</v>
      </c>
      <c r="J54" s="87">
        <f t="shared" si="4"/>
        <v>0</v>
      </c>
      <c r="K54" s="120">
        <f t="shared" si="6"/>
        <v>0</v>
      </c>
      <c r="O54" s="116">
        <f>Amnt_Deposited!B49</f>
        <v>2035</v>
      </c>
      <c r="P54" s="119">
        <f>Amnt_Deposited!F49</f>
        <v>0</v>
      </c>
      <c r="Q54" s="319">
        <f>MCF!R53</f>
        <v>0.8</v>
      </c>
      <c r="R54" s="87">
        <f t="shared" si="13"/>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Dry_Matter_Content!F42</f>
        <v>0.56999999999999995</v>
      </c>
      <c r="E55" s="319">
        <f>MCF!R54</f>
        <v>0.8</v>
      </c>
      <c r="F55" s="87">
        <f t="shared" si="12"/>
        <v>0</v>
      </c>
      <c r="G55" s="87">
        <f t="shared" si="1"/>
        <v>0</v>
      </c>
      <c r="H55" s="87">
        <f t="shared" si="2"/>
        <v>0</v>
      </c>
      <c r="I55" s="87">
        <f t="shared" si="3"/>
        <v>0</v>
      </c>
      <c r="J55" s="87">
        <f t="shared" si="4"/>
        <v>0</v>
      </c>
      <c r="K55" s="120">
        <f t="shared" si="6"/>
        <v>0</v>
      </c>
      <c r="O55" s="116">
        <f>Amnt_Deposited!B50</f>
        <v>2036</v>
      </c>
      <c r="P55" s="119">
        <f>Amnt_Deposited!F50</f>
        <v>0</v>
      </c>
      <c r="Q55" s="319">
        <f>MCF!R54</f>
        <v>0.8</v>
      </c>
      <c r="R55" s="87">
        <f t="shared" si="13"/>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Dry_Matter_Content!F43</f>
        <v>0.56999999999999995</v>
      </c>
      <c r="E56" s="319">
        <f>MCF!R55</f>
        <v>0.8</v>
      </c>
      <c r="F56" s="87">
        <f t="shared" si="12"/>
        <v>0</v>
      </c>
      <c r="G56" s="87">
        <f t="shared" si="1"/>
        <v>0</v>
      </c>
      <c r="H56" s="87">
        <f t="shared" si="2"/>
        <v>0</v>
      </c>
      <c r="I56" s="87">
        <f t="shared" si="3"/>
        <v>0</v>
      </c>
      <c r="J56" s="87">
        <f t="shared" si="4"/>
        <v>0</v>
      </c>
      <c r="K56" s="120">
        <f t="shared" si="6"/>
        <v>0</v>
      </c>
      <c r="O56" s="116">
        <f>Amnt_Deposited!B51</f>
        <v>2037</v>
      </c>
      <c r="P56" s="119">
        <f>Amnt_Deposited!F51</f>
        <v>0</v>
      </c>
      <c r="Q56" s="319">
        <f>MCF!R55</f>
        <v>0.8</v>
      </c>
      <c r="R56" s="87">
        <f t="shared" si="13"/>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Dry_Matter_Content!F44</f>
        <v>0.56999999999999995</v>
      </c>
      <c r="E57" s="319">
        <f>MCF!R56</f>
        <v>0.8</v>
      </c>
      <c r="F57" s="87">
        <f t="shared" si="12"/>
        <v>0</v>
      </c>
      <c r="G57" s="87">
        <f t="shared" si="1"/>
        <v>0</v>
      </c>
      <c r="H57" s="87">
        <f t="shared" si="2"/>
        <v>0</v>
      </c>
      <c r="I57" s="87">
        <f t="shared" si="3"/>
        <v>0</v>
      </c>
      <c r="J57" s="87">
        <f t="shared" si="4"/>
        <v>0</v>
      </c>
      <c r="K57" s="120">
        <f t="shared" si="6"/>
        <v>0</v>
      </c>
      <c r="O57" s="116">
        <f>Amnt_Deposited!B52</f>
        <v>2038</v>
      </c>
      <c r="P57" s="119">
        <f>Amnt_Deposited!F52</f>
        <v>0</v>
      </c>
      <c r="Q57" s="319">
        <f>MCF!R56</f>
        <v>0.8</v>
      </c>
      <c r="R57" s="87">
        <f t="shared" si="13"/>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Dry_Matter_Content!F45</f>
        <v>0.56999999999999995</v>
      </c>
      <c r="E58" s="319">
        <f>MCF!R57</f>
        <v>0.8</v>
      </c>
      <c r="F58" s="87">
        <f t="shared" si="12"/>
        <v>0</v>
      </c>
      <c r="G58" s="87">
        <f t="shared" si="1"/>
        <v>0</v>
      </c>
      <c r="H58" s="87">
        <f t="shared" si="2"/>
        <v>0</v>
      </c>
      <c r="I58" s="87">
        <f t="shared" si="3"/>
        <v>0</v>
      </c>
      <c r="J58" s="87">
        <f t="shared" si="4"/>
        <v>0</v>
      </c>
      <c r="K58" s="120">
        <f t="shared" si="6"/>
        <v>0</v>
      </c>
      <c r="O58" s="116">
        <f>Amnt_Deposited!B53</f>
        <v>2039</v>
      </c>
      <c r="P58" s="119">
        <f>Amnt_Deposited!F53</f>
        <v>0</v>
      </c>
      <c r="Q58" s="319">
        <f>MCF!R57</f>
        <v>0.8</v>
      </c>
      <c r="R58" s="87">
        <f t="shared" si="13"/>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Dry_Matter_Content!F46</f>
        <v>0.56999999999999995</v>
      </c>
      <c r="E59" s="319">
        <f>MCF!R58</f>
        <v>0.8</v>
      </c>
      <c r="F59" s="87">
        <f t="shared" si="12"/>
        <v>0</v>
      </c>
      <c r="G59" s="87">
        <f t="shared" si="1"/>
        <v>0</v>
      </c>
      <c r="H59" s="87">
        <f t="shared" si="2"/>
        <v>0</v>
      </c>
      <c r="I59" s="87">
        <f t="shared" si="3"/>
        <v>0</v>
      </c>
      <c r="J59" s="87">
        <f t="shared" si="4"/>
        <v>0</v>
      </c>
      <c r="K59" s="120">
        <f t="shared" si="6"/>
        <v>0</v>
      </c>
      <c r="O59" s="116">
        <f>Amnt_Deposited!B54</f>
        <v>2040</v>
      </c>
      <c r="P59" s="119">
        <f>Amnt_Deposited!F54</f>
        <v>0</v>
      </c>
      <c r="Q59" s="319">
        <f>MCF!R58</f>
        <v>0.8</v>
      </c>
      <c r="R59" s="87">
        <f t="shared" si="13"/>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Dry_Matter_Content!F47</f>
        <v>0.56999999999999995</v>
      </c>
      <c r="E60" s="319">
        <f>MCF!R59</f>
        <v>0.8</v>
      </c>
      <c r="F60" s="87">
        <f t="shared" si="12"/>
        <v>0</v>
      </c>
      <c r="G60" s="87">
        <f t="shared" si="1"/>
        <v>0</v>
      </c>
      <c r="H60" s="87">
        <f t="shared" si="2"/>
        <v>0</v>
      </c>
      <c r="I60" s="87">
        <f t="shared" si="3"/>
        <v>0</v>
      </c>
      <c r="J60" s="87">
        <f t="shared" si="4"/>
        <v>0</v>
      </c>
      <c r="K60" s="120">
        <f t="shared" si="6"/>
        <v>0</v>
      </c>
      <c r="O60" s="116">
        <f>Amnt_Deposited!B55</f>
        <v>2041</v>
      </c>
      <c r="P60" s="119">
        <f>Amnt_Deposited!F55</f>
        <v>0</v>
      </c>
      <c r="Q60" s="319">
        <f>MCF!R59</f>
        <v>0.8</v>
      </c>
      <c r="R60" s="87">
        <f t="shared" si="13"/>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Dry_Matter_Content!F48</f>
        <v>0.56999999999999995</v>
      </c>
      <c r="E61" s="319">
        <f>MCF!R60</f>
        <v>0.8</v>
      </c>
      <c r="F61" s="87">
        <f t="shared" si="12"/>
        <v>0</v>
      </c>
      <c r="G61" s="87">
        <f t="shared" si="1"/>
        <v>0</v>
      </c>
      <c r="H61" s="87">
        <f t="shared" si="2"/>
        <v>0</v>
      </c>
      <c r="I61" s="87">
        <f t="shared" si="3"/>
        <v>0</v>
      </c>
      <c r="J61" s="87">
        <f t="shared" si="4"/>
        <v>0</v>
      </c>
      <c r="K61" s="120">
        <f t="shared" si="6"/>
        <v>0</v>
      </c>
      <c r="O61" s="116">
        <f>Amnt_Deposited!B56</f>
        <v>2042</v>
      </c>
      <c r="P61" s="119">
        <f>Amnt_Deposited!F56</f>
        <v>0</v>
      </c>
      <c r="Q61" s="319">
        <f>MCF!R60</f>
        <v>0.8</v>
      </c>
      <c r="R61" s="87">
        <f t="shared" si="13"/>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Dry_Matter_Content!F49</f>
        <v>0.56999999999999995</v>
      </c>
      <c r="E62" s="319">
        <f>MCF!R61</f>
        <v>0.8</v>
      </c>
      <c r="F62" s="87">
        <f t="shared" si="12"/>
        <v>0</v>
      </c>
      <c r="G62" s="87">
        <f t="shared" si="1"/>
        <v>0</v>
      </c>
      <c r="H62" s="87">
        <f t="shared" si="2"/>
        <v>0</v>
      </c>
      <c r="I62" s="87">
        <f t="shared" si="3"/>
        <v>0</v>
      </c>
      <c r="J62" s="87">
        <f t="shared" si="4"/>
        <v>0</v>
      </c>
      <c r="K62" s="120">
        <f t="shared" si="6"/>
        <v>0</v>
      </c>
      <c r="O62" s="116">
        <f>Amnt_Deposited!B57</f>
        <v>2043</v>
      </c>
      <c r="P62" s="119">
        <f>Amnt_Deposited!F57</f>
        <v>0</v>
      </c>
      <c r="Q62" s="319">
        <f>MCF!R61</f>
        <v>0.8</v>
      </c>
      <c r="R62" s="87">
        <f t="shared" si="13"/>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Dry_Matter_Content!F50</f>
        <v>0.56999999999999995</v>
      </c>
      <c r="E63" s="319">
        <f>MCF!R62</f>
        <v>0.8</v>
      </c>
      <c r="F63" s="87">
        <f t="shared" si="12"/>
        <v>0</v>
      </c>
      <c r="G63" s="87">
        <f t="shared" si="1"/>
        <v>0</v>
      </c>
      <c r="H63" s="87">
        <f t="shared" si="2"/>
        <v>0</v>
      </c>
      <c r="I63" s="87">
        <f t="shared" si="3"/>
        <v>0</v>
      </c>
      <c r="J63" s="87">
        <f t="shared" si="4"/>
        <v>0</v>
      </c>
      <c r="K63" s="120">
        <f t="shared" si="6"/>
        <v>0</v>
      </c>
      <c r="O63" s="116">
        <f>Amnt_Deposited!B58</f>
        <v>2044</v>
      </c>
      <c r="P63" s="119">
        <f>Amnt_Deposited!F58</f>
        <v>0</v>
      </c>
      <c r="Q63" s="319">
        <f>MCF!R62</f>
        <v>0.8</v>
      </c>
      <c r="R63" s="87">
        <f t="shared" si="13"/>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Dry_Matter_Content!F51</f>
        <v>0.56999999999999995</v>
      </c>
      <c r="E64" s="319">
        <f>MCF!R63</f>
        <v>0.8</v>
      </c>
      <c r="F64" s="87">
        <f t="shared" si="12"/>
        <v>0</v>
      </c>
      <c r="G64" s="87">
        <f t="shared" si="1"/>
        <v>0</v>
      </c>
      <c r="H64" s="87">
        <f t="shared" si="2"/>
        <v>0</v>
      </c>
      <c r="I64" s="87">
        <f t="shared" si="3"/>
        <v>0</v>
      </c>
      <c r="J64" s="87">
        <f t="shared" si="4"/>
        <v>0</v>
      </c>
      <c r="K64" s="120">
        <f t="shared" si="6"/>
        <v>0</v>
      </c>
      <c r="O64" s="116">
        <f>Amnt_Deposited!B59</f>
        <v>2045</v>
      </c>
      <c r="P64" s="119">
        <f>Amnt_Deposited!F59</f>
        <v>0</v>
      </c>
      <c r="Q64" s="319">
        <f>MCF!R63</f>
        <v>0.8</v>
      </c>
      <c r="R64" s="87">
        <f t="shared" si="13"/>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Dry_Matter_Content!F52</f>
        <v>0.56999999999999995</v>
      </c>
      <c r="E65" s="319">
        <f>MCF!R64</f>
        <v>0.8</v>
      </c>
      <c r="F65" s="87">
        <f t="shared" si="12"/>
        <v>0</v>
      </c>
      <c r="G65" s="87">
        <f t="shared" si="1"/>
        <v>0</v>
      </c>
      <c r="H65" s="87">
        <f t="shared" si="2"/>
        <v>0</v>
      </c>
      <c r="I65" s="87">
        <f t="shared" si="3"/>
        <v>0</v>
      </c>
      <c r="J65" s="87">
        <f t="shared" si="4"/>
        <v>0</v>
      </c>
      <c r="K65" s="120">
        <f t="shared" si="6"/>
        <v>0</v>
      </c>
      <c r="O65" s="116">
        <f>Amnt_Deposited!B60</f>
        <v>2046</v>
      </c>
      <c r="P65" s="119">
        <f>Amnt_Deposited!F60</f>
        <v>0</v>
      </c>
      <c r="Q65" s="319">
        <f>MCF!R64</f>
        <v>0.8</v>
      </c>
      <c r="R65" s="87">
        <f t="shared" si="13"/>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Dry_Matter_Content!F53</f>
        <v>0.56999999999999995</v>
      </c>
      <c r="E66" s="319">
        <f>MCF!R65</f>
        <v>0.8</v>
      </c>
      <c r="F66" s="87">
        <f t="shared" si="12"/>
        <v>0</v>
      </c>
      <c r="G66" s="87">
        <f t="shared" si="1"/>
        <v>0</v>
      </c>
      <c r="H66" s="87">
        <f t="shared" si="2"/>
        <v>0</v>
      </c>
      <c r="I66" s="87">
        <f t="shared" si="3"/>
        <v>0</v>
      </c>
      <c r="J66" s="87">
        <f t="shared" si="4"/>
        <v>0</v>
      </c>
      <c r="K66" s="120">
        <f t="shared" si="6"/>
        <v>0</v>
      </c>
      <c r="O66" s="116">
        <f>Amnt_Deposited!B61</f>
        <v>2047</v>
      </c>
      <c r="P66" s="119">
        <f>Amnt_Deposited!F61</f>
        <v>0</v>
      </c>
      <c r="Q66" s="319">
        <f>MCF!R65</f>
        <v>0.8</v>
      </c>
      <c r="R66" s="87">
        <f t="shared" si="13"/>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Dry_Matter_Content!F54</f>
        <v>0.56999999999999995</v>
      </c>
      <c r="E67" s="319">
        <f>MCF!R66</f>
        <v>0.8</v>
      </c>
      <c r="F67" s="87">
        <f t="shared" si="12"/>
        <v>0</v>
      </c>
      <c r="G67" s="87">
        <f t="shared" si="1"/>
        <v>0</v>
      </c>
      <c r="H67" s="87">
        <f t="shared" si="2"/>
        <v>0</v>
      </c>
      <c r="I67" s="87">
        <f t="shared" si="3"/>
        <v>0</v>
      </c>
      <c r="J67" s="87">
        <f t="shared" si="4"/>
        <v>0</v>
      </c>
      <c r="K67" s="120">
        <f t="shared" si="6"/>
        <v>0</v>
      </c>
      <c r="O67" s="116">
        <f>Amnt_Deposited!B62</f>
        <v>2048</v>
      </c>
      <c r="P67" s="119">
        <f>Amnt_Deposited!F62</f>
        <v>0</v>
      </c>
      <c r="Q67" s="319">
        <f>MCF!R66</f>
        <v>0.8</v>
      </c>
      <c r="R67" s="87">
        <f t="shared" si="13"/>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Dry_Matter_Content!F55</f>
        <v>0.56999999999999995</v>
      </c>
      <c r="E68" s="319">
        <f>MCF!R67</f>
        <v>0.8</v>
      </c>
      <c r="F68" s="87">
        <f t="shared" si="12"/>
        <v>0</v>
      </c>
      <c r="G68" s="87">
        <f t="shared" si="1"/>
        <v>0</v>
      </c>
      <c r="H68" s="87">
        <f t="shared" si="2"/>
        <v>0</v>
      </c>
      <c r="I68" s="87">
        <f t="shared" si="3"/>
        <v>0</v>
      </c>
      <c r="J68" s="87">
        <f t="shared" si="4"/>
        <v>0</v>
      </c>
      <c r="K68" s="120">
        <f t="shared" si="6"/>
        <v>0</v>
      </c>
      <c r="O68" s="116">
        <f>Amnt_Deposited!B63</f>
        <v>2049</v>
      </c>
      <c r="P68" s="119">
        <f>Amnt_Deposited!F63</f>
        <v>0</v>
      </c>
      <c r="Q68" s="319">
        <f>MCF!R67</f>
        <v>0.8</v>
      </c>
      <c r="R68" s="87">
        <f t="shared" si="13"/>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Dry_Matter_Content!F56</f>
        <v>0.56999999999999995</v>
      </c>
      <c r="E69" s="319">
        <f>MCF!R68</f>
        <v>0.8</v>
      </c>
      <c r="F69" s="87">
        <f t="shared" si="12"/>
        <v>0</v>
      </c>
      <c r="G69" s="87">
        <f t="shared" si="1"/>
        <v>0</v>
      </c>
      <c r="H69" s="87">
        <f t="shared" si="2"/>
        <v>0</v>
      </c>
      <c r="I69" s="87">
        <f t="shared" si="3"/>
        <v>0</v>
      </c>
      <c r="J69" s="87">
        <f t="shared" si="4"/>
        <v>0</v>
      </c>
      <c r="K69" s="120">
        <f t="shared" si="6"/>
        <v>0</v>
      </c>
      <c r="O69" s="116">
        <f>Amnt_Deposited!B64</f>
        <v>2050</v>
      </c>
      <c r="P69" s="119">
        <f>Amnt_Deposited!F64</f>
        <v>0</v>
      </c>
      <c r="Q69" s="319">
        <f>MCF!R68</f>
        <v>0.8</v>
      </c>
      <c r="R69" s="87">
        <f t="shared" si="13"/>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Dry_Matter_Content!F57</f>
        <v>0.56999999999999995</v>
      </c>
      <c r="E70" s="319">
        <f>MCF!R69</f>
        <v>0.8</v>
      </c>
      <c r="F70" s="87">
        <f t="shared" si="12"/>
        <v>0</v>
      </c>
      <c r="G70" s="87">
        <f t="shared" si="1"/>
        <v>0</v>
      </c>
      <c r="H70" s="87">
        <f t="shared" si="2"/>
        <v>0</v>
      </c>
      <c r="I70" s="87">
        <f t="shared" si="3"/>
        <v>0</v>
      </c>
      <c r="J70" s="87">
        <f t="shared" si="4"/>
        <v>0</v>
      </c>
      <c r="K70" s="120">
        <f t="shared" si="6"/>
        <v>0</v>
      </c>
      <c r="O70" s="116">
        <f>Amnt_Deposited!B65</f>
        <v>2051</v>
      </c>
      <c r="P70" s="119">
        <f>Amnt_Deposited!F65</f>
        <v>0</v>
      </c>
      <c r="Q70" s="319">
        <f>MCF!R69</f>
        <v>0.8</v>
      </c>
      <c r="R70" s="87">
        <f t="shared" si="13"/>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Dry_Matter_Content!F58</f>
        <v>0.56999999999999995</v>
      </c>
      <c r="E71" s="319">
        <f>MCF!R70</f>
        <v>0.8</v>
      </c>
      <c r="F71" s="87">
        <f t="shared" si="12"/>
        <v>0</v>
      </c>
      <c r="G71" s="87">
        <f t="shared" si="1"/>
        <v>0</v>
      </c>
      <c r="H71" s="87">
        <f t="shared" si="2"/>
        <v>0</v>
      </c>
      <c r="I71" s="87">
        <f t="shared" si="3"/>
        <v>0</v>
      </c>
      <c r="J71" s="87">
        <f t="shared" si="4"/>
        <v>0</v>
      </c>
      <c r="K71" s="120">
        <f t="shared" si="6"/>
        <v>0</v>
      </c>
      <c r="O71" s="116">
        <f>Amnt_Deposited!B66</f>
        <v>2052</v>
      </c>
      <c r="P71" s="119">
        <f>Amnt_Deposited!F66</f>
        <v>0</v>
      </c>
      <c r="Q71" s="319">
        <f>MCF!R70</f>
        <v>0.8</v>
      </c>
      <c r="R71" s="87">
        <f t="shared" si="13"/>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Dry_Matter_Content!F59</f>
        <v>0.56999999999999995</v>
      </c>
      <c r="E72" s="319">
        <f>MCF!R71</f>
        <v>0.8</v>
      </c>
      <c r="F72" s="87">
        <f t="shared" si="12"/>
        <v>0</v>
      </c>
      <c r="G72" s="87">
        <f t="shared" si="1"/>
        <v>0</v>
      </c>
      <c r="H72" s="87">
        <f t="shared" si="2"/>
        <v>0</v>
      </c>
      <c r="I72" s="87">
        <f t="shared" si="3"/>
        <v>0</v>
      </c>
      <c r="J72" s="87">
        <f t="shared" si="4"/>
        <v>0</v>
      </c>
      <c r="K72" s="120">
        <f t="shared" si="6"/>
        <v>0</v>
      </c>
      <c r="O72" s="116">
        <f>Amnt_Deposited!B67</f>
        <v>2053</v>
      </c>
      <c r="P72" s="119">
        <f>Amnt_Deposited!F67</f>
        <v>0</v>
      </c>
      <c r="Q72" s="319">
        <f>MCF!R71</f>
        <v>0.8</v>
      </c>
      <c r="R72" s="87">
        <f t="shared" si="13"/>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Dry_Matter_Content!F60</f>
        <v>0.56999999999999995</v>
      </c>
      <c r="E73" s="319">
        <f>MCF!R72</f>
        <v>0.8</v>
      </c>
      <c r="F73" s="87">
        <f t="shared" si="12"/>
        <v>0</v>
      </c>
      <c r="G73" s="87">
        <f t="shared" si="1"/>
        <v>0</v>
      </c>
      <c r="H73" s="87">
        <f t="shared" si="2"/>
        <v>0</v>
      </c>
      <c r="I73" s="87">
        <f t="shared" si="3"/>
        <v>0</v>
      </c>
      <c r="J73" s="87">
        <f t="shared" si="4"/>
        <v>0</v>
      </c>
      <c r="K73" s="120">
        <f t="shared" si="6"/>
        <v>0</v>
      </c>
      <c r="O73" s="116">
        <f>Amnt_Deposited!B68</f>
        <v>2054</v>
      </c>
      <c r="P73" s="119">
        <f>Amnt_Deposited!F68</f>
        <v>0</v>
      </c>
      <c r="Q73" s="319">
        <f>MCF!R72</f>
        <v>0.8</v>
      </c>
      <c r="R73" s="87">
        <f t="shared" si="13"/>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Dry_Matter_Content!F61</f>
        <v>0.56999999999999995</v>
      </c>
      <c r="E74" s="319">
        <f>MCF!R73</f>
        <v>0.8</v>
      </c>
      <c r="F74" s="87">
        <f t="shared" si="12"/>
        <v>0</v>
      </c>
      <c r="G74" s="87">
        <f t="shared" si="1"/>
        <v>0</v>
      </c>
      <c r="H74" s="87">
        <f t="shared" si="2"/>
        <v>0</v>
      </c>
      <c r="I74" s="87">
        <f t="shared" si="3"/>
        <v>0</v>
      </c>
      <c r="J74" s="87">
        <f t="shared" si="4"/>
        <v>0</v>
      </c>
      <c r="K74" s="120">
        <f t="shared" si="6"/>
        <v>0</v>
      </c>
      <c r="O74" s="116">
        <f>Amnt_Deposited!B69</f>
        <v>2055</v>
      </c>
      <c r="P74" s="119">
        <f>Amnt_Deposited!F69</f>
        <v>0</v>
      </c>
      <c r="Q74" s="319">
        <f>MCF!R73</f>
        <v>0.8</v>
      </c>
      <c r="R74" s="87">
        <f t="shared" si="13"/>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Dry_Matter_Content!F62</f>
        <v>0.56999999999999995</v>
      </c>
      <c r="E75" s="319">
        <f>MCF!R74</f>
        <v>0.8</v>
      </c>
      <c r="F75" s="87">
        <f t="shared" si="12"/>
        <v>0</v>
      </c>
      <c r="G75" s="87">
        <f t="shared" si="1"/>
        <v>0</v>
      </c>
      <c r="H75" s="87">
        <f t="shared" si="2"/>
        <v>0</v>
      </c>
      <c r="I75" s="87">
        <f t="shared" si="3"/>
        <v>0</v>
      </c>
      <c r="J75" s="87">
        <f t="shared" si="4"/>
        <v>0</v>
      </c>
      <c r="K75" s="120">
        <f t="shared" si="6"/>
        <v>0</v>
      </c>
      <c r="O75" s="116">
        <f>Amnt_Deposited!B70</f>
        <v>2056</v>
      </c>
      <c r="P75" s="119">
        <f>Amnt_Deposited!F70</f>
        <v>0</v>
      </c>
      <c r="Q75" s="319">
        <f>MCF!R74</f>
        <v>0.8</v>
      </c>
      <c r="R75" s="87">
        <f t="shared" si="13"/>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Dry_Matter_Content!F63</f>
        <v>0.56999999999999995</v>
      </c>
      <c r="E76" s="319">
        <f>MCF!R75</f>
        <v>0.8</v>
      </c>
      <c r="F76" s="87">
        <f t="shared" si="12"/>
        <v>0</v>
      </c>
      <c r="G76" s="87">
        <f t="shared" si="1"/>
        <v>0</v>
      </c>
      <c r="H76" s="87">
        <f t="shared" si="2"/>
        <v>0</v>
      </c>
      <c r="I76" s="87">
        <f t="shared" si="3"/>
        <v>0</v>
      </c>
      <c r="J76" s="87">
        <f t="shared" si="4"/>
        <v>0</v>
      </c>
      <c r="K76" s="120">
        <f t="shared" si="6"/>
        <v>0</v>
      </c>
      <c r="O76" s="116">
        <f>Amnt_Deposited!B71</f>
        <v>2057</v>
      </c>
      <c r="P76" s="119">
        <f>Amnt_Deposited!F71</f>
        <v>0</v>
      </c>
      <c r="Q76" s="319">
        <f>MCF!R75</f>
        <v>0.8</v>
      </c>
      <c r="R76" s="87">
        <f t="shared" si="13"/>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Dry_Matter_Content!F64</f>
        <v>0.56999999999999995</v>
      </c>
      <c r="E77" s="319">
        <f>MCF!R76</f>
        <v>0.8</v>
      </c>
      <c r="F77" s="87">
        <f t="shared" si="12"/>
        <v>0</v>
      </c>
      <c r="G77" s="87">
        <f t="shared" si="1"/>
        <v>0</v>
      </c>
      <c r="H77" s="87">
        <f t="shared" si="2"/>
        <v>0</v>
      </c>
      <c r="I77" s="87">
        <f t="shared" si="3"/>
        <v>0</v>
      </c>
      <c r="J77" s="87">
        <f t="shared" si="4"/>
        <v>0</v>
      </c>
      <c r="K77" s="120">
        <f t="shared" si="6"/>
        <v>0</v>
      </c>
      <c r="O77" s="116">
        <f>Amnt_Deposited!B72</f>
        <v>2058</v>
      </c>
      <c r="P77" s="119">
        <f>Amnt_Deposited!F72</f>
        <v>0</v>
      </c>
      <c r="Q77" s="319">
        <f>MCF!R76</f>
        <v>0.8</v>
      </c>
      <c r="R77" s="87">
        <f t="shared" si="13"/>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Dry_Matter_Content!F65</f>
        <v>0.56999999999999995</v>
      </c>
      <c r="E78" s="319">
        <f>MCF!R77</f>
        <v>0.8</v>
      </c>
      <c r="F78" s="87">
        <f t="shared" si="12"/>
        <v>0</v>
      </c>
      <c r="G78" s="87">
        <f t="shared" si="1"/>
        <v>0</v>
      </c>
      <c r="H78" s="87">
        <f t="shared" si="2"/>
        <v>0</v>
      </c>
      <c r="I78" s="87">
        <f t="shared" si="3"/>
        <v>0</v>
      </c>
      <c r="J78" s="87">
        <f t="shared" si="4"/>
        <v>0</v>
      </c>
      <c r="K78" s="120">
        <f t="shared" si="6"/>
        <v>0</v>
      </c>
      <c r="O78" s="116">
        <f>Amnt_Deposited!B73</f>
        <v>2059</v>
      </c>
      <c r="P78" s="119">
        <f>Amnt_Deposited!F73</f>
        <v>0</v>
      </c>
      <c r="Q78" s="319">
        <f>MCF!R77</f>
        <v>0.8</v>
      </c>
      <c r="R78" s="87">
        <f t="shared" si="13"/>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Dry_Matter_Content!F66</f>
        <v>0.56999999999999995</v>
      </c>
      <c r="E79" s="319">
        <f>MCF!R78</f>
        <v>0.8</v>
      </c>
      <c r="F79" s="87">
        <f t="shared" si="12"/>
        <v>0</v>
      </c>
      <c r="G79" s="87">
        <f t="shared" si="1"/>
        <v>0</v>
      </c>
      <c r="H79" s="87">
        <f t="shared" si="2"/>
        <v>0</v>
      </c>
      <c r="I79" s="87">
        <f t="shared" si="3"/>
        <v>0</v>
      </c>
      <c r="J79" s="87">
        <f t="shared" si="4"/>
        <v>0</v>
      </c>
      <c r="K79" s="120">
        <f t="shared" si="6"/>
        <v>0</v>
      </c>
      <c r="O79" s="116">
        <f>Amnt_Deposited!B74</f>
        <v>2060</v>
      </c>
      <c r="P79" s="119">
        <f>Amnt_Deposited!F74</f>
        <v>0</v>
      </c>
      <c r="Q79" s="319">
        <f>MCF!R78</f>
        <v>0.8</v>
      </c>
      <c r="R79" s="87">
        <f t="shared" si="13"/>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Dry_Matter_Content!F67</f>
        <v>0.56999999999999995</v>
      </c>
      <c r="E80" s="319">
        <f>MCF!R79</f>
        <v>0.8</v>
      </c>
      <c r="F80" s="87">
        <f t="shared" si="12"/>
        <v>0</v>
      </c>
      <c r="G80" s="87">
        <f t="shared" si="1"/>
        <v>0</v>
      </c>
      <c r="H80" s="87">
        <f t="shared" si="2"/>
        <v>0</v>
      </c>
      <c r="I80" s="87">
        <f t="shared" si="3"/>
        <v>0</v>
      </c>
      <c r="J80" s="87">
        <f t="shared" si="4"/>
        <v>0</v>
      </c>
      <c r="K80" s="120">
        <f t="shared" si="6"/>
        <v>0</v>
      </c>
      <c r="O80" s="116">
        <f>Amnt_Deposited!B75</f>
        <v>2061</v>
      </c>
      <c r="P80" s="119">
        <f>Amnt_Deposited!F75</f>
        <v>0</v>
      </c>
      <c r="Q80" s="319">
        <f>MCF!R79</f>
        <v>0.8</v>
      </c>
      <c r="R80" s="87">
        <f t="shared" si="13"/>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Dry_Matter_Content!F68</f>
        <v>0.56999999999999995</v>
      </c>
      <c r="E81" s="319">
        <f>MCF!R80</f>
        <v>0.8</v>
      </c>
      <c r="F81" s="87">
        <f t="shared" si="12"/>
        <v>0</v>
      </c>
      <c r="G81" s="87">
        <f t="shared" si="1"/>
        <v>0</v>
      </c>
      <c r="H81" s="87">
        <f t="shared" si="2"/>
        <v>0</v>
      </c>
      <c r="I81" s="87">
        <f t="shared" si="3"/>
        <v>0</v>
      </c>
      <c r="J81" s="87">
        <f t="shared" si="4"/>
        <v>0</v>
      </c>
      <c r="K81" s="120">
        <f t="shared" si="6"/>
        <v>0</v>
      </c>
      <c r="O81" s="116">
        <f>Amnt_Deposited!B76</f>
        <v>2062</v>
      </c>
      <c r="P81" s="119">
        <f>Amnt_Deposited!F76</f>
        <v>0</v>
      </c>
      <c r="Q81" s="319">
        <f>MCF!R80</f>
        <v>0.8</v>
      </c>
      <c r="R81" s="87">
        <f t="shared" si="13"/>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Dry_Matter_Content!F69</f>
        <v>0.56999999999999995</v>
      </c>
      <c r="E82" s="319">
        <f>MCF!R81</f>
        <v>0.8</v>
      </c>
      <c r="F82" s="87">
        <f t="shared" si="12"/>
        <v>0</v>
      </c>
      <c r="G82" s="87">
        <f t="shared" si="1"/>
        <v>0</v>
      </c>
      <c r="H82" s="87">
        <f t="shared" si="2"/>
        <v>0</v>
      </c>
      <c r="I82" s="87">
        <f t="shared" si="3"/>
        <v>0</v>
      </c>
      <c r="J82" s="87">
        <f t="shared" si="4"/>
        <v>0</v>
      </c>
      <c r="K82" s="120">
        <f t="shared" si="6"/>
        <v>0</v>
      </c>
      <c r="O82" s="116">
        <f>Amnt_Deposited!B77</f>
        <v>2063</v>
      </c>
      <c r="P82" s="119">
        <f>Amnt_Deposited!F77</f>
        <v>0</v>
      </c>
      <c r="Q82" s="319">
        <f>MCF!R81</f>
        <v>0.8</v>
      </c>
      <c r="R82" s="87">
        <f t="shared" si="13"/>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Dry_Matter_Content!F70</f>
        <v>0.56999999999999995</v>
      </c>
      <c r="E83" s="319">
        <f>MCF!R82</f>
        <v>0.8</v>
      </c>
      <c r="F83" s="87">
        <f t="shared" ref="F83:F99" si="14">C83*D83*$K$6*DOCF*E83</f>
        <v>0</v>
      </c>
      <c r="G83" s="87">
        <f t="shared" ref="G83:G99" si="15">F83*$K$12</f>
        <v>0</v>
      </c>
      <c r="H83" s="87">
        <f t="shared" ref="H83:H99" si="16">F83*(1-$K$12)</f>
        <v>0</v>
      </c>
      <c r="I83" s="87">
        <f t="shared" ref="I83:I99" si="17">G83+I82*$K$10</f>
        <v>0</v>
      </c>
      <c r="J83" s="87">
        <f t="shared" ref="J83:J99" si="18">I82*(1-$K$10)+H83</f>
        <v>0</v>
      </c>
      <c r="K83" s="120">
        <f t="shared" si="6"/>
        <v>0</v>
      </c>
      <c r="O83" s="116">
        <f>Amnt_Deposited!B78</f>
        <v>2064</v>
      </c>
      <c r="P83" s="119">
        <f>Amnt_Deposited!F78</f>
        <v>0</v>
      </c>
      <c r="Q83" s="319">
        <f>MCF!R82</f>
        <v>0.8</v>
      </c>
      <c r="R83" s="87">
        <f t="shared" ref="R83:R99" si="19">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Dry_Matter_Content!F71</f>
        <v>0.56999999999999995</v>
      </c>
      <c r="E84" s="319">
        <f>MCF!R83</f>
        <v>0.8</v>
      </c>
      <c r="F84" s="87">
        <f t="shared" si="14"/>
        <v>0</v>
      </c>
      <c r="G84" s="87">
        <f t="shared" si="15"/>
        <v>0</v>
      </c>
      <c r="H84" s="87">
        <f t="shared" si="16"/>
        <v>0</v>
      </c>
      <c r="I84" s="87">
        <f t="shared" si="17"/>
        <v>0</v>
      </c>
      <c r="J84" s="87">
        <f t="shared" si="18"/>
        <v>0</v>
      </c>
      <c r="K84" s="120">
        <f t="shared" si="6"/>
        <v>0</v>
      </c>
      <c r="O84" s="116">
        <f>Amnt_Deposited!B79</f>
        <v>2065</v>
      </c>
      <c r="P84" s="119">
        <f>Amnt_Deposited!F79</f>
        <v>0</v>
      </c>
      <c r="Q84" s="319">
        <f>MCF!R83</f>
        <v>0.8</v>
      </c>
      <c r="R84" s="87">
        <f t="shared" si="19"/>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Dry_Matter_Content!F72</f>
        <v>0.56999999999999995</v>
      </c>
      <c r="E85" s="319">
        <f>MCF!R84</f>
        <v>0.8</v>
      </c>
      <c r="F85" s="87">
        <f t="shared" si="14"/>
        <v>0</v>
      </c>
      <c r="G85" s="87">
        <f t="shared" si="15"/>
        <v>0</v>
      </c>
      <c r="H85" s="87">
        <f t="shared" si="16"/>
        <v>0</v>
      </c>
      <c r="I85" s="87">
        <f t="shared" si="17"/>
        <v>0</v>
      </c>
      <c r="J85" s="87">
        <f t="shared" si="18"/>
        <v>0</v>
      </c>
      <c r="K85" s="120">
        <f t="shared" ref="K85:K99" si="20">J85*CH4_fraction*conv</f>
        <v>0</v>
      </c>
      <c r="O85" s="116">
        <f>Amnt_Deposited!B80</f>
        <v>2066</v>
      </c>
      <c r="P85" s="119">
        <f>Amnt_Deposited!F80</f>
        <v>0</v>
      </c>
      <c r="Q85" s="319">
        <f>MCF!R84</f>
        <v>0.8</v>
      </c>
      <c r="R85" s="87">
        <f t="shared" si="19"/>
        <v>0</v>
      </c>
      <c r="S85" s="87">
        <f t="shared" ref="S85:S98" si="21">R85*$W$12</f>
        <v>0</v>
      </c>
      <c r="T85" s="87">
        <f t="shared" ref="T85:T98" si="22">R85*(1-$W$12)</f>
        <v>0</v>
      </c>
      <c r="U85" s="87">
        <f t="shared" ref="U85:U98" si="23">S85+U84*$W$10</f>
        <v>0</v>
      </c>
      <c r="V85" s="87">
        <f t="shared" ref="V85:V98" si="24">U84*(1-$W$10)+T85</f>
        <v>0</v>
      </c>
      <c r="W85" s="120">
        <f t="shared" ref="W85:W99" si="25">V85*CH4_fraction*conv</f>
        <v>0</v>
      </c>
    </row>
    <row r="86" spans="2:23">
      <c r="B86" s="116">
        <f>Amnt_Deposited!B81</f>
        <v>2067</v>
      </c>
      <c r="C86" s="119">
        <f>Amnt_Deposited!F81</f>
        <v>0</v>
      </c>
      <c r="D86" s="453">
        <f>Dry_Matter_Content!F73</f>
        <v>0.56999999999999995</v>
      </c>
      <c r="E86" s="319">
        <f>MCF!R85</f>
        <v>0.8</v>
      </c>
      <c r="F86" s="87">
        <f t="shared" si="14"/>
        <v>0</v>
      </c>
      <c r="G86" s="87">
        <f t="shared" si="15"/>
        <v>0</v>
      </c>
      <c r="H86" s="87">
        <f t="shared" si="16"/>
        <v>0</v>
      </c>
      <c r="I86" s="87">
        <f t="shared" si="17"/>
        <v>0</v>
      </c>
      <c r="J86" s="87">
        <f t="shared" si="18"/>
        <v>0</v>
      </c>
      <c r="K86" s="120">
        <f t="shared" si="20"/>
        <v>0</v>
      </c>
      <c r="O86" s="116">
        <f>Amnt_Deposited!B81</f>
        <v>2067</v>
      </c>
      <c r="P86" s="119">
        <f>Amnt_Deposited!F81</f>
        <v>0</v>
      </c>
      <c r="Q86" s="319">
        <f>MCF!R85</f>
        <v>0.8</v>
      </c>
      <c r="R86" s="87">
        <f t="shared" si="19"/>
        <v>0</v>
      </c>
      <c r="S86" s="87">
        <f t="shared" si="21"/>
        <v>0</v>
      </c>
      <c r="T86" s="87">
        <f t="shared" si="22"/>
        <v>0</v>
      </c>
      <c r="U86" s="87">
        <f t="shared" si="23"/>
        <v>0</v>
      </c>
      <c r="V86" s="87">
        <f t="shared" si="24"/>
        <v>0</v>
      </c>
      <c r="W86" s="120">
        <f t="shared" si="25"/>
        <v>0</v>
      </c>
    </row>
    <row r="87" spans="2:23">
      <c r="B87" s="116">
        <f>Amnt_Deposited!B82</f>
        <v>2068</v>
      </c>
      <c r="C87" s="119">
        <f>Amnt_Deposited!F82</f>
        <v>0</v>
      </c>
      <c r="D87" s="453">
        <f>Dry_Matter_Content!F74</f>
        <v>0.56999999999999995</v>
      </c>
      <c r="E87" s="319">
        <f>MCF!R86</f>
        <v>0.8</v>
      </c>
      <c r="F87" s="87">
        <f t="shared" si="14"/>
        <v>0</v>
      </c>
      <c r="G87" s="87">
        <f t="shared" si="15"/>
        <v>0</v>
      </c>
      <c r="H87" s="87">
        <f t="shared" si="16"/>
        <v>0</v>
      </c>
      <c r="I87" s="87">
        <f t="shared" si="17"/>
        <v>0</v>
      </c>
      <c r="J87" s="87">
        <f t="shared" si="18"/>
        <v>0</v>
      </c>
      <c r="K87" s="120">
        <f t="shared" si="20"/>
        <v>0</v>
      </c>
      <c r="O87" s="116">
        <f>Amnt_Deposited!B82</f>
        <v>2068</v>
      </c>
      <c r="P87" s="119">
        <f>Amnt_Deposited!F82</f>
        <v>0</v>
      </c>
      <c r="Q87" s="319">
        <f>MCF!R86</f>
        <v>0.8</v>
      </c>
      <c r="R87" s="87">
        <f t="shared" si="19"/>
        <v>0</v>
      </c>
      <c r="S87" s="87">
        <f t="shared" si="21"/>
        <v>0</v>
      </c>
      <c r="T87" s="87">
        <f t="shared" si="22"/>
        <v>0</v>
      </c>
      <c r="U87" s="87">
        <f t="shared" si="23"/>
        <v>0</v>
      </c>
      <c r="V87" s="87">
        <f t="shared" si="24"/>
        <v>0</v>
      </c>
      <c r="W87" s="120">
        <f t="shared" si="25"/>
        <v>0</v>
      </c>
    </row>
    <row r="88" spans="2:23">
      <c r="B88" s="116">
        <f>Amnt_Deposited!B83</f>
        <v>2069</v>
      </c>
      <c r="C88" s="119">
        <f>Amnt_Deposited!F83</f>
        <v>0</v>
      </c>
      <c r="D88" s="453">
        <f>Dry_Matter_Content!F75</f>
        <v>0.56999999999999995</v>
      </c>
      <c r="E88" s="319">
        <f>MCF!R87</f>
        <v>0.8</v>
      </c>
      <c r="F88" s="87">
        <f t="shared" si="14"/>
        <v>0</v>
      </c>
      <c r="G88" s="87">
        <f t="shared" si="15"/>
        <v>0</v>
      </c>
      <c r="H88" s="87">
        <f t="shared" si="16"/>
        <v>0</v>
      </c>
      <c r="I88" s="87">
        <f t="shared" si="17"/>
        <v>0</v>
      </c>
      <c r="J88" s="87">
        <f t="shared" si="18"/>
        <v>0</v>
      </c>
      <c r="K88" s="120">
        <f t="shared" si="20"/>
        <v>0</v>
      </c>
      <c r="O88" s="116">
        <f>Amnt_Deposited!B83</f>
        <v>2069</v>
      </c>
      <c r="P88" s="119">
        <f>Amnt_Deposited!F83</f>
        <v>0</v>
      </c>
      <c r="Q88" s="319">
        <f>MCF!R87</f>
        <v>0.8</v>
      </c>
      <c r="R88" s="87">
        <f t="shared" si="19"/>
        <v>0</v>
      </c>
      <c r="S88" s="87">
        <f t="shared" si="21"/>
        <v>0</v>
      </c>
      <c r="T88" s="87">
        <f t="shared" si="22"/>
        <v>0</v>
      </c>
      <c r="U88" s="87">
        <f t="shared" si="23"/>
        <v>0</v>
      </c>
      <c r="V88" s="87">
        <f t="shared" si="24"/>
        <v>0</v>
      </c>
      <c r="W88" s="120">
        <f t="shared" si="25"/>
        <v>0</v>
      </c>
    </row>
    <row r="89" spans="2:23">
      <c r="B89" s="116">
        <f>Amnt_Deposited!B84</f>
        <v>2070</v>
      </c>
      <c r="C89" s="119">
        <f>Amnt_Deposited!F84</f>
        <v>0</v>
      </c>
      <c r="D89" s="453">
        <f>Dry_Matter_Content!F76</f>
        <v>0.56999999999999995</v>
      </c>
      <c r="E89" s="319">
        <f>MCF!R88</f>
        <v>0.8</v>
      </c>
      <c r="F89" s="87">
        <f t="shared" si="14"/>
        <v>0</v>
      </c>
      <c r="G89" s="87">
        <f t="shared" si="15"/>
        <v>0</v>
      </c>
      <c r="H89" s="87">
        <f t="shared" si="16"/>
        <v>0</v>
      </c>
      <c r="I89" s="87">
        <f t="shared" si="17"/>
        <v>0</v>
      </c>
      <c r="J89" s="87">
        <f t="shared" si="18"/>
        <v>0</v>
      </c>
      <c r="K89" s="120">
        <f t="shared" si="20"/>
        <v>0</v>
      </c>
      <c r="O89" s="116">
        <f>Amnt_Deposited!B84</f>
        <v>2070</v>
      </c>
      <c r="P89" s="119">
        <f>Amnt_Deposited!F84</f>
        <v>0</v>
      </c>
      <c r="Q89" s="319">
        <f>MCF!R88</f>
        <v>0.8</v>
      </c>
      <c r="R89" s="87">
        <f t="shared" si="19"/>
        <v>0</v>
      </c>
      <c r="S89" s="87">
        <f t="shared" si="21"/>
        <v>0</v>
      </c>
      <c r="T89" s="87">
        <f t="shared" si="22"/>
        <v>0</v>
      </c>
      <c r="U89" s="87">
        <f t="shared" si="23"/>
        <v>0</v>
      </c>
      <c r="V89" s="87">
        <f t="shared" si="24"/>
        <v>0</v>
      </c>
      <c r="W89" s="120">
        <f t="shared" si="25"/>
        <v>0</v>
      </c>
    </row>
    <row r="90" spans="2:23">
      <c r="B90" s="116">
        <f>Amnt_Deposited!B85</f>
        <v>2071</v>
      </c>
      <c r="C90" s="119">
        <f>Amnt_Deposited!F85</f>
        <v>0</v>
      </c>
      <c r="D90" s="453">
        <f>Dry_Matter_Content!F77</f>
        <v>0.56999999999999995</v>
      </c>
      <c r="E90" s="319">
        <f>MCF!R89</f>
        <v>0.8</v>
      </c>
      <c r="F90" s="87">
        <f t="shared" si="14"/>
        <v>0</v>
      </c>
      <c r="G90" s="87">
        <f t="shared" si="15"/>
        <v>0</v>
      </c>
      <c r="H90" s="87">
        <f t="shared" si="16"/>
        <v>0</v>
      </c>
      <c r="I90" s="87">
        <f t="shared" si="17"/>
        <v>0</v>
      </c>
      <c r="J90" s="87">
        <f t="shared" si="18"/>
        <v>0</v>
      </c>
      <c r="K90" s="120">
        <f t="shared" si="20"/>
        <v>0</v>
      </c>
      <c r="O90" s="116">
        <f>Amnt_Deposited!B85</f>
        <v>2071</v>
      </c>
      <c r="P90" s="119">
        <f>Amnt_Deposited!F85</f>
        <v>0</v>
      </c>
      <c r="Q90" s="319">
        <f>MCF!R89</f>
        <v>0.8</v>
      </c>
      <c r="R90" s="87">
        <f t="shared" si="19"/>
        <v>0</v>
      </c>
      <c r="S90" s="87">
        <f t="shared" si="21"/>
        <v>0</v>
      </c>
      <c r="T90" s="87">
        <f t="shared" si="22"/>
        <v>0</v>
      </c>
      <c r="U90" s="87">
        <f t="shared" si="23"/>
        <v>0</v>
      </c>
      <c r="V90" s="87">
        <f t="shared" si="24"/>
        <v>0</v>
      </c>
      <c r="W90" s="120">
        <f t="shared" si="25"/>
        <v>0</v>
      </c>
    </row>
    <row r="91" spans="2:23">
      <c r="B91" s="116">
        <f>Amnt_Deposited!B86</f>
        <v>2072</v>
      </c>
      <c r="C91" s="119">
        <f>Amnt_Deposited!F86</f>
        <v>0</v>
      </c>
      <c r="D91" s="453">
        <f>Dry_Matter_Content!F78</f>
        <v>0.56999999999999995</v>
      </c>
      <c r="E91" s="319">
        <f>MCF!R90</f>
        <v>0.8</v>
      </c>
      <c r="F91" s="87">
        <f t="shared" si="14"/>
        <v>0</v>
      </c>
      <c r="G91" s="87">
        <f t="shared" si="15"/>
        <v>0</v>
      </c>
      <c r="H91" s="87">
        <f t="shared" si="16"/>
        <v>0</v>
      </c>
      <c r="I91" s="87">
        <f t="shared" si="17"/>
        <v>0</v>
      </c>
      <c r="J91" s="87">
        <f t="shared" si="18"/>
        <v>0</v>
      </c>
      <c r="K91" s="120">
        <f t="shared" si="20"/>
        <v>0</v>
      </c>
      <c r="O91" s="116">
        <f>Amnt_Deposited!B86</f>
        <v>2072</v>
      </c>
      <c r="P91" s="119">
        <f>Amnt_Deposited!F86</f>
        <v>0</v>
      </c>
      <c r="Q91" s="319">
        <f>MCF!R90</f>
        <v>0.8</v>
      </c>
      <c r="R91" s="87">
        <f t="shared" si="19"/>
        <v>0</v>
      </c>
      <c r="S91" s="87">
        <f t="shared" si="21"/>
        <v>0</v>
      </c>
      <c r="T91" s="87">
        <f t="shared" si="22"/>
        <v>0</v>
      </c>
      <c r="U91" s="87">
        <f t="shared" si="23"/>
        <v>0</v>
      </c>
      <c r="V91" s="87">
        <f t="shared" si="24"/>
        <v>0</v>
      </c>
      <c r="W91" s="120">
        <f t="shared" si="25"/>
        <v>0</v>
      </c>
    </row>
    <row r="92" spans="2:23">
      <c r="B92" s="116">
        <f>Amnt_Deposited!B87</f>
        <v>2073</v>
      </c>
      <c r="C92" s="119">
        <f>Amnt_Deposited!F87</f>
        <v>0</v>
      </c>
      <c r="D92" s="453">
        <f>Dry_Matter_Content!F79</f>
        <v>0.56999999999999995</v>
      </c>
      <c r="E92" s="319">
        <f>MCF!R91</f>
        <v>0.8</v>
      </c>
      <c r="F92" s="87">
        <f t="shared" si="14"/>
        <v>0</v>
      </c>
      <c r="G92" s="87">
        <f t="shared" si="15"/>
        <v>0</v>
      </c>
      <c r="H92" s="87">
        <f t="shared" si="16"/>
        <v>0</v>
      </c>
      <c r="I92" s="87">
        <f t="shared" si="17"/>
        <v>0</v>
      </c>
      <c r="J92" s="87">
        <f t="shared" si="18"/>
        <v>0</v>
      </c>
      <c r="K92" s="120">
        <f t="shared" si="20"/>
        <v>0</v>
      </c>
      <c r="O92" s="116">
        <f>Amnt_Deposited!B87</f>
        <v>2073</v>
      </c>
      <c r="P92" s="119">
        <f>Amnt_Deposited!F87</f>
        <v>0</v>
      </c>
      <c r="Q92" s="319">
        <f>MCF!R91</f>
        <v>0.8</v>
      </c>
      <c r="R92" s="87">
        <f t="shared" si="19"/>
        <v>0</v>
      </c>
      <c r="S92" s="87">
        <f t="shared" si="21"/>
        <v>0</v>
      </c>
      <c r="T92" s="87">
        <f t="shared" si="22"/>
        <v>0</v>
      </c>
      <c r="U92" s="87">
        <f t="shared" si="23"/>
        <v>0</v>
      </c>
      <c r="V92" s="87">
        <f t="shared" si="24"/>
        <v>0</v>
      </c>
      <c r="W92" s="120">
        <f t="shared" si="25"/>
        <v>0</v>
      </c>
    </row>
    <row r="93" spans="2:23">
      <c r="B93" s="116">
        <f>Amnt_Deposited!B88</f>
        <v>2074</v>
      </c>
      <c r="C93" s="119">
        <f>Amnt_Deposited!F88</f>
        <v>0</v>
      </c>
      <c r="D93" s="453">
        <f>Dry_Matter_Content!F80</f>
        <v>0.56999999999999995</v>
      </c>
      <c r="E93" s="319">
        <f>MCF!R92</f>
        <v>0.8</v>
      </c>
      <c r="F93" s="87">
        <f t="shared" si="14"/>
        <v>0</v>
      </c>
      <c r="G93" s="87">
        <f t="shared" si="15"/>
        <v>0</v>
      </c>
      <c r="H93" s="87">
        <f t="shared" si="16"/>
        <v>0</v>
      </c>
      <c r="I93" s="87">
        <f t="shared" si="17"/>
        <v>0</v>
      </c>
      <c r="J93" s="87">
        <f t="shared" si="18"/>
        <v>0</v>
      </c>
      <c r="K93" s="120">
        <f t="shared" si="20"/>
        <v>0</v>
      </c>
      <c r="O93" s="116">
        <f>Amnt_Deposited!B88</f>
        <v>2074</v>
      </c>
      <c r="P93" s="119">
        <f>Amnt_Deposited!F88</f>
        <v>0</v>
      </c>
      <c r="Q93" s="319">
        <f>MCF!R92</f>
        <v>0.8</v>
      </c>
      <c r="R93" s="87">
        <f t="shared" si="19"/>
        <v>0</v>
      </c>
      <c r="S93" s="87">
        <f t="shared" si="21"/>
        <v>0</v>
      </c>
      <c r="T93" s="87">
        <f t="shared" si="22"/>
        <v>0</v>
      </c>
      <c r="U93" s="87">
        <f t="shared" si="23"/>
        <v>0</v>
      </c>
      <c r="V93" s="87">
        <f t="shared" si="24"/>
        <v>0</v>
      </c>
      <c r="W93" s="120">
        <f t="shared" si="25"/>
        <v>0</v>
      </c>
    </row>
    <row r="94" spans="2:23">
      <c r="B94" s="116">
        <f>Amnt_Deposited!B89</f>
        <v>2075</v>
      </c>
      <c r="C94" s="119">
        <f>Amnt_Deposited!F89</f>
        <v>0</v>
      </c>
      <c r="D94" s="453">
        <f>Dry_Matter_Content!F81</f>
        <v>0.56999999999999995</v>
      </c>
      <c r="E94" s="319">
        <f>MCF!R93</f>
        <v>0.8</v>
      </c>
      <c r="F94" s="87">
        <f t="shared" si="14"/>
        <v>0</v>
      </c>
      <c r="G94" s="87">
        <f t="shared" si="15"/>
        <v>0</v>
      </c>
      <c r="H94" s="87">
        <f t="shared" si="16"/>
        <v>0</v>
      </c>
      <c r="I94" s="87">
        <f t="shared" si="17"/>
        <v>0</v>
      </c>
      <c r="J94" s="87">
        <f t="shared" si="18"/>
        <v>0</v>
      </c>
      <c r="K94" s="120">
        <f t="shared" si="20"/>
        <v>0</v>
      </c>
      <c r="O94" s="116">
        <f>Amnt_Deposited!B89</f>
        <v>2075</v>
      </c>
      <c r="P94" s="119">
        <f>Amnt_Deposited!F89</f>
        <v>0</v>
      </c>
      <c r="Q94" s="319">
        <f>MCF!R93</f>
        <v>0.8</v>
      </c>
      <c r="R94" s="87">
        <f t="shared" si="19"/>
        <v>0</v>
      </c>
      <c r="S94" s="87">
        <f t="shared" si="21"/>
        <v>0</v>
      </c>
      <c r="T94" s="87">
        <f t="shared" si="22"/>
        <v>0</v>
      </c>
      <c r="U94" s="87">
        <f t="shared" si="23"/>
        <v>0</v>
      </c>
      <c r="V94" s="87">
        <f t="shared" si="24"/>
        <v>0</v>
      </c>
      <c r="W94" s="120">
        <f t="shared" si="25"/>
        <v>0</v>
      </c>
    </row>
    <row r="95" spans="2:23">
      <c r="B95" s="116">
        <f>Amnt_Deposited!B90</f>
        <v>2076</v>
      </c>
      <c r="C95" s="119">
        <f>Amnt_Deposited!F90</f>
        <v>0</v>
      </c>
      <c r="D95" s="453">
        <f>Dry_Matter_Content!F82</f>
        <v>0.56999999999999995</v>
      </c>
      <c r="E95" s="319">
        <f>MCF!R94</f>
        <v>0.8</v>
      </c>
      <c r="F95" s="87">
        <f t="shared" si="14"/>
        <v>0</v>
      </c>
      <c r="G95" s="87">
        <f t="shared" si="15"/>
        <v>0</v>
      </c>
      <c r="H95" s="87">
        <f t="shared" si="16"/>
        <v>0</v>
      </c>
      <c r="I95" s="87">
        <f t="shared" si="17"/>
        <v>0</v>
      </c>
      <c r="J95" s="87">
        <f t="shared" si="18"/>
        <v>0</v>
      </c>
      <c r="K95" s="120">
        <f t="shared" si="20"/>
        <v>0</v>
      </c>
      <c r="O95" s="116">
        <f>Amnt_Deposited!B90</f>
        <v>2076</v>
      </c>
      <c r="P95" s="119">
        <f>Amnt_Deposited!F90</f>
        <v>0</v>
      </c>
      <c r="Q95" s="319">
        <f>MCF!R94</f>
        <v>0.8</v>
      </c>
      <c r="R95" s="87">
        <f t="shared" si="19"/>
        <v>0</v>
      </c>
      <c r="S95" s="87">
        <f t="shared" si="21"/>
        <v>0</v>
      </c>
      <c r="T95" s="87">
        <f t="shared" si="22"/>
        <v>0</v>
      </c>
      <c r="U95" s="87">
        <f t="shared" si="23"/>
        <v>0</v>
      </c>
      <c r="V95" s="87">
        <f t="shared" si="24"/>
        <v>0</v>
      </c>
      <c r="W95" s="120">
        <f t="shared" si="25"/>
        <v>0</v>
      </c>
    </row>
    <row r="96" spans="2:23">
      <c r="B96" s="116">
        <f>Amnt_Deposited!B91</f>
        <v>2077</v>
      </c>
      <c r="C96" s="119">
        <f>Amnt_Deposited!F91</f>
        <v>0</v>
      </c>
      <c r="D96" s="453">
        <f>Dry_Matter_Content!F83</f>
        <v>0.56999999999999995</v>
      </c>
      <c r="E96" s="319">
        <f>MCF!R95</f>
        <v>0.8</v>
      </c>
      <c r="F96" s="87">
        <f t="shared" si="14"/>
        <v>0</v>
      </c>
      <c r="G96" s="87">
        <f t="shared" si="15"/>
        <v>0</v>
      </c>
      <c r="H96" s="87">
        <f t="shared" si="16"/>
        <v>0</v>
      </c>
      <c r="I96" s="87">
        <f t="shared" si="17"/>
        <v>0</v>
      </c>
      <c r="J96" s="87">
        <f t="shared" si="18"/>
        <v>0</v>
      </c>
      <c r="K96" s="120">
        <f t="shared" si="20"/>
        <v>0</v>
      </c>
      <c r="O96" s="116">
        <f>Amnt_Deposited!B91</f>
        <v>2077</v>
      </c>
      <c r="P96" s="119">
        <f>Amnt_Deposited!F91</f>
        <v>0</v>
      </c>
      <c r="Q96" s="319">
        <f>MCF!R95</f>
        <v>0.8</v>
      </c>
      <c r="R96" s="87">
        <f t="shared" si="19"/>
        <v>0</v>
      </c>
      <c r="S96" s="87">
        <f t="shared" si="21"/>
        <v>0</v>
      </c>
      <c r="T96" s="87">
        <f t="shared" si="22"/>
        <v>0</v>
      </c>
      <c r="U96" s="87">
        <f t="shared" si="23"/>
        <v>0</v>
      </c>
      <c r="V96" s="87">
        <f t="shared" si="24"/>
        <v>0</v>
      </c>
      <c r="W96" s="120">
        <f t="shared" si="25"/>
        <v>0</v>
      </c>
    </row>
    <row r="97" spans="2:23">
      <c r="B97" s="116">
        <f>Amnt_Deposited!B92</f>
        <v>2078</v>
      </c>
      <c r="C97" s="119">
        <f>Amnt_Deposited!F92</f>
        <v>0</v>
      </c>
      <c r="D97" s="453">
        <f>Dry_Matter_Content!F84</f>
        <v>0.56999999999999995</v>
      </c>
      <c r="E97" s="319">
        <f>MCF!R96</f>
        <v>0.8</v>
      </c>
      <c r="F97" s="87">
        <f t="shared" si="14"/>
        <v>0</v>
      </c>
      <c r="G97" s="87">
        <f t="shared" si="15"/>
        <v>0</v>
      </c>
      <c r="H97" s="87">
        <f t="shared" si="16"/>
        <v>0</v>
      </c>
      <c r="I97" s="87">
        <f t="shared" si="17"/>
        <v>0</v>
      </c>
      <c r="J97" s="87">
        <f t="shared" si="18"/>
        <v>0</v>
      </c>
      <c r="K97" s="120">
        <f t="shared" si="20"/>
        <v>0</v>
      </c>
      <c r="O97" s="116">
        <f>Amnt_Deposited!B92</f>
        <v>2078</v>
      </c>
      <c r="P97" s="119">
        <f>Amnt_Deposited!F92</f>
        <v>0</v>
      </c>
      <c r="Q97" s="319">
        <f>MCF!R96</f>
        <v>0.8</v>
      </c>
      <c r="R97" s="87">
        <f t="shared" si="19"/>
        <v>0</v>
      </c>
      <c r="S97" s="87">
        <f t="shared" si="21"/>
        <v>0</v>
      </c>
      <c r="T97" s="87">
        <f t="shared" si="22"/>
        <v>0</v>
      </c>
      <c r="U97" s="87">
        <f t="shared" si="23"/>
        <v>0</v>
      </c>
      <c r="V97" s="87">
        <f t="shared" si="24"/>
        <v>0</v>
      </c>
      <c r="W97" s="120">
        <f t="shared" si="25"/>
        <v>0</v>
      </c>
    </row>
    <row r="98" spans="2:23">
      <c r="B98" s="116">
        <f>Amnt_Deposited!B93</f>
        <v>2079</v>
      </c>
      <c r="C98" s="119">
        <f>Amnt_Deposited!F93</f>
        <v>0</v>
      </c>
      <c r="D98" s="453">
        <f>Dry_Matter_Content!F85</f>
        <v>0.56999999999999995</v>
      </c>
      <c r="E98" s="319">
        <f>MCF!R97</f>
        <v>0.8</v>
      </c>
      <c r="F98" s="87">
        <f t="shared" si="14"/>
        <v>0</v>
      </c>
      <c r="G98" s="87">
        <f t="shared" si="15"/>
        <v>0</v>
      </c>
      <c r="H98" s="87">
        <f t="shared" si="16"/>
        <v>0</v>
      </c>
      <c r="I98" s="87">
        <f t="shared" si="17"/>
        <v>0</v>
      </c>
      <c r="J98" s="87">
        <f t="shared" si="18"/>
        <v>0</v>
      </c>
      <c r="K98" s="120">
        <f t="shared" si="20"/>
        <v>0</v>
      </c>
      <c r="O98" s="116">
        <f>Amnt_Deposited!B93</f>
        <v>2079</v>
      </c>
      <c r="P98" s="119">
        <f>Amnt_Deposited!F93</f>
        <v>0</v>
      </c>
      <c r="Q98" s="319">
        <f>MCF!R97</f>
        <v>0.8</v>
      </c>
      <c r="R98" s="87">
        <f t="shared" si="19"/>
        <v>0</v>
      </c>
      <c r="S98" s="87">
        <f t="shared" si="21"/>
        <v>0</v>
      </c>
      <c r="T98" s="87">
        <f t="shared" si="22"/>
        <v>0</v>
      </c>
      <c r="U98" s="87">
        <f t="shared" si="23"/>
        <v>0</v>
      </c>
      <c r="V98" s="87">
        <f t="shared" si="24"/>
        <v>0</v>
      </c>
      <c r="W98" s="120">
        <f t="shared" si="25"/>
        <v>0</v>
      </c>
    </row>
    <row r="99" spans="2:23" ht="13.5" thickBot="1">
      <c r="B99" s="117">
        <f>Amnt_Deposited!B94</f>
        <v>2080</v>
      </c>
      <c r="C99" s="121">
        <f>Amnt_Deposited!F94</f>
        <v>0</v>
      </c>
      <c r="D99" s="454">
        <f>Dry_Matter_Content!F86</f>
        <v>0.56999999999999995</v>
      </c>
      <c r="E99" s="320">
        <f>MCF!R98</f>
        <v>0.8</v>
      </c>
      <c r="F99" s="88">
        <f t="shared" si="14"/>
        <v>0</v>
      </c>
      <c r="G99" s="88">
        <f t="shared" si="15"/>
        <v>0</v>
      </c>
      <c r="H99" s="88">
        <f t="shared" si="16"/>
        <v>0</v>
      </c>
      <c r="I99" s="88">
        <f t="shared" si="17"/>
        <v>0</v>
      </c>
      <c r="J99" s="88">
        <f t="shared" si="18"/>
        <v>0</v>
      </c>
      <c r="K99" s="122">
        <f t="shared" si="20"/>
        <v>0</v>
      </c>
      <c r="O99" s="117">
        <f>Amnt_Deposited!B94</f>
        <v>2080</v>
      </c>
      <c r="P99" s="121">
        <f>Amnt_Deposited!F94</f>
        <v>0</v>
      </c>
      <c r="Q99" s="320">
        <f>MCF!R98</f>
        <v>0.8</v>
      </c>
      <c r="R99" s="88">
        <f t="shared" si="19"/>
        <v>0</v>
      </c>
      <c r="S99" s="88">
        <f>R99*$W$12</f>
        <v>0</v>
      </c>
      <c r="T99" s="88">
        <f>R99*(1-$W$12)</f>
        <v>0</v>
      </c>
      <c r="U99" s="88">
        <f>S99+U98*$W$10</f>
        <v>0</v>
      </c>
      <c r="V99" s="88">
        <f>U98*(1-$W$10)+T99</f>
        <v>0</v>
      </c>
      <c r="W99" s="12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311</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450">
        <f>Parameters!O20</f>
        <v>0.5</v>
      </c>
      <c r="O6" s="257"/>
      <c r="P6" s="258"/>
      <c r="Q6" s="249"/>
      <c r="R6" s="128" t="s">
        <v>9</v>
      </c>
      <c r="S6" s="129"/>
      <c r="T6" s="129"/>
      <c r="U6" s="133"/>
      <c r="V6" s="140" t="s">
        <v>9</v>
      </c>
      <c r="W6" s="293">
        <f>Parameters!R20</f>
        <v>0.43</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Parameters!O39</f>
        <v>3.5000000000000003E-2</v>
      </c>
      <c r="O8" s="67"/>
      <c r="P8" s="67"/>
      <c r="Q8" s="249"/>
      <c r="R8" s="128" t="s">
        <v>192</v>
      </c>
      <c r="S8" s="129"/>
      <c r="T8" s="129"/>
      <c r="U8" s="133"/>
      <c r="V8" s="140" t="s">
        <v>188</v>
      </c>
      <c r="W8" s="134">
        <f>Parameters!O39</f>
        <v>3.5000000000000003E-2</v>
      </c>
    </row>
    <row r="9" spans="1:23" ht="15.75">
      <c r="F9" s="279" t="s">
        <v>190</v>
      </c>
      <c r="G9" s="280"/>
      <c r="H9" s="280"/>
      <c r="I9" s="281"/>
      <c r="J9" s="282" t="s">
        <v>189</v>
      </c>
      <c r="K9" s="288">
        <f>LN(2)/$K$8</f>
        <v>19.804205158855577</v>
      </c>
      <c r="O9" s="67"/>
      <c r="P9" s="67"/>
      <c r="Q9" s="249"/>
      <c r="R9" s="279" t="s">
        <v>190</v>
      </c>
      <c r="S9" s="280"/>
      <c r="T9" s="280"/>
      <c r="U9" s="281"/>
      <c r="V9" s="282" t="s">
        <v>189</v>
      </c>
      <c r="W9" s="288">
        <f>LN(2)/$W$8</f>
        <v>19.804205158855577</v>
      </c>
    </row>
    <row r="10" spans="1:23">
      <c r="F10" s="130" t="s">
        <v>84</v>
      </c>
      <c r="G10" s="131"/>
      <c r="H10" s="131"/>
      <c r="I10" s="132"/>
      <c r="J10" s="141" t="s">
        <v>148</v>
      </c>
      <c r="K10" s="69">
        <f>EXP(-$K$8)</f>
        <v>0.96560541625756646</v>
      </c>
      <c r="O10" s="67"/>
      <c r="P10" s="67"/>
      <c r="Q10" s="249"/>
      <c r="R10" s="130" t="s">
        <v>84</v>
      </c>
      <c r="S10" s="131"/>
      <c r="T10" s="131"/>
      <c r="U10" s="132"/>
      <c r="V10" s="141" t="s">
        <v>148</v>
      </c>
      <c r="W10" s="69">
        <f>EXP(-$W$8)</f>
        <v>0.96560541625756646</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Dry_Matter_Content!G6</f>
        <v>0.56999999999999995</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Amnt_Deposited!G14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Dry_Matter_Content!G7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Amnt_Deposited!G15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Dry_Matter_Content!G8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Amnt_Deposited!G16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Dry_Matter_Content!G9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Amnt_Deposited!G17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Dry_Matter_Content!G10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Amnt_Deposited!G18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Dry_Matter_Content!G11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Amnt_Deposited!G19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Dry_Matter_Content!G12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Amnt_Deposited!G20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Dry_Matter_Content!G13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Amnt_Deposited!G21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Dry_Matter_Content!G14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Amnt_Deposited!G22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Dry_Matter_Content!G15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Amnt_Deposited!G23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Dry_Matter_Content!G16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Amnt_Deposited!G24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Dry_Matter_Content!G17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Amnt_Deposited!G25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Dry_Matter_Content!G18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Amnt_Deposited!G26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Dry_Matter_Content!G19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Amnt_Deposited!G27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Dry_Matter_Content!G20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Amnt_Deposited!G28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Dry_Matter_Content!G21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Amnt_Deposited!G29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Dry_Matter_Content!G22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Amnt_Deposited!G30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Dry_Matter_Content!G23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Amnt_Deposited!G31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Dry_Matter_Content!G24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Amnt_Deposited!G32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Dry_Matter_Content!G25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Amnt_Deposited!G33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Dry_Matter_Content!G26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Amnt_Deposited!G34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Dry_Matter_Content!G27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Amnt_Deposited!G35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Dry_Matter_Content!G28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Amnt_Deposited!G36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Dry_Matter_Content!G29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Amnt_Deposited!G37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Dry_Matter_Content!G30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Amnt_Deposited!G38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Dry_Matter_Content!G31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Amnt_Deposited!G39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Dry_Matter_Content!G32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Amnt_Deposited!G40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Dry_Matter_Content!G33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Amnt_Deposited!G41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Dry_Matter_Content!G34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Amnt_Deposited!G42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Dry_Matter_Content!G35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Amnt_Deposited!G43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Dry_Matter_Content!G36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Amnt_Deposited!G44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Dry_Matter_Content!G37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Amnt_Deposited!G45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Dry_Matter_Content!G38</f>
        <v>0.56999999999999995</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Amnt_Deposited!G46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Dry_Matter_Content!G39</f>
        <v>0.56999999999999995</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Amnt_Deposited!G47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Dry_Matter_Content!G40</f>
        <v>0.56999999999999995</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Amnt_Deposited!G48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Dry_Matter_Content!G41</f>
        <v>0.56999999999999995</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Amnt_Deposited!G49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Dry_Matter_Content!G42</f>
        <v>0.56999999999999995</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Amnt_Deposited!G50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Dry_Matter_Content!G43</f>
        <v>0.56999999999999995</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Amnt_Deposited!G51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Dry_Matter_Content!G44</f>
        <v>0.56999999999999995</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Amnt_Deposited!G52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Dry_Matter_Content!G45</f>
        <v>0.56999999999999995</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Amnt_Deposited!G53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Dry_Matter_Content!G46</f>
        <v>0.56999999999999995</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Amnt_Deposited!G54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Dry_Matter_Content!G47</f>
        <v>0.56999999999999995</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Amnt_Deposited!G55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Dry_Matter_Content!G48</f>
        <v>0.56999999999999995</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Amnt_Deposited!G56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Dry_Matter_Content!G49</f>
        <v>0.56999999999999995</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Amnt_Deposited!G57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Dry_Matter_Content!G50</f>
        <v>0.56999999999999995</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Amnt_Deposited!G58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Dry_Matter_Content!G51</f>
        <v>0.56999999999999995</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Amnt_Deposited!G59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Dry_Matter_Content!G52</f>
        <v>0.56999999999999995</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Amnt_Deposited!G60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Dry_Matter_Content!G53</f>
        <v>0.56999999999999995</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Amnt_Deposited!G61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Dry_Matter_Content!G54</f>
        <v>0.56999999999999995</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Amnt_Deposited!G62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Dry_Matter_Content!G55</f>
        <v>0.56999999999999995</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Amnt_Deposited!G63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Dry_Matter_Content!G56</f>
        <v>0.56999999999999995</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Amnt_Deposited!G64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Dry_Matter_Content!G57</f>
        <v>0.56999999999999995</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Amnt_Deposited!G65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Dry_Matter_Content!G58</f>
        <v>0.56999999999999995</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Amnt_Deposited!G66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Dry_Matter_Content!G59</f>
        <v>0.56999999999999995</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Amnt_Deposited!G67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Dry_Matter_Content!G60</f>
        <v>0.56999999999999995</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Amnt_Deposited!G68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Dry_Matter_Content!G61</f>
        <v>0.56999999999999995</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Amnt_Deposited!G69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Dry_Matter_Content!G62</f>
        <v>0.56999999999999995</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Amnt_Deposited!G70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Dry_Matter_Content!G63</f>
        <v>0.56999999999999995</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Amnt_Deposited!G71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Dry_Matter_Content!G64</f>
        <v>0.56999999999999995</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Amnt_Deposited!G72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Dry_Matter_Content!G65</f>
        <v>0.56999999999999995</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Amnt_Deposited!G73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Dry_Matter_Content!G66</f>
        <v>0.56999999999999995</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Amnt_Deposited!G74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Dry_Matter_Content!G67</f>
        <v>0.56999999999999995</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Amnt_Deposited!G75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Dry_Matter_Content!G68</f>
        <v>0.56999999999999995</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Amnt_Deposited!G76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Dry_Matter_Content!G69</f>
        <v>0.56999999999999995</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Amnt_Deposited!G77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Dry_Matter_Content!G70</f>
        <v>0.56999999999999995</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Amnt_Deposited!G78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Dry_Matter_Content!G71</f>
        <v>0.56999999999999995</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Amnt_Deposited!G79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Dry_Matter_Content!G72</f>
        <v>0.56999999999999995</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Amnt_Deposited!G80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Amnt_Deposited!F81</f>
        <v>0</v>
      </c>
      <c r="D86" s="453">
        <f>Dry_Matter_Content!G73</f>
        <v>0.56999999999999995</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Amnt_Deposited!G81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Amnt_Deposited!F82</f>
        <v>0</v>
      </c>
      <c r="D87" s="453">
        <f>Dry_Matter_Content!G74</f>
        <v>0.56999999999999995</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Amnt_Deposited!G82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Amnt_Deposited!F83</f>
        <v>0</v>
      </c>
      <c r="D88" s="453">
        <f>Dry_Matter_Content!G75</f>
        <v>0.56999999999999995</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Amnt_Deposited!G83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Amnt_Deposited!F84</f>
        <v>0</v>
      </c>
      <c r="D89" s="453">
        <f>Dry_Matter_Content!G76</f>
        <v>0.56999999999999995</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Amnt_Deposited!G84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Amnt_Deposited!F85</f>
        <v>0</v>
      </c>
      <c r="D90" s="453">
        <f>Dry_Matter_Content!G77</f>
        <v>0.56999999999999995</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Amnt_Deposited!G85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Amnt_Deposited!F86</f>
        <v>0</v>
      </c>
      <c r="D91" s="453">
        <f>Dry_Matter_Content!G78</f>
        <v>0.56999999999999995</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Amnt_Deposited!G86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Amnt_Deposited!F87</f>
        <v>0</v>
      </c>
      <c r="D92" s="453">
        <f>Dry_Matter_Content!G79</f>
        <v>0.56999999999999995</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Amnt_Deposited!G87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Amnt_Deposited!F88</f>
        <v>0</v>
      </c>
      <c r="D93" s="453">
        <f>Dry_Matter_Content!G80</f>
        <v>0.56999999999999995</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Amnt_Deposited!G88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Amnt_Deposited!F89</f>
        <v>0</v>
      </c>
      <c r="D94" s="453">
        <f>Dry_Matter_Content!G81</f>
        <v>0.56999999999999995</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Amnt_Deposited!G89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Amnt_Deposited!F90</f>
        <v>0</v>
      </c>
      <c r="D95" s="453">
        <f>Dry_Matter_Content!G82</f>
        <v>0.56999999999999995</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Amnt_Deposited!G90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Amnt_Deposited!F91</f>
        <v>0</v>
      </c>
      <c r="D96" s="453">
        <f>Dry_Matter_Content!G83</f>
        <v>0.56999999999999995</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Amnt_Deposited!G91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Amnt_Deposited!F92</f>
        <v>0</v>
      </c>
      <c r="D97" s="453">
        <f>Dry_Matter_Content!G84</f>
        <v>0.56999999999999995</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Amnt_Deposited!G92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Amnt_Deposited!F93</f>
        <v>0</v>
      </c>
      <c r="D98" s="453">
        <f>Dry_Matter_Content!G85</f>
        <v>0.56999999999999995</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Amnt_Deposited!G93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Amnt_Deposited!F94</f>
        <v>0</v>
      </c>
      <c r="D99" s="453">
        <f>Dry_Matter_Content!G86</f>
        <v>0.56999999999999995</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Amnt_Deposited!G94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153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Parameters!O18</f>
        <v>0.3</v>
      </c>
      <c r="O6" s="257"/>
      <c r="P6" s="258"/>
      <c r="Q6" s="249"/>
      <c r="R6" s="128" t="s">
        <v>9</v>
      </c>
      <c r="S6" s="129"/>
      <c r="T6" s="129"/>
      <c r="U6" s="133"/>
      <c r="V6" s="140" t="s">
        <v>9</v>
      </c>
      <c r="W6" s="293">
        <f>Parameters!R18</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Parameters!O37</f>
        <v>7.0000000000000007E-2</v>
      </c>
      <c r="O8" s="67"/>
      <c r="P8" s="67"/>
      <c r="Q8" s="249"/>
      <c r="R8" s="128" t="s">
        <v>192</v>
      </c>
      <c r="S8" s="129"/>
      <c r="T8" s="129"/>
      <c r="U8" s="133"/>
      <c r="V8" s="140" t="s">
        <v>188</v>
      </c>
      <c r="W8" s="134">
        <f>Parameters!O37</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Amnt_Deposited!H14</f>
        <v>0.21193584461279999</v>
      </c>
      <c r="D19" s="451">
        <f>Dry_Matter_Content!H6</f>
        <v>0.73</v>
      </c>
      <c r="E19" s="318">
        <f>MCF!R18</f>
        <v>0.8</v>
      </c>
      <c r="F19" s="150">
        <f t="shared" ref="F19:F50" si="0">C19*D19*$K$6*DOCF*E19</f>
        <v>1.8565579988081279E-2</v>
      </c>
      <c r="G19" s="85">
        <f t="shared" ref="G19:G82" si="1">F19*$K$12</f>
        <v>1.8565579988081279E-2</v>
      </c>
      <c r="H19" s="85">
        <f t="shared" ref="H19:H82" si="2">F19*(1-$K$12)</f>
        <v>0</v>
      </c>
      <c r="I19" s="85">
        <f t="shared" ref="I19:I82" si="3">G19+I18*$K$10</f>
        <v>1.8565579988081279E-2</v>
      </c>
      <c r="J19" s="85">
        <f t="shared" ref="J19:J82" si="4">I18*(1-$K$10)+H19</f>
        <v>0</v>
      </c>
      <c r="K19" s="86">
        <f>J19*CH4_fraction*conv</f>
        <v>0</v>
      </c>
      <c r="O19" s="115">
        <f>Amnt_Deposited!B14</f>
        <v>2000</v>
      </c>
      <c r="P19" s="118">
        <f>Amnt_Deposited!H14</f>
        <v>0.21193584461279999</v>
      </c>
      <c r="Q19" s="318">
        <f>MCF!R18</f>
        <v>0.8</v>
      </c>
      <c r="R19" s="150">
        <f t="shared" ref="R19:R50" si="5">P19*$W$6*DOCF*Q19</f>
        <v>2.0345841082828799E-2</v>
      </c>
      <c r="S19" s="85">
        <f>R19*$W$12</f>
        <v>2.0345841082828799E-2</v>
      </c>
      <c r="T19" s="85">
        <f>R19*(1-$W$12)</f>
        <v>0</v>
      </c>
      <c r="U19" s="85">
        <f>S19+U18*$W$10</f>
        <v>2.0345841082828799E-2</v>
      </c>
      <c r="V19" s="85">
        <f>U18*(1-$W$10)+T19</f>
        <v>0</v>
      </c>
      <c r="W19" s="86">
        <f>V19*CH4_fraction*conv</f>
        <v>0</v>
      </c>
    </row>
    <row r="20" spans="2:23">
      <c r="B20" s="116">
        <f>Amnt_Deposited!B15</f>
        <v>2001</v>
      </c>
      <c r="C20" s="119">
        <f>Amnt_Deposited!H15</f>
        <v>0.21587644964160002</v>
      </c>
      <c r="D20" s="453">
        <f>Dry_Matter_Content!H7</f>
        <v>0.73</v>
      </c>
      <c r="E20" s="319">
        <f>MCF!R19</f>
        <v>0.8</v>
      </c>
      <c r="F20" s="87">
        <f t="shared" si="0"/>
        <v>1.8910776988604161E-2</v>
      </c>
      <c r="G20" s="87">
        <f t="shared" si="1"/>
        <v>1.8910776988604161E-2</v>
      </c>
      <c r="H20" s="87">
        <f t="shared" si="2"/>
        <v>0</v>
      </c>
      <c r="I20" s="87">
        <f t="shared" si="3"/>
        <v>3.6221209032460691E-2</v>
      </c>
      <c r="J20" s="87">
        <f t="shared" si="4"/>
        <v>1.2551479442247456E-3</v>
      </c>
      <c r="K20" s="120">
        <f>J20*CH4_fraction*conv</f>
        <v>8.367652961498303E-4</v>
      </c>
      <c r="M20" s="428"/>
      <c r="O20" s="116">
        <f>Amnt_Deposited!B15</f>
        <v>2001</v>
      </c>
      <c r="P20" s="119">
        <f>Amnt_Deposited!H15</f>
        <v>0.21587644964160002</v>
      </c>
      <c r="Q20" s="319">
        <f>MCF!R19</f>
        <v>0.8</v>
      </c>
      <c r="R20" s="87">
        <f t="shared" si="5"/>
        <v>2.0724139165593604E-2</v>
      </c>
      <c r="S20" s="87">
        <f>R20*$W$12</f>
        <v>2.0724139165593604E-2</v>
      </c>
      <c r="T20" s="87">
        <f>R20*(1-$W$12)</f>
        <v>0</v>
      </c>
      <c r="U20" s="87">
        <f>S20+U19*$W$10</f>
        <v>3.9694475652011722E-2</v>
      </c>
      <c r="V20" s="87">
        <f>U19*(1-$W$10)+T20</f>
        <v>1.3755045964106802E-3</v>
      </c>
      <c r="W20" s="120">
        <f>V20*CH4_fraction*conv</f>
        <v>9.1700306427378682E-4</v>
      </c>
    </row>
    <row r="21" spans="2:23">
      <c r="B21" s="116">
        <f>Amnt_Deposited!B16</f>
        <v>2002</v>
      </c>
      <c r="C21" s="119">
        <f>Amnt_Deposited!H16</f>
        <v>0.2223765505368</v>
      </c>
      <c r="D21" s="453">
        <f>Dry_Matter_Content!H8</f>
        <v>0.73</v>
      </c>
      <c r="E21" s="319">
        <f>MCF!R20</f>
        <v>0.8</v>
      </c>
      <c r="F21" s="87">
        <f t="shared" si="0"/>
        <v>1.9480185827023679E-2</v>
      </c>
      <c r="G21" s="87">
        <f t="shared" si="1"/>
        <v>1.9480185827023679E-2</v>
      </c>
      <c r="H21" s="87">
        <f t="shared" si="2"/>
        <v>0</v>
      </c>
      <c r="I21" s="87">
        <f t="shared" si="3"/>
        <v>5.3252617278411546E-2</v>
      </c>
      <c r="J21" s="87">
        <f t="shared" si="4"/>
        <v>2.4487775810728305E-3</v>
      </c>
      <c r="K21" s="120">
        <f t="shared" ref="K21:K84" si="6">J21*CH4_fraction*conv</f>
        <v>1.6325183873818869E-3</v>
      </c>
      <c r="O21" s="116">
        <f>Amnt_Deposited!B16</f>
        <v>2002</v>
      </c>
      <c r="P21" s="119">
        <f>Amnt_Deposited!H16</f>
        <v>0.2223765505368</v>
      </c>
      <c r="Q21" s="319">
        <f>MCF!R20</f>
        <v>0.8</v>
      </c>
      <c r="R21" s="87">
        <f t="shared" si="5"/>
        <v>2.13481488515328E-2</v>
      </c>
      <c r="S21" s="87">
        <f t="shared" ref="S21:S84" si="7">R21*$W$12</f>
        <v>2.13481488515328E-2</v>
      </c>
      <c r="T21" s="87">
        <f t="shared" ref="T21:T84" si="8">R21*(1-$W$12)</f>
        <v>0</v>
      </c>
      <c r="U21" s="87">
        <f t="shared" ref="U21:U84" si="9">S21+U20*$W$10</f>
        <v>5.8359032633875665E-2</v>
      </c>
      <c r="V21" s="87">
        <f t="shared" ref="V21:V84" si="10">U20*(1-$W$10)+T21</f>
        <v>2.683591869668856E-3</v>
      </c>
      <c r="W21" s="120">
        <f t="shared" ref="W21:W84" si="11">V21*CH4_fraction*conv</f>
        <v>1.7890612464459038E-3</v>
      </c>
    </row>
    <row r="22" spans="2:23">
      <c r="B22" s="116">
        <f>Amnt_Deposited!B17</f>
        <v>2003</v>
      </c>
      <c r="C22" s="119">
        <f>Amnt_Deposited!H17</f>
        <v>0.23992103088359998</v>
      </c>
      <c r="D22" s="453">
        <f>Dry_Matter_Content!H9</f>
        <v>0.73</v>
      </c>
      <c r="E22" s="319">
        <f>MCF!R21</f>
        <v>0.8</v>
      </c>
      <c r="F22" s="87">
        <f t="shared" si="0"/>
        <v>2.1017082305403358E-2</v>
      </c>
      <c r="G22" s="87">
        <f t="shared" si="1"/>
        <v>2.1017082305403358E-2</v>
      </c>
      <c r="H22" s="87">
        <f t="shared" si="2"/>
        <v>0</v>
      </c>
      <c r="I22" s="87">
        <f t="shared" si="3"/>
        <v>7.0669493549611009E-2</v>
      </c>
      <c r="J22" s="87">
        <f t="shared" si="4"/>
        <v>3.6002060342039018E-3</v>
      </c>
      <c r="K22" s="120">
        <f t="shared" si="6"/>
        <v>2.4001373561359342E-3</v>
      </c>
      <c r="N22" s="290"/>
      <c r="O22" s="116">
        <f>Amnt_Deposited!B17</f>
        <v>2003</v>
      </c>
      <c r="P22" s="119">
        <f>Amnt_Deposited!H17</f>
        <v>0.23992103088359998</v>
      </c>
      <c r="Q22" s="319">
        <f>MCF!R21</f>
        <v>0.8</v>
      </c>
      <c r="R22" s="87">
        <f t="shared" si="5"/>
        <v>2.3032418964825597E-2</v>
      </c>
      <c r="S22" s="87">
        <f t="shared" si="7"/>
        <v>2.3032418964825597E-2</v>
      </c>
      <c r="T22" s="87">
        <f t="shared" si="8"/>
        <v>0</v>
      </c>
      <c r="U22" s="87">
        <f t="shared" si="9"/>
        <v>7.7446020328340817E-2</v>
      </c>
      <c r="V22" s="87">
        <f t="shared" si="10"/>
        <v>3.9454312703604399E-3</v>
      </c>
      <c r="W22" s="120">
        <f t="shared" si="11"/>
        <v>2.6302875135736266E-3</v>
      </c>
    </row>
    <row r="23" spans="2:23">
      <c r="B23" s="116">
        <f>Amnt_Deposited!B18</f>
        <v>2004</v>
      </c>
      <c r="C23" s="119">
        <f>Amnt_Deposited!H18</f>
        <v>0.24235569764999998</v>
      </c>
      <c r="D23" s="453">
        <f>Dry_Matter_Content!H10</f>
        <v>0.73</v>
      </c>
      <c r="E23" s="319">
        <f>MCF!R22</f>
        <v>0.8</v>
      </c>
      <c r="F23" s="87">
        <f t="shared" si="0"/>
        <v>2.123035911414E-2</v>
      </c>
      <c r="G23" s="87">
        <f t="shared" si="1"/>
        <v>2.123035911414E-2</v>
      </c>
      <c r="H23" s="87">
        <f t="shared" si="2"/>
        <v>0</v>
      </c>
      <c r="I23" s="87">
        <f t="shared" si="3"/>
        <v>8.7122158155680585E-2</v>
      </c>
      <c r="J23" s="87">
        <f t="shared" si="4"/>
        <v>4.7776945080704285E-3</v>
      </c>
      <c r="K23" s="120">
        <f t="shared" si="6"/>
        <v>3.185129672046952E-3</v>
      </c>
      <c r="N23" s="290"/>
      <c r="O23" s="116">
        <f>Amnt_Deposited!B18</f>
        <v>2004</v>
      </c>
      <c r="P23" s="119">
        <f>Amnt_Deposited!H18</f>
        <v>0.24235569764999998</v>
      </c>
      <c r="Q23" s="319">
        <f>MCF!R22</f>
        <v>0.8</v>
      </c>
      <c r="R23" s="87">
        <f t="shared" si="5"/>
        <v>2.32661469744E-2</v>
      </c>
      <c r="S23" s="87">
        <f t="shared" si="7"/>
        <v>2.32661469744E-2</v>
      </c>
      <c r="T23" s="87">
        <f t="shared" si="8"/>
        <v>0</v>
      </c>
      <c r="U23" s="87">
        <f t="shared" si="9"/>
        <v>9.5476337704855418E-2</v>
      </c>
      <c r="V23" s="87">
        <f t="shared" si="10"/>
        <v>5.2358295978854E-3</v>
      </c>
      <c r="W23" s="120">
        <f t="shared" si="11"/>
        <v>3.4905530652569331E-3</v>
      </c>
    </row>
    <row r="24" spans="2:23">
      <c r="B24" s="116">
        <f>Amnt_Deposited!B19</f>
        <v>2005</v>
      </c>
      <c r="C24" s="119">
        <f>Amnt_Deposited!H19</f>
        <v>0.248954163876</v>
      </c>
      <c r="D24" s="453">
        <f>Dry_Matter_Content!H11</f>
        <v>0.73</v>
      </c>
      <c r="E24" s="319">
        <f>MCF!R23</f>
        <v>0.8</v>
      </c>
      <c r="F24" s="87">
        <f t="shared" si="0"/>
        <v>2.1808384755537601E-2</v>
      </c>
      <c r="G24" s="87">
        <f t="shared" si="1"/>
        <v>2.1808384755537601E-2</v>
      </c>
      <c r="H24" s="87">
        <f t="shared" si="2"/>
        <v>0</v>
      </c>
      <c r="I24" s="87">
        <f t="shared" si="3"/>
        <v>0.10304054659676279</v>
      </c>
      <c r="J24" s="87">
        <f t="shared" si="4"/>
        <v>5.889996314455399E-3</v>
      </c>
      <c r="K24" s="120">
        <f t="shared" si="6"/>
        <v>3.9266642096369327E-3</v>
      </c>
      <c r="N24" s="290"/>
      <c r="O24" s="116">
        <f>Amnt_Deposited!B19</f>
        <v>2005</v>
      </c>
      <c r="P24" s="119">
        <f>Amnt_Deposited!H19</f>
        <v>0.248954163876</v>
      </c>
      <c r="Q24" s="319">
        <f>MCF!R23</f>
        <v>0.8</v>
      </c>
      <c r="R24" s="87">
        <f t="shared" si="5"/>
        <v>2.3899599732096002E-2</v>
      </c>
      <c r="S24" s="87">
        <f t="shared" si="7"/>
        <v>2.3899599732096002E-2</v>
      </c>
      <c r="T24" s="87">
        <f t="shared" si="8"/>
        <v>0</v>
      </c>
      <c r="U24" s="87">
        <f t="shared" si="9"/>
        <v>0.11292114695535646</v>
      </c>
      <c r="V24" s="87">
        <f t="shared" si="10"/>
        <v>6.4547904815949568E-3</v>
      </c>
      <c r="W24" s="120">
        <f t="shared" si="11"/>
        <v>4.3031936543966379E-3</v>
      </c>
    </row>
    <row r="25" spans="2:23">
      <c r="B25" s="116">
        <f>Amnt_Deposited!B20</f>
        <v>2006</v>
      </c>
      <c r="C25" s="119">
        <f>Amnt_Deposited!H20</f>
        <v>0.25398427728959999</v>
      </c>
      <c r="D25" s="453">
        <f>Dry_Matter_Content!H12</f>
        <v>0.73</v>
      </c>
      <c r="E25" s="319">
        <f>MCF!R24</f>
        <v>0.8</v>
      </c>
      <c r="F25" s="87">
        <f t="shared" si="0"/>
        <v>2.2249022690568956E-2</v>
      </c>
      <c r="G25" s="87">
        <f t="shared" si="1"/>
        <v>2.2249022690568956E-2</v>
      </c>
      <c r="H25" s="87">
        <f t="shared" si="2"/>
        <v>0</v>
      </c>
      <c r="I25" s="87">
        <f t="shared" si="3"/>
        <v>0.11832339153712147</v>
      </c>
      <c r="J25" s="87">
        <f t="shared" si="4"/>
        <v>6.9661777502102737E-3</v>
      </c>
      <c r="K25" s="120">
        <f t="shared" si="6"/>
        <v>4.6441185001401819E-3</v>
      </c>
      <c r="N25" s="290"/>
      <c r="O25" s="116">
        <f>Amnt_Deposited!B20</f>
        <v>2006</v>
      </c>
      <c r="P25" s="119">
        <f>Amnt_Deposited!H20</f>
        <v>0.25398427728959999</v>
      </c>
      <c r="Q25" s="319">
        <f>MCF!R24</f>
        <v>0.8</v>
      </c>
      <c r="R25" s="87">
        <f t="shared" si="5"/>
        <v>2.4382490619801599E-2</v>
      </c>
      <c r="S25" s="87">
        <f t="shared" si="7"/>
        <v>2.4382490619801599E-2</v>
      </c>
      <c r="T25" s="87">
        <f t="shared" si="8"/>
        <v>0</v>
      </c>
      <c r="U25" s="87">
        <f t="shared" si="9"/>
        <v>0.12966947017766736</v>
      </c>
      <c r="V25" s="87">
        <f t="shared" si="10"/>
        <v>7.6341673974907095E-3</v>
      </c>
      <c r="W25" s="120">
        <f t="shared" si="11"/>
        <v>5.089444931660473E-3</v>
      </c>
    </row>
    <row r="26" spans="2:23">
      <c r="B26" s="116">
        <f>Amnt_Deposited!B21</f>
        <v>2007</v>
      </c>
      <c r="C26" s="119">
        <f>Amnt_Deposited!H21</f>
        <v>0.25900640164079997</v>
      </c>
      <c r="D26" s="453">
        <f>Dry_Matter_Content!H13</f>
        <v>0.73</v>
      </c>
      <c r="E26" s="319">
        <f>MCF!R25</f>
        <v>0.8</v>
      </c>
      <c r="F26" s="87">
        <f t="shared" si="0"/>
        <v>2.2688960783734079E-2</v>
      </c>
      <c r="G26" s="87">
        <f t="shared" si="1"/>
        <v>2.2688960783734079E-2</v>
      </c>
      <c r="H26" s="87">
        <f t="shared" si="2"/>
        <v>0</v>
      </c>
      <c r="I26" s="87">
        <f t="shared" si="3"/>
        <v>0.13301295980325792</v>
      </c>
      <c r="J26" s="87">
        <f t="shared" si="4"/>
        <v>7.9993925175976307E-3</v>
      </c>
      <c r="K26" s="120">
        <f t="shared" si="6"/>
        <v>5.3329283450650865E-3</v>
      </c>
      <c r="N26" s="290"/>
      <c r="O26" s="116">
        <f>Amnt_Deposited!B21</f>
        <v>2007</v>
      </c>
      <c r="P26" s="119">
        <f>Amnt_Deposited!H21</f>
        <v>0.25900640164079997</v>
      </c>
      <c r="Q26" s="319">
        <f>MCF!R25</f>
        <v>0.8</v>
      </c>
      <c r="R26" s="87">
        <f t="shared" si="5"/>
        <v>2.4864614557516797E-2</v>
      </c>
      <c r="S26" s="87">
        <f t="shared" si="7"/>
        <v>2.4864614557516797E-2</v>
      </c>
      <c r="T26" s="87">
        <f t="shared" si="8"/>
        <v>0</v>
      </c>
      <c r="U26" s="87">
        <f t="shared" si="9"/>
        <v>0.14576762718165251</v>
      </c>
      <c r="V26" s="87">
        <f t="shared" si="10"/>
        <v>8.7664575535316494E-3</v>
      </c>
      <c r="W26" s="120">
        <f t="shared" si="11"/>
        <v>5.8443050356877663E-3</v>
      </c>
    </row>
    <row r="27" spans="2:23">
      <c r="B27" s="116">
        <f>Amnt_Deposited!B22</f>
        <v>2008</v>
      </c>
      <c r="C27" s="119">
        <f>Amnt_Deposited!H22</f>
        <v>0.26398957931280004</v>
      </c>
      <c r="D27" s="453">
        <f>Dry_Matter_Content!H14</f>
        <v>0.73</v>
      </c>
      <c r="E27" s="319">
        <f>MCF!R26</f>
        <v>0.8</v>
      </c>
      <c r="F27" s="87">
        <f t="shared" si="0"/>
        <v>2.3125487147801285E-2</v>
      </c>
      <c r="G27" s="87">
        <f t="shared" si="1"/>
        <v>2.3125487147801285E-2</v>
      </c>
      <c r="H27" s="87">
        <f t="shared" si="2"/>
        <v>0</v>
      </c>
      <c r="I27" s="87">
        <f t="shared" si="3"/>
        <v>0.14714594883575727</v>
      </c>
      <c r="J27" s="87">
        <f t="shared" si="4"/>
        <v>8.9924981153019171E-3</v>
      </c>
      <c r="K27" s="120">
        <f t="shared" si="6"/>
        <v>5.9949987435346111E-3</v>
      </c>
      <c r="N27" s="290"/>
      <c r="O27" s="116">
        <f>Amnt_Deposited!B22</f>
        <v>2008</v>
      </c>
      <c r="P27" s="119">
        <f>Amnt_Deposited!H22</f>
        <v>0.26398957931280004</v>
      </c>
      <c r="Q27" s="319">
        <f>MCF!R26</f>
        <v>0.8</v>
      </c>
      <c r="R27" s="87">
        <f t="shared" si="5"/>
        <v>2.5342999614028805E-2</v>
      </c>
      <c r="S27" s="87">
        <f t="shared" si="7"/>
        <v>2.5342999614028805E-2</v>
      </c>
      <c r="T27" s="87">
        <f t="shared" si="8"/>
        <v>0</v>
      </c>
      <c r="U27" s="87">
        <f t="shared" si="9"/>
        <v>0.16125583434055593</v>
      </c>
      <c r="V27" s="87">
        <f t="shared" si="10"/>
        <v>9.8547924551253899E-3</v>
      </c>
      <c r="W27" s="120">
        <f t="shared" si="11"/>
        <v>6.5698616367502599E-3</v>
      </c>
    </row>
    <row r="28" spans="2:23">
      <c r="B28" s="116">
        <f>Amnt_Deposited!B23</f>
        <v>2009</v>
      </c>
      <c r="C28" s="119">
        <f>Amnt_Deposited!H23</f>
        <v>0.26889636157560004</v>
      </c>
      <c r="D28" s="453">
        <f>Dry_Matter_Content!H15</f>
        <v>0.73</v>
      </c>
      <c r="E28" s="319">
        <f>MCF!R27</f>
        <v>0.8</v>
      </c>
      <c r="F28" s="87">
        <f t="shared" si="0"/>
        <v>2.3555321274022562E-2</v>
      </c>
      <c r="G28" s="87">
        <f t="shared" si="1"/>
        <v>2.3555321274022562E-2</v>
      </c>
      <c r="H28" s="87">
        <f t="shared" si="2"/>
        <v>0</v>
      </c>
      <c r="I28" s="87">
        <f t="shared" si="3"/>
        <v>0.16075329459267951</v>
      </c>
      <c r="J28" s="87">
        <f t="shared" si="4"/>
        <v>9.9479755171003274E-3</v>
      </c>
      <c r="K28" s="120">
        <f t="shared" si="6"/>
        <v>6.6319836780668849E-3</v>
      </c>
      <c r="N28" s="290"/>
      <c r="O28" s="116">
        <f>Amnt_Deposited!B23</f>
        <v>2009</v>
      </c>
      <c r="P28" s="119">
        <f>Amnt_Deposited!H23</f>
        <v>0.26889636157560004</v>
      </c>
      <c r="Q28" s="319">
        <f>MCF!R27</f>
        <v>0.8</v>
      </c>
      <c r="R28" s="87">
        <f t="shared" si="5"/>
        <v>2.5814050711257603E-2</v>
      </c>
      <c r="S28" s="87">
        <f t="shared" si="7"/>
        <v>2.5814050711257603E-2</v>
      </c>
      <c r="T28" s="87">
        <f t="shared" si="8"/>
        <v>0</v>
      </c>
      <c r="U28" s="87">
        <f t="shared" si="9"/>
        <v>0.17616799407416936</v>
      </c>
      <c r="V28" s="87">
        <f t="shared" si="10"/>
        <v>1.0901890977644196E-2</v>
      </c>
      <c r="W28" s="120">
        <f t="shared" si="11"/>
        <v>7.2679273184294638E-3</v>
      </c>
    </row>
    <row r="29" spans="2:23">
      <c r="B29" s="116">
        <f>Amnt_Deposited!B24</f>
        <v>2010</v>
      </c>
      <c r="C29" s="119">
        <f>Amnt_Deposited!H24</f>
        <v>0.31291160155200004</v>
      </c>
      <c r="D29" s="453">
        <f>Dry_Matter_Content!H16</f>
        <v>0.73</v>
      </c>
      <c r="E29" s="319">
        <f>MCF!R28</f>
        <v>0.8</v>
      </c>
      <c r="F29" s="87">
        <f t="shared" si="0"/>
        <v>2.7411056295955201E-2</v>
      </c>
      <c r="G29" s="87">
        <f t="shared" si="1"/>
        <v>2.7411056295955201E-2</v>
      </c>
      <c r="H29" s="87">
        <f t="shared" si="2"/>
        <v>0</v>
      </c>
      <c r="I29" s="87">
        <f t="shared" si="3"/>
        <v>0.17729643470368986</v>
      </c>
      <c r="J29" s="87">
        <f t="shared" si="4"/>
        <v>1.0867916184944842E-2</v>
      </c>
      <c r="K29" s="120">
        <f t="shared" si="6"/>
        <v>7.245277456629895E-3</v>
      </c>
      <c r="O29" s="116">
        <f>Amnt_Deposited!B24</f>
        <v>2010</v>
      </c>
      <c r="P29" s="119">
        <f>Amnt_Deposited!H24</f>
        <v>0.31291160155200004</v>
      </c>
      <c r="Q29" s="319">
        <f>MCF!R28</f>
        <v>0.8</v>
      </c>
      <c r="R29" s="87">
        <f t="shared" si="5"/>
        <v>3.0039513748992004E-2</v>
      </c>
      <c r="S29" s="87">
        <f t="shared" si="7"/>
        <v>3.0039513748992004E-2</v>
      </c>
      <c r="T29" s="87">
        <f t="shared" si="8"/>
        <v>0</v>
      </c>
      <c r="U29" s="87">
        <f t="shared" si="9"/>
        <v>0.19429746268897521</v>
      </c>
      <c r="V29" s="87">
        <f t="shared" si="10"/>
        <v>1.191004513418613E-2</v>
      </c>
      <c r="W29" s="120">
        <f t="shared" si="11"/>
        <v>7.9400300894574196E-3</v>
      </c>
    </row>
    <row r="30" spans="2:23">
      <c r="B30" s="116">
        <f>Amnt_Deposited!B25</f>
        <v>2011</v>
      </c>
      <c r="C30" s="119">
        <f>Amnt_Deposited!H25</f>
        <v>0</v>
      </c>
      <c r="D30" s="453">
        <f>Dry_Matter_Content!H17</f>
        <v>0.73</v>
      </c>
      <c r="E30" s="319">
        <f>MCF!R29</f>
        <v>0.8</v>
      </c>
      <c r="F30" s="87">
        <f t="shared" si="0"/>
        <v>0</v>
      </c>
      <c r="G30" s="87">
        <f t="shared" si="1"/>
        <v>0</v>
      </c>
      <c r="H30" s="87">
        <f t="shared" si="2"/>
        <v>0</v>
      </c>
      <c r="I30" s="87">
        <f t="shared" si="3"/>
        <v>0.16531010000907892</v>
      </c>
      <c r="J30" s="87">
        <f t="shared" si="4"/>
        <v>1.1986334694610939E-2</v>
      </c>
      <c r="K30" s="120">
        <f t="shared" si="6"/>
        <v>7.9908897964072918E-3</v>
      </c>
      <c r="O30" s="116">
        <f>Amnt_Deposited!B25</f>
        <v>2011</v>
      </c>
      <c r="P30" s="119">
        <f>Amnt_Deposited!H25</f>
        <v>0</v>
      </c>
      <c r="Q30" s="319">
        <f>MCF!R29</f>
        <v>0.8</v>
      </c>
      <c r="R30" s="87">
        <f t="shared" si="5"/>
        <v>0</v>
      </c>
      <c r="S30" s="87">
        <f t="shared" si="7"/>
        <v>0</v>
      </c>
      <c r="T30" s="87">
        <f t="shared" si="8"/>
        <v>0</v>
      </c>
      <c r="U30" s="87">
        <f t="shared" si="9"/>
        <v>0.18116175343460705</v>
      </c>
      <c r="V30" s="87">
        <f t="shared" si="10"/>
        <v>1.3135709254368154E-2</v>
      </c>
      <c r="W30" s="120">
        <f t="shared" si="11"/>
        <v>8.7571395029121014E-3</v>
      </c>
    </row>
    <row r="31" spans="2:23">
      <c r="B31" s="116">
        <f>Amnt_Deposited!B26</f>
        <v>2012</v>
      </c>
      <c r="C31" s="119">
        <f>Amnt_Deposited!H26</f>
        <v>0</v>
      </c>
      <c r="D31" s="453">
        <f>Dry_Matter_Content!H18</f>
        <v>0.73</v>
      </c>
      <c r="E31" s="319">
        <f>MCF!R30</f>
        <v>0.8</v>
      </c>
      <c r="F31" s="87">
        <f t="shared" si="0"/>
        <v>0</v>
      </c>
      <c r="G31" s="87">
        <f t="shared" si="1"/>
        <v>0</v>
      </c>
      <c r="H31" s="87">
        <f t="shared" si="2"/>
        <v>0</v>
      </c>
      <c r="I31" s="87">
        <f t="shared" si="3"/>
        <v>0.15413411561649942</v>
      </c>
      <c r="J31" s="87">
        <f t="shared" si="4"/>
        <v>1.1175984392579491E-2</v>
      </c>
      <c r="K31" s="120">
        <f t="shared" si="6"/>
        <v>7.4506562617196606E-3</v>
      </c>
      <c r="O31" s="116">
        <f>Amnt_Deposited!B26</f>
        <v>2012</v>
      </c>
      <c r="P31" s="119">
        <f>Amnt_Deposited!H26</f>
        <v>0</v>
      </c>
      <c r="Q31" s="319">
        <f>MCF!R30</f>
        <v>0.8</v>
      </c>
      <c r="R31" s="87">
        <f t="shared" si="5"/>
        <v>0</v>
      </c>
      <c r="S31" s="87">
        <f t="shared" si="7"/>
        <v>0</v>
      </c>
      <c r="T31" s="87">
        <f t="shared" si="8"/>
        <v>0</v>
      </c>
      <c r="U31" s="87">
        <f t="shared" si="9"/>
        <v>0.16891409930575282</v>
      </c>
      <c r="V31" s="87">
        <f t="shared" si="10"/>
        <v>1.2247654128854238E-2</v>
      </c>
      <c r="W31" s="120">
        <f t="shared" si="11"/>
        <v>8.1651027525694916E-3</v>
      </c>
    </row>
    <row r="32" spans="2:23">
      <c r="B32" s="116">
        <f>Amnt_Deposited!B27</f>
        <v>2013</v>
      </c>
      <c r="C32" s="119">
        <f>Amnt_Deposited!H27</f>
        <v>0</v>
      </c>
      <c r="D32" s="453">
        <f>Dry_Matter_Content!H19</f>
        <v>0.73</v>
      </c>
      <c r="E32" s="319">
        <f>MCF!R31</f>
        <v>0.8</v>
      </c>
      <c r="F32" s="87">
        <f t="shared" si="0"/>
        <v>0</v>
      </c>
      <c r="G32" s="87">
        <f t="shared" si="1"/>
        <v>0</v>
      </c>
      <c r="H32" s="87">
        <f t="shared" si="2"/>
        <v>0</v>
      </c>
      <c r="I32" s="87">
        <f t="shared" si="3"/>
        <v>0.14371369683749297</v>
      </c>
      <c r="J32" s="87">
        <f t="shared" si="4"/>
        <v>1.042041877900645E-2</v>
      </c>
      <c r="K32" s="120">
        <f t="shared" si="6"/>
        <v>6.9469458526709663E-3</v>
      </c>
      <c r="O32" s="116">
        <f>Amnt_Deposited!B27</f>
        <v>2013</v>
      </c>
      <c r="P32" s="119">
        <f>Amnt_Deposited!H27</f>
        <v>0</v>
      </c>
      <c r="Q32" s="319">
        <f>MCF!R31</f>
        <v>0.8</v>
      </c>
      <c r="R32" s="87">
        <f t="shared" si="5"/>
        <v>0</v>
      </c>
      <c r="S32" s="87">
        <f t="shared" si="7"/>
        <v>0</v>
      </c>
      <c r="T32" s="87">
        <f t="shared" si="8"/>
        <v>0</v>
      </c>
      <c r="U32" s="87">
        <f t="shared" si="9"/>
        <v>0.15749446228766356</v>
      </c>
      <c r="V32" s="87">
        <f t="shared" si="10"/>
        <v>1.1419637018089263E-2</v>
      </c>
      <c r="W32" s="120">
        <f t="shared" si="11"/>
        <v>7.6130913453928417E-3</v>
      </c>
    </row>
    <row r="33" spans="2:23">
      <c r="B33" s="116">
        <f>Amnt_Deposited!B28</f>
        <v>2014</v>
      </c>
      <c r="C33" s="119">
        <f>Amnt_Deposited!H28</f>
        <v>0</v>
      </c>
      <c r="D33" s="453">
        <f>Dry_Matter_Content!H20</f>
        <v>0.73</v>
      </c>
      <c r="E33" s="319">
        <f>MCF!R32</f>
        <v>0.8</v>
      </c>
      <c r="F33" s="87">
        <f t="shared" si="0"/>
        <v>0</v>
      </c>
      <c r="G33" s="87">
        <f t="shared" si="1"/>
        <v>0</v>
      </c>
      <c r="H33" s="87">
        <f t="shared" si="2"/>
        <v>0</v>
      </c>
      <c r="I33" s="87">
        <f t="shared" si="3"/>
        <v>0.13399776276711547</v>
      </c>
      <c r="J33" s="87">
        <f t="shared" si="4"/>
        <v>9.7159340703775014E-3</v>
      </c>
      <c r="K33" s="120">
        <f t="shared" si="6"/>
        <v>6.4772893802516676E-3</v>
      </c>
      <c r="O33" s="116">
        <f>Amnt_Deposited!B28</f>
        <v>2014</v>
      </c>
      <c r="P33" s="119">
        <f>Amnt_Deposited!H28</f>
        <v>0</v>
      </c>
      <c r="Q33" s="319">
        <f>MCF!R32</f>
        <v>0.8</v>
      </c>
      <c r="R33" s="87">
        <f t="shared" si="5"/>
        <v>0</v>
      </c>
      <c r="S33" s="87">
        <f t="shared" si="7"/>
        <v>0</v>
      </c>
      <c r="T33" s="87">
        <f t="shared" si="8"/>
        <v>0</v>
      </c>
      <c r="U33" s="87">
        <f t="shared" si="9"/>
        <v>0.14684686330642793</v>
      </c>
      <c r="V33" s="87">
        <f t="shared" si="10"/>
        <v>1.064759898123562E-2</v>
      </c>
      <c r="W33" s="120">
        <f t="shared" si="11"/>
        <v>7.0983993208237461E-3</v>
      </c>
    </row>
    <row r="34" spans="2:23">
      <c r="B34" s="116">
        <f>Amnt_Deposited!B29</f>
        <v>2015</v>
      </c>
      <c r="C34" s="119">
        <f>Amnt_Deposited!H29</f>
        <v>0</v>
      </c>
      <c r="D34" s="453">
        <f>Dry_Matter_Content!H21</f>
        <v>0.73</v>
      </c>
      <c r="E34" s="319">
        <f>MCF!R33</f>
        <v>0.8</v>
      </c>
      <c r="F34" s="87">
        <f t="shared" si="0"/>
        <v>0</v>
      </c>
      <c r="G34" s="87">
        <f t="shared" si="1"/>
        <v>0</v>
      </c>
      <c r="H34" s="87">
        <f t="shared" si="2"/>
        <v>0</v>
      </c>
      <c r="I34" s="87">
        <f t="shared" si="3"/>
        <v>0.12493868588528184</v>
      </c>
      <c r="J34" s="87">
        <f t="shared" si="4"/>
        <v>9.0590768818336279E-3</v>
      </c>
      <c r="K34" s="120">
        <f t="shared" si="6"/>
        <v>6.0393845878890847E-3</v>
      </c>
      <c r="O34" s="116">
        <f>Amnt_Deposited!B29</f>
        <v>2015</v>
      </c>
      <c r="P34" s="119">
        <f>Amnt_Deposited!H29</f>
        <v>0</v>
      </c>
      <c r="Q34" s="319">
        <f>MCF!R33</f>
        <v>0.8</v>
      </c>
      <c r="R34" s="87">
        <f t="shared" si="5"/>
        <v>0</v>
      </c>
      <c r="S34" s="87">
        <f t="shared" si="7"/>
        <v>0</v>
      </c>
      <c r="T34" s="87">
        <f t="shared" si="8"/>
        <v>0</v>
      </c>
      <c r="U34" s="87">
        <f t="shared" si="9"/>
        <v>0.13691910781948696</v>
      </c>
      <c r="V34" s="87">
        <f t="shared" si="10"/>
        <v>9.9277554869409632E-3</v>
      </c>
      <c r="W34" s="120">
        <f t="shared" si="11"/>
        <v>6.6185036579606421E-3</v>
      </c>
    </row>
    <row r="35" spans="2:23">
      <c r="B35" s="116">
        <f>Amnt_Deposited!B30</f>
        <v>2016</v>
      </c>
      <c r="C35" s="119">
        <f>Amnt_Deposited!H30</f>
        <v>0</v>
      </c>
      <c r="D35" s="453">
        <f>Dry_Matter_Content!H22</f>
        <v>0.73</v>
      </c>
      <c r="E35" s="319">
        <f>MCF!R34</f>
        <v>0.8</v>
      </c>
      <c r="F35" s="87">
        <f t="shared" si="0"/>
        <v>0</v>
      </c>
      <c r="G35" s="87">
        <f t="shared" si="1"/>
        <v>0</v>
      </c>
      <c r="H35" s="87">
        <f t="shared" si="2"/>
        <v>0</v>
      </c>
      <c r="I35" s="87">
        <f t="shared" si="3"/>
        <v>0.11649205858660731</v>
      </c>
      <c r="J35" s="87">
        <f t="shared" si="4"/>
        <v>8.4466272986745226E-3</v>
      </c>
      <c r="K35" s="120">
        <f t="shared" si="6"/>
        <v>5.6310848657830145E-3</v>
      </c>
      <c r="O35" s="116">
        <f>Amnt_Deposited!B30</f>
        <v>2016</v>
      </c>
      <c r="P35" s="119">
        <f>Amnt_Deposited!H30</f>
        <v>0</v>
      </c>
      <c r="Q35" s="319">
        <f>MCF!R34</f>
        <v>0.8</v>
      </c>
      <c r="R35" s="87">
        <f t="shared" si="5"/>
        <v>0</v>
      </c>
      <c r="S35" s="87">
        <f t="shared" si="7"/>
        <v>0</v>
      </c>
      <c r="T35" s="87">
        <f t="shared" si="8"/>
        <v>0</v>
      </c>
      <c r="U35" s="87">
        <f t="shared" si="9"/>
        <v>0.12766252995792585</v>
      </c>
      <c r="V35" s="87">
        <f t="shared" si="10"/>
        <v>9.2565778615611213E-3</v>
      </c>
      <c r="W35" s="120">
        <f t="shared" si="11"/>
        <v>6.1710519077074139E-3</v>
      </c>
    </row>
    <row r="36" spans="2:23">
      <c r="B36" s="116">
        <f>Amnt_Deposited!B31</f>
        <v>2017</v>
      </c>
      <c r="C36" s="119">
        <f>Amnt_Deposited!H31</f>
        <v>0</v>
      </c>
      <c r="D36" s="453">
        <f>Dry_Matter_Content!H23</f>
        <v>0.73</v>
      </c>
      <c r="E36" s="319">
        <f>MCF!R35</f>
        <v>0.8</v>
      </c>
      <c r="F36" s="87">
        <f t="shared" si="0"/>
        <v>0</v>
      </c>
      <c r="G36" s="87">
        <f t="shared" si="1"/>
        <v>0</v>
      </c>
      <c r="H36" s="87">
        <f t="shared" si="2"/>
        <v>0</v>
      </c>
      <c r="I36" s="87">
        <f t="shared" si="3"/>
        <v>0.10861647549427432</v>
      </c>
      <c r="J36" s="87">
        <f t="shared" si="4"/>
        <v>7.8755830923329991E-3</v>
      </c>
      <c r="K36" s="120">
        <f t="shared" si="6"/>
        <v>5.2503887282219991E-3</v>
      </c>
      <c r="O36" s="116">
        <f>Amnt_Deposited!B31</f>
        <v>2017</v>
      </c>
      <c r="P36" s="119">
        <f>Amnt_Deposited!H31</f>
        <v>0</v>
      </c>
      <c r="Q36" s="319">
        <f>MCF!R35</f>
        <v>0.8</v>
      </c>
      <c r="R36" s="87">
        <f t="shared" si="5"/>
        <v>0</v>
      </c>
      <c r="S36" s="87">
        <f t="shared" si="7"/>
        <v>0</v>
      </c>
      <c r="T36" s="87">
        <f t="shared" si="8"/>
        <v>0</v>
      </c>
      <c r="U36" s="87">
        <f t="shared" si="9"/>
        <v>0.11903175396632804</v>
      </c>
      <c r="V36" s="87">
        <f t="shared" si="10"/>
        <v>8.6307759915978093E-3</v>
      </c>
      <c r="W36" s="120">
        <f t="shared" si="11"/>
        <v>5.7538506610652056E-3</v>
      </c>
    </row>
    <row r="37" spans="2:23">
      <c r="B37" s="116">
        <f>Amnt_Deposited!B32</f>
        <v>2018</v>
      </c>
      <c r="C37" s="119">
        <f>Amnt_Deposited!H32</f>
        <v>0</v>
      </c>
      <c r="D37" s="453">
        <f>Dry_Matter_Content!H24</f>
        <v>0.73</v>
      </c>
      <c r="E37" s="319">
        <f>MCF!R36</f>
        <v>0.8</v>
      </c>
      <c r="F37" s="87">
        <f t="shared" si="0"/>
        <v>0</v>
      </c>
      <c r="G37" s="87">
        <f t="shared" si="1"/>
        <v>0</v>
      </c>
      <c r="H37" s="87">
        <f t="shared" si="2"/>
        <v>0</v>
      </c>
      <c r="I37" s="87">
        <f t="shared" si="3"/>
        <v>0.10127333049082725</v>
      </c>
      <c r="J37" s="87">
        <f t="shared" si="4"/>
        <v>7.3431450034470661E-3</v>
      </c>
      <c r="K37" s="120">
        <f t="shared" si="6"/>
        <v>4.8954300022980438E-3</v>
      </c>
      <c r="O37" s="116">
        <f>Amnt_Deposited!B32</f>
        <v>2018</v>
      </c>
      <c r="P37" s="119">
        <f>Amnt_Deposited!H32</f>
        <v>0</v>
      </c>
      <c r="Q37" s="319">
        <f>MCF!R36</f>
        <v>0.8</v>
      </c>
      <c r="R37" s="87">
        <f t="shared" si="5"/>
        <v>0</v>
      </c>
      <c r="S37" s="87">
        <f t="shared" si="7"/>
        <v>0</v>
      </c>
      <c r="T37" s="87">
        <f t="shared" si="8"/>
        <v>0</v>
      </c>
      <c r="U37" s="87">
        <f t="shared" si="9"/>
        <v>0.1109844717707696</v>
      </c>
      <c r="V37" s="87">
        <f t="shared" si="10"/>
        <v>8.0472821955584299E-3</v>
      </c>
      <c r="W37" s="120">
        <f t="shared" si="11"/>
        <v>5.3648547970389527E-3</v>
      </c>
    </row>
    <row r="38" spans="2:23">
      <c r="B38" s="116">
        <f>Amnt_Deposited!B33</f>
        <v>2019</v>
      </c>
      <c r="C38" s="119">
        <f>Amnt_Deposited!H33</f>
        <v>0</v>
      </c>
      <c r="D38" s="453">
        <f>Dry_Matter_Content!H25</f>
        <v>0.73</v>
      </c>
      <c r="E38" s="319">
        <f>MCF!R37</f>
        <v>0.8</v>
      </c>
      <c r="F38" s="87">
        <f t="shared" si="0"/>
        <v>0</v>
      </c>
      <c r="G38" s="87">
        <f t="shared" si="1"/>
        <v>0</v>
      </c>
      <c r="H38" s="87">
        <f t="shared" si="2"/>
        <v>0</v>
      </c>
      <c r="I38" s="87">
        <f t="shared" si="3"/>
        <v>9.4426627470939967E-2</v>
      </c>
      <c r="J38" s="87">
        <f t="shared" si="4"/>
        <v>6.8467030198872871E-3</v>
      </c>
      <c r="K38" s="120">
        <f t="shared" si="6"/>
        <v>4.5644686799248581E-3</v>
      </c>
      <c r="O38" s="116">
        <f>Amnt_Deposited!B33</f>
        <v>2019</v>
      </c>
      <c r="P38" s="119">
        <f>Amnt_Deposited!H33</f>
        <v>0</v>
      </c>
      <c r="Q38" s="319">
        <f>MCF!R37</f>
        <v>0.8</v>
      </c>
      <c r="R38" s="87">
        <f t="shared" si="5"/>
        <v>0</v>
      </c>
      <c r="S38" s="87">
        <f t="shared" si="7"/>
        <v>0</v>
      </c>
      <c r="T38" s="87">
        <f t="shared" si="8"/>
        <v>0</v>
      </c>
      <c r="U38" s="87">
        <f t="shared" si="9"/>
        <v>0.10348123558459175</v>
      </c>
      <c r="V38" s="87">
        <f t="shared" si="10"/>
        <v>7.50323618617785E-3</v>
      </c>
      <c r="W38" s="120">
        <f t="shared" si="11"/>
        <v>5.0021574574518994E-3</v>
      </c>
    </row>
    <row r="39" spans="2:23">
      <c r="B39" s="116">
        <f>Amnt_Deposited!B34</f>
        <v>2020</v>
      </c>
      <c r="C39" s="119">
        <f>Amnt_Deposited!H34</f>
        <v>0</v>
      </c>
      <c r="D39" s="453">
        <f>Dry_Matter_Content!H26</f>
        <v>0.73</v>
      </c>
      <c r="E39" s="319">
        <f>MCF!R38</f>
        <v>0.8</v>
      </c>
      <c r="F39" s="87">
        <f t="shared" si="0"/>
        <v>0</v>
      </c>
      <c r="G39" s="87">
        <f t="shared" si="1"/>
        <v>0</v>
      </c>
      <c r="H39" s="87">
        <f t="shared" si="2"/>
        <v>0</v>
      </c>
      <c r="I39" s="87">
        <f t="shared" si="3"/>
        <v>8.8042803888465665E-2</v>
      </c>
      <c r="J39" s="87">
        <f t="shared" si="4"/>
        <v>6.3838235824742991E-3</v>
      </c>
      <c r="K39" s="120">
        <f t="shared" si="6"/>
        <v>4.2558823883161994E-3</v>
      </c>
      <c r="O39" s="116">
        <f>Amnt_Deposited!B34</f>
        <v>2020</v>
      </c>
      <c r="P39" s="119">
        <f>Amnt_Deposited!H34</f>
        <v>0</v>
      </c>
      <c r="Q39" s="319">
        <f>MCF!R38</f>
        <v>0.8</v>
      </c>
      <c r="R39" s="87">
        <f t="shared" si="5"/>
        <v>0</v>
      </c>
      <c r="S39" s="87">
        <f t="shared" si="7"/>
        <v>0</v>
      </c>
      <c r="T39" s="87">
        <f t="shared" si="8"/>
        <v>0</v>
      </c>
      <c r="U39" s="87">
        <f t="shared" si="9"/>
        <v>9.6485264535304857E-2</v>
      </c>
      <c r="V39" s="87">
        <f t="shared" si="10"/>
        <v>6.9959710492869046E-3</v>
      </c>
      <c r="W39" s="120">
        <f t="shared" si="11"/>
        <v>4.663980699524603E-3</v>
      </c>
    </row>
    <row r="40" spans="2:23">
      <c r="B40" s="116">
        <f>Amnt_Deposited!B35</f>
        <v>2021</v>
      </c>
      <c r="C40" s="119">
        <f>Amnt_Deposited!H35</f>
        <v>0</v>
      </c>
      <c r="D40" s="453">
        <f>Dry_Matter_Content!H27</f>
        <v>0.73</v>
      </c>
      <c r="E40" s="319">
        <f>MCF!R39</f>
        <v>0.8</v>
      </c>
      <c r="F40" s="87">
        <f t="shared" si="0"/>
        <v>0</v>
      </c>
      <c r="G40" s="87">
        <f t="shared" si="1"/>
        <v>0</v>
      </c>
      <c r="H40" s="87">
        <f t="shared" si="2"/>
        <v>0</v>
      </c>
      <c r="I40" s="87">
        <f t="shared" si="3"/>
        <v>8.2090566232796772E-2</v>
      </c>
      <c r="J40" s="87">
        <f t="shared" si="4"/>
        <v>5.9522376556688872E-3</v>
      </c>
      <c r="K40" s="120">
        <f t="shared" si="6"/>
        <v>3.9681584371125912E-3</v>
      </c>
      <c r="O40" s="116">
        <f>Amnt_Deposited!B35</f>
        <v>2021</v>
      </c>
      <c r="P40" s="119">
        <f>Amnt_Deposited!H35</f>
        <v>0</v>
      </c>
      <c r="Q40" s="319">
        <f>MCF!R39</f>
        <v>0.8</v>
      </c>
      <c r="R40" s="87">
        <f t="shared" si="5"/>
        <v>0</v>
      </c>
      <c r="S40" s="87">
        <f t="shared" si="7"/>
        <v>0</v>
      </c>
      <c r="T40" s="87">
        <f t="shared" si="8"/>
        <v>0</v>
      </c>
      <c r="U40" s="87">
        <f t="shared" si="9"/>
        <v>8.9962264364708819E-2</v>
      </c>
      <c r="V40" s="87">
        <f t="shared" si="10"/>
        <v>6.5230001705960427E-3</v>
      </c>
      <c r="W40" s="120">
        <f t="shared" si="11"/>
        <v>4.3486667803973615E-3</v>
      </c>
    </row>
    <row r="41" spans="2:23">
      <c r="B41" s="116">
        <f>Amnt_Deposited!B36</f>
        <v>2022</v>
      </c>
      <c r="C41" s="119">
        <f>Amnt_Deposited!H36</f>
        <v>0</v>
      </c>
      <c r="D41" s="453">
        <f>Dry_Matter_Content!H28</f>
        <v>0.73</v>
      </c>
      <c r="E41" s="319">
        <f>MCF!R40</f>
        <v>0.8</v>
      </c>
      <c r="F41" s="87">
        <f t="shared" si="0"/>
        <v>0</v>
      </c>
      <c r="G41" s="87">
        <f t="shared" si="1"/>
        <v>0</v>
      </c>
      <c r="H41" s="87">
        <f t="shared" si="2"/>
        <v>0</v>
      </c>
      <c r="I41" s="87">
        <f t="shared" si="3"/>
        <v>7.6540736628039632E-2</v>
      </c>
      <c r="J41" s="87">
        <f t="shared" si="4"/>
        <v>5.5498296047571402E-3</v>
      </c>
      <c r="K41" s="120">
        <f t="shared" si="6"/>
        <v>3.6998864031714267E-3</v>
      </c>
      <c r="O41" s="116">
        <f>Amnt_Deposited!B36</f>
        <v>2022</v>
      </c>
      <c r="P41" s="119">
        <f>Amnt_Deposited!H36</f>
        <v>0</v>
      </c>
      <c r="Q41" s="319">
        <f>MCF!R40</f>
        <v>0.8</v>
      </c>
      <c r="R41" s="87">
        <f t="shared" si="5"/>
        <v>0</v>
      </c>
      <c r="S41" s="87">
        <f t="shared" si="7"/>
        <v>0</v>
      </c>
      <c r="T41" s="87">
        <f t="shared" si="8"/>
        <v>0</v>
      </c>
      <c r="U41" s="87">
        <f t="shared" si="9"/>
        <v>8.3880259318399625E-2</v>
      </c>
      <c r="V41" s="87">
        <f t="shared" si="10"/>
        <v>6.0820050463091966E-3</v>
      </c>
      <c r="W41" s="120">
        <f t="shared" si="11"/>
        <v>4.0546700308727972E-3</v>
      </c>
    </row>
    <row r="42" spans="2:23">
      <c r="B42" s="116">
        <f>Amnt_Deposited!B37</f>
        <v>2023</v>
      </c>
      <c r="C42" s="119">
        <f>Amnt_Deposited!H37</f>
        <v>0</v>
      </c>
      <c r="D42" s="453">
        <f>Dry_Matter_Content!H29</f>
        <v>0.73</v>
      </c>
      <c r="E42" s="319">
        <f>MCF!R41</f>
        <v>0.8</v>
      </c>
      <c r="F42" s="87">
        <f t="shared" si="0"/>
        <v>0</v>
      </c>
      <c r="G42" s="87">
        <f t="shared" si="1"/>
        <v>0</v>
      </c>
      <c r="H42" s="87">
        <f t="shared" si="2"/>
        <v>0</v>
      </c>
      <c r="I42" s="87">
        <f t="shared" si="3"/>
        <v>7.1366109803032998E-2</v>
      </c>
      <c r="J42" s="87">
        <f t="shared" si="4"/>
        <v>5.1746268250066289E-3</v>
      </c>
      <c r="K42" s="120">
        <f t="shared" si="6"/>
        <v>3.4497512166710856E-3</v>
      </c>
      <c r="O42" s="116">
        <f>Amnt_Deposited!B37</f>
        <v>2023</v>
      </c>
      <c r="P42" s="119">
        <f>Amnt_Deposited!H37</f>
        <v>0</v>
      </c>
      <c r="Q42" s="319">
        <f>MCF!R41</f>
        <v>0.8</v>
      </c>
      <c r="R42" s="87">
        <f t="shared" si="5"/>
        <v>0</v>
      </c>
      <c r="S42" s="87">
        <f t="shared" si="7"/>
        <v>0</v>
      </c>
      <c r="T42" s="87">
        <f t="shared" si="8"/>
        <v>0</v>
      </c>
      <c r="U42" s="87">
        <f t="shared" si="9"/>
        <v>7.8209435400584143E-2</v>
      </c>
      <c r="V42" s="87">
        <f t="shared" si="10"/>
        <v>5.6708239178154853E-3</v>
      </c>
      <c r="W42" s="120">
        <f t="shared" si="11"/>
        <v>3.7805492785436567E-3</v>
      </c>
    </row>
    <row r="43" spans="2:23">
      <c r="B43" s="116">
        <f>Amnt_Deposited!B38</f>
        <v>2024</v>
      </c>
      <c r="C43" s="119">
        <f>Amnt_Deposited!H38</f>
        <v>0</v>
      </c>
      <c r="D43" s="453">
        <f>Dry_Matter_Content!H30</f>
        <v>0.73</v>
      </c>
      <c r="E43" s="319">
        <f>MCF!R42</f>
        <v>0.8</v>
      </c>
      <c r="F43" s="87">
        <f t="shared" si="0"/>
        <v>0</v>
      </c>
      <c r="G43" s="87">
        <f t="shared" si="1"/>
        <v>0</v>
      </c>
      <c r="H43" s="87">
        <f t="shared" si="2"/>
        <v>0</v>
      </c>
      <c r="I43" s="87">
        <f t="shared" si="3"/>
        <v>6.6541319731077284E-2</v>
      </c>
      <c r="J43" s="87">
        <f t="shared" si="4"/>
        <v>4.824790071955719E-3</v>
      </c>
      <c r="K43" s="120">
        <f t="shared" si="6"/>
        <v>3.2165267146371458E-3</v>
      </c>
      <c r="O43" s="116">
        <f>Amnt_Deposited!B38</f>
        <v>2024</v>
      </c>
      <c r="P43" s="119">
        <f>Amnt_Deposited!H38</f>
        <v>0</v>
      </c>
      <c r="Q43" s="319">
        <f>MCF!R42</f>
        <v>0.8</v>
      </c>
      <c r="R43" s="87">
        <f t="shared" si="5"/>
        <v>0</v>
      </c>
      <c r="S43" s="87">
        <f t="shared" si="7"/>
        <v>0</v>
      </c>
      <c r="T43" s="87">
        <f t="shared" si="8"/>
        <v>0</v>
      </c>
      <c r="U43" s="87">
        <f t="shared" si="9"/>
        <v>7.2921994225838144E-2</v>
      </c>
      <c r="V43" s="87">
        <f t="shared" si="10"/>
        <v>5.2874411747459958E-3</v>
      </c>
      <c r="W43" s="120">
        <f t="shared" si="11"/>
        <v>3.5249607831639969E-3</v>
      </c>
    </row>
    <row r="44" spans="2:23">
      <c r="B44" s="116">
        <f>Amnt_Deposited!B39</f>
        <v>2025</v>
      </c>
      <c r="C44" s="119">
        <f>Amnt_Deposited!H39</f>
        <v>0</v>
      </c>
      <c r="D44" s="453">
        <f>Dry_Matter_Content!H31</f>
        <v>0.73</v>
      </c>
      <c r="E44" s="319">
        <f>MCF!R43</f>
        <v>0.8</v>
      </c>
      <c r="F44" s="87">
        <f t="shared" si="0"/>
        <v>0</v>
      </c>
      <c r="G44" s="87">
        <f t="shared" si="1"/>
        <v>0</v>
      </c>
      <c r="H44" s="87">
        <f t="shared" si="2"/>
        <v>0</v>
      </c>
      <c r="I44" s="87">
        <f t="shared" si="3"/>
        <v>6.2042715285642196E-2</v>
      </c>
      <c r="J44" s="87">
        <f t="shared" si="4"/>
        <v>4.4986044454350888E-3</v>
      </c>
      <c r="K44" s="120">
        <f t="shared" si="6"/>
        <v>2.9990696302900589E-3</v>
      </c>
      <c r="O44" s="116">
        <f>Amnt_Deposited!B39</f>
        <v>2025</v>
      </c>
      <c r="P44" s="119">
        <f>Amnt_Deposited!H39</f>
        <v>0</v>
      </c>
      <c r="Q44" s="319">
        <f>MCF!R43</f>
        <v>0.8</v>
      </c>
      <c r="R44" s="87">
        <f t="shared" si="5"/>
        <v>0</v>
      </c>
      <c r="S44" s="87">
        <f t="shared" si="7"/>
        <v>0</v>
      </c>
      <c r="T44" s="87">
        <f t="shared" si="8"/>
        <v>0</v>
      </c>
      <c r="U44" s="87">
        <f t="shared" si="9"/>
        <v>6.7992016751388731E-2</v>
      </c>
      <c r="V44" s="87">
        <f t="shared" si="10"/>
        <v>4.9299774744494132E-3</v>
      </c>
      <c r="W44" s="120">
        <f t="shared" si="11"/>
        <v>3.2866516496329419E-3</v>
      </c>
    </row>
    <row r="45" spans="2:23">
      <c r="B45" s="116">
        <f>Amnt_Deposited!B40</f>
        <v>2026</v>
      </c>
      <c r="C45" s="119">
        <f>Amnt_Deposited!H40</f>
        <v>0</v>
      </c>
      <c r="D45" s="453">
        <f>Dry_Matter_Content!H32</f>
        <v>0.73</v>
      </c>
      <c r="E45" s="319">
        <f>MCF!R44</f>
        <v>0.8</v>
      </c>
      <c r="F45" s="87">
        <f t="shared" si="0"/>
        <v>0</v>
      </c>
      <c r="G45" s="87">
        <f t="shared" si="1"/>
        <v>0</v>
      </c>
      <c r="H45" s="87">
        <f t="shared" si="2"/>
        <v>0</v>
      </c>
      <c r="I45" s="87">
        <f t="shared" si="3"/>
        <v>5.7848244302517095E-2</v>
      </c>
      <c r="J45" s="87">
        <f t="shared" si="4"/>
        <v>4.1944709831251018E-3</v>
      </c>
      <c r="K45" s="120">
        <f t="shared" si="6"/>
        <v>2.7963139887500679E-3</v>
      </c>
      <c r="O45" s="116">
        <f>Amnt_Deposited!B40</f>
        <v>2026</v>
      </c>
      <c r="P45" s="119">
        <f>Amnt_Deposited!H40</f>
        <v>0</v>
      </c>
      <c r="Q45" s="319">
        <f>MCF!R44</f>
        <v>0.8</v>
      </c>
      <c r="R45" s="87">
        <f t="shared" si="5"/>
        <v>0</v>
      </c>
      <c r="S45" s="87">
        <f t="shared" si="7"/>
        <v>0</v>
      </c>
      <c r="T45" s="87">
        <f t="shared" si="8"/>
        <v>0</v>
      </c>
      <c r="U45" s="87">
        <f t="shared" si="9"/>
        <v>6.3395336221936563E-2</v>
      </c>
      <c r="V45" s="87">
        <f t="shared" si="10"/>
        <v>4.5966805294521684E-3</v>
      </c>
      <c r="W45" s="120">
        <f t="shared" si="11"/>
        <v>3.0644536863014453E-3</v>
      </c>
    </row>
    <row r="46" spans="2:23">
      <c r="B46" s="116">
        <f>Amnt_Deposited!B41</f>
        <v>2027</v>
      </c>
      <c r="C46" s="119">
        <f>Amnt_Deposited!H41</f>
        <v>0</v>
      </c>
      <c r="D46" s="453">
        <f>Dry_Matter_Content!H33</f>
        <v>0.73</v>
      </c>
      <c r="E46" s="319">
        <f>MCF!R45</f>
        <v>0.8</v>
      </c>
      <c r="F46" s="87">
        <f t="shared" si="0"/>
        <v>0</v>
      </c>
      <c r="G46" s="87">
        <f t="shared" si="1"/>
        <v>0</v>
      </c>
      <c r="H46" s="87">
        <f t="shared" si="2"/>
        <v>0</v>
      </c>
      <c r="I46" s="87">
        <f t="shared" si="3"/>
        <v>5.3937345480076421E-2</v>
      </c>
      <c r="J46" s="87">
        <f t="shared" si="4"/>
        <v>3.9108988224406723E-3</v>
      </c>
      <c r="K46" s="120">
        <f t="shared" si="6"/>
        <v>2.6072658816271147E-3</v>
      </c>
      <c r="O46" s="116">
        <f>Amnt_Deposited!B41</f>
        <v>2027</v>
      </c>
      <c r="P46" s="119">
        <f>Amnt_Deposited!H41</f>
        <v>0</v>
      </c>
      <c r="Q46" s="319">
        <f>MCF!R45</f>
        <v>0.8</v>
      </c>
      <c r="R46" s="87">
        <f t="shared" si="5"/>
        <v>0</v>
      </c>
      <c r="S46" s="87">
        <f t="shared" si="7"/>
        <v>0</v>
      </c>
      <c r="T46" s="87">
        <f t="shared" si="8"/>
        <v>0</v>
      </c>
      <c r="U46" s="87">
        <f t="shared" si="9"/>
        <v>5.910941970419336E-2</v>
      </c>
      <c r="V46" s="87">
        <f t="shared" si="10"/>
        <v>4.2859165177432041E-3</v>
      </c>
      <c r="W46" s="120">
        <f t="shared" si="11"/>
        <v>2.8572776784954691E-3</v>
      </c>
    </row>
    <row r="47" spans="2:23">
      <c r="B47" s="116">
        <f>Amnt_Deposited!B42</f>
        <v>2028</v>
      </c>
      <c r="C47" s="119">
        <f>Amnt_Deposited!H42</f>
        <v>0</v>
      </c>
      <c r="D47" s="453">
        <f>Dry_Matter_Content!H34</f>
        <v>0.73</v>
      </c>
      <c r="E47" s="319">
        <f>MCF!R46</f>
        <v>0.8</v>
      </c>
      <c r="F47" s="87">
        <f t="shared" si="0"/>
        <v>0</v>
      </c>
      <c r="G47" s="87">
        <f t="shared" si="1"/>
        <v>0</v>
      </c>
      <c r="H47" s="87">
        <f t="shared" si="2"/>
        <v>0</v>
      </c>
      <c r="I47" s="87">
        <f t="shared" si="3"/>
        <v>5.0290847587755289E-2</v>
      </c>
      <c r="J47" s="87">
        <f t="shared" si="4"/>
        <v>3.6464978923211335E-3</v>
      </c>
      <c r="K47" s="120">
        <f t="shared" si="6"/>
        <v>2.4309985948807555E-3</v>
      </c>
      <c r="O47" s="116">
        <f>Amnt_Deposited!B42</f>
        <v>2028</v>
      </c>
      <c r="P47" s="119">
        <f>Amnt_Deposited!H42</f>
        <v>0</v>
      </c>
      <c r="Q47" s="319">
        <f>MCF!R46</f>
        <v>0.8</v>
      </c>
      <c r="R47" s="87">
        <f t="shared" si="5"/>
        <v>0</v>
      </c>
      <c r="S47" s="87">
        <f t="shared" si="7"/>
        <v>0</v>
      </c>
      <c r="T47" s="87">
        <f t="shared" si="8"/>
        <v>0</v>
      </c>
      <c r="U47" s="87">
        <f t="shared" si="9"/>
        <v>5.5113257630416773E-2</v>
      </c>
      <c r="V47" s="87">
        <f t="shared" si="10"/>
        <v>3.9961620737765857E-3</v>
      </c>
      <c r="W47" s="120">
        <f t="shared" si="11"/>
        <v>2.6641080491843902E-3</v>
      </c>
    </row>
    <row r="48" spans="2:23">
      <c r="B48" s="116">
        <f>Amnt_Deposited!B43</f>
        <v>2029</v>
      </c>
      <c r="C48" s="119">
        <f>Amnt_Deposited!H43</f>
        <v>0</v>
      </c>
      <c r="D48" s="453">
        <f>Dry_Matter_Content!H35</f>
        <v>0.73</v>
      </c>
      <c r="E48" s="319">
        <f>MCF!R47</f>
        <v>0.8</v>
      </c>
      <c r="F48" s="87">
        <f t="shared" si="0"/>
        <v>0</v>
      </c>
      <c r="G48" s="87">
        <f t="shared" si="1"/>
        <v>0</v>
      </c>
      <c r="H48" s="87">
        <f t="shared" si="2"/>
        <v>0</v>
      </c>
      <c r="I48" s="87">
        <f t="shared" si="3"/>
        <v>4.6890875488654997E-2</v>
      </c>
      <c r="J48" s="87">
        <f t="shared" si="4"/>
        <v>3.3999720991002907E-3</v>
      </c>
      <c r="K48" s="120">
        <f t="shared" si="6"/>
        <v>2.2666480660668603E-3</v>
      </c>
      <c r="O48" s="116">
        <f>Amnt_Deposited!B43</f>
        <v>2029</v>
      </c>
      <c r="P48" s="119">
        <f>Amnt_Deposited!H43</f>
        <v>0</v>
      </c>
      <c r="Q48" s="319">
        <f>MCF!R47</f>
        <v>0.8</v>
      </c>
      <c r="R48" s="87">
        <f t="shared" si="5"/>
        <v>0</v>
      </c>
      <c r="S48" s="87">
        <f t="shared" si="7"/>
        <v>0</v>
      </c>
      <c r="T48" s="87">
        <f t="shared" si="8"/>
        <v>0</v>
      </c>
      <c r="U48" s="87">
        <f t="shared" si="9"/>
        <v>5.1387260809484948E-2</v>
      </c>
      <c r="V48" s="87">
        <f t="shared" si="10"/>
        <v>3.7259968209318269E-3</v>
      </c>
      <c r="W48" s="120">
        <f t="shared" si="11"/>
        <v>2.4839978806212178E-3</v>
      </c>
    </row>
    <row r="49" spans="2:23">
      <c r="B49" s="116">
        <f>Amnt_Deposited!B44</f>
        <v>2030</v>
      </c>
      <c r="C49" s="119">
        <f>Amnt_Deposited!H44</f>
        <v>0</v>
      </c>
      <c r="D49" s="453">
        <f>Dry_Matter_Content!H36</f>
        <v>0.73</v>
      </c>
      <c r="E49" s="319">
        <f>MCF!R48</f>
        <v>0.8</v>
      </c>
      <c r="F49" s="87">
        <f t="shared" si="0"/>
        <v>0</v>
      </c>
      <c r="G49" s="87">
        <f t="shared" si="1"/>
        <v>0</v>
      </c>
      <c r="H49" s="87">
        <f t="shared" si="2"/>
        <v>0</v>
      </c>
      <c r="I49" s="87">
        <f t="shared" si="3"/>
        <v>4.3720762515601232E-2</v>
      </c>
      <c r="J49" s="87">
        <f t="shared" si="4"/>
        <v>3.1701129730537653E-3</v>
      </c>
      <c r="K49" s="120">
        <f t="shared" si="6"/>
        <v>2.1134086487025099E-3</v>
      </c>
      <c r="O49" s="116">
        <f>Amnt_Deposited!B44</f>
        <v>2030</v>
      </c>
      <c r="P49" s="119">
        <f>Amnt_Deposited!H44</f>
        <v>0</v>
      </c>
      <c r="Q49" s="319">
        <f>MCF!R48</f>
        <v>0.8</v>
      </c>
      <c r="R49" s="87">
        <f t="shared" si="5"/>
        <v>0</v>
      </c>
      <c r="S49" s="87">
        <f t="shared" si="7"/>
        <v>0</v>
      </c>
      <c r="T49" s="87">
        <f t="shared" si="8"/>
        <v>0</v>
      </c>
      <c r="U49" s="87">
        <f t="shared" si="9"/>
        <v>4.7913164400658903E-2</v>
      </c>
      <c r="V49" s="87">
        <f t="shared" si="10"/>
        <v>3.4740964088260458E-3</v>
      </c>
      <c r="W49" s="120">
        <f t="shared" si="11"/>
        <v>2.3160642725506969E-3</v>
      </c>
    </row>
    <row r="50" spans="2:23">
      <c r="B50" s="116">
        <f>Amnt_Deposited!B45</f>
        <v>2031</v>
      </c>
      <c r="C50" s="119">
        <f>Amnt_Deposited!H45</f>
        <v>0</v>
      </c>
      <c r="D50" s="453">
        <f>Dry_Matter_Content!H37</f>
        <v>0.73</v>
      </c>
      <c r="E50" s="319">
        <f>MCF!R49</f>
        <v>0.8</v>
      </c>
      <c r="F50" s="87">
        <f t="shared" si="0"/>
        <v>0</v>
      </c>
      <c r="G50" s="87">
        <f t="shared" si="1"/>
        <v>0</v>
      </c>
      <c r="H50" s="87">
        <f t="shared" si="2"/>
        <v>0</v>
      </c>
      <c r="I50" s="87">
        <f t="shared" si="3"/>
        <v>4.0764968771122227E-2</v>
      </c>
      <c r="J50" s="87">
        <f t="shared" si="4"/>
        <v>2.9557937444790027E-3</v>
      </c>
      <c r="K50" s="120">
        <f t="shared" si="6"/>
        <v>1.9705291629860018E-3</v>
      </c>
      <c r="O50" s="116">
        <f>Amnt_Deposited!B45</f>
        <v>2031</v>
      </c>
      <c r="P50" s="119">
        <f>Amnt_Deposited!H45</f>
        <v>0</v>
      </c>
      <c r="Q50" s="319">
        <f>MCF!R49</f>
        <v>0.8</v>
      </c>
      <c r="R50" s="87">
        <f t="shared" si="5"/>
        <v>0</v>
      </c>
      <c r="S50" s="87">
        <f t="shared" si="7"/>
        <v>0</v>
      </c>
      <c r="T50" s="87">
        <f t="shared" si="8"/>
        <v>0</v>
      </c>
      <c r="U50" s="87">
        <f t="shared" si="9"/>
        <v>4.467393837931205E-2</v>
      </c>
      <c r="V50" s="87">
        <f t="shared" si="10"/>
        <v>3.239226021346854E-3</v>
      </c>
      <c r="W50" s="120">
        <f t="shared" si="11"/>
        <v>2.1594840142312357E-3</v>
      </c>
    </row>
    <row r="51" spans="2:23">
      <c r="B51" s="116">
        <f>Amnt_Deposited!B46</f>
        <v>2032</v>
      </c>
      <c r="C51" s="119">
        <f>Amnt_Deposited!H46</f>
        <v>0</v>
      </c>
      <c r="D51" s="453">
        <f>Dry_Matter_Content!H38</f>
        <v>0.73</v>
      </c>
      <c r="E51" s="319">
        <f>MCF!R50</f>
        <v>0.8</v>
      </c>
      <c r="F51" s="87">
        <f t="shared" ref="F51:F82" si="12">C51*D51*$K$6*DOCF*E51</f>
        <v>0</v>
      </c>
      <c r="G51" s="87">
        <f t="shared" si="1"/>
        <v>0</v>
      </c>
      <c r="H51" s="87">
        <f t="shared" si="2"/>
        <v>0</v>
      </c>
      <c r="I51" s="87">
        <f t="shared" si="3"/>
        <v>3.8009004950853346E-2</v>
      </c>
      <c r="J51" s="87">
        <f t="shared" si="4"/>
        <v>2.7559638202688838E-3</v>
      </c>
      <c r="K51" s="120">
        <f t="shared" si="6"/>
        <v>1.8373092135125892E-3</v>
      </c>
      <c r="O51" s="116">
        <f>Amnt_Deposited!B46</f>
        <v>2032</v>
      </c>
      <c r="P51" s="119">
        <f>Amnt_Deposited!H46</f>
        <v>0</v>
      </c>
      <c r="Q51" s="319">
        <f>MCF!R50</f>
        <v>0.8</v>
      </c>
      <c r="R51" s="87">
        <f t="shared" ref="R51:R82" si="13">P51*$W$6*DOCF*Q51</f>
        <v>0</v>
      </c>
      <c r="S51" s="87">
        <f t="shared" si="7"/>
        <v>0</v>
      </c>
      <c r="T51" s="87">
        <f t="shared" si="8"/>
        <v>0</v>
      </c>
      <c r="U51" s="87">
        <f t="shared" si="9"/>
        <v>4.1653704055729712E-2</v>
      </c>
      <c r="V51" s="87">
        <f t="shared" si="10"/>
        <v>3.0202343235823399E-3</v>
      </c>
      <c r="W51" s="120">
        <f t="shared" si="11"/>
        <v>2.0134895490548929E-3</v>
      </c>
    </row>
    <row r="52" spans="2:23">
      <c r="B52" s="116">
        <f>Amnt_Deposited!B47</f>
        <v>2033</v>
      </c>
      <c r="C52" s="119">
        <f>Amnt_Deposited!H47</f>
        <v>0</v>
      </c>
      <c r="D52" s="453">
        <f>Dry_Matter_Content!H39</f>
        <v>0.73</v>
      </c>
      <c r="E52" s="319">
        <f>MCF!R51</f>
        <v>0.8</v>
      </c>
      <c r="F52" s="87">
        <f t="shared" si="12"/>
        <v>0</v>
      </c>
      <c r="G52" s="87">
        <f t="shared" si="1"/>
        <v>0</v>
      </c>
      <c r="H52" s="87">
        <f t="shared" si="2"/>
        <v>0</v>
      </c>
      <c r="I52" s="87">
        <f t="shared" si="3"/>
        <v>3.5439361316950253E-2</v>
      </c>
      <c r="J52" s="87">
        <f t="shared" si="4"/>
        <v>2.5696436339030949E-3</v>
      </c>
      <c r="K52" s="120">
        <f t="shared" si="6"/>
        <v>1.7130957559353965E-3</v>
      </c>
      <c r="O52" s="116">
        <f>Amnt_Deposited!B47</f>
        <v>2033</v>
      </c>
      <c r="P52" s="119">
        <f>Amnt_Deposited!H47</f>
        <v>0</v>
      </c>
      <c r="Q52" s="319">
        <f>MCF!R51</f>
        <v>0.8</v>
      </c>
      <c r="R52" s="87">
        <f t="shared" si="13"/>
        <v>0</v>
      </c>
      <c r="S52" s="87">
        <f t="shared" si="7"/>
        <v>0</v>
      </c>
      <c r="T52" s="87">
        <f t="shared" si="8"/>
        <v>0</v>
      </c>
      <c r="U52" s="87">
        <f t="shared" si="9"/>
        <v>3.8837656237753718E-2</v>
      </c>
      <c r="V52" s="87">
        <f t="shared" si="10"/>
        <v>2.8160478179759959E-3</v>
      </c>
      <c r="W52" s="120">
        <f t="shared" si="11"/>
        <v>1.8773652119839972E-3</v>
      </c>
    </row>
    <row r="53" spans="2:23">
      <c r="B53" s="116">
        <f>Amnt_Deposited!B48</f>
        <v>2034</v>
      </c>
      <c r="C53" s="119">
        <f>Amnt_Deposited!H48</f>
        <v>0</v>
      </c>
      <c r="D53" s="453">
        <f>Dry_Matter_Content!H40</f>
        <v>0.73</v>
      </c>
      <c r="E53" s="319">
        <f>MCF!R52</f>
        <v>0.8</v>
      </c>
      <c r="F53" s="87">
        <f t="shared" si="12"/>
        <v>0</v>
      </c>
      <c r="G53" s="87">
        <f t="shared" si="1"/>
        <v>0</v>
      </c>
      <c r="H53" s="87">
        <f t="shared" si="2"/>
        <v>0</v>
      </c>
      <c r="I53" s="87">
        <f t="shared" si="3"/>
        <v>3.3043441473338347E-2</v>
      </c>
      <c r="J53" s="87">
        <f t="shared" si="4"/>
        <v>2.3959198436119089E-3</v>
      </c>
      <c r="K53" s="120">
        <f t="shared" si="6"/>
        <v>1.5972798957412724E-3</v>
      </c>
      <c r="O53" s="116">
        <f>Amnt_Deposited!B48</f>
        <v>2034</v>
      </c>
      <c r="P53" s="119">
        <f>Amnt_Deposited!H48</f>
        <v>0</v>
      </c>
      <c r="Q53" s="319">
        <f>MCF!R52</f>
        <v>0.8</v>
      </c>
      <c r="R53" s="87">
        <f t="shared" si="13"/>
        <v>0</v>
      </c>
      <c r="S53" s="87">
        <f t="shared" si="7"/>
        <v>0</v>
      </c>
      <c r="T53" s="87">
        <f t="shared" si="8"/>
        <v>0</v>
      </c>
      <c r="U53" s="87">
        <f t="shared" si="9"/>
        <v>3.6211990655713268E-2</v>
      </c>
      <c r="V53" s="87">
        <f t="shared" si="10"/>
        <v>2.6256655820404494E-3</v>
      </c>
      <c r="W53" s="120">
        <f t="shared" si="11"/>
        <v>1.7504437213602996E-3</v>
      </c>
    </row>
    <row r="54" spans="2:23">
      <c r="B54" s="116">
        <f>Amnt_Deposited!B49</f>
        <v>2035</v>
      </c>
      <c r="C54" s="119">
        <f>Amnt_Deposited!H49</f>
        <v>0</v>
      </c>
      <c r="D54" s="453">
        <f>Dry_Matter_Content!H41</f>
        <v>0.73</v>
      </c>
      <c r="E54" s="319">
        <f>MCF!R53</f>
        <v>0.8</v>
      </c>
      <c r="F54" s="87">
        <f t="shared" si="12"/>
        <v>0</v>
      </c>
      <c r="G54" s="87">
        <f t="shared" si="1"/>
        <v>0</v>
      </c>
      <c r="H54" s="87">
        <f t="shared" si="2"/>
        <v>0</v>
      </c>
      <c r="I54" s="87">
        <f t="shared" si="3"/>
        <v>3.0809500618164579E-2</v>
      </c>
      <c r="J54" s="87">
        <f t="shared" si="4"/>
        <v>2.2339408551737701E-3</v>
      </c>
      <c r="K54" s="120">
        <f t="shared" si="6"/>
        <v>1.4892939034491801E-3</v>
      </c>
      <c r="O54" s="116">
        <f>Amnt_Deposited!B49</f>
        <v>2035</v>
      </c>
      <c r="P54" s="119">
        <f>Amnt_Deposited!H49</f>
        <v>0</v>
      </c>
      <c r="Q54" s="319">
        <f>MCF!R53</f>
        <v>0.8</v>
      </c>
      <c r="R54" s="87">
        <f t="shared" si="13"/>
        <v>0</v>
      </c>
      <c r="S54" s="87">
        <f t="shared" si="7"/>
        <v>0</v>
      </c>
      <c r="T54" s="87">
        <f t="shared" si="8"/>
        <v>0</v>
      </c>
      <c r="U54" s="87">
        <f t="shared" si="9"/>
        <v>3.3763836293878996E-2</v>
      </c>
      <c r="V54" s="87">
        <f t="shared" si="10"/>
        <v>2.4481543618342693E-3</v>
      </c>
      <c r="W54" s="120">
        <f t="shared" si="11"/>
        <v>1.6321029078895128E-3</v>
      </c>
    </row>
    <row r="55" spans="2:23">
      <c r="B55" s="116">
        <f>Amnt_Deposited!B50</f>
        <v>2036</v>
      </c>
      <c r="C55" s="119">
        <f>Amnt_Deposited!H50</f>
        <v>0</v>
      </c>
      <c r="D55" s="453">
        <f>Dry_Matter_Content!H42</f>
        <v>0.73</v>
      </c>
      <c r="E55" s="319">
        <f>MCF!R54</f>
        <v>0.8</v>
      </c>
      <c r="F55" s="87">
        <f t="shared" si="12"/>
        <v>0</v>
      </c>
      <c r="G55" s="87">
        <f t="shared" si="1"/>
        <v>0</v>
      </c>
      <c r="H55" s="87">
        <f t="shared" si="2"/>
        <v>0</v>
      </c>
      <c r="I55" s="87">
        <f t="shared" si="3"/>
        <v>2.8726587970765147E-2</v>
      </c>
      <c r="J55" s="87">
        <f t="shared" si="4"/>
        <v>2.0829126473994324E-3</v>
      </c>
      <c r="K55" s="120">
        <f t="shared" si="6"/>
        <v>1.3886084315996214E-3</v>
      </c>
      <c r="O55" s="116">
        <f>Amnt_Deposited!B50</f>
        <v>2036</v>
      </c>
      <c r="P55" s="119">
        <f>Amnt_Deposited!H50</f>
        <v>0</v>
      </c>
      <c r="Q55" s="319">
        <f>MCF!R54</f>
        <v>0.8</v>
      </c>
      <c r="R55" s="87">
        <f t="shared" si="13"/>
        <v>0</v>
      </c>
      <c r="S55" s="87">
        <f t="shared" si="7"/>
        <v>0</v>
      </c>
      <c r="T55" s="87">
        <f t="shared" si="8"/>
        <v>0</v>
      </c>
      <c r="U55" s="87">
        <f t="shared" si="9"/>
        <v>3.1481192296728931E-2</v>
      </c>
      <c r="V55" s="87">
        <f t="shared" si="10"/>
        <v>2.2826439971500635E-3</v>
      </c>
      <c r="W55" s="120">
        <f t="shared" si="11"/>
        <v>1.521762664766709E-3</v>
      </c>
    </row>
    <row r="56" spans="2:23">
      <c r="B56" s="116">
        <f>Amnt_Deposited!B51</f>
        <v>2037</v>
      </c>
      <c r="C56" s="119">
        <f>Amnt_Deposited!H51</f>
        <v>0</v>
      </c>
      <c r="D56" s="453">
        <f>Dry_Matter_Content!H43</f>
        <v>0.73</v>
      </c>
      <c r="E56" s="319">
        <f>MCF!R55</f>
        <v>0.8</v>
      </c>
      <c r="F56" s="87">
        <f t="shared" si="12"/>
        <v>0</v>
      </c>
      <c r="G56" s="87">
        <f t="shared" si="1"/>
        <v>0</v>
      </c>
      <c r="H56" s="87">
        <f t="shared" si="2"/>
        <v>0</v>
      </c>
      <c r="I56" s="87">
        <f t="shared" si="3"/>
        <v>2.6784493090925978E-2</v>
      </c>
      <c r="J56" s="87">
        <f t="shared" si="4"/>
        <v>1.9420948798391684E-3</v>
      </c>
      <c r="K56" s="120">
        <f t="shared" si="6"/>
        <v>1.2947299198927788E-3</v>
      </c>
      <c r="O56" s="116">
        <f>Amnt_Deposited!B51</f>
        <v>2037</v>
      </c>
      <c r="P56" s="119">
        <f>Amnt_Deposited!H51</f>
        <v>0</v>
      </c>
      <c r="Q56" s="319">
        <f>MCF!R55</f>
        <v>0.8</v>
      </c>
      <c r="R56" s="87">
        <f t="shared" si="13"/>
        <v>0</v>
      </c>
      <c r="S56" s="87">
        <f t="shared" si="7"/>
        <v>0</v>
      </c>
      <c r="T56" s="87">
        <f t="shared" si="8"/>
        <v>0</v>
      </c>
      <c r="U56" s="87">
        <f t="shared" si="9"/>
        <v>2.9352869140740801E-2</v>
      </c>
      <c r="V56" s="87">
        <f t="shared" si="10"/>
        <v>2.1283231559881301E-3</v>
      </c>
      <c r="W56" s="120">
        <f t="shared" si="11"/>
        <v>1.4188821039920866E-3</v>
      </c>
    </row>
    <row r="57" spans="2:23">
      <c r="B57" s="116">
        <f>Amnt_Deposited!B52</f>
        <v>2038</v>
      </c>
      <c r="C57" s="119">
        <f>Amnt_Deposited!H52</f>
        <v>0</v>
      </c>
      <c r="D57" s="453">
        <f>Dry_Matter_Content!H44</f>
        <v>0.73</v>
      </c>
      <c r="E57" s="319">
        <f>MCF!R56</f>
        <v>0.8</v>
      </c>
      <c r="F57" s="87">
        <f t="shared" si="12"/>
        <v>0</v>
      </c>
      <c r="G57" s="87">
        <f t="shared" si="1"/>
        <v>0</v>
      </c>
      <c r="H57" s="87">
        <f t="shared" si="2"/>
        <v>0</v>
      </c>
      <c r="I57" s="87">
        <f t="shared" si="3"/>
        <v>2.4973695827292954E-2</v>
      </c>
      <c r="J57" s="87">
        <f t="shared" si="4"/>
        <v>1.8107972636330258E-3</v>
      </c>
      <c r="K57" s="120">
        <f t="shared" si="6"/>
        <v>1.2071981757553504E-3</v>
      </c>
      <c r="O57" s="116">
        <f>Amnt_Deposited!B52</f>
        <v>2038</v>
      </c>
      <c r="P57" s="119">
        <f>Amnt_Deposited!H52</f>
        <v>0</v>
      </c>
      <c r="Q57" s="319">
        <f>MCF!R56</f>
        <v>0.8</v>
      </c>
      <c r="R57" s="87">
        <f t="shared" si="13"/>
        <v>0</v>
      </c>
      <c r="S57" s="87">
        <f t="shared" si="7"/>
        <v>0</v>
      </c>
      <c r="T57" s="87">
        <f t="shared" si="8"/>
        <v>0</v>
      </c>
      <c r="U57" s="87">
        <f t="shared" si="9"/>
        <v>2.7368433783334745E-2</v>
      </c>
      <c r="V57" s="87">
        <f t="shared" si="10"/>
        <v>1.9844353574060558E-3</v>
      </c>
      <c r="W57" s="120">
        <f t="shared" si="11"/>
        <v>1.3229569049373704E-3</v>
      </c>
    </row>
    <row r="58" spans="2:23">
      <c r="B58" s="116">
        <f>Amnt_Deposited!B53</f>
        <v>2039</v>
      </c>
      <c r="C58" s="119">
        <f>Amnt_Deposited!H53</f>
        <v>0</v>
      </c>
      <c r="D58" s="453">
        <f>Dry_Matter_Content!H45</f>
        <v>0.73</v>
      </c>
      <c r="E58" s="319">
        <f>MCF!R57</f>
        <v>0.8</v>
      </c>
      <c r="F58" s="87">
        <f t="shared" si="12"/>
        <v>0</v>
      </c>
      <c r="G58" s="87">
        <f t="shared" si="1"/>
        <v>0</v>
      </c>
      <c r="H58" s="87">
        <f t="shared" si="2"/>
        <v>0</v>
      </c>
      <c r="I58" s="87">
        <f t="shared" si="3"/>
        <v>2.3285319649578917E-2</v>
      </c>
      <c r="J58" s="87">
        <f t="shared" si="4"/>
        <v>1.6883761777140354E-3</v>
      </c>
      <c r="K58" s="120">
        <f t="shared" si="6"/>
        <v>1.1255841184760235E-3</v>
      </c>
      <c r="O58" s="116">
        <f>Amnt_Deposited!B53</f>
        <v>2039</v>
      </c>
      <c r="P58" s="119">
        <f>Amnt_Deposited!H53</f>
        <v>0</v>
      </c>
      <c r="Q58" s="319">
        <f>MCF!R57</f>
        <v>0.8</v>
      </c>
      <c r="R58" s="87">
        <f t="shared" si="13"/>
        <v>0</v>
      </c>
      <c r="S58" s="87">
        <f t="shared" si="7"/>
        <v>0</v>
      </c>
      <c r="T58" s="87">
        <f t="shared" si="8"/>
        <v>0</v>
      </c>
      <c r="U58" s="87">
        <f t="shared" si="9"/>
        <v>2.5518158520086487E-2</v>
      </c>
      <c r="V58" s="87">
        <f t="shared" si="10"/>
        <v>1.8502752632482582E-3</v>
      </c>
      <c r="W58" s="120">
        <f t="shared" si="11"/>
        <v>1.2335168421655053E-3</v>
      </c>
    </row>
    <row r="59" spans="2:23">
      <c r="B59" s="116">
        <f>Amnt_Deposited!B54</f>
        <v>2040</v>
      </c>
      <c r="C59" s="119">
        <f>Amnt_Deposited!H54</f>
        <v>0</v>
      </c>
      <c r="D59" s="453">
        <f>Dry_Matter_Content!H46</f>
        <v>0.73</v>
      </c>
      <c r="E59" s="319">
        <f>MCF!R58</f>
        <v>0.8</v>
      </c>
      <c r="F59" s="87">
        <f t="shared" si="12"/>
        <v>0</v>
      </c>
      <c r="G59" s="87">
        <f t="shared" si="1"/>
        <v>0</v>
      </c>
      <c r="H59" s="87">
        <f t="shared" si="2"/>
        <v>0</v>
      </c>
      <c r="I59" s="87">
        <f t="shared" si="3"/>
        <v>2.1711088135801925E-2</v>
      </c>
      <c r="J59" s="87">
        <f t="shared" si="4"/>
        <v>1.5742315137769938E-3</v>
      </c>
      <c r="K59" s="120">
        <f t="shared" si="6"/>
        <v>1.0494876758513291E-3</v>
      </c>
      <c r="O59" s="116">
        <f>Amnt_Deposited!B54</f>
        <v>2040</v>
      </c>
      <c r="P59" s="119">
        <f>Amnt_Deposited!H54</f>
        <v>0</v>
      </c>
      <c r="Q59" s="319">
        <f>MCF!R58</f>
        <v>0.8</v>
      </c>
      <c r="R59" s="87">
        <f t="shared" si="13"/>
        <v>0</v>
      </c>
      <c r="S59" s="87">
        <f t="shared" si="7"/>
        <v>0</v>
      </c>
      <c r="T59" s="87">
        <f t="shared" si="8"/>
        <v>0</v>
      </c>
      <c r="U59" s="87">
        <f t="shared" si="9"/>
        <v>2.3792973299508958E-2</v>
      </c>
      <c r="V59" s="87">
        <f t="shared" si="10"/>
        <v>1.7251852205775276E-3</v>
      </c>
      <c r="W59" s="120">
        <f t="shared" si="11"/>
        <v>1.1501234803850183E-3</v>
      </c>
    </row>
    <row r="60" spans="2:23">
      <c r="B60" s="116">
        <f>Amnt_Deposited!B55</f>
        <v>2041</v>
      </c>
      <c r="C60" s="119">
        <f>Amnt_Deposited!H55</f>
        <v>0</v>
      </c>
      <c r="D60" s="453">
        <f>Dry_Matter_Content!H47</f>
        <v>0.73</v>
      </c>
      <c r="E60" s="319">
        <f>MCF!R59</f>
        <v>0.8</v>
      </c>
      <c r="F60" s="87">
        <f t="shared" si="12"/>
        <v>0</v>
      </c>
      <c r="G60" s="87">
        <f t="shared" si="1"/>
        <v>0</v>
      </c>
      <c r="H60" s="87">
        <f t="shared" si="2"/>
        <v>0</v>
      </c>
      <c r="I60" s="87">
        <f t="shared" si="3"/>
        <v>2.0243284401255071E-2</v>
      </c>
      <c r="J60" s="87">
        <f t="shared" si="4"/>
        <v>1.4678037345468547E-3</v>
      </c>
      <c r="K60" s="120">
        <f t="shared" si="6"/>
        <v>9.7853582303123647E-4</v>
      </c>
      <c r="O60" s="116">
        <f>Amnt_Deposited!B55</f>
        <v>2041</v>
      </c>
      <c r="P60" s="119">
        <f>Amnt_Deposited!H55</f>
        <v>0</v>
      </c>
      <c r="Q60" s="319">
        <f>MCF!R59</f>
        <v>0.8</v>
      </c>
      <c r="R60" s="87">
        <f t="shared" si="13"/>
        <v>0</v>
      </c>
      <c r="S60" s="87">
        <f t="shared" si="7"/>
        <v>0</v>
      </c>
      <c r="T60" s="87">
        <f t="shared" si="8"/>
        <v>0</v>
      </c>
      <c r="U60" s="87">
        <f t="shared" si="9"/>
        <v>2.2184421261649392E-2</v>
      </c>
      <c r="V60" s="87">
        <f t="shared" si="10"/>
        <v>1.6085520378595667E-3</v>
      </c>
      <c r="W60" s="120">
        <f t="shared" si="11"/>
        <v>1.0723680252397111E-3</v>
      </c>
    </row>
    <row r="61" spans="2:23">
      <c r="B61" s="116">
        <f>Amnt_Deposited!B56</f>
        <v>2042</v>
      </c>
      <c r="C61" s="119">
        <f>Amnt_Deposited!H56</f>
        <v>0</v>
      </c>
      <c r="D61" s="453">
        <f>Dry_Matter_Content!H48</f>
        <v>0.73</v>
      </c>
      <c r="E61" s="319">
        <f>MCF!R60</f>
        <v>0.8</v>
      </c>
      <c r="F61" s="87">
        <f t="shared" si="12"/>
        <v>0</v>
      </c>
      <c r="G61" s="87">
        <f t="shared" si="1"/>
        <v>0</v>
      </c>
      <c r="H61" s="87">
        <f t="shared" si="2"/>
        <v>0</v>
      </c>
      <c r="I61" s="87">
        <f t="shared" si="3"/>
        <v>1.8874713270328712E-2</v>
      </c>
      <c r="J61" s="87">
        <f t="shared" si="4"/>
        <v>1.3685711309263584E-3</v>
      </c>
      <c r="K61" s="120">
        <f t="shared" si="6"/>
        <v>9.1238075395090558E-4</v>
      </c>
      <c r="O61" s="116">
        <f>Amnt_Deposited!B56</f>
        <v>2042</v>
      </c>
      <c r="P61" s="119">
        <f>Amnt_Deposited!H56</f>
        <v>0</v>
      </c>
      <c r="Q61" s="319">
        <f>MCF!R60</f>
        <v>0.8</v>
      </c>
      <c r="R61" s="87">
        <f t="shared" si="13"/>
        <v>0</v>
      </c>
      <c r="S61" s="87">
        <f t="shared" si="7"/>
        <v>0</v>
      </c>
      <c r="T61" s="87">
        <f t="shared" si="8"/>
        <v>0</v>
      </c>
      <c r="U61" s="87">
        <f t="shared" si="9"/>
        <v>2.0684617282552012E-2</v>
      </c>
      <c r="V61" s="87">
        <f t="shared" si="10"/>
        <v>1.499803979097379E-3</v>
      </c>
      <c r="W61" s="120">
        <f t="shared" si="11"/>
        <v>9.9986931939825266E-4</v>
      </c>
    </row>
    <row r="62" spans="2:23">
      <c r="B62" s="116">
        <f>Amnt_Deposited!B57</f>
        <v>2043</v>
      </c>
      <c r="C62" s="119">
        <f>Amnt_Deposited!H57</f>
        <v>0</v>
      </c>
      <c r="D62" s="453">
        <f>Dry_Matter_Content!H49</f>
        <v>0.73</v>
      </c>
      <c r="E62" s="319">
        <f>MCF!R61</f>
        <v>0.8</v>
      </c>
      <c r="F62" s="87">
        <f t="shared" si="12"/>
        <v>0</v>
      </c>
      <c r="G62" s="87">
        <f t="shared" si="1"/>
        <v>0</v>
      </c>
      <c r="H62" s="87">
        <f t="shared" si="2"/>
        <v>0</v>
      </c>
      <c r="I62" s="87">
        <f t="shared" si="3"/>
        <v>1.759866600575128E-2</v>
      </c>
      <c r="J62" s="87">
        <f t="shared" si="4"/>
        <v>1.2760472645774309E-3</v>
      </c>
      <c r="K62" s="120">
        <f t="shared" si="6"/>
        <v>8.5069817638495394E-4</v>
      </c>
      <c r="O62" s="116">
        <f>Amnt_Deposited!B57</f>
        <v>2043</v>
      </c>
      <c r="P62" s="119">
        <f>Amnt_Deposited!H57</f>
        <v>0</v>
      </c>
      <c r="Q62" s="319">
        <f>MCF!R61</f>
        <v>0.8</v>
      </c>
      <c r="R62" s="87">
        <f t="shared" si="13"/>
        <v>0</v>
      </c>
      <c r="S62" s="87">
        <f t="shared" si="7"/>
        <v>0</v>
      </c>
      <c r="T62" s="87">
        <f t="shared" si="8"/>
        <v>0</v>
      </c>
      <c r="U62" s="87">
        <f t="shared" si="9"/>
        <v>1.9286209321371265E-2</v>
      </c>
      <c r="V62" s="87">
        <f t="shared" si="10"/>
        <v>1.3984079611807461E-3</v>
      </c>
      <c r="W62" s="120">
        <f t="shared" si="11"/>
        <v>9.322719741204973E-4</v>
      </c>
    </row>
    <row r="63" spans="2:23">
      <c r="B63" s="116">
        <f>Amnt_Deposited!B58</f>
        <v>2044</v>
      </c>
      <c r="C63" s="119">
        <f>Amnt_Deposited!H58</f>
        <v>0</v>
      </c>
      <c r="D63" s="453">
        <f>Dry_Matter_Content!H50</f>
        <v>0.73</v>
      </c>
      <c r="E63" s="319">
        <f>MCF!R62</f>
        <v>0.8</v>
      </c>
      <c r="F63" s="87">
        <f t="shared" si="12"/>
        <v>0</v>
      </c>
      <c r="G63" s="87">
        <f t="shared" si="1"/>
        <v>0</v>
      </c>
      <c r="H63" s="87">
        <f t="shared" si="2"/>
        <v>0</v>
      </c>
      <c r="I63" s="87">
        <f t="shared" si="3"/>
        <v>1.6408887422351394E-2</v>
      </c>
      <c r="J63" s="87">
        <f t="shared" si="4"/>
        <v>1.1897785833998871E-3</v>
      </c>
      <c r="K63" s="120">
        <f t="shared" si="6"/>
        <v>7.9318572226659133E-4</v>
      </c>
      <c r="O63" s="116">
        <f>Amnt_Deposited!B58</f>
        <v>2044</v>
      </c>
      <c r="P63" s="119">
        <f>Amnt_Deposited!H58</f>
        <v>0</v>
      </c>
      <c r="Q63" s="319">
        <f>MCF!R62</f>
        <v>0.8</v>
      </c>
      <c r="R63" s="87">
        <f t="shared" si="13"/>
        <v>0</v>
      </c>
      <c r="S63" s="87">
        <f t="shared" si="7"/>
        <v>0</v>
      </c>
      <c r="T63" s="87">
        <f t="shared" si="8"/>
        <v>0</v>
      </c>
      <c r="U63" s="87">
        <f t="shared" si="9"/>
        <v>1.7982342380659062E-2</v>
      </c>
      <c r="V63" s="87">
        <f t="shared" si="10"/>
        <v>1.3038669407122048E-3</v>
      </c>
      <c r="W63" s="120">
        <f t="shared" si="11"/>
        <v>8.6924462714146986E-4</v>
      </c>
    </row>
    <row r="64" spans="2:23">
      <c r="B64" s="116">
        <f>Amnt_Deposited!B59</f>
        <v>2045</v>
      </c>
      <c r="C64" s="119">
        <f>Amnt_Deposited!H59</f>
        <v>0</v>
      </c>
      <c r="D64" s="453">
        <f>Dry_Matter_Content!H51</f>
        <v>0.73</v>
      </c>
      <c r="E64" s="319">
        <f>MCF!R63</f>
        <v>0.8</v>
      </c>
      <c r="F64" s="87">
        <f t="shared" si="12"/>
        <v>0</v>
      </c>
      <c r="G64" s="87">
        <f t="shared" si="1"/>
        <v>0</v>
      </c>
      <c r="H64" s="87">
        <f t="shared" si="2"/>
        <v>0</v>
      </c>
      <c r="I64" s="87">
        <f t="shared" si="3"/>
        <v>1.5299545224132885E-2</v>
      </c>
      <c r="J64" s="87">
        <f t="shared" si="4"/>
        <v>1.1093421982185086E-3</v>
      </c>
      <c r="K64" s="120">
        <f t="shared" si="6"/>
        <v>7.3956146547900573E-4</v>
      </c>
      <c r="O64" s="116">
        <f>Amnt_Deposited!B59</f>
        <v>2045</v>
      </c>
      <c r="P64" s="119">
        <f>Amnt_Deposited!H59</f>
        <v>0</v>
      </c>
      <c r="Q64" s="319">
        <f>MCF!R63</f>
        <v>0.8</v>
      </c>
      <c r="R64" s="87">
        <f t="shared" si="13"/>
        <v>0</v>
      </c>
      <c r="S64" s="87">
        <f t="shared" si="7"/>
        <v>0</v>
      </c>
      <c r="T64" s="87">
        <f t="shared" si="8"/>
        <v>0</v>
      </c>
      <c r="U64" s="87">
        <f t="shared" si="9"/>
        <v>1.6766624903159326E-2</v>
      </c>
      <c r="V64" s="87">
        <f t="shared" si="10"/>
        <v>1.2157174774997353E-3</v>
      </c>
      <c r="W64" s="120">
        <f t="shared" si="11"/>
        <v>8.1047831833315682E-4</v>
      </c>
    </row>
    <row r="65" spans="2:23">
      <c r="B65" s="116">
        <f>Amnt_Deposited!B60</f>
        <v>2046</v>
      </c>
      <c r="C65" s="119">
        <f>Amnt_Deposited!H60</f>
        <v>0</v>
      </c>
      <c r="D65" s="453">
        <f>Dry_Matter_Content!H52</f>
        <v>0.73</v>
      </c>
      <c r="E65" s="319">
        <f>MCF!R64</f>
        <v>0.8</v>
      </c>
      <c r="F65" s="87">
        <f t="shared" si="12"/>
        <v>0</v>
      </c>
      <c r="G65" s="87">
        <f t="shared" si="1"/>
        <v>0</v>
      </c>
      <c r="H65" s="87">
        <f t="shared" si="2"/>
        <v>0</v>
      </c>
      <c r="I65" s="87">
        <f t="shared" si="3"/>
        <v>1.4265201414353069E-2</v>
      </c>
      <c r="J65" s="87">
        <f t="shared" si="4"/>
        <v>1.0343438097798168E-3</v>
      </c>
      <c r="K65" s="120">
        <f t="shared" si="6"/>
        <v>6.8956253985321119E-4</v>
      </c>
      <c r="O65" s="116">
        <f>Amnt_Deposited!B60</f>
        <v>2046</v>
      </c>
      <c r="P65" s="119">
        <f>Amnt_Deposited!H60</f>
        <v>0</v>
      </c>
      <c r="Q65" s="319">
        <f>MCF!R64</f>
        <v>0.8</v>
      </c>
      <c r="R65" s="87">
        <f t="shared" si="13"/>
        <v>0</v>
      </c>
      <c r="S65" s="87">
        <f t="shared" si="7"/>
        <v>0</v>
      </c>
      <c r="T65" s="87">
        <f t="shared" si="8"/>
        <v>0</v>
      </c>
      <c r="U65" s="87">
        <f t="shared" si="9"/>
        <v>1.5633097440386923E-2</v>
      </c>
      <c r="V65" s="87">
        <f t="shared" si="10"/>
        <v>1.1335274627724021E-3</v>
      </c>
      <c r="W65" s="120">
        <f t="shared" si="11"/>
        <v>7.5568497518160133E-4</v>
      </c>
    </row>
    <row r="66" spans="2:23">
      <c r="B66" s="116">
        <f>Amnt_Deposited!B61</f>
        <v>2047</v>
      </c>
      <c r="C66" s="119">
        <f>Amnt_Deposited!H61</f>
        <v>0</v>
      </c>
      <c r="D66" s="453">
        <f>Dry_Matter_Content!H53</f>
        <v>0.73</v>
      </c>
      <c r="E66" s="319">
        <f>MCF!R65</f>
        <v>0.8</v>
      </c>
      <c r="F66" s="87">
        <f t="shared" si="12"/>
        <v>0</v>
      </c>
      <c r="G66" s="87">
        <f t="shared" si="1"/>
        <v>0</v>
      </c>
      <c r="H66" s="87">
        <f t="shared" si="2"/>
        <v>0</v>
      </c>
      <c r="I66" s="87">
        <f t="shared" si="3"/>
        <v>1.3300785638456394E-2</v>
      </c>
      <c r="J66" s="87">
        <f t="shared" si="4"/>
        <v>9.6441577589667497E-4</v>
      </c>
      <c r="K66" s="120">
        <f t="shared" si="6"/>
        <v>6.4294385059778328E-4</v>
      </c>
      <c r="O66" s="116">
        <f>Amnt_Deposited!B61</f>
        <v>2047</v>
      </c>
      <c r="P66" s="119">
        <f>Amnt_Deposited!H61</f>
        <v>0</v>
      </c>
      <c r="Q66" s="319">
        <f>MCF!R65</f>
        <v>0.8</v>
      </c>
      <c r="R66" s="87">
        <f t="shared" si="13"/>
        <v>0</v>
      </c>
      <c r="S66" s="87">
        <f t="shared" si="7"/>
        <v>0</v>
      </c>
      <c r="T66" s="87">
        <f t="shared" si="8"/>
        <v>0</v>
      </c>
      <c r="U66" s="87">
        <f t="shared" si="9"/>
        <v>1.4576203439404266E-2</v>
      </c>
      <c r="V66" s="87">
        <f t="shared" si="10"/>
        <v>1.0568940009826574E-3</v>
      </c>
      <c r="W66" s="120">
        <f t="shared" si="11"/>
        <v>7.0459600065510492E-4</v>
      </c>
    </row>
    <row r="67" spans="2:23">
      <c r="B67" s="116">
        <f>Amnt_Deposited!B62</f>
        <v>2048</v>
      </c>
      <c r="C67" s="119">
        <f>Amnt_Deposited!H62</f>
        <v>0</v>
      </c>
      <c r="D67" s="453">
        <f>Dry_Matter_Content!H54</f>
        <v>0.73</v>
      </c>
      <c r="E67" s="319">
        <f>MCF!R66</f>
        <v>0.8</v>
      </c>
      <c r="F67" s="87">
        <f t="shared" si="12"/>
        <v>0</v>
      </c>
      <c r="G67" s="87">
        <f t="shared" si="1"/>
        <v>0</v>
      </c>
      <c r="H67" s="87">
        <f t="shared" si="2"/>
        <v>0</v>
      </c>
      <c r="I67" s="87">
        <f t="shared" si="3"/>
        <v>1.2401570329190535E-2</v>
      </c>
      <c r="J67" s="87">
        <f t="shared" si="4"/>
        <v>8.9921530926585975E-4</v>
      </c>
      <c r="K67" s="120">
        <f t="shared" si="6"/>
        <v>5.9947687284390646E-4</v>
      </c>
      <c r="O67" s="116">
        <f>Amnt_Deposited!B62</f>
        <v>2048</v>
      </c>
      <c r="P67" s="119">
        <f>Amnt_Deposited!H62</f>
        <v>0</v>
      </c>
      <c r="Q67" s="319">
        <f>MCF!R66</f>
        <v>0.8</v>
      </c>
      <c r="R67" s="87">
        <f t="shared" si="13"/>
        <v>0</v>
      </c>
      <c r="S67" s="87">
        <f t="shared" si="7"/>
        <v>0</v>
      </c>
      <c r="T67" s="87">
        <f t="shared" si="8"/>
        <v>0</v>
      </c>
      <c r="U67" s="87">
        <f t="shared" si="9"/>
        <v>1.3590762004592364E-2</v>
      </c>
      <c r="V67" s="87">
        <f t="shared" si="10"/>
        <v>9.8544143481190099E-4</v>
      </c>
      <c r="W67" s="120">
        <f t="shared" si="11"/>
        <v>6.5696095654126725E-4</v>
      </c>
    </row>
    <row r="68" spans="2:23">
      <c r="B68" s="116">
        <f>Amnt_Deposited!B63</f>
        <v>2049</v>
      </c>
      <c r="C68" s="119">
        <f>Amnt_Deposited!H63</f>
        <v>0</v>
      </c>
      <c r="D68" s="453">
        <f>Dry_Matter_Content!H55</f>
        <v>0.73</v>
      </c>
      <c r="E68" s="319">
        <f>MCF!R67</f>
        <v>0.8</v>
      </c>
      <c r="F68" s="87">
        <f t="shared" si="12"/>
        <v>0</v>
      </c>
      <c r="G68" s="87">
        <f t="shared" si="1"/>
        <v>0</v>
      </c>
      <c r="H68" s="87">
        <f t="shared" si="2"/>
        <v>0</v>
      </c>
      <c r="I68" s="87">
        <f t="shared" si="3"/>
        <v>1.1563147532066231E-2</v>
      </c>
      <c r="J68" s="87">
        <f t="shared" si="4"/>
        <v>8.3842279712430365E-4</v>
      </c>
      <c r="K68" s="120">
        <f t="shared" si="6"/>
        <v>5.5894853141620236E-4</v>
      </c>
      <c r="O68" s="116">
        <f>Amnt_Deposited!B63</f>
        <v>2049</v>
      </c>
      <c r="P68" s="119">
        <f>Amnt_Deposited!H63</f>
        <v>0</v>
      </c>
      <c r="Q68" s="319">
        <f>MCF!R67</f>
        <v>0.8</v>
      </c>
      <c r="R68" s="87">
        <f t="shared" si="13"/>
        <v>0</v>
      </c>
      <c r="S68" s="87">
        <f t="shared" si="7"/>
        <v>0</v>
      </c>
      <c r="T68" s="87">
        <f t="shared" si="8"/>
        <v>0</v>
      </c>
      <c r="U68" s="87">
        <f t="shared" si="9"/>
        <v>1.2671942500894496E-2</v>
      </c>
      <c r="V68" s="87">
        <f t="shared" si="10"/>
        <v>9.1881950369786681E-4</v>
      </c>
      <c r="W68" s="120">
        <f t="shared" si="11"/>
        <v>6.125463357985778E-4</v>
      </c>
    </row>
    <row r="69" spans="2:23">
      <c r="B69" s="116">
        <f>Amnt_Deposited!B64</f>
        <v>2050</v>
      </c>
      <c r="C69" s="119">
        <f>Amnt_Deposited!H64</f>
        <v>0</v>
      </c>
      <c r="D69" s="453">
        <f>Dry_Matter_Content!H56</f>
        <v>0.73</v>
      </c>
      <c r="E69" s="319">
        <f>MCF!R68</f>
        <v>0.8</v>
      </c>
      <c r="F69" s="87">
        <f t="shared" si="12"/>
        <v>0</v>
      </c>
      <c r="G69" s="87">
        <f t="shared" si="1"/>
        <v>0</v>
      </c>
      <c r="H69" s="87">
        <f t="shared" si="2"/>
        <v>0</v>
      </c>
      <c r="I69" s="87">
        <f t="shared" si="3"/>
        <v>1.0781407297559272E-2</v>
      </c>
      <c r="J69" s="87">
        <f t="shared" si="4"/>
        <v>7.8174023450695938E-4</v>
      </c>
      <c r="K69" s="120">
        <f t="shared" si="6"/>
        <v>5.2116015633797285E-4</v>
      </c>
      <c r="O69" s="116">
        <f>Amnt_Deposited!B64</f>
        <v>2050</v>
      </c>
      <c r="P69" s="119">
        <f>Amnt_Deposited!H64</f>
        <v>0</v>
      </c>
      <c r="Q69" s="319">
        <f>MCF!R68</f>
        <v>0.8</v>
      </c>
      <c r="R69" s="87">
        <f t="shared" si="13"/>
        <v>0</v>
      </c>
      <c r="S69" s="87">
        <f t="shared" si="7"/>
        <v>0</v>
      </c>
      <c r="T69" s="87">
        <f t="shared" si="8"/>
        <v>0</v>
      </c>
      <c r="U69" s="87">
        <f t="shared" si="9"/>
        <v>1.1815240874037555E-2</v>
      </c>
      <c r="V69" s="87">
        <f t="shared" si="10"/>
        <v>8.5670162685694154E-4</v>
      </c>
      <c r="W69" s="120">
        <f t="shared" si="11"/>
        <v>5.7113441790462762E-4</v>
      </c>
    </row>
    <row r="70" spans="2:23">
      <c r="B70" s="116">
        <f>Amnt_Deposited!B65</f>
        <v>2051</v>
      </c>
      <c r="C70" s="119">
        <f>Amnt_Deposited!H65</f>
        <v>0</v>
      </c>
      <c r="D70" s="453">
        <f>Dry_Matter_Content!H57</f>
        <v>0.73</v>
      </c>
      <c r="E70" s="319">
        <f>MCF!R69</f>
        <v>0.8</v>
      </c>
      <c r="F70" s="87">
        <f t="shared" si="12"/>
        <v>0</v>
      </c>
      <c r="G70" s="87">
        <f t="shared" si="1"/>
        <v>0</v>
      </c>
      <c r="H70" s="87">
        <f t="shared" si="2"/>
        <v>0</v>
      </c>
      <c r="I70" s="87">
        <f t="shared" si="3"/>
        <v>1.0052517534133157E-2</v>
      </c>
      <c r="J70" s="87">
        <f t="shared" si="4"/>
        <v>7.2888976342611565E-4</v>
      </c>
      <c r="K70" s="120">
        <f t="shared" si="6"/>
        <v>4.8592650895074377E-4</v>
      </c>
      <c r="O70" s="116">
        <f>Amnt_Deposited!B65</f>
        <v>2051</v>
      </c>
      <c r="P70" s="119">
        <f>Amnt_Deposited!H65</f>
        <v>0</v>
      </c>
      <c r="Q70" s="319">
        <f>MCF!R69</f>
        <v>0.8</v>
      </c>
      <c r="R70" s="87">
        <f t="shared" si="13"/>
        <v>0</v>
      </c>
      <c r="S70" s="87">
        <f t="shared" si="7"/>
        <v>0</v>
      </c>
      <c r="T70" s="87">
        <f t="shared" si="8"/>
        <v>0</v>
      </c>
      <c r="U70" s="87">
        <f t="shared" si="9"/>
        <v>1.1016457571652771E-2</v>
      </c>
      <c r="V70" s="87">
        <f t="shared" si="10"/>
        <v>7.9878330238478405E-4</v>
      </c>
      <c r="W70" s="120">
        <f t="shared" si="11"/>
        <v>5.3252220158985604E-4</v>
      </c>
    </row>
    <row r="71" spans="2:23">
      <c r="B71" s="116">
        <f>Amnt_Deposited!B66</f>
        <v>2052</v>
      </c>
      <c r="C71" s="119">
        <f>Amnt_Deposited!H66</f>
        <v>0</v>
      </c>
      <c r="D71" s="453">
        <f>Dry_Matter_Content!H58</f>
        <v>0.73</v>
      </c>
      <c r="E71" s="319">
        <f>MCF!R70</f>
        <v>0.8</v>
      </c>
      <c r="F71" s="87">
        <f t="shared" si="12"/>
        <v>0</v>
      </c>
      <c r="G71" s="87">
        <f t="shared" si="1"/>
        <v>0</v>
      </c>
      <c r="H71" s="87">
        <f t="shared" si="2"/>
        <v>0</v>
      </c>
      <c r="I71" s="87">
        <f t="shared" si="3"/>
        <v>9.3729052233219382E-3</v>
      </c>
      <c r="J71" s="87">
        <f t="shared" si="4"/>
        <v>6.79612310811219E-4</v>
      </c>
      <c r="K71" s="120">
        <f t="shared" si="6"/>
        <v>4.5307487387414598E-4</v>
      </c>
      <c r="O71" s="116">
        <f>Amnt_Deposited!B66</f>
        <v>2052</v>
      </c>
      <c r="P71" s="119">
        <f>Amnt_Deposited!H66</f>
        <v>0</v>
      </c>
      <c r="Q71" s="319">
        <f>MCF!R70</f>
        <v>0.8</v>
      </c>
      <c r="R71" s="87">
        <f t="shared" si="13"/>
        <v>0</v>
      </c>
      <c r="S71" s="87">
        <f t="shared" si="7"/>
        <v>0</v>
      </c>
      <c r="T71" s="87">
        <f t="shared" si="8"/>
        <v>0</v>
      </c>
      <c r="U71" s="87">
        <f t="shared" si="9"/>
        <v>1.0271676957065134E-2</v>
      </c>
      <c r="V71" s="87">
        <f t="shared" si="10"/>
        <v>7.4478061458763698E-4</v>
      </c>
      <c r="W71" s="120">
        <f t="shared" si="11"/>
        <v>4.9652040972509128E-4</v>
      </c>
    </row>
    <row r="72" spans="2:23">
      <c r="B72" s="116">
        <f>Amnt_Deposited!B67</f>
        <v>2053</v>
      </c>
      <c r="C72" s="119">
        <f>Amnt_Deposited!H67</f>
        <v>0</v>
      </c>
      <c r="D72" s="453">
        <f>Dry_Matter_Content!H59</f>
        <v>0.73</v>
      </c>
      <c r="E72" s="319">
        <f>MCF!R71</f>
        <v>0.8</v>
      </c>
      <c r="F72" s="87">
        <f t="shared" si="12"/>
        <v>0</v>
      </c>
      <c r="G72" s="87">
        <f t="shared" si="1"/>
        <v>0</v>
      </c>
      <c r="H72" s="87">
        <f t="shared" si="2"/>
        <v>0</v>
      </c>
      <c r="I72" s="87">
        <f t="shared" si="3"/>
        <v>8.7392389047895574E-3</v>
      </c>
      <c r="J72" s="87">
        <f t="shared" si="4"/>
        <v>6.336663185323811E-4</v>
      </c>
      <c r="K72" s="120">
        <f t="shared" si="6"/>
        <v>4.2244421235492071E-4</v>
      </c>
      <c r="O72" s="116">
        <f>Amnt_Deposited!B67</f>
        <v>2053</v>
      </c>
      <c r="P72" s="119">
        <f>Amnt_Deposited!H67</f>
        <v>0</v>
      </c>
      <c r="Q72" s="319">
        <f>MCF!R71</f>
        <v>0.8</v>
      </c>
      <c r="R72" s="87">
        <f t="shared" si="13"/>
        <v>0</v>
      </c>
      <c r="S72" s="87">
        <f t="shared" si="7"/>
        <v>0</v>
      </c>
      <c r="T72" s="87">
        <f t="shared" si="8"/>
        <v>0</v>
      </c>
      <c r="U72" s="87">
        <f t="shared" si="9"/>
        <v>9.5772481148378667E-3</v>
      </c>
      <c r="V72" s="87">
        <f t="shared" si="10"/>
        <v>6.9442884222726663E-4</v>
      </c>
      <c r="W72" s="120">
        <f t="shared" si="11"/>
        <v>4.6295256148484439E-4</v>
      </c>
    </row>
    <row r="73" spans="2:23">
      <c r="B73" s="116">
        <f>Amnt_Deposited!B68</f>
        <v>2054</v>
      </c>
      <c r="C73" s="119">
        <f>Amnt_Deposited!H68</f>
        <v>0</v>
      </c>
      <c r="D73" s="453">
        <f>Dry_Matter_Content!H60</f>
        <v>0.73</v>
      </c>
      <c r="E73" s="319">
        <f>MCF!R72</f>
        <v>0.8</v>
      </c>
      <c r="F73" s="87">
        <f t="shared" si="12"/>
        <v>0</v>
      </c>
      <c r="G73" s="87">
        <f t="shared" si="1"/>
        <v>0</v>
      </c>
      <c r="H73" s="87">
        <f t="shared" si="2"/>
        <v>0</v>
      </c>
      <c r="I73" s="87">
        <f t="shared" si="3"/>
        <v>8.1484123455074116E-3</v>
      </c>
      <c r="J73" s="87">
        <f t="shared" si="4"/>
        <v>5.9082655928214623E-4</v>
      </c>
      <c r="K73" s="120">
        <f t="shared" si="6"/>
        <v>3.9388437285476415E-4</v>
      </c>
      <c r="O73" s="116">
        <f>Amnt_Deposited!B68</f>
        <v>2054</v>
      </c>
      <c r="P73" s="119">
        <f>Amnt_Deposited!H68</f>
        <v>0</v>
      </c>
      <c r="Q73" s="319">
        <f>MCF!R72</f>
        <v>0.8</v>
      </c>
      <c r="R73" s="87">
        <f t="shared" si="13"/>
        <v>0</v>
      </c>
      <c r="S73" s="87">
        <f t="shared" si="7"/>
        <v>0</v>
      </c>
      <c r="T73" s="87">
        <f t="shared" si="8"/>
        <v>0</v>
      </c>
      <c r="U73" s="87">
        <f t="shared" si="9"/>
        <v>8.9297669539807212E-3</v>
      </c>
      <c r="V73" s="87">
        <f t="shared" si="10"/>
        <v>6.4748116085714617E-4</v>
      </c>
      <c r="W73" s="120">
        <f t="shared" si="11"/>
        <v>4.3165410723809743E-4</v>
      </c>
    </row>
    <row r="74" spans="2:23">
      <c r="B74" s="116">
        <f>Amnt_Deposited!B69</f>
        <v>2055</v>
      </c>
      <c r="C74" s="119">
        <f>Amnt_Deposited!H69</f>
        <v>0</v>
      </c>
      <c r="D74" s="453">
        <f>Dry_Matter_Content!H61</f>
        <v>0.73</v>
      </c>
      <c r="E74" s="319">
        <f>MCF!R73</f>
        <v>0.8</v>
      </c>
      <c r="F74" s="87">
        <f t="shared" si="12"/>
        <v>0</v>
      </c>
      <c r="G74" s="87">
        <f t="shared" si="1"/>
        <v>0</v>
      </c>
      <c r="H74" s="87">
        <f t="shared" si="2"/>
        <v>0</v>
      </c>
      <c r="I74" s="87">
        <f t="shared" si="3"/>
        <v>7.5975293129964434E-3</v>
      </c>
      <c r="J74" s="87">
        <f t="shared" si="4"/>
        <v>5.5088303251096848E-4</v>
      </c>
      <c r="K74" s="120">
        <f t="shared" si="6"/>
        <v>3.6725535500731232E-4</v>
      </c>
      <c r="O74" s="116">
        <f>Amnt_Deposited!B69</f>
        <v>2055</v>
      </c>
      <c r="P74" s="119">
        <f>Amnt_Deposited!H69</f>
        <v>0</v>
      </c>
      <c r="Q74" s="319">
        <f>MCF!R73</f>
        <v>0.8</v>
      </c>
      <c r="R74" s="87">
        <f t="shared" si="13"/>
        <v>0</v>
      </c>
      <c r="S74" s="87">
        <f t="shared" si="7"/>
        <v>0</v>
      </c>
      <c r="T74" s="87">
        <f t="shared" si="8"/>
        <v>0</v>
      </c>
      <c r="U74" s="87">
        <f t="shared" si="9"/>
        <v>8.3260595210919892E-3</v>
      </c>
      <c r="V74" s="87">
        <f t="shared" si="10"/>
        <v>6.0370743288873233E-4</v>
      </c>
      <c r="W74" s="120">
        <f t="shared" si="11"/>
        <v>4.0247162192582155E-4</v>
      </c>
    </row>
    <row r="75" spans="2:23">
      <c r="B75" s="116">
        <f>Amnt_Deposited!B70</f>
        <v>2056</v>
      </c>
      <c r="C75" s="119">
        <f>Amnt_Deposited!H70</f>
        <v>0</v>
      </c>
      <c r="D75" s="453">
        <f>Dry_Matter_Content!H62</f>
        <v>0.73</v>
      </c>
      <c r="E75" s="319">
        <f>MCF!R74</f>
        <v>0.8</v>
      </c>
      <c r="F75" s="87">
        <f t="shared" si="12"/>
        <v>0</v>
      </c>
      <c r="G75" s="87">
        <f t="shared" si="1"/>
        <v>0</v>
      </c>
      <c r="H75" s="87">
        <f t="shared" si="2"/>
        <v>0</v>
      </c>
      <c r="I75" s="87">
        <f t="shared" si="3"/>
        <v>7.0838893779921691E-3</v>
      </c>
      <c r="J75" s="87">
        <f t="shared" si="4"/>
        <v>5.1363993500427461E-4</v>
      </c>
      <c r="K75" s="120">
        <f t="shared" si="6"/>
        <v>3.4242662333618308E-4</v>
      </c>
      <c r="O75" s="116">
        <f>Amnt_Deposited!B70</f>
        <v>2056</v>
      </c>
      <c r="P75" s="119">
        <f>Amnt_Deposited!H70</f>
        <v>0</v>
      </c>
      <c r="Q75" s="319">
        <f>MCF!R74</f>
        <v>0.8</v>
      </c>
      <c r="R75" s="87">
        <f t="shared" si="13"/>
        <v>0</v>
      </c>
      <c r="S75" s="87">
        <f t="shared" si="7"/>
        <v>0</v>
      </c>
      <c r="T75" s="87">
        <f t="shared" si="8"/>
        <v>0</v>
      </c>
      <c r="U75" s="87">
        <f t="shared" si="9"/>
        <v>7.7631664416352502E-3</v>
      </c>
      <c r="V75" s="87">
        <f t="shared" si="10"/>
        <v>5.6289307945673911E-4</v>
      </c>
      <c r="W75" s="120">
        <f t="shared" si="11"/>
        <v>3.7526205297115937E-4</v>
      </c>
    </row>
    <row r="76" spans="2:23">
      <c r="B76" s="116">
        <f>Amnt_Deposited!B71</f>
        <v>2057</v>
      </c>
      <c r="C76" s="119">
        <f>Amnt_Deposited!H71</f>
        <v>0</v>
      </c>
      <c r="D76" s="453">
        <f>Dry_Matter_Content!H63</f>
        <v>0.73</v>
      </c>
      <c r="E76" s="319">
        <f>MCF!R75</f>
        <v>0.8</v>
      </c>
      <c r="F76" s="87">
        <f t="shared" si="12"/>
        <v>0</v>
      </c>
      <c r="G76" s="87">
        <f t="shared" si="1"/>
        <v>0</v>
      </c>
      <c r="H76" s="87">
        <f t="shared" si="2"/>
        <v>0</v>
      </c>
      <c r="I76" s="87">
        <f t="shared" si="3"/>
        <v>6.6049746769372905E-3</v>
      </c>
      <c r="J76" s="87">
        <f t="shared" si="4"/>
        <v>4.7891470105487863E-4</v>
      </c>
      <c r="K76" s="120">
        <f t="shared" si="6"/>
        <v>3.1927646736991909E-4</v>
      </c>
      <c r="O76" s="116">
        <f>Amnt_Deposited!B71</f>
        <v>2057</v>
      </c>
      <c r="P76" s="119">
        <f>Amnt_Deposited!H71</f>
        <v>0</v>
      </c>
      <c r="Q76" s="319">
        <f>MCF!R75</f>
        <v>0.8</v>
      </c>
      <c r="R76" s="87">
        <f t="shared" si="13"/>
        <v>0</v>
      </c>
      <c r="S76" s="87">
        <f t="shared" si="7"/>
        <v>0</v>
      </c>
      <c r="T76" s="87">
        <f t="shared" si="8"/>
        <v>0</v>
      </c>
      <c r="U76" s="87">
        <f t="shared" si="9"/>
        <v>7.2383284130819589E-3</v>
      </c>
      <c r="V76" s="87">
        <f t="shared" si="10"/>
        <v>5.2483802855329148E-4</v>
      </c>
      <c r="W76" s="120">
        <f t="shared" si="11"/>
        <v>3.4989201903552763E-4</v>
      </c>
    </row>
    <row r="77" spans="2:23">
      <c r="B77" s="116">
        <f>Amnt_Deposited!B72</f>
        <v>2058</v>
      </c>
      <c r="C77" s="119">
        <f>Amnt_Deposited!H72</f>
        <v>0</v>
      </c>
      <c r="D77" s="453">
        <f>Dry_Matter_Content!H64</f>
        <v>0.73</v>
      </c>
      <c r="E77" s="319">
        <f>MCF!R76</f>
        <v>0.8</v>
      </c>
      <c r="F77" s="87">
        <f t="shared" si="12"/>
        <v>0</v>
      </c>
      <c r="G77" s="87">
        <f t="shared" si="1"/>
        <v>0</v>
      </c>
      <c r="H77" s="87">
        <f t="shared" si="2"/>
        <v>0</v>
      </c>
      <c r="I77" s="87">
        <f t="shared" si="3"/>
        <v>6.1584375694116169E-3</v>
      </c>
      <c r="J77" s="87">
        <f t="shared" si="4"/>
        <v>4.4653710752567358E-4</v>
      </c>
      <c r="K77" s="120">
        <f t="shared" si="6"/>
        <v>2.976914050171157E-4</v>
      </c>
      <c r="O77" s="116">
        <f>Amnt_Deposited!B72</f>
        <v>2058</v>
      </c>
      <c r="P77" s="119">
        <f>Amnt_Deposited!H72</f>
        <v>0</v>
      </c>
      <c r="Q77" s="319">
        <f>MCF!R76</f>
        <v>0.8</v>
      </c>
      <c r="R77" s="87">
        <f t="shared" si="13"/>
        <v>0</v>
      </c>
      <c r="S77" s="87">
        <f t="shared" si="7"/>
        <v>0</v>
      </c>
      <c r="T77" s="87">
        <f t="shared" si="8"/>
        <v>0</v>
      </c>
      <c r="U77" s="87">
        <f t="shared" si="9"/>
        <v>6.748972678807248E-3</v>
      </c>
      <c r="V77" s="87">
        <f t="shared" si="10"/>
        <v>4.893557342747105E-4</v>
      </c>
      <c r="W77" s="120">
        <f t="shared" si="11"/>
        <v>3.2623715618314031E-4</v>
      </c>
    </row>
    <row r="78" spans="2:23">
      <c r="B78" s="116">
        <f>Amnt_Deposited!B73</f>
        <v>2059</v>
      </c>
      <c r="C78" s="119">
        <f>Amnt_Deposited!H73</f>
        <v>0</v>
      </c>
      <c r="D78" s="453">
        <f>Dry_Matter_Content!H65</f>
        <v>0.73</v>
      </c>
      <c r="E78" s="319">
        <f>MCF!R77</f>
        <v>0.8</v>
      </c>
      <c r="F78" s="87">
        <f t="shared" si="12"/>
        <v>0</v>
      </c>
      <c r="G78" s="87">
        <f t="shared" si="1"/>
        <v>0</v>
      </c>
      <c r="H78" s="87">
        <f t="shared" si="2"/>
        <v>0</v>
      </c>
      <c r="I78" s="87">
        <f t="shared" si="3"/>
        <v>5.7420891299960006E-3</v>
      </c>
      <c r="J78" s="87">
        <f t="shared" si="4"/>
        <v>4.1634843941561596E-4</v>
      </c>
      <c r="K78" s="120">
        <f t="shared" si="6"/>
        <v>2.7756562627707731E-4</v>
      </c>
      <c r="O78" s="116">
        <f>Amnt_Deposited!B73</f>
        <v>2059</v>
      </c>
      <c r="P78" s="119">
        <f>Amnt_Deposited!H73</f>
        <v>0</v>
      </c>
      <c r="Q78" s="319">
        <f>MCF!R77</f>
        <v>0.8</v>
      </c>
      <c r="R78" s="87">
        <f t="shared" si="13"/>
        <v>0</v>
      </c>
      <c r="S78" s="87">
        <f t="shared" si="7"/>
        <v>0</v>
      </c>
      <c r="T78" s="87">
        <f t="shared" si="8"/>
        <v>0</v>
      </c>
      <c r="U78" s="87">
        <f t="shared" si="9"/>
        <v>6.2927004164339707E-3</v>
      </c>
      <c r="V78" s="87">
        <f t="shared" si="10"/>
        <v>4.5627226237327753E-4</v>
      </c>
      <c r="W78" s="120">
        <f t="shared" si="11"/>
        <v>3.0418150824885169E-4</v>
      </c>
    </row>
    <row r="79" spans="2:23">
      <c r="B79" s="116">
        <f>Amnt_Deposited!B74</f>
        <v>2060</v>
      </c>
      <c r="C79" s="119">
        <f>Amnt_Deposited!H74</f>
        <v>0</v>
      </c>
      <c r="D79" s="453">
        <f>Dry_Matter_Content!H66</f>
        <v>0.73</v>
      </c>
      <c r="E79" s="319">
        <f>MCF!R78</f>
        <v>0.8</v>
      </c>
      <c r="F79" s="87">
        <f t="shared" si="12"/>
        <v>0</v>
      </c>
      <c r="G79" s="87">
        <f t="shared" si="1"/>
        <v>0</v>
      </c>
      <c r="H79" s="87">
        <f t="shared" si="2"/>
        <v>0</v>
      </c>
      <c r="I79" s="87">
        <f t="shared" si="3"/>
        <v>5.3538884181573944E-3</v>
      </c>
      <c r="J79" s="87">
        <f t="shared" si="4"/>
        <v>3.882007118386064E-4</v>
      </c>
      <c r="K79" s="120">
        <f t="shared" si="6"/>
        <v>2.5880047455907092E-4</v>
      </c>
      <c r="O79" s="116">
        <f>Amnt_Deposited!B74</f>
        <v>2060</v>
      </c>
      <c r="P79" s="119">
        <f>Amnt_Deposited!H74</f>
        <v>0</v>
      </c>
      <c r="Q79" s="319">
        <f>MCF!R78</f>
        <v>0.8</v>
      </c>
      <c r="R79" s="87">
        <f t="shared" si="13"/>
        <v>0</v>
      </c>
      <c r="S79" s="87">
        <f t="shared" si="7"/>
        <v>0</v>
      </c>
      <c r="T79" s="87">
        <f t="shared" si="8"/>
        <v>0</v>
      </c>
      <c r="U79" s="87">
        <f t="shared" si="9"/>
        <v>5.867274978802621E-3</v>
      </c>
      <c r="V79" s="87">
        <f t="shared" si="10"/>
        <v>4.2542543763134935E-4</v>
      </c>
      <c r="W79" s="120">
        <f t="shared" si="11"/>
        <v>2.8361695842089955E-4</v>
      </c>
    </row>
    <row r="80" spans="2:23">
      <c r="B80" s="116">
        <f>Amnt_Deposited!B75</f>
        <v>2061</v>
      </c>
      <c r="C80" s="119">
        <f>Amnt_Deposited!H75</f>
        <v>0</v>
      </c>
      <c r="D80" s="453">
        <f>Dry_Matter_Content!H67</f>
        <v>0.73</v>
      </c>
      <c r="E80" s="319">
        <f>MCF!R79</f>
        <v>0.8</v>
      </c>
      <c r="F80" s="87">
        <f t="shared" si="12"/>
        <v>0</v>
      </c>
      <c r="G80" s="87">
        <f t="shared" si="1"/>
        <v>0</v>
      </c>
      <c r="H80" s="87">
        <f t="shared" si="2"/>
        <v>0</v>
      </c>
      <c r="I80" s="87">
        <f t="shared" si="3"/>
        <v>4.991932473555988E-3</v>
      </c>
      <c r="J80" s="87">
        <f t="shared" si="4"/>
        <v>3.6195594460140655E-4</v>
      </c>
      <c r="K80" s="120">
        <f t="shared" si="6"/>
        <v>2.4130396306760435E-4</v>
      </c>
      <c r="O80" s="116">
        <f>Amnt_Deposited!B75</f>
        <v>2061</v>
      </c>
      <c r="P80" s="119">
        <f>Amnt_Deposited!H75</f>
        <v>0</v>
      </c>
      <c r="Q80" s="319">
        <f>MCF!R79</f>
        <v>0.8</v>
      </c>
      <c r="R80" s="87">
        <f t="shared" si="13"/>
        <v>0</v>
      </c>
      <c r="S80" s="87">
        <f t="shared" si="7"/>
        <v>0</v>
      </c>
      <c r="T80" s="87">
        <f t="shared" si="8"/>
        <v>0</v>
      </c>
      <c r="U80" s="87">
        <f t="shared" si="9"/>
        <v>5.4706109299243674E-3</v>
      </c>
      <c r="V80" s="87">
        <f t="shared" si="10"/>
        <v>3.9666404887825352E-4</v>
      </c>
      <c r="W80" s="120">
        <f t="shared" si="11"/>
        <v>2.6444269925216901E-4</v>
      </c>
    </row>
    <row r="81" spans="2:23">
      <c r="B81" s="116">
        <f>Amnt_Deposited!B76</f>
        <v>2062</v>
      </c>
      <c r="C81" s="119">
        <f>Amnt_Deposited!H76</f>
        <v>0</v>
      </c>
      <c r="D81" s="453">
        <f>Dry_Matter_Content!H68</f>
        <v>0.73</v>
      </c>
      <c r="E81" s="319">
        <f>MCF!R80</f>
        <v>0.8</v>
      </c>
      <c r="F81" s="87">
        <f t="shared" si="12"/>
        <v>0</v>
      </c>
      <c r="G81" s="87">
        <f t="shared" si="1"/>
        <v>0</v>
      </c>
      <c r="H81" s="87">
        <f t="shared" si="2"/>
        <v>0</v>
      </c>
      <c r="I81" s="87">
        <f t="shared" si="3"/>
        <v>4.6544469877314171E-3</v>
      </c>
      <c r="J81" s="87">
        <f t="shared" si="4"/>
        <v>3.3748548582457122E-4</v>
      </c>
      <c r="K81" s="120">
        <f t="shared" si="6"/>
        <v>2.2499032388304747E-4</v>
      </c>
      <c r="O81" s="116">
        <f>Amnt_Deposited!B76</f>
        <v>2062</v>
      </c>
      <c r="P81" s="119">
        <f>Amnt_Deposited!H76</f>
        <v>0</v>
      </c>
      <c r="Q81" s="319">
        <f>MCF!R80</f>
        <v>0.8</v>
      </c>
      <c r="R81" s="87">
        <f t="shared" si="13"/>
        <v>0</v>
      </c>
      <c r="S81" s="87">
        <f t="shared" si="7"/>
        <v>0</v>
      </c>
      <c r="T81" s="87">
        <f t="shared" si="8"/>
        <v>0</v>
      </c>
      <c r="U81" s="87">
        <f t="shared" si="9"/>
        <v>5.1007638221714129E-3</v>
      </c>
      <c r="V81" s="87">
        <f t="shared" si="10"/>
        <v>3.6984710775295459E-4</v>
      </c>
      <c r="W81" s="120">
        <f t="shared" si="11"/>
        <v>2.4656473850196971E-4</v>
      </c>
    </row>
    <row r="82" spans="2:23">
      <c r="B82" s="116">
        <f>Amnt_Deposited!B77</f>
        <v>2063</v>
      </c>
      <c r="C82" s="119">
        <f>Amnt_Deposited!H77</f>
        <v>0</v>
      </c>
      <c r="D82" s="453">
        <f>Dry_Matter_Content!H69</f>
        <v>0.73</v>
      </c>
      <c r="E82" s="319">
        <f>MCF!R81</f>
        <v>0.8</v>
      </c>
      <c r="F82" s="87">
        <f t="shared" si="12"/>
        <v>0</v>
      </c>
      <c r="G82" s="87">
        <f t="shared" si="1"/>
        <v>0</v>
      </c>
      <c r="H82" s="87">
        <f t="shared" si="2"/>
        <v>0</v>
      </c>
      <c r="I82" s="87">
        <f t="shared" si="3"/>
        <v>4.3397776064406307E-3</v>
      </c>
      <c r="J82" s="87">
        <f t="shared" si="4"/>
        <v>3.1466938129078676E-4</v>
      </c>
      <c r="K82" s="120">
        <f t="shared" si="6"/>
        <v>2.0977958752719118E-4</v>
      </c>
      <c r="O82" s="116">
        <f>Amnt_Deposited!B77</f>
        <v>2063</v>
      </c>
      <c r="P82" s="119">
        <f>Amnt_Deposited!H77</f>
        <v>0</v>
      </c>
      <c r="Q82" s="319">
        <f>MCF!R81</f>
        <v>0.8</v>
      </c>
      <c r="R82" s="87">
        <f t="shared" si="13"/>
        <v>0</v>
      </c>
      <c r="S82" s="87">
        <f t="shared" si="7"/>
        <v>0</v>
      </c>
      <c r="T82" s="87">
        <f t="shared" si="8"/>
        <v>0</v>
      </c>
      <c r="U82" s="87">
        <f t="shared" si="9"/>
        <v>4.755920664592469E-3</v>
      </c>
      <c r="V82" s="87">
        <f t="shared" si="10"/>
        <v>3.448431575789442E-4</v>
      </c>
      <c r="W82" s="120">
        <f t="shared" si="11"/>
        <v>2.2989543838596279E-4</v>
      </c>
    </row>
    <row r="83" spans="2:23">
      <c r="B83" s="116">
        <f>Amnt_Deposited!B78</f>
        <v>2064</v>
      </c>
      <c r="C83" s="119">
        <f>Amnt_Deposited!H78</f>
        <v>0</v>
      </c>
      <c r="D83" s="453">
        <f>Dry_Matter_Content!H70</f>
        <v>0.73</v>
      </c>
      <c r="E83" s="319">
        <f>MCF!R82</f>
        <v>0.8</v>
      </c>
      <c r="F83" s="87">
        <f t="shared" ref="F83:F99" si="14">C83*D83*$K$6*DOCF*E83</f>
        <v>0</v>
      </c>
      <c r="G83" s="87">
        <f t="shared" ref="G83:G99" si="15">F83*$K$12</f>
        <v>0</v>
      </c>
      <c r="H83" s="87">
        <f t="shared" ref="H83:H99" si="16">F83*(1-$K$12)</f>
        <v>0</v>
      </c>
      <c r="I83" s="87">
        <f t="shared" ref="I83:I99" si="17">G83+I82*$K$10</f>
        <v>4.0463818200114727E-3</v>
      </c>
      <c r="J83" s="87">
        <f t="shared" ref="J83:J99" si="18">I82*(1-$K$10)+H83</f>
        <v>2.9339578642915802E-4</v>
      </c>
      <c r="K83" s="120">
        <f t="shared" si="6"/>
        <v>1.95597190952772E-4</v>
      </c>
      <c r="O83" s="116">
        <f>Amnt_Deposited!B78</f>
        <v>2064</v>
      </c>
      <c r="P83" s="119">
        <f>Amnt_Deposited!H78</f>
        <v>0</v>
      </c>
      <c r="Q83" s="319">
        <f>MCF!R82</f>
        <v>0.8</v>
      </c>
      <c r="R83" s="87">
        <f t="shared" ref="R83:R99" si="19">P83*$W$6*DOCF*Q83</f>
        <v>0</v>
      </c>
      <c r="S83" s="87">
        <f t="shared" si="7"/>
        <v>0</v>
      </c>
      <c r="T83" s="87">
        <f t="shared" si="8"/>
        <v>0</v>
      </c>
      <c r="U83" s="87">
        <f t="shared" si="9"/>
        <v>4.4343910356290086E-3</v>
      </c>
      <c r="V83" s="87">
        <f t="shared" si="10"/>
        <v>3.2152962896346066E-4</v>
      </c>
      <c r="W83" s="120">
        <f t="shared" si="11"/>
        <v>2.1435308597564042E-4</v>
      </c>
    </row>
    <row r="84" spans="2:23">
      <c r="B84" s="116">
        <f>Amnt_Deposited!B79</f>
        <v>2065</v>
      </c>
      <c r="C84" s="119">
        <f>Amnt_Deposited!H79</f>
        <v>0</v>
      </c>
      <c r="D84" s="453">
        <f>Dry_Matter_Content!H71</f>
        <v>0.73</v>
      </c>
      <c r="E84" s="319">
        <f>MCF!R83</f>
        <v>0.8</v>
      </c>
      <c r="F84" s="87">
        <f t="shared" si="14"/>
        <v>0</v>
      </c>
      <c r="G84" s="87">
        <f t="shared" si="15"/>
        <v>0</v>
      </c>
      <c r="H84" s="87">
        <f t="shared" si="16"/>
        <v>0</v>
      </c>
      <c r="I84" s="87">
        <f t="shared" si="17"/>
        <v>3.7728214019584804E-3</v>
      </c>
      <c r="J84" s="87">
        <f t="shared" si="18"/>
        <v>2.735604180529924E-4</v>
      </c>
      <c r="K84" s="120">
        <f t="shared" si="6"/>
        <v>1.8237361203532826E-4</v>
      </c>
      <c r="O84" s="116">
        <f>Amnt_Deposited!B79</f>
        <v>2065</v>
      </c>
      <c r="P84" s="119">
        <f>Amnt_Deposited!H79</f>
        <v>0</v>
      </c>
      <c r="Q84" s="319">
        <f>MCF!R83</f>
        <v>0.8</v>
      </c>
      <c r="R84" s="87">
        <f t="shared" si="19"/>
        <v>0</v>
      </c>
      <c r="S84" s="87">
        <f t="shared" si="7"/>
        <v>0</v>
      </c>
      <c r="T84" s="87">
        <f t="shared" si="8"/>
        <v>0</v>
      </c>
      <c r="U84" s="87">
        <f t="shared" si="9"/>
        <v>4.1345987966668251E-3</v>
      </c>
      <c r="V84" s="87">
        <f t="shared" si="10"/>
        <v>2.9979223896218333E-4</v>
      </c>
      <c r="W84" s="120">
        <f t="shared" si="11"/>
        <v>1.9986149264145553E-4</v>
      </c>
    </row>
    <row r="85" spans="2:23">
      <c r="B85" s="116">
        <f>Amnt_Deposited!B80</f>
        <v>2066</v>
      </c>
      <c r="C85" s="119">
        <f>Amnt_Deposited!H80</f>
        <v>0</v>
      </c>
      <c r="D85" s="453">
        <f>Dry_Matter_Content!H72</f>
        <v>0.73</v>
      </c>
      <c r="E85" s="319">
        <f>MCF!R84</f>
        <v>0.8</v>
      </c>
      <c r="F85" s="87">
        <f t="shared" si="14"/>
        <v>0</v>
      </c>
      <c r="G85" s="87">
        <f t="shared" si="15"/>
        <v>0</v>
      </c>
      <c r="H85" s="87">
        <f t="shared" si="16"/>
        <v>0</v>
      </c>
      <c r="I85" s="87">
        <f t="shared" si="17"/>
        <v>3.5177553587949825E-3</v>
      </c>
      <c r="J85" s="87">
        <f t="shared" si="18"/>
        <v>2.5506604316349776E-4</v>
      </c>
      <c r="K85" s="120">
        <f t="shared" ref="K85:K99" si="20">J85*CH4_fraction*conv</f>
        <v>1.7004402877566517E-4</v>
      </c>
      <c r="O85" s="116">
        <f>Amnt_Deposited!B80</f>
        <v>2066</v>
      </c>
      <c r="P85" s="119">
        <f>Amnt_Deposited!H80</f>
        <v>0</v>
      </c>
      <c r="Q85" s="319">
        <f>MCF!R84</f>
        <v>0.8</v>
      </c>
      <c r="R85" s="87">
        <f t="shared" si="19"/>
        <v>0</v>
      </c>
      <c r="S85" s="87">
        <f t="shared" ref="S85:S98" si="21">R85*$W$12</f>
        <v>0</v>
      </c>
      <c r="T85" s="87">
        <f t="shared" ref="T85:T98" si="22">R85*(1-$W$12)</f>
        <v>0</v>
      </c>
      <c r="U85" s="87">
        <f t="shared" ref="U85:U98" si="23">S85+U84*$W$10</f>
        <v>3.8550743658027184E-3</v>
      </c>
      <c r="V85" s="87">
        <f t="shared" ref="V85:V98" si="24">U84*(1-$W$10)+T85</f>
        <v>2.7952443086410694E-4</v>
      </c>
      <c r="W85" s="120">
        <f t="shared" ref="W85:W99" si="25">V85*CH4_fraction*conv</f>
        <v>1.8634962057607129E-4</v>
      </c>
    </row>
    <row r="86" spans="2:23">
      <c r="B86" s="116">
        <f>Amnt_Deposited!B81</f>
        <v>2067</v>
      </c>
      <c r="C86" s="119">
        <f>Amnt_Deposited!H81</f>
        <v>0</v>
      </c>
      <c r="D86" s="453">
        <f>Dry_Matter_Content!H73</f>
        <v>0.73</v>
      </c>
      <c r="E86" s="319">
        <f>MCF!R85</f>
        <v>0.8</v>
      </c>
      <c r="F86" s="87">
        <f t="shared" si="14"/>
        <v>0</v>
      </c>
      <c r="G86" s="87">
        <f t="shared" si="15"/>
        <v>0</v>
      </c>
      <c r="H86" s="87">
        <f t="shared" si="16"/>
        <v>0</v>
      </c>
      <c r="I86" s="87">
        <f t="shared" si="17"/>
        <v>3.2799333564814733E-3</v>
      </c>
      <c r="J86" s="87">
        <f t="shared" si="18"/>
        <v>2.3782200231350914E-4</v>
      </c>
      <c r="K86" s="120">
        <f t="shared" si="20"/>
        <v>1.5854800154233942E-4</v>
      </c>
      <c r="O86" s="116">
        <f>Amnt_Deposited!B81</f>
        <v>2067</v>
      </c>
      <c r="P86" s="119">
        <f>Amnt_Deposited!H81</f>
        <v>0</v>
      </c>
      <c r="Q86" s="319">
        <f>MCF!R85</f>
        <v>0.8</v>
      </c>
      <c r="R86" s="87">
        <f t="shared" si="19"/>
        <v>0</v>
      </c>
      <c r="S86" s="87">
        <f t="shared" si="21"/>
        <v>0</v>
      </c>
      <c r="T86" s="87">
        <f t="shared" si="22"/>
        <v>0</v>
      </c>
      <c r="U86" s="87">
        <f t="shared" si="23"/>
        <v>3.5944475139522976E-3</v>
      </c>
      <c r="V86" s="87">
        <f t="shared" si="24"/>
        <v>2.6062685185042084E-4</v>
      </c>
      <c r="W86" s="120">
        <f t="shared" si="25"/>
        <v>1.7375123456694723E-4</v>
      </c>
    </row>
    <row r="87" spans="2:23">
      <c r="B87" s="116">
        <f>Amnt_Deposited!B82</f>
        <v>2068</v>
      </c>
      <c r="C87" s="119">
        <f>Amnt_Deposited!H82</f>
        <v>0</v>
      </c>
      <c r="D87" s="453">
        <f>Dry_Matter_Content!H74</f>
        <v>0.73</v>
      </c>
      <c r="E87" s="319">
        <f>MCF!R86</f>
        <v>0.8</v>
      </c>
      <c r="F87" s="87">
        <f t="shared" si="14"/>
        <v>0</v>
      </c>
      <c r="G87" s="87">
        <f t="shared" si="15"/>
        <v>0</v>
      </c>
      <c r="H87" s="87">
        <f t="shared" si="16"/>
        <v>0</v>
      </c>
      <c r="I87" s="87">
        <f t="shared" si="17"/>
        <v>3.0581895912866991E-3</v>
      </c>
      <c r="J87" s="87">
        <f t="shared" si="18"/>
        <v>2.2174376519477405E-4</v>
      </c>
      <c r="K87" s="120">
        <f t="shared" si="20"/>
        <v>1.4782917679651602E-4</v>
      </c>
      <c r="O87" s="116">
        <f>Amnt_Deposited!B82</f>
        <v>2068</v>
      </c>
      <c r="P87" s="119">
        <f>Amnt_Deposited!H82</f>
        <v>0</v>
      </c>
      <c r="Q87" s="319">
        <f>MCF!R86</f>
        <v>0.8</v>
      </c>
      <c r="R87" s="87">
        <f t="shared" si="19"/>
        <v>0</v>
      </c>
      <c r="S87" s="87">
        <f t="shared" si="21"/>
        <v>0</v>
      </c>
      <c r="T87" s="87">
        <f t="shared" si="22"/>
        <v>0</v>
      </c>
      <c r="U87" s="87">
        <f t="shared" si="23"/>
        <v>3.3514406479854221E-3</v>
      </c>
      <c r="V87" s="87">
        <f t="shared" si="24"/>
        <v>2.4300686596687553E-4</v>
      </c>
      <c r="W87" s="120">
        <f t="shared" si="25"/>
        <v>1.6200457731125033E-4</v>
      </c>
    </row>
    <row r="88" spans="2:23">
      <c r="B88" s="116">
        <f>Amnt_Deposited!B83</f>
        <v>2069</v>
      </c>
      <c r="C88" s="119">
        <f>Amnt_Deposited!H83</f>
        <v>0</v>
      </c>
      <c r="D88" s="453">
        <f>Dry_Matter_Content!H75</f>
        <v>0.73</v>
      </c>
      <c r="E88" s="319">
        <f>MCF!R87</f>
        <v>0.8</v>
      </c>
      <c r="F88" s="87">
        <f t="shared" si="14"/>
        <v>0</v>
      </c>
      <c r="G88" s="87">
        <f t="shared" si="15"/>
        <v>0</v>
      </c>
      <c r="H88" s="87">
        <f t="shared" si="16"/>
        <v>0</v>
      </c>
      <c r="I88" s="87">
        <f t="shared" si="17"/>
        <v>2.8514370750164159E-3</v>
      </c>
      <c r="J88" s="87">
        <f t="shared" si="18"/>
        <v>2.0675251627028302E-4</v>
      </c>
      <c r="K88" s="120">
        <f t="shared" si="20"/>
        <v>1.3783501084685534E-4</v>
      </c>
      <c r="O88" s="116">
        <f>Amnt_Deposited!B83</f>
        <v>2069</v>
      </c>
      <c r="P88" s="119">
        <f>Amnt_Deposited!H83</f>
        <v>0</v>
      </c>
      <c r="Q88" s="319">
        <f>MCF!R87</f>
        <v>0.8</v>
      </c>
      <c r="R88" s="87">
        <f t="shared" si="19"/>
        <v>0</v>
      </c>
      <c r="S88" s="87">
        <f t="shared" si="21"/>
        <v>0</v>
      </c>
      <c r="T88" s="87">
        <f t="shared" si="22"/>
        <v>0</v>
      </c>
      <c r="U88" s="87">
        <f t="shared" si="23"/>
        <v>3.1248625479631943E-3</v>
      </c>
      <c r="V88" s="87">
        <f t="shared" si="24"/>
        <v>2.2657810002222787E-4</v>
      </c>
      <c r="W88" s="120">
        <f t="shared" si="25"/>
        <v>1.5105206668148525E-4</v>
      </c>
    </row>
    <row r="89" spans="2:23">
      <c r="B89" s="116">
        <f>Amnt_Deposited!B84</f>
        <v>2070</v>
      </c>
      <c r="C89" s="119">
        <f>Amnt_Deposited!H84</f>
        <v>0</v>
      </c>
      <c r="D89" s="453">
        <f>Dry_Matter_Content!H76</f>
        <v>0.73</v>
      </c>
      <c r="E89" s="319">
        <f>MCF!R88</f>
        <v>0.8</v>
      </c>
      <c r="F89" s="87">
        <f t="shared" si="14"/>
        <v>0</v>
      </c>
      <c r="G89" s="87">
        <f t="shared" si="15"/>
        <v>0</v>
      </c>
      <c r="H89" s="87">
        <f t="shared" si="16"/>
        <v>0</v>
      </c>
      <c r="I89" s="87">
        <f t="shared" si="17"/>
        <v>2.6586623065959999E-3</v>
      </c>
      <c r="J89" s="87">
        <f t="shared" si="18"/>
        <v>1.9277476842041589E-4</v>
      </c>
      <c r="K89" s="120">
        <f t="shared" si="20"/>
        <v>1.2851651228027724E-4</v>
      </c>
      <c r="O89" s="116">
        <f>Amnt_Deposited!B84</f>
        <v>2070</v>
      </c>
      <c r="P89" s="119">
        <f>Amnt_Deposited!H84</f>
        <v>0</v>
      </c>
      <c r="Q89" s="319">
        <f>MCF!R88</f>
        <v>0.8</v>
      </c>
      <c r="R89" s="87">
        <f t="shared" si="19"/>
        <v>0</v>
      </c>
      <c r="S89" s="87">
        <f t="shared" si="21"/>
        <v>0</v>
      </c>
      <c r="T89" s="87">
        <f t="shared" si="22"/>
        <v>0</v>
      </c>
      <c r="U89" s="87">
        <f t="shared" si="23"/>
        <v>2.9136025277764371E-3</v>
      </c>
      <c r="V89" s="87">
        <f t="shared" si="24"/>
        <v>2.1126002018675706E-4</v>
      </c>
      <c r="W89" s="120">
        <f t="shared" si="25"/>
        <v>1.4084001345783802E-4</v>
      </c>
    </row>
    <row r="90" spans="2:23">
      <c r="B90" s="116">
        <f>Amnt_Deposited!B85</f>
        <v>2071</v>
      </c>
      <c r="C90" s="119">
        <f>Amnt_Deposited!H85</f>
        <v>0</v>
      </c>
      <c r="D90" s="453">
        <f>Dry_Matter_Content!H77</f>
        <v>0.73</v>
      </c>
      <c r="E90" s="319">
        <f>MCF!R89</f>
        <v>0.8</v>
      </c>
      <c r="F90" s="87">
        <f t="shared" si="14"/>
        <v>0</v>
      </c>
      <c r="G90" s="87">
        <f t="shared" si="15"/>
        <v>0</v>
      </c>
      <c r="H90" s="87">
        <f t="shared" si="16"/>
        <v>0</v>
      </c>
      <c r="I90" s="87">
        <f t="shared" si="17"/>
        <v>2.4789203038870036E-3</v>
      </c>
      <c r="J90" s="87">
        <f t="shared" si="18"/>
        <v>1.7974200270899613E-4</v>
      </c>
      <c r="K90" s="120">
        <f t="shared" si="20"/>
        <v>1.1982800180599741E-4</v>
      </c>
      <c r="O90" s="116">
        <f>Amnt_Deposited!B85</f>
        <v>2071</v>
      </c>
      <c r="P90" s="119">
        <f>Amnt_Deposited!H85</f>
        <v>0</v>
      </c>
      <c r="Q90" s="319">
        <f>MCF!R89</f>
        <v>0.8</v>
      </c>
      <c r="R90" s="87">
        <f t="shared" si="19"/>
        <v>0</v>
      </c>
      <c r="S90" s="87">
        <f t="shared" si="21"/>
        <v>0</v>
      </c>
      <c r="T90" s="87">
        <f t="shared" si="22"/>
        <v>0</v>
      </c>
      <c r="U90" s="87">
        <f t="shared" si="23"/>
        <v>2.7166249905610988E-3</v>
      </c>
      <c r="V90" s="87">
        <f t="shared" si="24"/>
        <v>1.9697753721533814E-4</v>
      </c>
      <c r="W90" s="120">
        <f t="shared" si="25"/>
        <v>1.3131835814355876E-4</v>
      </c>
    </row>
    <row r="91" spans="2:23">
      <c r="B91" s="116">
        <f>Amnt_Deposited!B86</f>
        <v>2072</v>
      </c>
      <c r="C91" s="119">
        <f>Amnt_Deposited!H86</f>
        <v>0</v>
      </c>
      <c r="D91" s="453">
        <f>Dry_Matter_Content!H78</f>
        <v>0.73</v>
      </c>
      <c r="E91" s="319">
        <f>MCF!R90</f>
        <v>0.8</v>
      </c>
      <c r="F91" s="87">
        <f t="shared" si="14"/>
        <v>0</v>
      </c>
      <c r="G91" s="87">
        <f t="shared" si="15"/>
        <v>0</v>
      </c>
      <c r="H91" s="87">
        <f t="shared" si="16"/>
        <v>0</v>
      </c>
      <c r="I91" s="87">
        <f t="shared" si="17"/>
        <v>2.3113299713836172E-3</v>
      </c>
      <c r="J91" s="87">
        <f t="shared" si="18"/>
        <v>1.6759033250338619E-4</v>
      </c>
      <c r="K91" s="120">
        <f t="shared" si="20"/>
        <v>1.1172688833559079E-4</v>
      </c>
      <c r="O91" s="116">
        <f>Amnt_Deposited!B86</f>
        <v>2072</v>
      </c>
      <c r="P91" s="119">
        <f>Amnt_Deposited!H86</f>
        <v>0</v>
      </c>
      <c r="Q91" s="319">
        <f>MCF!R90</f>
        <v>0.8</v>
      </c>
      <c r="R91" s="87">
        <f t="shared" si="19"/>
        <v>0</v>
      </c>
      <c r="S91" s="87">
        <f t="shared" si="21"/>
        <v>0</v>
      </c>
      <c r="T91" s="87">
        <f t="shared" si="22"/>
        <v>0</v>
      </c>
      <c r="U91" s="87">
        <f t="shared" si="23"/>
        <v>2.5329643522012234E-3</v>
      </c>
      <c r="V91" s="87">
        <f t="shared" si="24"/>
        <v>1.8366063835987523E-4</v>
      </c>
      <c r="W91" s="120">
        <f t="shared" si="25"/>
        <v>1.2244042557325014E-4</v>
      </c>
    </row>
    <row r="92" spans="2:23">
      <c r="B92" s="116">
        <f>Amnt_Deposited!B87</f>
        <v>2073</v>
      </c>
      <c r="C92" s="119">
        <f>Amnt_Deposited!H87</f>
        <v>0</v>
      </c>
      <c r="D92" s="453">
        <f>Dry_Matter_Content!H79</f>
        <v>0.73</v>
      </c>
      <c r="E92" s="319">
        <f>MCF!R91</f>
        <v>0.8</v>
      </c>
      <c r="F92" s="87">
        <f t="shared" si="14"/>
        <v>0</v>
      </c>
      <c r="G92" s="87">
        <f t="shared" si="15"/>
        <v>0</v>
      </c>
      <c r="H92" s="87">
        <f t="shared" si="16"/>
        <v>0</v>
      </c>
      <c r="I92" s="87">
        <f t="shared" si="17"/>
        <v>2.1550697810814767E-3</v>
      </c>
      <c r="J92" s="87">
        <f t="shared" si="18"/>
        <v>1.5626019030214026E-4</v>
      </c>
      <c r="K92" s="120">
        <f t="shared" si="20"/>
        <v>1.0417346020142683E-4</v>
      </c>
      <c r="O92" s="116">
        <f>Amnt_Deposited!B87</f>
        <v>2073</v>
      </c>
      <c r="P92" s="119">
        <f>Amnt_Deposited!H87</f>
        <v>0</v>
      </c>
      <c r="Q92" s="319">
        <f>MCF!R91</f>
        <v>0.8</v>
      </c>
      <c r="R92" s="87">
        <f t="shared" si="19"/>
        <v>0</v>
      </c>
      <c r="S92" s="87">
        <f t="shared" si="21"/>
        <v>0</v>
      </c>
      <c r="T92" s="87">
        <f t="shared" si="22"/>
        <v>0</v>
      </c>
      <c r="U92" s="87">
        <f t="shared" si="23"/>
        <v>2.3617203080344945E-3</v>
      </c>
      <c r="V92" s="87">
        <f t="shared" si="24"/>
        <v>1.7124404416672898E-4</v>
      </c>
      <c r="W92" s="120">
        <f t="shared" si="25"/>
        <v>1.1416269611115264E-4</v>
      </c>
    </row>
    <row r="93" spans="2:23">
      <c r="B93" s="116">
        <f>Amnt_Deposited!B88</f>
        <v>2074</v>
      </c>
      <c r="C93" s="119">
        <f>Amnt_Deposited!H88</f>
        <v>0</v>
      </c>
      <c r="D93" s="453">
        <f>Dry_Matter_Content!H80</f>
        <v>0.73</v>
      </c>
      <c r="E93" s="319">
        <f>MCF!R92</f>
        <v>0.8</v>
      </c>
      <c r="F93" s="87">
        <f t="shared" si="14"/>
        <v>0</v>
      </c>
      <c r="G93" s="87">
        <f t="shared" si="15"/>
        <v>0</v>
      </c>
      <c r="H93" s="87">
        <f t="shared" si="16"/>
        <v>0</v>
      </c>
      <c r="I93" s="87">
        <f t="shared" si="17"/>
        <v>2.0093737453464339E-3</v>
      </c>
      <c r="J93" s="87">
        <f t="shared" si="18"/>
        <v>1.4569603573504294E-4</v>
      </c>
      <c r="K93" s="120">
        <f t="shared" si="20"/>
        <v>9.7130690490028625E-5</v>
      </c>
      <c r="O93" s="116">
        <f>Amnt_Deposited!B88</f>
        <v>2074</v>
      </c>
      <c r="P93" s="119">
        <f>Amnt_Deposited!H88</f>
        <v>0</v>
      </c>
      <c r="Q93" s="319">
        <f>MCF!R92</f>
        <v>0.8</v>
      </c>
      <c r="R93" s="87">
        <f t="shared" si="19"/>
        <v>0</v>
      </c>
      <c r="S93" s="87">
        <f t="shared" si="21"/>
        <v>0</v>
      </c>
      <c r="T93" s="87">
        <f t="shared" si="22"/>
        <v>0</v>
      </c>
      <c r="U93" s="87">
        <f t="shared" si="23"/>
        <v>2.2020534195577352E-3</v>
      </c>
      <c r="V93" s="87">
        <f t="shared" si="24"/>
        <v>1.5966688847675935E-4</v>
      </c>
      <c r="W93" s="120">
        <f t="shared" si="25"/>
        <v>1.0644459231783956E-4</v>
      </c>
    </row>
    <row r="94" spans="2:23">
      <c r="B94" s="116">
        <f>Amnt_Deposited!B89</f>
        <v>2075</v>
      </c>
      <c r="C94" s="119">
        <f>Amnt_Deposited!H89</f>
        <v>0</v>
      </c>
      <c r="D94" s="453">
        <f>Dry_Matter_Content!H81</f>
        <v>0.73</v>
      </c>
      <c r="E94" s="319">
        <f>MCF!R93</f>
        <v>0.8</v>
      </c>
      <c r="F94" s="87">
        <f t="shared" si="14"/>
        <v>0</v>
      </c>
      <c r="G94" s="87">
        <f t="shared" si="15"/>
        <v>0</v>
      </c>
      <c r="H94" s="87">
        <f t="shared" si="16"/>
        <v>0</v>
      </c>
      <c r="I94" s="87">
        <f t="shared" si="17"/>
        <v>1.8735276620422837E-3</v>
      </c>
      <c r="J94" s="87">
        <f t="shared" si="18"/>
        <v>1.3584608330415024E-4</v>
      </c>
      <c r="K94" s="120">
        <f t="shared" si="20"/>
        <v>9.0564055536100155E-5</v>
      </c>
      <c r="O94" s="116">
        <f>Amnt_Deposited!B89</f>
        <v>2075</v>
      </c>
      <c r="P94" s="119">
        <f>Amnt_Deposited!H89</f>
        <v>0</v>
      </c>
      <c r="Q94" s="319">
        <f>MCF!R93</f>
        <v>0.8</v>
      </c>
      <c r="R94" s="87">
        <f t="shared" si="19"/>
        <v>0</v>
      </c>
      <c r="S94" s="87">
        <f t="shared" si="21"/>
        <v>0</v>
      </c>
      <c r="T94" s="87">
        <f t="shared" si="22"/>
        <v>0</v>
      </c>
      <c r="U94" s="87">
        <f t="shared" si="23"/>
        <v>2.0531809994983924E-3</v>
      </c>
      <c r="V94" s="87">
        <f t="shared" si="24"/>
        <v>1.4887242005934268E-4</v>
      </c>
      <c r="W94" s="120">
        <f t="shared" si="25"/>
        <v>9.924828003956178E-5</v>
      </c>
    </row>
    <row r="95" spans="2:23">
      <c r="B95" s="116">
        <f>Amnt_Deposited!B90</f>
        <v>2076</v>
      </c>
      <c r="C95" s="119">
        <f>Amnt_Deposited!H90</f>
        <v>0</v>
      </c>
      <c r="D95" s="453">
        <f>Dry_Matter_Content!H82</f>
        <v>0.73</v>
      </c>
      <c r="E95" s="319">
        <f>MCF!R94</f>
        <v>0.8</v>
      </c>
      <c r="F95" s="87">
        <f t="shared" si="14"/>
        <v>0</v>
      </c>
      <c r="G95" s="87">
        <f t="shared" si="15"/>
        <v>0</v>
      </c>
      <c r="H95" s="87">
        <f t="shared" si="16"/>
        <v>0</v>
      </c>
      <c r="I95" s="87">
        <f t="shared" si="17"/>
        <v>1.7468656135110653E-3</v>
      </c>
      <c r="J95" s="87">
        <f t="shared" si="18"/>
        <v>1.2666204853121831E-4</v>
      </c>
      <c r="K95" s="120">
        <f t="shared" si="20"/>
        <v>8.4441365687478874E-5</v>
      </c>
      <c r="O95" s="116">
        <f>Amnt_Deposited!B90</f>
        <v>2076</v>
      </c>
      <c r="P95" s="119">
        <f>Amnt_Deposited!H90</f>
        <v>0</v>
      </c>
      <c r="Q95" s="319">
        <f>MCF!R94</f>
        <v>0.8</v>
      </c>
      <c r="R95" s="87">
        <f t="shared" si="19"/>
        <v>0</v>
      </c>
      <c r="S95" s="87">
        <f t="shared" si="21"/>
        <v>0</v>
      </c>
      <c r="T95" s="87">
        <f t="shared" si="22"/>
        <v>0</v>
      </c>
      <c r="U95" s="87">
        <f t="shared" si="23"/>
        <v>1.9143732750806189E-3</v>
      </c>
      <c r="V95" s="87">
        <f t="shared" si="24"/>
        <v>1.3880772441777345E-4</v>
      </c>
      <c r="W95" s="120">
        <f t="shared" si="25"/>
        <v>9.25384829451823E-5</v>
      </c>
    </row>
    <row r="96" spans="2:23">
      <c r="B96" s="116">
        <f>Amnt_Deposited!B91</f>
        <v>2077</v>
      </c>
      <c r="C96" s="119">
        <f>Amnt_Deposited!H91</f>
        <v>0</v>
      </c>
      <c r="D96" s="453">
        <f>Dry_Matter_Content!H83</f>
        <v>0.73</v>
      </c>
      <c r="E96" s="319">
        <f>MCF!R95</f>
        <v>0.8</v>
      </c>
      <c r="F96" s="87">
        <f t="shared" si="14"/>
        <v>0</v>
      </c>
      <c r="G96" s="87">
        <f t="shared" si="15"/>
        <v>0</v>
      </c>
      <c r="H96" s="87">
        <f t="shared" si="16"/>
        <v>0</v>
      </c>
      <c r="I96" s="87">
        <f t="shared" si="17"/>
        <v>1.6287667022439301E-3</v>
      </c>
      <c r="J96" s="87">
        <f t="shared" si="18"/>
        <v>1.1809891126713524E-4</v>
      </c>
      <c r="K96" s="120">
        <f t="shared" si="20"/>
        <v>7.8732607511423496E-5</v>
      </c>
      <c r="O96" s="116">
        <f>Amnt_Deposited!B91</f>
        <v>2077</v>
      </c>
      <c r="P96" s="119">
        <f>Amnt_Deposited!H91</f>
        <v>0</v>
      </c>
      <c r="Q96" s="319">
        <f>MCF!R95</f>
        <v>0.8</v>
      </c>
      <c r="R96" s="87">
        <f t="shared" si="19"/>
        <v>0</v>
      </c>
      <c r="S96" s="87">
        <f t="shared" si="21"/>
        <v>0</v>
      </c>
      <c r="T96" s="87">
        <f t="shared" si="22"/>
        <v>0</v>
      </c>
      <c r="U96" s="87">
        <f t="shared" si="23"/>
        <v>1.7849498106782789E-3</v>
      </c>
      <c r="V96" s="87">
        <f t="shared" si="24"/>
        <v>1.2942346440233995E-4</v>
      </c>
      <c r="W96" s="120">
        <f t="shared" si="25"/>
        <v>8.6282309601559963E-5</v>
      </c>
    </row>
    <row r="97" spans="2:23">
      <c r="B97" s="116">
        <f>Amnt_Deposited!B92</f>
        <v>2078</v>
      </c>
      <c r="C97" s="119">
        <f>Amnt_Deposited!H92</f>
        <v>0</v>
      </c>
      <c r="D97" s="453">
        <f>Dry_Matter_Content!H84</f>
        <v>0.73</v>
      </c>
      <c r="E97" s="319">
        <f>MCF!R96</f>
        <v>0.8</v>
      </c>
      <c r="F97" s="87">
        <f t="shared" si="14"/>
        <v>0</v>
      </c>
      <c r="G97" s="87">
        <f t="shared" si="15"/>
        <v>0</v>
      </c>
      <c r="H97" s="87">
        <f t="shared" si="16"/>
        <v>0</v>
      </c>
      <c r="I97" s="87">
        <f t="shared" si="17"/>
        <v>1.5186520072408322E-3</v>
      </c>
      <c r="J97" s="87">
        <f t="shared" si="18"/>
        <v>1.1011469500309786E-4</v>
      </c>
      <c r="K97" s="120">
        <f t="shared" si="20"/>
        <v>7.3409796668731908E-5</v>
      </c>
      <c r="O97" s="116">
        <f>Amnt_Deposited!B92</f>
        <v>2078</v>
      </c>
      <c r="P97" s="119">
        <f>Amnt_Deposited!H92</f>
        <v>0</v>
      </c>
      <c r="Q97" s="319">
        <f>MCF!R96</f>
        <v>0.8</v>
      </c>
      <c r="R97" s="87">
        <f t="shared" si="19"/>
        <v>0</v>
      </c>
      <c r="S97" s="87">
        <f t="shared" si="21"/>
        <v>0</v>
      </c>
      <c r="T97" s="87">
        <f t="shared" si="22"/>
        <v>0</v>
      </c>
      <c r="U97" s="87">
        <f t="shared" si="23"/>
        <v>1.6642761723187197E-3</v>
      </c>
      <c r="V97" s="87">
        <f t="shared" si="24"/>
        <v>1.2067363835955927E-4</v>
      </c>
      <c r="W97" s="120">
        <f t="shared" si="25"/>
        <v>8.0449092239706177E-5</v>
      </c>
    </row>
    <row r="98" spans="2:23">
      <c r="B98" s="116">
        <f>Amnt_Deposited!B93</f>
        <v>2079</v>
      </c>
      <c r="C98" s="119">
        <f>Amnt_Deposited!H93</f>
        <v>0</v>
      </c>
      <c r="D98" s="453">
        <f>Dry_Matter_Content!H85</f>
        <v>0.73</v>
      </c>
      <c r="E98" s="319">
        <f>MCF!R97</f>
        <v>0.8</v>
      </c>
      <c r="F98" s="87">
        <f t="shared" si="14"/>
        <v>0</v>
      </c>
      <c r="G98" s="87">
        <f t="shared" si="15"/>
        <v>0</v>
      </c>
      <c r="H98" s="87">
        <f t="shared" si="16"/>
        <v>0</v>
      </c>
      <c r="I98" s="87">
        <f t="shared" si="17"/>
        <v>1.4159817461391153E-3</v>
      </c>
      <c r="J98" s="87">
        <f t="shared" si="18"/>
        <v>1.0267026110171684E-4</v>
      </c>
      <c r="K98" s="120">
        <f t="shared" si="20"/>
        <v>6.8446840734477887E-5</v>
      </c>
      <c r="O98" s="116">
        <f>Amnt_Deposited!B93</f>
        <v>2079</v>
      </c>
      <c r="P98" s="119">
        <f>Amnt_Deposited!H93</f>
        <v>0</v>
      </c>
      <c r="Q98" s="319">
        <f>MCF!R97</f>
        <v>0.8</v>
      </c>
      <c r="R98" s="87">
        <f t="shared" si="19"/>
        <v>0</v>
      </c>
      <c r="S98" s="87">
        <f t="shared" si="21"/>
        <v>0</v>
      </c>
      <c r="T98" s="87">
        <f t="shared" si="22"/>
        <v>0</v>
      </c>
      <c r="U98" s="87">
        <f t="shared" si="23"/>
        <v>1.5517608176867012E-3</v>
      </c>
      <c r="V98" s="87">
        <f t="shared" si="24"/>
        <v>1.1251535463201843E-4</v>
      </c>
      <c r="W98" s="120">
        <f t="shared" si="25"/>
        <v>7.501023642134561E-5</v>
      </c>
    </row>
    <row r="99" spans="2:23" ht="13.5" thickBot="1">
      <c r="B99" s="117">
        <f>Amnt_Deposited!B94</f>
        <v>2080</v>
      </c>
      <c r="C99" s="121">
        <f>Amnt_Deposited!H94</f>
        <v>0</v>
      </c>
      <c r="D99" s="454">
        <f>Dry_Matter_Content!H86</f>
        <v>0.73</v>
      </c>
      <c r="E99" s="320">
        <f>MCF!R98</f>
        <v>0.8</v>
      </c>
      <c r="F99" s="88">
        <f t="shared" si="14"/>
        <v>0</v>
      </c>
      <c r="G99" s="88">
        <f t="shared" si="15"/>
        <v>0</v>
      </c>
      <c r="H99" s="88">
        <f t="shared" si="16"/>
        <v>0</v>
      </c>
      <c r="I99" s="88">
        <f t="shared" si="17"/>
        <v>1.3202526291997444E-3</v>
      </c>
      <c r="J99" s="88">
        <f t="shared" si="18"/>
        <v>9.5729116939370857E-5</v>
      </c>
      <c r="K99" s="122">
        <f t="shared" si="20"/>
        <v>6.3819411292913904E-5</v>
      </c>
      <c r="O99" s="117">
        <f>Amnt_Deposited!B94</f>
        <v>2080</v>
      </c>
      <c r="P99" s="121">
        <f>Amnt_Deposited!H94</f>
        <v>0</v>
      </c>
      <c r="Q99" s="320">
        <f>MCF!R98</f>
        <v>0.8</v>
      </c>
      <c r="R99" s="88">
        <f t="shared" si="19"/>
        <v>0</v>
      </c>
      <c r="S99" s="88">
        <f>R99*$W$12</f>
        <v>0</v>
      </c>
      <c r="T99" s="88">
        <f>R99*(1-$W$12)</f>
        <v>0</v>
      </c>
      <c r="U99" s="88">
        <f>S99+U98*$W$10</f>
        <v>1.4468521963832812E-3</v>
      </c>
      <c r="V99" s="88">
        <f>U98*(1-$W$10)+T99</f>
        <v>1.0490862130342009E-4</v>
      </c>
      <c r="W99" s="122">
        <f t="shared" si="25"/>
        <v>6.9939080868946721E-5</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Parameters!O27</f>
        <v>0</v>
      </c>
      <c r="O6" s="257"/>
      <c r="P6" s="258"/>
      <c r="Q6" s="249"/>
      <c r="R6" s="128" t="s">
        <v>9</v>
      </c>
      <c r="S6" s="129"/>
      <c r="T6" s="129"/>
      <c r="U6" s="133"/>
      <c r="V6" s="140" t="s">
        <v>9</v>
      </c>
      <c r="W6" s="293">
        <f>Parameters!R27</f>
        <v>0.05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Parameters!O46</f>
        <v>0.4</v>
      </c>
      <c r="O8" s="67"/>
      <c r="P8" s="67"/>
      <c r="Q8" s="249"/>
      <c r="R8" s="128" t="s">
        <v>192</v>
      </c>
      <c r="S8" s="129"/>
      <c r="T8" s="129"/>
      <c r="U8" s="133"/>
      <c r="V8" s="140" t="s">
        <v>188</v>
      </c>
      <c r="W8" s="134">
        <f>Parameters!O46</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Amnt_Deposited!N14</f>
        <v>0</v>
      </c>
      <c r="D19" s="451">
        <f>Dry_Matter_Content!N6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Amnt_Deposited!N14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Amnt_Deposited!N15</f>
        <v>0</v>
      </c>
      <c r="D20" s="453">
        <f>Dry_Matter_Content!N7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Amnt_Deposited!N15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Amnt_Deposited!N16</f>
        <v>0</v>
      </c>
      <c r="D21" s="453">
        <f>Dry_Matter_Content!N8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Amnt_Deposited!N16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Amnt_Deposited!N17</f>
        <v>0</v>
      </c>
      <c r="D22" s="453">
        <f>Dry_Matter_Content!N9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Amnt_Deposited!N17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Amnt_Deposited!N18</f>
        <v>0</v>
      </c>
      <c r="D23" s="453">
        <f>Dry_Matter_Content!N10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Amnt_Deposited!N18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Amnt_Deposited!N19</f>
        <v>0</v>
      </c>
      <c r="D24" s="453">
        <f>Dry_Matter_Content!N11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Amnt_Deposited!N19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Amnt_Deposited!N20</f>
        <v>0</v>
      </c>
      <c r="D25" s="453">
        <f>Dry_Matter_Content!N12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Amnt_Deposited!N20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Amnt_Deposited!N21</f>
        <v>0</v>
      </c>
      <c r="D26" s="453">
        <f>Dry_Matter_Content!N13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Amnt_Deposited!N21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Amnt_Deposited!N22</f>
        <v>0</v>
      </c>
      <c r="D27" s="453">
        <f>Dry_Matter_Content!N14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Amnt_Deposited!N22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Amnt_Deposited!N23</f>
        <v>0</v>
      </c>
      <c r="D28" s="453">
        <f>Dry_Matter_Content!N15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Amnt_Deposited!N23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Amnt_Deposited!N24</f>
        <v>0</v>
      </c>
      <c r="D29" s="453">
        <f>Dry_Matter_Content!N16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Amnt_Deposited!N24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Amnt_Deposited!N25</f>
        <v>0</v>
      </c>
      <c r="D30" s="453">
        <f>Dry_Matter_Content!N17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Amnt_Deposited!N25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Amnt_Deposited!N26</f>
        <v>0</v>
      </c>
      <c r="D31" s="453">
        <f>Dry_Matter_Content!N18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Amnt_Deposited!N26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Amnt_Deposited!N27</f>
        <v>0</v>
      </c>
      <c r="D32" s="453">
        <f>Dry_Matter_Content!N19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Amnt_Deposited!N27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Amnt_Deposited!N28</f>
        <v>0</v>
      </c>
      <c r="D33" s="453">
        <f>Dry_Matter_Content!N20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Amnt_Deposited!N28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Amnt_Deposited!N29</f>
        <v>0</v>
      </c>
      <c r="D34" s="453">
        <f>Dry_Matter_Content!N21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Amnt_Deposited!N29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Amnt_Deposited!N30</f>
        <v>0</v>
      </c>
      <c r="D35" s="453">
        <f>Dry_Matter_Content!N22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Amnt_Deposited!N30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Amnt_Deposited!N31</f>
        <v>0</v>
      </c>
      <c r="D36" s="453">
        <f>Dry_Matter_Content!N23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Amnt_Deposited!N31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Amnt_Deposited!N32</f>
        <v>0</v>
      </c>
      <c r="D37" s="453">
        <f>Dry_Matter_Content!N24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Amnt_Deposited!N32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Amnt_Deposited!N33</f>
        <v>0</v>
      </c>
      <c r="D38" s="453">
        <f>Dry_Matter_Content!N25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Amnt_Deposited!N33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Amnt_Deposited!N34</f>
        <v>0</v>
      </c>
      <c r="D39" s="453">
        <f>Dry_Matter_Content!N26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Amnt_Deposited!N34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Amnt_Deposited!N35</f>
        <v>0</v>
      </c>
      <c r="D40" s="453">
        <f>Dry_Matter_Content!N27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Amnt_Deposited!N35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Amnt_Deposited!N36</f>
        <v>0</v>
      </c>
      <c r="D41" s="453">
        <f>Dry_Matter_Content!N28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Amnt_Deposited!N36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Amnt_Deposited!N37</f>
        <v>0</v>
      </c>
      <c r="D42" s="453">
        <f>Dry_Matter_Content!N29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Amnt_Deposited!N37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Amnt_Deposited!N38</f>
        <v>0</v>
      </c>
      <c r="D43" s="453">
        <f>Dry_Matter_Content!N30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Amnt_Deposited!N38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Amnt_Deposited!N39</f>
        <v>0</v>
      </c>
      <c r="D44" s="453">
        <f>Dry_Matter_Content!N31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Amnt_Deposited!N39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Amnt_Deposited!N40</f>
        <v>0</v>
      </c>
      <c r="D45" s="453">
        <f>Dry_Matter_Content!N32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Amnt_Deposited!N40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Amnt_Deposited!N41</f>
        <v>0</v>
      </c>
      <c r="D46" s="453">
        <f>Dry_Matter_Content!N33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Amnt_Deposited!N41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Amnt_Deposited!N42</f>
        <v>0</v>
      </c>
      <c r="D47" s="453">
        <f>Dry_Matter_Content!N34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Amnt_Deposited!N42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Amnt_Deposited!N43</f>
        <v>0</v>
      </c>
      <c r="D48" s="453">
        <f>Dry_Matter_Content!N35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Amnt_Deposited!N43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Amnt_Deposited!N44</f>
        <v>0</v>
      </c>
      <c r="D49" s="453">
        <f>Dry_Matter_Content!N36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Amnt_Deposited!N44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Amnt_Deposited!N45</f>
        <v>0</v>
      </c>
      <c r="D50" s="453">
        <f>Dry_Matter_Content!N37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Amnt_Deposited!N45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Amnt_Deposited!N46</f>
        <v>0</v>
      </c>
      <c r="D51" s="453">
        <f>Dry_Matter_Content!N38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Amnt_Deposited!N46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Amnt_Deposited!N47</f>
        <v>0</v>
      </c>
      <c r="D52" s="453">
        <f>Dry_Matter_Content!N39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Amnt_Deposited!N47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Amnt_Deposited!N48</f>
        <v>0</v>
      </c>
      <c r="D53" s="453">
        <f>Dry_Matter_Content!N40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Amnt_Deposited!N48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Amnt_Deposited!N49</f>
        <v>0</v>
      </c>
      <c r="D54" s="453">
        <f>Dry_Matter_Content!N41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Amnt_Deposited!N49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Amnt_Deposited!N50</f>
        <v>0</v>
      </c>
      <c r="D55" s="453">
        <f>Dry_Matter_Content!N42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Amnt_Deposited!N50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Amnt_Deposited!N51</f>
        <v>0</v>
      </c>
      <c r="D56" s="453">
        <f>Dry_Matter_Content!N43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Amnt_Deposited!N51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Amnt_Deposited!N52</f>
        <v>0</v>
      </c>
      <c r="D57" s="453">
        <f>Dry_Matter_Content!N44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Amnt_Deposited!N52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Amnt_Deposited!N53</f>
        <v>0</v>
      </c>
      <c r="D58" s="453">
        <f>Dry_Matter_Content!N45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Amnt_Deposited!N53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Amnt_Deposited!N54</f>
        <v>0</v>
      </c>
      <c r="D59" s="453">
        <f>Dry_Matter_Content!N46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Amnt_Deposited!N54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Amnt_Deposited!N55</f>
        <v>0</v>
      </c>
      <c r="D60" s="453">
        <f>Dry_Matter_Content!N47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Amnt_Deposited!N55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Amnt_Deposited!N56</f>
        <v>0</v>
      </c>
      <c r="D61" s="453">
        <f>Dry_Matter_Content!N48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Amnt_Deposited!N56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Amnt_Deposited!N57</f>
        <v>0</v>
      </c>
      <c r="D62" s="453">
        <f>Dry_Matter_Content!N49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Amnt_Deposited!N57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Amnt_Deposited!N58</f>
        <v>0</v>
      </c>
      <c r="D63" s="453">
        <f>Dry_Matter_Content!N50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Amnt_Deposited!N58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Amnt_Deposited!N59</f>
        <v>0</v>
      </c>
      <c r="D64" s="453">
        <f>Dry_Matter_Content!N51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Amnt_Deposited!N59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Amnt_Deposited!N60</f>
        <v>0</v>
      </c>
      <c r="D65" s="453">
        <f>Dry_Matter_Content!N52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Amnt_Deposited!N60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Amnt_Deposited!N61</f>
        <v>0</v>
      </c>
      <c r="D66" s="453">
        <f>Dry_Matter_Content!N53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Amnt_Deposited!N61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Amnt_Deposited!N62</f>
        <v>0</v>
      </c>
      <c r="D67" s="453">
        <f>Dry_Matter_Content!N54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Amnt_Deposited!N62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Amnt_Deposited!N63</f>
        <v>0</v>
      </c>
      <c r="D68" s="453">
        <f>Dry_Matter_Content!N55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Amnt_Deposited!N63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Amnt_Deposited!N64</f>
        <v>0</v>
      </c>
      <c r="D69" s="453">
        <f>Dry_Matter_Content!N56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Amnt_Deposited!N64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Amnt_Deposited!N65</f>
        <v>0</v>
      </c>
      <c r="D70" s="453">
        <f>Dry_Matter_Content!N57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Amnt_Deposited!N65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Amnt_Deposited!N66</f>
        <v>0</v>
      </c>
      <c r="D71" s="453">
        <f>Dry_Matter_Content!N58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Amnt_Deposited!N66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Amnt_Deposited!N67</f>
        <v>0</v>
      </c>
      <c r="D72" s="453">
        <f>Dry_Matter_Content!N59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Amnt_Deposited!N67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Amnt_Deposited!N68</f>
        <v>0</v>
      </c>
      <c r="D73" s="453">
        <f>Dry_Matter_Content!N60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Amnt_Deposited!N68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Amnt_Deposited!N69</f>
        <v>0</v>
      </c>
      <c r="D74" s="453">
        <f>Dry_Matter_Content!N61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Amnt_Deposited!N69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Amnt_Deposited!N70</f>
        <v>0</v>
      </c>
      <c r="D75" s="453">
        <f>Dry_Matter_Content!N62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Amnt_Deposited!N70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Amnt_Deposited!N71</f>
        <v>0</v>
      </c>
      <c r="D76" s="453">
        <f>Dry_Matter_Content!N63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Amnt_Deposited!N71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Amnt_Deposited!N72</f>
        <v>0</v>
      </c>
      <c r="D77" s="453">
        <f>Dry_Matter_Content!N64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Amnt_Deposited!N72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Amnt_Deposited!N73</f>
        <v>0</v>
      </c>
      <c r="D78" s="453">
        <f>Dry_Matter_Content!N65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Amnt_Deposited!N73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Amnt_Deposited!N74</f>
        <v>0</v>
      </c>
      <c r="D79" s="453">
        <f>Dry_Matter_Content!N66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Amnt_Deposited!N74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Amnt_Deposited!N75</f>
        <v>0</v>
      </c>
      <c r="D80" s="453">
        <f>Dry_Matter_Content!N67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Amnt_Deposited!N75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Amnt_Deposited!N76</f>
        <v>0</v>
      </c>
      <c r="D81" s="453">
        <f>Dry_Matter_Content!N68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Amnt_Deposited!N76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Amnt_Deposited!N77</f>
        <v>0</v>
      </c>
      <c r="D82" s="453">
        <f>Dry_Matter_Content!N69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Amnt_Deposited!N77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Amnt_Deposited!N78</f>
        <v>0</v>
      </c>
      <c r="D83" s="453">
        <f>Dry_Matter_Content!N70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Amnt_Deposited!N78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Amnt_Deposited!N79</f>
        <v>0</v>
      </c>
      <c r="D84" s="453">
        <f>Dry_Matter_Content!N71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Amnt_Deposited!N79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Amnt_Deposited!N80</f>
        <v>0</v>
      </c>
      <c r="D85" s="453">
        <f>Dry_Matter_Content!N72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Amnt_Deposited!N80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Amnt_Deposited!N81</f>
        <v>0</v>
      </c>
      <c r="D86" s="453">
        <f>Dry_Matter_Content!N73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Amnt_Deposited!N81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Amnt_Deposited!N82</f>
        <v>0</v>
      </c>
      <c r="D87" s="453">
        <f>Dry_Matter_Content!N74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Amnt_Deposited!N82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Amnt_Deposited!N83</f>
        <v>0</v>
      </c>
      <c r="D88" s="453">
        <f>Dry_Matter_Content!N75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Amnt_Deposited!N83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Amnt_Deposited!N84</f>
        <v>0</v>
      </c>
      <c r="D89" s="453">
        <f>Dry_Matter_Content!N76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Amnt_Deposited!N84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Amnt_Deposited!N85</f>
        <v>0</v>
      </c>
      <c r="D90" s="453">
        <f>Dry_Matter_Content!N77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Amnt_Deposited!N85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Amnt_Deposited!N86</f>
        <v>0</v>
      </c>
      <c r="D91" s="453">
        <f>Dry_Matter_Content!N78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Amnt_Deposited!N86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Amnt_Deposited!N87</f>
        <v>0</v>
      </c>
      <c r="D92" s="453">
        <f>Dry_Matter_Content!N79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Amnt_Deposited!N87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Amnt_Deposited!N88</f>
        <v>0</v>
      </c>
      <c r="D93" s="453">
        <f>Dry_Matter_Content!N80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Amnt_Deposited!N88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Amnt_Deposited!N89</f>
        <v>0</v>
      </c>
      <c r="D94" s="453">
        <f>Dry_Matter_Content!N81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Amnt_Deposited!N89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Amnt_Deposited!N90</f>
        <v>0</v>
      </c>
      <c r="D95" s="453">
        <f>Dry_Matter_Content!N82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Amnt_Deposited!N90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Amnt_Deposited!N91</f>
        <v>0</v>
      </c>
      <c r="D96" s="453">
        <f>Dry_Matter_Content!N83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Amnt_Deposited!N91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Amnt_Deposited!N92</f>
        <v>0</v>
      </c>
      <c r="D97" s="453">
        <f>Dry_Matter_Content!N84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Amnt_Deposited!N92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Amnt_Deposited!N93</f>
        <v>0</v>
      </c>
      <c r="D98" s="453">
        <f>Dry_Matter_Content!N85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Amnt_Deposited!N93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Amnt_Deposited!N94</f>
        <v>0</v>
      </c>
      <c r="D99" s="454">
        <f>Dry_Matter_Content!N86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Amnt_Deposited!N94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70" t="s">
        <v>342</v>
      </c>
      <c r="E2" s="771"/>
      <c r="F2" s="772"/>
    </row>
    <row r="3" spans="1:18" ht="16.5" thickBot="1">
      <c r="B3" s="12"/>
      <c r="C3" s="5" t="s">
        <v>276</v>
      </c>
      <c r="D3" s="770" t="s">
        <v>337</v>
      </c>
      <c r="E3" s="771"/>
      <c r="F3" s="772"/>
    </row>
    <row r="4" spans="1:18" ht="16.5" thickBot="1">
      <c r="B4" s="12"/>
      <c r="C4" s="5" t="s">
        <v>30</v>
      </c>
      <c r="D4" s="770" t="s">
        <v>266</v>
      </c>
      <c r="E4" s="771"/>
      <c r="F4" s="772"/>
    </row>
    <row r="5" spans="1:18" ht="16.5" thickBot="1">
      <c r="B5" s="12"/>
      <c r="C5" s="5" t="s">
        <v>117</v>
      </c>
      <c r="D5" s="773"/>
      <c r="E5" s="774"/>
      <c r="F5" s="775"/>
    </row>
    <row r="6" spans="1:18">
      <c r="B6" s="13" t="s">
        <v>201</v>
      </c>
    </row>
    <row r="7" spans="1:18">
      <c r="B7" s="35" t="s">
        <v>31</v>
      </c>
    </row>
    <row r="8" spans="1:18" ht="13.5" thickBot="1">
      <c r="B8" s="35"/>
    </row>
    <row r="9" spans="1:18" ht="12.75" customHeight="1">
      <c r="A9" s="1"/>
      <c r="C9" s="768" t="s">
        <v>18</v>
      </c>
      <c r="D9" s="769"/>
      <c r="E9" s="766" t="s">
        <v>100</v>
      </c>
      <c r="F9" s="767"/>
      <c r="H9" s="768" t="s">
        <v>18</v>
      </c>
      <c r="I9" s="769"/>
      <c r="J9" s="766" t="s">
        <v>100</v>
      </c>
      <c r="K9" s="767"/>
    </row>
    <row r="10" spans="1:18" ht="13.5" thickBot="1">
      <c r="C10" s="143"/>
      <c r="D10" s="144"/>
      <c r="E10" s="274" t="s">
        <v>13</v>
      </c>
      <c r="F10" s="175" t="s">
        <v>19</v>
      </c>
      <c r="H10" s="143"/>
      <c r="I10" s="144"/>
      <c r="J10" s="274" t="s">
        <v>13</v>
      </c>
      <c r="K10" s="175" t="s">
        <v>19</v>
      </c>
      <c r="L10" s="394" t="s">
        <v>211</v>
      </c>
    </row>
    <row r="11" spans="1:18" ht="13.5" thickBot="1">
      <c r="B11" s="50" t="s">
        <v>90</v>
      </c>
      <c r="C11" s="145"/>
      <c r="D11" s="146">
        <v>1950</v>
      </c>
      <c r="E11" s="148">
        <v>2000</v>
      </c>
      <c r="F11" s="147"/>
      <c r="H11" s="145"/>
      <c r="I11" s="146">
        <f>D11</f>
        <v>1950</v>
      </c>
      <c r="J11" s="148">
        <f>year</f>
        <v>2000</v>
      </c>
      <c r="K11" s="147"/>
    </row>
    <row r="12" spans="1:18" ht="13.5" thickBot="1">
      <c r="B12" s="37"/>
      <c r="C12" s="764" t="s">
        <v>250</v>
      </c>
      <c r="D12" s="765"/>
      <c r="E12" s="764" t="s">
        <v>250</v>
      </c>
      <c r="F12" s="765"/>
      <c r="H12" s="764" t="s">
        <v>251</v>
      </c>
      <c r="I12" s="765"/>
      <c r="J12" s="764" t="s">
        <v>251</v>
      </c>
      <c r="K12" s="765"/>
      <c r="N12" t="s">
        <v>132</v>
      </c>
    </row>
    <row r="13" spans="1:18" ht="13.5" thickBot="1">
      <c r="B13" s="50" t="s">
        <v>131</v>
      </c>
      <c r="C13" s="330"/>
      <c r="D13" s="331"/>
      <c r="E13" s="332"/>
      <c r="F13" s="51"/>
      <c r="H13" s="330"/>
      <c r="I13" s="331"/>
      <c r="J13" s="332"/>
      <c r="K13" s="51"/>
    </row>
    <row r="14" spans="1:18" ht="13.5" thickBot="1">
      <c r="B14" s="50" t="s">
        <v>249</v>
      </c>
      <c r="C14" s="333" t="s">
        <v>113</v>
      </c>
      <c r="D14" s="334" t="s">
        <v>115</v>
      </c>
      <c r="E14" s="386"/>
      <c r="F14" s="178"/>
      <c r="H14" s="333" t="s">
        <v>113</v>
      </c>
      <c r="I14" s="334" t="s">
        <v>115</v>
      </c>
      <c r="J14" s="386"/>
      <c r="K14" s="178"/>
      <c r="N14" s="426" t="s">
        <v>252</v>
      </c>
      <c r="Q14" s="426" t="s">
        <v>253</v>
      </c>
    </row>
    <row r="15" spans="1:18">
      <c r="B15" s="8" t="str">
        <f>IF(Select2=1,"Food waste","Bulk MSW")</f>
        <v>Food waste</v>
      </c>
      <c r="C15" s="185" t="str">
        <f>INDEX(DOC_table,IF(Select2=1,1,14),2)</f>
        <v>0.20-0.50</v>
      </c>
      <c r="D15" s="47">
        <f>INDEX(DOC_table,IF(Select2=1,1,14),1)</f>
        <v>0.38</v>
      </c>
      <c r="E15" s="385">
        <f>D15</f>
        <v>0.38</v>
      </c>
      <c r="F15" s="152"/>
      <c r="H15" s="185" t="str">
        <f>INDEX(DOC_table,IF(Select2=1,1,14),4)</f>
        <v>0.08-0.20</v>
      </c>
      <c r="I15" s="47">
        <f>INDEX(DOC_table,IF(Select2=1,1,14),3)</f>
        <v>0.15</v>
      </c>
      <c r="J15" s="385">
        <f>I15</f>
        <v>0.15</v>
      </c>
      <c r="K15" s="152"/>
      <c r="L15" s="384" t="str">
        <f>IF(Select2=1,"May include garden waste provided that a suitable value of DOC is used","")</f>
        <v>May include garden waste provided that a suitable value of DOC is used</v>
      </c>
      <c r="N15" s="55" t="s">
        <v>6</v>
      </c>
      <c r="O15" s="55">
        <f>IF(Select2=1,E15,0)</f>
        <v>0.38</v>
      </c>
      <c r="Q15" s="55" t="s">
        <v>6</v>
      </c>
      <c r="R15" s="423">
        <f>IF(Select2=1,J15,0)</f>
        <v>0.15</v>
      </c>
    </row>
    <row r="16" spans="1:18">
      <c r="B16" s="8" t="str">
        <f>IF(Select2=1,"Paper/cardboard","Sewage sludge")</f>
        <v>Paper/cardboard</v>
      </c>
      <c r="C16" s="185" t="str">
        <f>INDEX(DOC_table,IF(Select2=1,2,13),2)</f>
        <v>0.40-0.50</v>
      </c>
      <c r="D16" s="47">
        <f>INDEX(DOC_table,IF(Select2=1,2,13),1)</f>
        <v>0.44</v>
      </c>
      <c r="E16" s="291">
        <f>D16</f>
        <v>0.44</v>
      </c>
      <c r="F16" s="271"/>
      <c r="H16" s="185" t="str">
        <f>INDEX(DOC_table,IF(Select2=1,2,13),4)</f>
        <v>0.36-0.45</v>
      </c>
      <c r="I16" s="47">
        <f>INDEX(DOC_table,IF(Select2=1,2,13),3)</f>
        <v>0.4</v>
      </c>
      <c r="J16" s="291">
        <f>I16</f>
        <v>0.4</v>
      </c>
      <c r="K16" s="271"/>
      <c r="L16"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46" t="s">
        <v>262</v>
      </c>
      <c r="O16" s="2">
        <f>IF(Select2=1,E16,E63)</f>
        <v>0.44</v>
      </c>
      <c r="Q16" s="446" t="s">
        <v>262</v>
      </c>
      <c r="R16" s="424">
        <f>IF(Select2=1,J16,J63)</f>
        <v>0.4</v>
      </c>
    </row>
    <row r="17" spans="2:18">
      <c r="B17" s="2" t="str">
        <f>IF(Select2=1,"Garden and Park waste","Industrial waste")</f>
        <v>Garden and Park waste</v>
      </c>
      <c r="C17" s="185" t="str">
        <f>INDEX(DOC_table,IF(Select2=1,3,15),2)</f>
        <v>0.45-0.55</v>
      </c>
      <c r="D17" s="47">
        <f>INDEX(DOC_table,IF(Select2=1,3,15),1)</f>
        <v>0.49</v>
      </c>
      <c r="E17" s="291">
        <f t="shared" ref="E17:E25" si="0">D17</f>
        <v>0.49</v>
      </c>
      <c r="F17" s="271"/>
      <c r="H17" s="185" t="str">
        <f>INDEX(DOC_table,IF(Select2=1,3,15),4)</f>
        <v>0.18-0.22</v>
      </c>
      <c r="I17" s="47">
        <f>INDEX(DOC_table,IF(Select2=1,3,15),3)</f>
        <v>0.2</v>
      </c>
      <c r="J17" s="291">
        <f>I17</f>
        <v>0.2</v>
      </c>
      <c r="K17" s="271"/>
      <c r="L17" s="6"/>
      <c r="N17" s="445" t="s">
        <v>261</v>
      </c>
      <c r="O17" s="2">
        <f>IF(Select2=1,E17,E62)</f>
        <v>0.49</v>
      </c>
      <c r="Q17" s="445" t="s">
        <v>261</v>
      </c>
      <c r="R17" s="424">
        <f>IF(Select2=1,J17,J62)</f>
        <v>0.2</v>
      </c>
    </row>
    <row r="18" spans="2:18">
      <c r="B18" s="2" t="str">
        <f>IF(Select2=1,"Textiles","")</f>
        <v>Textiles</v>
      </c>
      <c r="C18" s="186" t="str">
        <f>IF(Select2=1,INDEX(DOC_table,4,2),"")</f>
        <v>0.25-0.50</v>
      </c>
      <c r="D18" s="19">
        <f>IF(Select2=1,INDEX(DOC_table,4,1),"")</f>
        <v>0.3</v>
      </c>
      <c r="E18" s="291">
        <f t="shared" si="0"/>
        <v>0.3</v>
      </c>
      <c r="F18" s="271"/>
      <c r="H18" s="186" t="str">
        <f>IF(Select2=1,INDEX(DOC_table,4,4),"")</f>
        <v>0.20-0.40</v>
      </c>
      <c r="I18" s="19">
        <f>IF(Select2=1,INDEX(DOC_table,4,3),"")</f>
        <v>0.24</v>
      </c>
      <c r="J18" s="291">
        <f>I18</f>
        <v>0.24</v>
      </c>
      <c r="K18" s="271"/>
      <c r="L18" s="6"/>
      <c r="N18" s="2" t="s">
        <v>16</v>
      </c>
      <c r="O18" s="2">
        <f>IF(Select2=1,E18,0)</f>
        <v>0.3</v>
      </c>
      <c r="Q18" s="2" t="s">
        <v>16</v>
      </c>
      <c r="R18" s="424">
        <f>IF(Select2=1,J18,0)</f>
        <v>0.24</v>
      </c>
    </row>
    <row r="19" spans="2:18">
      <c r="B19" s="2" t="str">
        <f>IF(Select2=1,"Rubber and Leather","")</f>
        <v>Rubber and Leather</v>
      </c>
      <c r="C19" s="186" t="str">
        <f>IF(Select2=1,INDEX(DOC_table,5,2),"")</f>
        <v>0.47</v>
      </c>
      <c r="D19" s="19">
        <f>IF(Select2=1,INDEX(DOC_table,5,1),"")</f>
        <v>0.47</v>
      </c>
      <c r="E19" s="291">
        <f t="shared" si="0"/>
        <v>0.47</v>
      </c>
      <c r="F19" s="271"/>
      <c r="H19" s="186" t="str">
        <f>IF(Select2=1,INDEX(DOC_table,5,4),"")</f>
        <v>0.39</v>
      </c>
      <c r="I19" s="19">
        <f>IF(Select2=1,INDEX(DOC_table,5,3),"")</f>
        <v>0.39</v>
      </c>
      <c r="J19" s="291">
        <f t="shared" ref="J19:J25" si="1">I19</f>
        <v>0.39</v>
      </c>
      <c r="K19" s="271"/>
      <c r="L19" s="384"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24">
        <f>IF(Select2=1,J19,0)</f>
        <v>0.39</v>
      </c>
    </row>
    <row r="20" spans="2:18">
      <c r="B20" s="2" t="str">
        <f>IF(Select2=1,"Wood","")</f>
        <v>Wood</v>
      </c>
      <c r="C20" s="186" t="str">
        <f>IF(Select2=1,INDEX(DOC_table,6,2),"")</f>
        <v>0.46-0.54</v>
      </c>
      <c r="D20" s="19">
        <f>IF(Select2=1,INDEX(DOC_table,6,1),"")</f>
        <v>0.5</v>
      </c>
      <c r="E20" s="291">
        <f t="shared" si="0"/>
        <v>0.5</v>
      </c>
      <c r="F20" s="271"/>
      <c r="H20" s="186" t="str">
        <f>IF(Select2=1,INDEX(DOC_table,6,4),"")</f>
        <v>0.39-0.46</v>
      </c>
      <c r="I20" s="19">
        <f>IF(Select2=1,INDEX(DOC_table,6,3),"")</f>
        <v>0.43</v>
      </c>
      <c r="J20" s="291">
        <f t="shared" si="1"/>
        <v>0.43</v>
      </c>
      <c r="K20" s="271"/>
      <c r="L20" s="581"/>
      <c r="N20" s="444" t="s">
        <v>2</v>
      </c>
      <c r="O20" s="2">
        <f>IF(Select2=1,E20,E64)</f>
        <v>0.5</v>
      </c>
      <c r="Q20" s="444" t="s">
        <v>2</v>
      </c>
      <c r="R20" s="424">
        <f>IF(Select2=1,J20,J64)</f>
        <v>0.43</v>
      </c>
    </row>
    <row r="21" spans="2:18">
      <c r="B21" s="2" t="str">
        <f>IF(Select2=1,"Nappies","")</f>
        <v>Nappies</v>
      </c>
      <c r="C21" s="186" t="str">
        <f>IF(Select2=1,INDEX(DOC_table,7,2),"")</f>
        <v>0.44-0.80</v>
      </c>
      <c r="D21" s="19">
        <f>IF(Select2=1,INDEX(DOC_table,7,1),"")</f>
        <v>0.6</v>
      </c>
      <c r="E21" s="291">
        <f t="shared" si="0"/>
        <v>0.6</v>
      </c>
      <c r="F21" s="271"/>
      <c r="H21" s="186" t="str">
        <f>IF(Select2=1,INDEX(DOC_table,7,4),"")</f>
        <v>0.18-0.32</v>
      </c>
      <c r="I21" s="19">
        <f>IF(Select2=1,INDEX(DOC_table,7,3),"")</f>
        <v>0.24</v>
      </c>
      <c r="J21" s="291">
        <f t="shared" si="1"/>
        <v>0.24</v>
      </c>
      <c r="K21" s="271"/>
      <c r="L21" s="581"/>
      <c r="N21" s="444" t="s">
        <v>267</v>
      </c>
      <c r="O21" s="2">
        <f>IF(Select2=1,E21,0)</f>
        <v>0.6</v>
      </c>
      <c r="Q21" s="444" t="s">
        <v>267</v>
      </c>
      <c r="R21" s="424">
        <f>IF(Select2=1,J21,0)</f>
        <v>0.24</v>
      </c>
    </row>
    <row r="22" spans="2:18">
      <c r="B22" s="166" t="str">
        <f>IF(Select2=1,"Plastics","")</f>
        <v>Plastics</v>
      </c>
      <c r="C22" s="187">
        <f>IF(Select2=1,INDEX(DOC_table,9,2),"")</f>
        <v>0</v>
      </c>
      <c r="D22" s="220">
        <f>IF(Select2=1,INDEX(DOC_table,9,1),"")</f>
        <v>0</v>
      </c>
      <c r="E22" s="291">
        <f t="shared" si="0"/>
        <v>0</v>
      </c>
      <c r="F22" s="271"/>
      <c r="H22" s="187">
        <f>IF(Select2=1,INDEX(DOC_table,9,4),"")</f>
        <v>0</v>
      </c>
      <c r="I22" s="220">
        <f>IF(Select2=1,INDEX(DOC_table,9,3),"")</f>
        <v>0</v>
      </c>
      <c r="J22" s="291">
        <f t="shared" si="1"/>
        <v>0</v>
      </c>
      <c r="K22" s="271"/>
      <c r="L22" s="290"/>
      <c r="N22" s="166" t="s">
        <v>230</v>
      </c>
      <c r="O22" s="2">
        <f>IF(Select2=1,E22,0)</f>
        <v>0</v>
      </c>
      <c r="Q22" s="166" t="s">
        <v>230</v>
      </c>
      <c r="R22" s="424">
        <f>IF(Select2=1,J22,0)</f>
        <v>0</v>
      </c>
    </row>
    <row r="23" spans="2:18">
      <c r="B23" s="166" t="str">
        <f>IF(Select2=1,"Metal","")</f>
        <v>Metal</v>
      </c>
      <c r="C23" s="187">
        <f>IF(Select2=1,INDEX(DOC_table,10,2),"")</f>
        <v>0</v>
      </c>
      <c r="D23" s="220">
        <f>IF(Select2=1,INDEX(DOC_table,10,1),"")</f>
        <v>0</v>
      </c>
      <c r="E23" s="291">
        <f t="shared" si="0"/>
        <v>0</v>
      </c>
      <c r="F23" s="271"/>
      <c r="H23" s="187">
        <f>IF(Select2=1,INDEX(DOC_table,10,4),"")</f>
        <v>0</v>
      </c>
      <c r="I23" s="220">
        <f>IF(Select2=1,INDEX(DOC_table,10,3),"")</f>
        <v>0</v>
      </c>
      <c r="J23" s="291">
        <f t="shared" si="1"/>
        <v>0</v>
      </c>
      <c r="K23" s="271"/>
      <c r="L23" s="290"/>
      <c r="N23" s="166" t="s">
        <v>231</v>
      </c>
      <c r="O23" s="2">
        <f>IF(Select2=1,E23,0)</f>
        <v>0</v>
      </c>
      <c r="Q23" s="166" t="s">
        <v>231</v>
      </c>
      <c r="R23" s="424">
        <f>IF(Select2=1,J23,0)</f>
        <v>0</v>
      </c>
    </row>
    <row r="24" spans="2:18">
      <c r="B24" s="166" t="str">
        <f>IF(Select2=1,"Glass","")</f>
        <v>Glass</v>
      </c>
      <c r="C24" s="187">
        <f>IF(Select2=1,INDEX(DOC_table,11,2),"")</f>
        <v>0</v>
      </c>
      <c r="D24" s="220">
        <f>IF(Select2=1,INDEX(DOC_table,11,1),"")</f>
        <v>0</v>
      </c>
      <c r="E24" s="291">
        <f t="shared" si="0"/>
        <v>0</v>
      </c>
      <c r="F24" s="271"/>
      <c r="H24" s="187">
        <f>IF(Select2=1,INDEX(DOC_table,11,4),"")</f>
        <v>0</v>
      </c>
      <c r="I24" s="220">
        <f>IF(Select2=1,INDEX(DOC_table,11,3),"")</f>
        <v>0</v>
      </c>
      <c r="J24" s="291">
        <f t="shared" si="1"/>
        <v>0</v>
      </c>
      <c r="K24" s="271"/>
      <c r="L24" s="290"/>
      <c r="N24" s="166" t="s">
        <v>232</v>
      </c>
      <c r="O24" s="2">
        <f>IF(Select2=1,E24,0)</f>
        <v>0</v>
      </c>
      <c r="Q24" s="166" t="s">
        <v>232</v>
      </c>
      <c r="R24" s="424">
        <f>IF(Select2=1,J24,0)</f>
        <v>0</v>
      </c>
    </row>
    <row r="25" spans="2:18">
      <c r="B25" s="166" t="str">
        <f>IF(Select2=1,"Other","")</f>
        <v>Other</v>
      </c>
      <c r="C25" s="187">
        <f>IF(Select2=1,INDEX(DOC_table,12,2),"")</f>
        <v>0</v>
      </c>
      <c r="D25" s="220">
        <f>IF(Select2=1,INDEX(DOC_table,12,1),"")</f>
        <v>0</v>
      </c>
      <c r="E25" s="291">
        <f t="shared" si="0"/>
        <v>0</v>
      </c>
      <c r="F25" s="271"/>
      <c r="H25" s="187">
        <f>IF(Select2=1,INDEX(DOC_table,12,4),"")</f>
        <v>0</v>
      </c>
      <c r="I25" s="220">
        <f>IF(Select2=1,INDEX(DOC_table,12,3),"")</f>
        <v>0</v>
      </c>
      <c r="J25" s="291">
        <f t="shared" si="1"/>
        <v>0</v>
      </c>
      <c r="K25" s="271"/>
      <c r="L25" s="290"/>
      <c r="N25" s="166" t="s">
        <v>233</v>
      </c>
      <c r="O25" s="2">
        <f>IF(Select2=1,E25,0)</f>
        <v>0</v>
      </c>
      <c r="Q25" s="166" t="s">
        <v>233</v>
      </c>
      <c r="R25" s="424">
        <f>IF(Select2=1,J25,0)</f>
        <v>0</v>
      </c>
    </row>
    <row r="26" spans="2:18">
      <c r="B26" s="166"/>
      <c r="C26" s="187"/>
      <c r="D26" s="220"/>
      <c r="E26" s="291"/>
      <c r="F26" s="271"/>
      <c r="H26" s="187"/>
      <c r="I26" s="220"/>
      <c r="J26" s="291"/>
      <c r="K26" s="271"/>
      <c r="L26" s="290"/>
      <c r="N26" s="444" t="s">
        <v>204</v>
      </c>
      <c r="O26" s="2">
        <f>IF(Select2=1,0,E15)</f>
        <v>0</v>
      </c>
      <c r="Q26" s="444" t="s">
        <v>204</v>
      </c>
      <c r="R26" s="424">
        <f>IF(Select2=1,0,J15)</f>
        <v>0</v>
      </c>
    </row>
    <row r="27" spans="2:18" ht="13.5" thickBot="1">
      <c r="B27" s="2" t="str">
        <f>IF(Select2=1,"Sewage sludge","")</f>
        <v>Sewage sludge</v>
      </c>
      <c r="C27" s="186" t="str">
        <f>IF(Select2=1,INDEX(DOC_table,13,2),"")</f>
        <v>N.A</v>
      </c>
      <c r="D27" s="465">
        <f>IF(Select2=1,INDEX(DOC_table,13,1),"")</f>
        <v>0</v>
      </c>
      <c r="E27" s="291">
        <f t="shared" ref="E22:E28" si="2">D27</f>
        <v>0</v>
      </c>
      <c r="F27" s="271"/>
      <c r="H27" s="186" t="str">
        <f>IF(Select2=1,INDEX(DOC_table,13,4),"")</f>
        <v>0.04-0.05</v>
      </c>
      <c r="I27" s="19">
        <f>IF(Select2=1,INDEX(DOC_table,13,3),"")</f>
        <v>0.05</v>
      </c>
      <c r="J27" s="291">
        <f>I27</f>
        <v>0.05</v>
      </c>
      <c r="K27" s="271"/>
      <c r="L27" s="6"/>
      <c r="N27" s="34" t="s">
        <v>135</v>
      </c>
      <c r="O27" s="34">
        <f>IF(Select2=1,E27,E16)</f>
        <v>0</v>
      </c>
      <c r="Q27" s="34" t="s">
        <v>135</v>
      </c>
      <c r="R27" s="425">
        <f>IF(Select2=1,J27,J16)</f>
        <v>0.05</v>
      </c>
    </row>
    <row r="28" spans="2:18" ht="13.5" thickBot="1">
      <c r="B28" s="34" t="str">
        <f>IF(Select2=1,"Industrial waste","")</f>
        <v>Industrial waste</v>
      </c>
      <c r="C28" s="577" t="str">
        <f>IF(Select2=1,INDEX(DOC_table,15,2),"")</f>
        <v>N.A</v>
      </c>
      <c r="D28" s="578">
        <f>IF(Select2=1,INDEX(DOC_table,15,1),"")</f>
        <v>0</v>
      </c>
      <c r="E28" s="292">
        <f t="shared" si="2"/>
        <v>0</v>
      </c>
      <c r="F28" s="579"/>
      <c r="H28" s="577" t="str">
        <f>IF(Select2=1,INDEX(DOC_table,15,4),"")</f>
        <v>0-0.54</v>
      </c>
      <c r="I28" s="578">
        <f>IF(Select2=1,INDEX(DOC_table,15,3),"")</f>
        <v>0.15</v>
      </c>
      <c r="J28" s="292">
        <f t="shared" ref="J28" si="3">I28</f>
        <v>0.15</v>
      </c>
      <c r="K28" s="579"/>
      <c r="L28" s="5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4" t="s">
        <v>23</v>
      </c>
      <c r="O28" s="34">
        <f>IF(Select2=1,E28,E$17)</f>
        <v>0</v>
      </c>
      <c r="Q28" s="34" t="s">
        <v>23</v>
      </c>
      <c r="R28" s="34">
        <f>IF(Select2=1,J28,J$17)</f>
        <v>0.15</v>
      </c>
    </row>
    <row r="29" spans="2:18" ht="13.5" thickBot="1">
      <c r="B29" s="37"/>
      <c r="C29" s="17"/>
      <c r="D29" s="38"/>
      <c r="E29" s="6"/>
      <c r="F29" s="37"/>
      <c r="L29" s="6"/>
    </row>
    <row r="30" spans="2:18" ht="13.5" thickBot="1">
      <c r="B30" s="50" t="s">
        <v>43</v>
      </c>
      <c r="C30" s="443"/>
      <c r="D30" s="46">
        <v>0.5</v>
      </c>
      <c r="E30" s="387">
        <f>D30</f>
        <v>0.5</v>
      </c>
      <c r="F30" s="391"/>
      <c r="L30" s="6"/>
    </row>
    <row r="31" spans="2:18" ht="13.5" thickBot="1">
      <c r="B31" s="37"/>
      <c r="C31" s="328"/>
      <c r="D31" s="329"/>
      <c r="E31" s="388"/>
      <c r="F31" s="37"/>
      <c r="L31" s="6"/>
    </row>
    <row r="32" spans="2:18" ht="13.5" thickBot="1">
      <c r="B32" s="50" t="s">
        <v>208</v>
      </c>
      <c r="C32" s="330"/>
      <c r="D32" s="331"/>
      <c r="E32" s="389"/>
      <c r="F32" s="392"/>
      <c r="L32" s="6"/>
    </row>
    <row r="33" spans="2:15" ht="15" thickBot="1">
      <c r="B33" s="174" t="s">
        <v>193</v>
      </c>
      <c r="C33" s="335" t="s">
        <v>113</v>
      </c>
      <c r="D33" s="336" t="s">
        <v>115</v>
      </c>
      <c r="E33" s="390"/>
      <c r="F33" s="393"/>
      <c r="L33" s="6"/>
      <c r="N33" t="s">
        <v>130</v>
      </c>
    </row>
    <row r="34" spans="2:15">
      <c r="B34" s="8" t="str">
        <f>IF(Select2=1,"Food waste","Bulk MSW")</f>
        <v>Food waste</v>
      </c>
      <c r="C34" s="184" t="str">
        <f>INDEX(half_life,IF(Select2=1,4,5),selected*2)</f>
        <v xml:space="preserve">0.17–0.7 </v>
      </c>
      <c r="D34" s="113">
        <f>INDEX(half_life,IF(Select2=1,4,5),selected*2-1)</f>
        <v>0.4</v>
      </c>
      <c r="E34" s="629">
        <f t="shared" ref="E34:E39" si="4">D34</f>
        <v>0.4</v>
      </c>
      <c r="F34" s="152"/>
      <c r="L34" s="384" t="str">
        <f>IF(Select2=1,"May include garden waste provided that a suitable value of DOC is used","")</f>
        <v>May include garden waste provided that a suitable value of DOC is used</v>
      </c>
      <c r="N34" s="55" t="s">
        <v>6</v>
      </c>
      <c r="O34" s="55">
        <f t="shared" ref="O34:O44" si="5">IF(Select2=1,E34,0)</f>
        <v>0.4</v>
      </c>
    </row>
    <row r="35" spans="2:15">
      <c r="B35" s="8" t="str">
        <f>IF(Select2=1,"Paper/cardboard","Sewage sludge")</f>
        <v>Paper/cardboard</v>
      </c>
      <c r="C35" s="185" t="str">
        <f>INDEX(half_life,IF(Select2=1,1,4),selected*2)</f>
        <v>0.06–0.085</v>
      </c>
      <c r="D35" s="90">
        <f>INDEX(half_life,IF(Select2=1,1,4),selected*2-1)</f>
        <v>7.0000000000000007E-2</v>
      </c>
      <c r="E35" s="630">
        <f t="shared" si="4"/>
        <v>7.0000000000000007E-2</v>
      </c>
      <c r="F35" s="58"/>
      <c r="L35"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46" t="s">
        <v>262</v>
      </c>
      <c r="O35" s="2">
        <f t="shared" si="5"/>
        <v>7.0000000000000007E-2</v>
      </c>
    </row>
    <row r="36" spans="2:15">
      <c r="B36" s="2" t="str">
        <f>IF(Select2=1,"Garden and Park waste","Industrial waste")</f>
        <v>Garden and Park waste</v>
      </c>
      <c r="C36" s="185" t="str">
        <f>INDEX(half_life,IF(Select2=1,3,5),selected*2)</f>
        <v>0.15–0.2</v>
      </c>
      <c r="D36" s="90">
        <f>INDEX(half_life,IF(Select2=1,3,5),selected*2-1)</f>
        <v>0.17</v>
      </c>
      <c r="E36" s="630">
        <f t="shared" si="4"/>
        <v>0.17</v>
      </c>
      <c r="F36" s="58"/>
      <c r="L36" s="6"/>
      <c r="N36" s="445" t="s">
        <v>261</v>
      </c>
      <c r="O36" s="2">
        <f t="shared" si="5"/>
        <v>0.17</v>
      </c>
    </row>
    <row r="37" spans="2:15">
      <c r="B37" s="2" t="str">
        <f>IF(Select2=1,"Textiles","")</f>
        <v>Textiles</v>
      </c>
      <c r="C37" s="186" t="str">
        <f>IF(Select2=1,INDEX(half_life,1,selected*2),"")</f>
        <v>0.06–0.085</v>
      </c>
      <c r="D37" s="90">
        <f>IF(Select2=1,INDEX(half_life,1,selected*2-1),"")</f>
        <v>7.0000000000000007E-2</v>
      </c>
      <c r="E37" s="630">
        <f t="shared" si="4"/>
        <v>7.0000000000000007E-2</v>
      </c>
      <c r="F37" s="58"/>
      <c r="L37" s="6"/>
      <c r="N37" s="2" t="s">
        <v>16</v>
      </c>
      <c r="O37" s="2">
        <f t="shared" si="5"/>
        <v>7.0000000000000007E-2</v>
      </c>
    </row>
    <row r="38" spans="2:15">
      <c r="B38" s="2" t="str">
        <f>IF(Select2=1,"Rubber and Leather","")</f>
        <v>Rubber and Leather</v>
      </c>
      <c r="C38" s="186" t="str">
        <f>IF(Select2=1,INDEX(half_life,2,selected*2),"")</f>
        <v>0.03–0.05</v>
      </c>
      <c r="D38" s="90">
        <f>IF(Select2=1,INDEX(half_life,2,selected*2-1),"")</f>
        <v>3.5000000000000003E-2</v>
      </c>
      <c r="E38" s="631">
        <f t="shared" si="4"/>
        <v>3.5000000000000003E-2</v>
      </c>
      <c r="F38" s="271"/>
      <c r="L38" s="384"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86" t="str">
        <f>IF(Select2=1,INDEX(half_life,2,selected*2),"")</f>
        <v>0.03–0.05</v>
      </c>
      <c r="D39" s="90">
        <f>IF(Select2=1,INDEX(half_life,2,selected*2-1),"")</f>
        <v>3.5000000000000003E-2</v>
      </c>
      <c r="E39" s="631">
        <f t="shared" si="4"/>
        <v>3.5000000000000003E-2</v>
      </c>
      <c r="F39" s="271"/>
      <c r="N39" s="444" t="s">
        <v>2</v>
      </c>
      <c r="O39" s="2">
        <f t="shared" si="5"/>
        <v>3.5000000000000003E-2</v>
      </c>
    </row>
    <row r="40" spans="2:15">
      <c r="B40" s="2" t="str">
        <f>IF(Select2=1,"Nappies","")</f>
        <v>Nappies</v>
      </c>
      <c r="C40" s="186" t="str">
        <f>IF(Select2=1,INDEX(half_life,3,selected*2),"")</f>
        <v>0.15–0.2</v>
      </c>
      <c r="D40" s="90">
        <f>IF(Select2=1,INDEX(half_life,3,selected*2-1),"")</f>
        <v>0.17</v>
      </c>
      <c r="E40" s="631">
        <f>D40</f>
        <v>0.17</v>
      </c>
      <c r="F40" s="271"/>
      <c r="N40" s="444" t="s">
        <v>267</v>
      </c>
      <c r="O40" s="2">
        <f t="shared" si="5"/>
        <v>0.17</v>
      </c>
    </row>
    <row r="41" spans="2:15">
      <c r="B41" s="166" t="str">
        <f>IF(Select2=1,"Plastics","")</f>
        <v>Plastics</v>
      </c>
      <c r="C41" s="186">
        <f t="shared" ref="C41:D44" si="6">IF(Select2=1,0,"")</f>
        <v>0</v>
      </c>
      <c r="D41" s="464">
        <f t="shared" si="6"/>
        <v>0</v>
      </c>
      <c r="E41" s="631">
        <f>D41</f>
        <v>0</v>
      </c>
      <c r="F41" s="271"/>
      <c r="N41" s="166" t="s">
        <v>230</v>
      </c>
      <c r="O41" s="2">
        <f t="shared" si="5"/>
        <v>0</v>
      </c>
    </row>
    <row r="42" spans="2:15">
      <c r="B42" s="166" t="str">
        <f>IF(Select2=1,"Metal","")</f>
        <v>Metal</v>
      </c>
      <c r="C42" s="186">
        <f t="shared" si="6"/>
        <v>0</v>
      </c>
      <c r="D42" s="464">
        <f t="shared" si="6"/>
        <v>0</v>
      </c>
      <c r="E42" s="631">
        <f>D42</f>
        <v>0</v>
      </c>
      <c r="F42" s="271"/>
      <c r="N42" s="166" t="s">
        <v>231</v>
      </c>
      <c r="O42" s="2">
        <f t="shared" si="5"/>
        <v>0</v>
      </c>
    </row>
    <row r="43" spans="2:15">
      <c r="B43" s="166" t="str">
        <f>IF(Select2=1,"Glass","")</f>
        <v>Glass</v>
      </c>
      <c r="C43" s="186">
        <f t="shared" si="6"/>
        <v>0</v>
      </c>
      <c r="D43" s="464">
        <f t="shared" si="6"/>
        <v>0</v>
      </c>
      <c r="E43" s="631">
        <f>D43</f>
        <v>0</v>
      </c>
      <c r="F43" s="271"/>
      <c r="N43" s="166" t="s">
        <v>232</v>
      </c>
      <c r="O43" s="2">
        <f t="shared" si="5"/>
        <v>0</v>
      </c>
    </row>
    <row r="44" spans="2:15">
      <c r="B44" s="166" t="str">
        <f>IF(Select2=1,"Other","")</f>
        <v>Other</v>
      </c>
      <c r="C44" s="186">
        <f t="shared" si="6"/>
        <v>0</v>
      </c>
      <c r="D44" s="464">
        <f t="shared" si="6"/>
        <v>0</v>
      </c>
      <c r="E44" s="631">
        <f>D44</f>
        <v>0</v>
      </c>
      <c r="F44" s="271"/>
      <c r="N44" s="166" t="s">
        <v>233</v>
      </c>
      <c r="O44" s="2">
        <f t="shared" si="5"/>
        <v>0</v>
      </c>
    </row>
    <row r="45" spans="2:15">
      <c r="B45" s="166"/>
      <c r="C45" s="186"/>
      <c r="D45" s="90"/>
      <c r="E45" s="631"/>
      <c r="F45" s="271"/>
      <c r="N45" s="444" t="s">
        <v>204</v>
      </c>
      <c r="O45" s="2">
        <f>IF(Select2=1,0,E$34)</f>
        <v>0</v>
      </c>
    </row>
    <row r="46" spans="2:15" ht="13.5" thickBot="1">
      <c r="B46" s="2" t="str">
        <f>IF(Select2=1,"Sewage sludge","")</f>
        <v>Sewage sludge</v>
      </c>
      <c r="C46" s="186" t="str">
        <f>IF(Select2=1,INDEX(half_life,4,selected*2),"")</f>
        <v xml:space="preserve">0.17–0.7 </v>
      </c>
      <c r="D46" s="90">
        <f>IF(Select2=1,INDEX(half_life,4,selected*2-1),"")</f>
        <v>0.4</v>
      </c>
      <c r="E46" s="631">
        <f>D46</f>
        <v>0.4</v>
      </c>
      <c r="F46" s="271"/>
      <c r="N46" s="34" t="s">
        <v>135</v>
      </c>
      <c r="O46" s="34">
        <f>IF(Select2=1,E46,E$35)</f>
        <v>0.4</v>
      </c>
    </row>
    <row r="47" spans="2:15" ht="13.5" thickBot="1">
      <c r="B47" s="34" t="str">
        <f>IF(Select2=1,"Industrial waste","")</f>
        <v>Industrial waste</v>
      </c>
      <c r="C47" s="577" t="str">
        <f>IF(Select2=1,INDEX(half_life,5,selected*2),"")</f>
        <v>0.15–0.2</v>
      </c>
      <c r="D47" s="582">
        <f>IF(Select2=1,INDEX(half_life,5,selected*2-1),"")</f>
        <v>0.17</v>
      </c>
      <c r="E47" s="632">
        <f t="shared" ref="E47" si="7">D47</f>
        <v>0.17</v>
      </c>
      <c r="F47" s="579"/>
      <c r="L47" s="58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4" t="s">
        <v>23</v>
      </c>
      <c r="O47" s="34">
        <f>IF(Select2=1,E47,E$36)</f>
        <v>0.17</v>
      </c>
    </row>
    <row r="48" spans="2:15" ht="13.5" thickBot="1">
      <c r="B48" s="37"/>
      <c r="C48" s="17"/>
      <c r="D48" s="38"/>
      <c r="E48" s="20"/>
      <c r="F48" s="38"/>
    </row>
    <row r="49" spans="1:18" ht="13.5" thickBot="1">
      <c r="B49" s="50" t="s">
        <v>42</v>
      </c>
      <c r="C49" s="53"/>
      <c r="D49" s="46">
        <v>6</v>
      </c>
      <c r="E49" s="633">
        <v>6</v>
      </c>
      <c r="F49" s="57"/>
    </row>
    <row r="50" spans="1:18" ht="13.5" thickBot="1">
      <c r="B50" s="37"/>
      <c r="C50" s="17"/>
      <c r="D50" s="38"/>
      <c r="E50" s="39"/>
      <c r="F50" s="38"/>
    </row>
    <row r="51" spans="1:18" ht="13.5" thickBot="1">
      <c r="B51" s="50" t="s">
        <v>207</v>
      </c>
      <c r="C51" s="53"/>
      <c r="D51" s="36">
        <v>0.5</v>
      </c>
      <c r="E51" s="633">
        <f>D51</f>
        <v>0.5</v>
      </c>
      <c r="F51" s="57"/>
    </row>
    <row r="52" spans="1:18" ht="13.5" thickBot="1">
      <c r="B52" s="37"/>
      <c r="C52" s="17"/>
      <c r="D52" s="38"/>
      <c r="E52" s="20"/>
      <c r="F52" s="38"/>
    </row>
    <row r="53" spans="1:18" ht="16.5" thickBot="1">
      <c r="B53" s="50" t="s">
        <v>21</v>
      </c>
      <c r="C53" s="53"/>
      <c r="D53" s="41">
        <f>16/12</f>
        <v>1.3333333333333333</v>
      </c>
      <c r="E53" s="42">
        <f>16/12</f>
        <v>1.3333333333333333</v>
      </c>
      <c r="F53" s="43"/>
    </row>
    <row r="54" spans="1:18" ht="13.5" thickBot="1">
      <c r="B54" s="37"/>
      <c r="C54" s="17"/>
      <c r="D54" s="38"/>
      <c r="E54" s="20"/>
      <c r="F54" s="38"/>
    </row>
    <row r="55" spans="1:18" ht="13.5" thickBot="1">
      <c r="B55" s="50" t="s">
        <v>22</v>
      </c>
      <c r="C55" s="53"/>
      <c r="D55" s="36">
        <v>0</v>
      </c>
      <c r="E55" s="633">
        <f>D55</f>
        <v>0</v>
      </c>
      <c r="F55" s="57"/>
    </row>
    <row r="56" spans="1:18" ht="13.5" thickBot="1">
      <c r="B56" s="44"/>
      <c r="C56" s="17"/>
      <c r="D56" s="45"/>
      <c r="E56" s="40"/>
      <c r="F56" s="38"/>
    </row>
    <row r="57" spans="1:18" ht="13.5" thickBot="1">
      <c r="A57" s="31"/>
      <c r="B57" s="50" t="s">
        <v>80</v>
      </c>
      <c r="C57" s="53"/>
      <c r="D57" s="51"/>
      <c r="E57" s="52"/>
      <c r="F57" s="51"/>
      <c r="L57" s="31"/>
    </row>
    <row r="58" spans="1:18">
      <c r="A58" s="31"/>
      <c r="B58" s="315" t="s">
        <v>195</v>
      </c>
      <c r="C58" s="307"/>
      <c r="D58" s="312">
        <v>0</v>
      </c>
      <c r="E58" s="634">
        <f>D58</f>
        <v>0</v>
      </c>
      <c r="F58" s="114"/>
      <c r="L58" s="31"/>
    </row>
    <row r="59" spans="1:18" ht="13.5" thickBot="1">
      <c r="B59" s="316" t="s">
        <v>196</v>
      </c>
      <c r="C59" s="313"/>
      <c r="D59" s="314">
        <v>0</v>
      </c>
      <c r="E59" s="635">
        <f>D59</f>
        <v>0</v>
      </c>
      <c r="F59" s="56"/>
    </row>
    <row r="60" spans="1:18" ht="13.5" thickBot="1">
      <c r="B60" s="158"/>
      <c r="C60" s="294"/>
      <c r="D60" s="295"/>
      <c r="E60" s="297"/>
      <c r="F60" s="296"/>
    </row>
    <row r="61" spans="1:18" s="31" customFormat="1" ht="26.25" thickBot="1">
      <c r="A61"/>
      <c r="B61" s="303" t="s">
        <v>209</v>
      </c>
      <c r="C61" s="177"/>
      <c r="D61" s="761" t="s">
        <v>250</v>
      </c>
      <c r="E61" s="762"/>
      <c r="F61" s="763"/>
      <c r="H61" s="53"/>
      <c r="I61" s="761" t="s">
        <v>251</v>
      </c>
      <c r="J61" s="762"/>
      <c r="K61" s="763"/>
      <c r="L61"/>
      <c r="N61"/>
      <c r="O61"/>
      <c r="P61"/>
    </row>
    <row r="62" spans="1:18" s="31" customFormat="1" ht="13.5" thickBot="1">
      <c r="A62"/>
      <c r="B62" s="304" t="str">
        <f>IF(Select2=1,"","DOC for garden waste")</f>
        <v/>
      </c>
      <c r="C62" s="307"/>
      <c r="D62" s="310" t="str">
        <f>IF(Select2=1,"",INDEX(DOC_table,3,1))</f>
        <v/>
      </c>
      <c r="E62" s="322" t="str">
        <f>D62</f>
        <v/>
      </c>
      <c r="F62" s="323"/>
      <c r="H62" s="307"/>
      <c r="I62" s="310" t="str">
        <f>IF(Select2=1,"",INDEX(DOC_table,3,3))</f>
        <v/>
      </c>
      <c r="J62" s="322" t="str">
        <f>I62</f>
        <v/>
      </c>
      <c r="K62" s="323"/>
      <c r="L62"/>
      <c r="N62" s="462" t="s">
        <v>278</v>
      </c>
      <c r="O62" s="55" t="str">
        <f>IF(Select2=2,E62,"")</f>
        <v/>
      </c>
      <c r="Q62" s="462" t="s">
        <v>278</v>
      </c>
      <c r="R62" s="55" t="str">
        <f>IF(Select2=2,J62,"")</f>
        <v/>
      </c>
    </row>
    <row r="63" spans="1:18" ht="13.5" thickBot="1">
      <c r="B63" s="305" t="str">
        <f>IF(Select2=1,"","DOC for paper and cardboard")</f>
        <v/>
      </c>
      <c r="C63" s="308"/>
      <c r="D63" s="311" t="str">
        <f>IF(Select2=1,"",INDEX(DOC_table,2,1))</f>
        <v/>
      </c>
      <c r="E63" s="324" t="str">
        <f>D63</f>
        <v/>
      </c>
      <c r="F63" s="325"/>
      <c r="H63" s="308"/>
      <c r="I63" s="311" t="str">
        <f>IF(Select2=1,"",INDEX(DOC_table,2,3))</f>
        <v/>
      </c>
      <c r="J63" s="324" t="str">
        <f>I63</f>
        <v/>
      </c>
      <c r="K63" s="325"/>
      <c r="N63" s="462" t="s">
        <v>279</v>
      </c>
      <c r="O63" s="2" t="str">
        <f>IF(Select2=2,E63,"")</f>
        <v/>
      </c>
      <c r="P63" s="31"/>
      <c r="Q63" s="462" t="s">
        <v>279</v>
      </c>
      <c r="R63" s="2" t="str">
        <f>IF(Select2=2,J63,"")</f>
        <v/>
      </c>
    </row>
    <row r="64" spans="1:18" ht="13.5" thickBot="1">
      <c r="B64" s="306" t="str">
        <f>IF(Select2=1,"","DOC for wood and straw")</f>
        <v/>
      </c>
      <c r="C64" s="309"/>
      <c r="D64" s="317" t="str">
        <f>IF(Select2=1,"",INDEX(DOC_table,6,1))</f>
        <v/>
      </c>
      <c r="E64" s="326" t="str">
        <f>D64</f>
        <v/>
      </c>
      <c r="F64" s="327"/>
      <c r="H64" s="309"/>
      <c r="I64" s="317" t="str">
        <f>IF(Select2=1,"",INDEX(DOC_table,6,3))</f>
        <v/>
      </c>
      <c r="J64" s="326" t="str">
        <f>I64</f>
        <v/>
      </c>
      <c r="K64" s="327"/>
      <c r="N64" s="462" t="s">
        <v>280</v>
      </c>
      <c r="O64" s="34" t="str">
        <f>IF(Select2=2,E64,"")</f>
        <v/>
      </c>
      <c r="Q64" s="462" t="s">
        <v>280</v>
      </c>
      <c r="R64" s="34" t="str">
        <f>IF(Select2=2,J64,"")</f>
        <v/>
      </c>
    </row>
    <row r="69" spans="2:8">
      <c r="B69" s="613" t="s">
        <v>336</v>
      </c>
    </row>
    <row r="71" spans="2:8">
      <c r="B71" s="776" t="s">
        <v>317</v>
      </c>
      <c r="C71" s="776"/>
      <c r="D71" s="777" t="s">
        <v>318</v>
      </c>
      <c r="E71" s="777"/>
      <c r="F71" s="777"/>
      <c r="G71" s="777"/>
      <c r="H71" s="777"/>
    </row>
    <row r="72" spans="2:8">
      <c r="B72" s="776" t="s">
        <v>319</v>
      </c>
      <c r="C72" s="776"/>
      <c r="D72" s="777" t="s">
        <v>320</v>
      </c>
      <c r="E72" s="777"/>
      <c r="F72" s="777"/>
      <c r="G72" s="777"/>
      <c r="H72" s="777"/>
    </row>
    <row r="73" spans="2:8">
      <c r="B73" s="776" t="s">
        <v>321</v>
      </c>
      <c r="C73" s="776"/>
      <c r="D73" s="777" t="s">
        <v>322</v>
      </c>
      <c r="E73" s="777"/>
      <c r="F73" s="777"/>
      <c r="G73" s="777"/>
      <c r="H73" s="777"/>
    </row>
    <row r="74" spans="2:8">
      <c r="B74" s="776" t="s">
        <v>323</v>
      </c>
      <c r="C74" s="776"/>
      <c r="D74" s="777" t="s">
        <v>324</v>
      </c>
      <c r="E74" s="777"/>
      <c r="F74" s="777"/>
      <c r="G74" s="777"/>
      <c r="H74" s="777"/>
    </row>
    <row r="75" spans="2:8">
      <c r="B75" s="611"/>
      <c r="C75" s="612"/>
      <c r="D75" s="612"/>
      <c r="E75" s="612"/>
      <c r="F75" s="612"/>
      <c r="G75" s="612"/>
      <c r="H75" s="612"/>
    </row>
    <row r="76" spans="2:8">
      <c r="B76" s="614"/>
      <c r="C76" s="615" t="s">
        <v>325</v>
      </c>
      <c r="D76" s="616" t="s">
        <v>87</v>
      </c>
      <c r="E76" s="616" t="s">
        <v>88</v>
      </c>
    </row>
    <row r="77" spans="2:8">
      <c r="B77" s="782" t="s">
        <v>133</v>
      </c>
      <c r="C77" s="617" t="s">
        <v>326</v>
      </c>
      <c r="D77" s="618" t="s">
        <v>327</v>
      </c>
      <c r="E77" s="618" t="s">
        <v>9</v>
      </c>
      <c r="F77" s="525"/>
      <c r="G77" s="597"/>
      <c r="H77" s="6"/>
    </row>
    <row r="78" spans="2:8">
      <c r="B78" s="783"/>
      <c r="C78" s="619"/>
      <c r="D78" s="620"/>
      <c r="E78" s="621"/>
      <c r="F78" s="6"/>
      <c r="G78" s="525"/>
      <c r="H78" s="6"/>
    </row>
    <row r="79" spans="2:8">
      <c r="B79" s="783"/>
      <c r="C79" s="619"/>
      <c r="D79" s="620"/>
      <c r="E79" s="621"/>
      <c r="F79" s="6"/>
      <c r="G79" s="525"/>
      <c r="H79" s="6"/>
    </row>
    <row r="80" spans="2:8">
      <c r="B80" s="783"/>
      <c r="C80" s="619"/>
      <c r="D80" s="620"/>
      <c r="E80" s="621"/>
      <c r="F80" s="6"/>
      <c r="G80" s="525"/>
      <c r="H80" s="6"/>
    </row>
    <row r="81" spans="2:8">
      <c r="B81" s="783"/>
      <c r="C81" s="619"/>
      <c r="D81" s="620"/>
      <c r="E81" s="621"/>
      <c r="F81" s="6"/>
      <c r="G81" s="525"/>
      <c r="H81" s="6"/>
    </row>
    <row r="82" spans="2:8">
      <c r="B82" s="783"/>
      <c r="C82" s="619"/>
      <c r="D82" s="620" t="s">
        <v>328</v>
      </c>
      <c r="E82" s="621"/>
      <c r="F82" s="6"/>
      <c r="G82" s="525"/>
      <c r="H82" s="6"/>
    </row>
    <row r="83" spans="2:8" ht="13.5" thickBot="1">
      <c r="B83" s="784"/>
      <c r="C83" s="622"/>
      <c r="D83" s="622"/>
      <c r="E83" s="623" t="s">
        <v>329</v>
      </c>
      <c r="F83" s="6"/>
      <c r="G83" s="6"/>
      <c r="H83" s="6"/>
    </row>
    <row r="84" spans="2:8" ht="13.5" thickTop="1">
      <c r="B84" s="614"/>
      <c r="C84" s="621"/>
      <c r="D84" s="614"/>
      <c r="E84" s="624"/>
      <c r="F84" s="6"/>
      <c r="G84" s="6"/>
      <c r="H84" s="6"/>
    </row>
    <row r="85" spans="2:8">
      <c r="B85" s="778" t="s">
        <v>330</v>
      </c>
      <c r="C85" s="779"/>
      <c r="D85" s="779"/>
      <c r="E85" s="780"/>
      <c r="F85" s="6"/>
      <c r="G85" s="6"/>
      <c r="H85" s="6"/>
    </row>
    <row r="86" spans="2:8">
      <c r="B86" s="625" t="s">
        <v>6</v>
      </c>
      <c r="C86" s="626">
        <v>0.63560000000000005</v>
      </c>
      <c r="D86" s="627">
        <v>0.15</v>
      </c>
      <c r="E86" s="627">
        <f>C86*D86</f>
        <v>9.5340000000000008E-2</v>
      </c>
      <c r="F86" s="6"/>
      <c r="G86" s="6"/>
      <c r="H86" s="6"/>
    </row>
    <row r="87" spans="2:8">
      <c r="B87" s="625" t="s">
        <v>256</v>
      </c>
      <c r="C87" s="626">
        <v>0.1042</v>
      </c>
      <c r="D87" s="627">
        <v>0.4</v>
      </c>
      <c r="E87" s="627">
        <f t="shared" ref="E87:E94" si="8">C87*D87</f>
        <v>4.1680000000000002E-2</v>
      </c>
      <c r="F87" s="6"/>
      <c r="G87" s="6"/>
      <c r="H87" s="6"/>
    </row>
    <row r="88" spans="2:8">
      <c r="B88" s="625" t="s">
        <v>2</v>
      </c>
      <c r="C88" s="626">
        <v>0</v>
      </c>
      <c r="D88" s="627">
        <v>0.43</v>
      </c>
      <c r="E88" s="627">
        <f t="shared" si="8"/>
        <v>0</v>
      </c>
      <c r="F88" s="6"/>
      <c r="G88" s="6"/>
      <c r="H88" s="6"/>
    </row>
    <row r="89" spans="2:8">
      <c r="B89" s="625" t="s">
        <v>16</v>
      </c>
      <c r="C89" s="626">
        <v>0</v>
      </c>
      <c r="D89" s="627">
        <v>0.24</v>
      </c>
      <c r="E89" s="627">
        <f t="shared" si="8"/>
        <v>0</v>
      </c>
      <c r="F89" s="6"/>
      <c r="G89" s="6"/>
      <c r="H89" s="6"/>
    </row>
    <row r="90" spans="2:8">
      <c r="B90" s="625" t="s">
        <v>331</v>
      </c>
      <c r="C90" s="626">
        <v>0</v>
      </c>
      <c r="D90" s="627">
        <v>0.39</v>
      </c>
      <c r="E90" s="627">
        <f t="shared" si="8"/>
        <v>0</v>
      </c>
    </row>
    <row r="91" spans="2:8">
      <c r="B91" s="625" t="s">
        <v>332</v>
      </c>
      <c r="C91" s="626">
        <v>1.4500000000000001E-2</v>
      </c>
      <c r="D91" s="627">
        <v>0</v>
      </c>
      <c r="E91" s="627">
        <f t="shared" si="8"/>
        <v>0</v>
      </c>
    </row>
    <row r="92" spans="2:8">
      <c r="B92" s="625" t="s">
        <v>231</v>
      </c>
      <c r="C92" s="626">
        <v>9.7600000000000006E-2</v>
      </c>
      <c r="D92" s="627">
        <v>0</v>
      </c>
      <c r="E92" s="627">
        <f t="shared" si="8"/>
        <v>0</v>
      </c>
    </row>
    <row r="93" spans="2:8">
      <c r="B93" s="625" t="s">
        <v>232</v>
      </c>
      <c r="C93" s="626">
        <v>1.7000000000000001E-2</v>
      </c>
      <c r="D93" s="627">
        <v>0</v>
      </c>
      <c r="E93" s="627">
        <f t="shared" si="8"/>
        <v>0</v>
      </c>
    </row>
    <row r="94" spans="2:8">
      <c r="B94" s="625" t="s">
        <v>233</v>
      </c>
      <c r="C94" s="626">
        <f>(0.95+12.16)/100</f>
        <v>0.13109999999999999</v>
      </c>
      <c r="D94" s="627">
        <v>0</v>
      </c>
      <c r="E94" s="627">
        <f t="shared" si="8"/>
        <v>0</v>
      </c>
    </row>
    <row r="95" spans="2:8">
      <c r="B95" s="781" t="s">
        <v>333</v>
      </c>
      <c r="C95" s="781"/>
      <c r="D95" s="781"/>
      <c r="E95" s="628">
        <f>SUM(E86:E94)</f>
        <v>0.13702</v>
      </c>
    </row>
    <row r="96" spans="2:8">
      <c r="B96" s="778" t="s">
        <v>334</v>
      </c>
      <c r="C96" s="779"/>
      <c r="D96" s="779"/>
      <c r="E96" s="780"/>
    </row>
    <row r="97" spans="2:5">
      <c r="B97" s="625" t="s">
        <v>6</v>
      </c>
      <c r="C97" s="626">
        <f>79.37/100</f>
        <v>0.79370000000000007</v>
      </c>
      <c r="D97" s="627">
        <v>0.15</v>
      </c>
      <c r="E97" s="627">
        <f>C97*D97</f>
        <v>0.11905500000000001</v>
      </c>
    </row>
    <row r="98" spans="2:5">
      <c r="B98" s="625" t="s">
        <v>256</v>
      </c>
      <c r="C98" s="626">
        <f>8.57/100</f>
        <v>8.5699999999999998E-2</v>
      </c>
      <c r="D98" s="627">
        <v>0.4</v>
      </c>
      <c r="E98" s="627">
        <f t="shared" ref="E98:E105" si="9">C98*D98</f>
        <v>3.4279999999999998E-2</v>
      </c>
    </row>
    <row r="99" spans="2:5">
      <c r="B99" s="625" t="s">
        <v>2</v>
      </c>
      <c r="C99" s="626">
        <f>0.75/100</f>
        <v>7.4999999999999997E-3</v>
      </c>
      <c r="D99" s="627">
        <v>0.43</v>
      </c>
      <c r="E99" s="627">
        <f t="shared" si="9"/>
        <v>3.225E-3</v>
      </c>
    </row>
    <row r="100" spans="2:5">
      <c r="B100" s="625" t="s">
        <v>16</v>
      </c>
      <c r="C100" s="626">
        <f>0.79/100</f>
        <v>7.9000000000000008E-3</v>
      </c>
      <c r="D100" s="627">
        <v>0.24</v>
      </c>
      <c r="E100" s="627">
        <f t="shared" si="9"/>
        <v>1.8960000000000001E-3</v>
      </c>
    </row>
    <row r="101" spans="2:5">
      <c r="B101" s="625" t="s">
        <v>331</v>
      </c>
      <c r="C101" s="626">
        <f>0.35/100</f>
        <v>3.4999999999999996E-3</v>
      </c>
      <c r="D101" s="627">
        <v>0.39</v>
      </c>
      <c r="E101" s="627">
        <f t="shared" si="9"/>
        <v>1.3649999999999999E-3</v>
      </c>
    </row>
    <row r="102" spans="2:5">
      <c r="B102" s="625" t="s">
        <v>332</v>
      </c>
      <c r="C102" s="626">
        <f>6.51/100</f>
        <v>6.5099999999999991E-2</v>
      </c>
      <c r="D102" s="627">
        <v>0</v>
      </c>
      <c r="E102" s="627">
        <f t="shared" si="9"/>
        <v>0</v>
      </c>
    </row>
    <row r="103" spans="2:5">
      <c r="B103" s="625" t="s">
        <v>231</v>
      </c>
      <c r="C103" s="626">
        <f>1.45/100</f>
        <v>1.4499999999999999E-2</v>
      </c>
      <c r="D103" s="627">
        <v>0</v>
      </c>
      <c r="E103" s="627">
        <f t="shared" si="9"/>
        <v>0</v>
      </c>
    </row>
    <row r="104" spans="2:5">
      <c r="B104" s="625" t="s">
        <v>232</v>
      </c>
      <c r="C104" s="626">
        <f>1.54/100</f>
        <v>1.54E-2</v>
      </c>
      <c r="D104" s="627">
        <v>0</v>
      </c>
      <c r="E104" s="627">
        <f t="shared" si="9"/>
        <v>0</v>
      </c>
    </row>
    <row r="105" spans="2:5">
      <c r="B105" s="625" t="s">
        <v>233</v>
      </c>
      <c r="C105" s="626">
        <f>0.67/100</f>
        <v>6.7000000000000002E-3</v>
      </c>
      <c r="D105" s="627">
        <v>0</v>
      </c>
      <c r="E105" s="627">
        <f t="shared" si="9"/>
        <v>0</v>
      </c>
    </row>
    <row r="106" spans="2:5">
      <c r="B106" s="781" t="s">
        <v>333</v>
      </c>
      <c r="C106" s="781"/>
      <c r="D106" s="781"/>
      <c r="E106" s="628">
        <f>SUM(E97:E105)</f>
        <v>0.15982100000000002</v>
      </c>
    </row>
    <row r="107" spans="2:5">
      <c r="B107" s="778" t="s">
        <v>335</v>
      </c>
      <c r="C107" s="779"/>
      <c r="D107" s="779"/>
      <c r="E107" s="780"/>
    </row>
    <row r="108" spans="2:5">
      <c r="B108" s="625" t="s">
        <v>6</v>
      </c>
      <c r="C108" s="626">
        <f>(59.47+6.92)/100</f>
        <v>0.66390000000000005</v>
      </c>
      <c r="D108" s="627">
        <v>0.15</v>
      </c>
      <c r="E108" s="627">
        <f>C108*D108</f>
        <v>9.9585000000000007E-2</v>
      </c>
    </row>
    <row r="109" spans="2:5">
      <c r="B109" s="625" t="s">
        <v>256</v>
      </c>
      <c r="C109" s="626">
        <f>12.85/100</f>
        <v>0.1285</v>
      </c>
      <c r="D109" s="627">
        <v>0.4</v>
      </c>
      <c r="E109" s="627">
        <f t="shared" ref="E109:E116" si="10">C109*D109</f>
        <v>5.1400000000000001E-2</v>
      </c>
    </row>
    <row r="110" spans="2:5">
      <c r="B110" s="625" t="s">
        <v>2</v>
      </c>
      <c r="C110" s="626">
        <v>0</v>
      </c>
      <c r="D110" s="627">
        <v>0.43</v>
      </c>
      <c r="E110" s="627">
        <f t="shared" si="10"/>
        <v>0</v>
      </c>
    </row>
    <row r="111" spans="2:5">
      <c r="B111" s="625" t="s">
        <v>16</v>
      </c>
      <c r="C111" s="626">
        <f>0.81/100</f>
        <v>8.1000000000000013E-3</v>
      </c>
      <c r="D111" s="627">
        <v>0.24</v>
      </c>
      <c r="E111" s="627">
        <f t="shared" si="10"/>
        <v>1.9440000000000002E-3</v>
      </c>
    </row>
    <row r="112" spans="2:5">
      <c r="B112" s="625" t="s">
        <v>331</v>
      </c>
      <c r="C112" s="626">
        <v>0</v>
      </c>
      <c r="D112" s="627">
        <v>0.39</v>
      </c>
      <c r="E112" s="627">
        <f t="shared" si="10"/>
        <v>0</v>
      </c>
    </row>
    <row r="113" spans="2:5">
      <c r="B113" s="625" t="s">
        <v>332</v>
      </c>
      <c r="C113" s="626">
        <f>10.71/100</f>
        <v>0.10710000000000001</v>
      </c>
      <c r="D113" s="627">
        <v>0</v>
      </c>
      <c r="E113" s="627">
        <f t="shared" si="10"/>
        <v>0</v>
      </c>
    </row>
    <row r="114" spans="2:5">
      <c r="B114" s="625" t="s">
        <v>231</v>
      </c>
      <c r="C114" s="626">
        <f>1.77/100</f>
        <v>1.77E-2</v>
      </c>
      <c r="D114" s="627">
        <v>0</v>
      </c>
      <c r="E114" s="627">
        <f t="shared" si="10"/>
        <v>0</v>
      </c>
    </row>
    <row r="115" spans="2:5">
      <c r="B115" s="625" t="s">
        <v>232</v>
      </c>
      <c r="C115" s="626">
        <f>1.33/100</f>
        <v>1.3300000000000001E-2</v>
      </c>
      <c r="D115" s="627">
        <v>0</v>
      </c>
      <c r="E115" s="627">
        <f t="shared" si="10"/>
        <v>0</v>
      </c>
    </row>
    <row r="116" spans="2:5">
      <c r="B116" s="625" t="s">
        <v>233</v>
      </c>
      <c r="C116" s="626">
        <f>6.21/100</f>
        <v>6.2100000000000002E-2</v>
      </c>
      <c r="D116" s="627">
        <v>0</v>
      </c>
      <c r="E116" s="627">
        <f t="shared" si="10"/>
        <v>0</v>
      </c>
    </row>
    <row r="117" spans="2:5">
      <c r="B117" s="781" t="s">
        <v>333</v>
      </c>
      <c r="C117" s="781"/>
      <c r="D117" s="781"/>
      <c r="E117" s="62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309</v>
      </c>
      <c r="C2" s="251"/>
      <c r="D2" s="251"/>
      <c r="E2" s="252"/>
      <c r="F2" s="253"/>
      <c r="G2" s="253"/>
      <c r="H2" s="253"/>
      <c r="I2" s="253"/>
      <c r="J2" s="253"/>
      <c r="K2" s="253"/>
    </row>
    <row r="3" spans="1:23" ht="15">
      <c r="B3" s="275" t="str">
        <f>IF(Select2=1,"This sheet applies only to the bulk waste option and can be deleted when the waste composition option has been chosen","")</f>
        <v>This sheet applies only to the bulk waste option and can be deleted when the waste composition option has been chosen</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Parameters!O26</f>
        <v>0</v>
      </c>
      <c r="O6" s="257"/>
      <c r="P6" s="258"/>
      <c r="Q6" s="249"/>
      <c r="R6" s="128" t="s">
        <v>9</v>
      </c>
      <c r="S6" s="129"/>
      <c r="T6" s="129"/>
      <c r="U6" s="133"/>
      <c r="V6" s="140" t="s">
        <v>9</v>
      </c>
      <c r="W6" s="293">
        <f>Parameters!R26</f>
        <v>0</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Parameters!O45</f>
        <v>0</v>
      </c>
      <c r="O8" s="67"/>
      <c r="P8" s="67"/>
      <c r="Q8" s="249"/>
      <c r="R8" s="128" t="s">
        <v>192</v>
      </c>
      <c r="S8" s="129"/>
      <c r="T8" s="129"/>
      <c r="U8" s="133"/>
      <c r="V8" s="140" t="s">
        <v>188</v>
      </c>
      <c r="W8" s="134">
        <f>Parameters!O45</f>
        <v>0</v>
      </c>
    </row>
    <row r="9" spans="1:23" ht="15.75">
      <c r="F9" s="279" t="s">
        <v>190</v>
      </c>
      <c r="G9" s="280"/>
      <c r="H9" s="280"/>
      <c r="I9" s="281"/>
      <c r="J9" s="282" t="s">
        <v>189</v>
      </c>
      <c r="K9" s="288" t="e">
        <f>LN(2)/$K$8</f>
        <v>#DIV/0!</v>
      </c>
      <c r="O9" s="67"/>
      <c r="P9" s="67"/>
      <c r="Q9" s="249"/>
      <c r="R9" s="279" t="s">
        <v>190</v>
      </c>
      <c r="S9" s="280"/>
      <c r="T9" s="280"/>
      <c r="U9" s="281"/>
      <c r="V9" s="282" t="s">
        <v>189</v>
      </c>
      <c r="W9" s="288" t="e">
        <f>LN(2)/$W$8</f>
        <v>#DIV/0!</v>
      </c>
    </row>
    <row r="10" spans="1:23">
      <c r="F10" s="130" t="s">
        <v>84</v>
      </c>
      <c r="G10" s="131"/>
      <c r="H10" s="131"/>
      <c r="I10" s="132"/>
      <c r="J10" s="141" t="s">
        <v>148</v>
      </c>
      <c r="K10" s="69">
        <f>EXP(-$K$8)</f>
        <v>1</v>
      </c>
      <c r="O10" s="67"/>
      <c r="P10" s="67"/>
      <c r="Q10" s="249"/>
      <c r="R10" s="130" t="s">
        <v>84</v>
      </c>
      <c r="S10" s="131"/>
      <c r="T10" s="131"/>
      <c r="U10" s="132"/>
      <c r="V10" s="141" t="s">
        <v>148</v>
      </c>
      <c r="W10" s="69">
        <f>EXP(-$W$8)</f>
        <v>1</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Amnt_Deposited!O14</f>
        <v>26.164919088000001</v>
      </c>
      <c r="D19" s="451">
        <f>Dry_Matter_Content!O6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Amnt_Deposited!O14</f>
        <v>26.164919088000001</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Amnt_Deposited!O15</f>
        <v>26.651413536000003</v>
      </c>
      <c r="D20" s="453">
        <f>Dry_Matter_Content!O7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Amnt_Deposited!O15</f>
        <v>26.651413536000003</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Amnt_Deposited!O16</f>
        <v>27.453895128000003</v>
      </c>
      <c r="D21" s="453">
        <f>Dry_Matter_Content!O8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Amnt_Deposited!O16</f>
        <v>27.453895128000003</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Amnt_Deposited!O17</f>
        <v>29.619880355999999</v>
      </c>
      <c r="D22" s="453">
        <f>Dry_Matter_Content!O9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Amnt_Deposited!O17</f>
        <v>29.619880355999999</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Amnt_Deposited!O18</f>
        <v>29.9204565</v>
      </c>
      <c r="D23" s="453">
        <f>Dry_Matter_Content!O10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Amnt_Deposited!O18</f>
        <v>29.9204565</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Amnt_Deposited!O19</f>
        <v>30.735081960000002</v>
      </c>
      <c r="D24" s="453">
        <f>Dry_Matter_Content!O11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Amnt_Deposited!O19</f>
        <v>30.735081960000002</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Amnt_Deposited!O20</f>
        <v>31.356083616000003</v>
      </c>
      <c r="D25" s="453">
        <f>Dry_Matter_Content!O12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Amnt_Deposited!O20</f>
        <v>31.356083616000003</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Amnt_Deposited!O21</f>
        <v>31.976098967999999</v>
      </c>
      <c r="D26" s="453">
        <f>Dry_Matter_Content!O13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Amnt_Deposited!O21</f>
        <v>31.976098967999999</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Amnt_Deposited!O22</f>
        <v>32.591306088000003</v>
      </c>
      <c r="D27" s="453">
        <f>Dry_Matter_Content!O14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Amnt_Deposited!O22</f>
        <v>32.591306088000003</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Amnt_Deposited!O23</f>
        <v>33.197081676000003</v>
      </c>
      <c r="D28" s="453">
        <f>Dry_Matter_Content!O15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Amnt_Deposited!O23</f>
        <v>33.197081676000003</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Amnt_Deposited!O24</f>
        <v>38.631061920000008</v>
      </c>
      <c r="D29" s="453">
        <f>Dry_Matter_Content!O16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Amnt_Deposited!O24</f>
        <v>38.631061920000008</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Amnt_Deposited!O25</f>
        <v>0</v>
      </c>
      <c r="D30" s="453">
        <f>Dry_Matter_Content!O17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Amnt_Deposited!O25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Amnt_Deposited!O26</f>
        <v>0</v>
      </c>
      <c r="D31" s="453">
        <f>Dry_Matter_Content!O18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Amnt_Deposited!O26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Amnt_Deposited!O27</f>
        <v>0</v>
      </c>
      <c r="D32" s="453">
        <f>Dry_Matter_Content!O19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Amnt_Deposited!O27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Amnt_Deposited!O28</f>
        <v>0</v>
      </c>
      <c r="D33" s="453">
        <f>Dry_Matter_Content!O20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Amnt_Deposited!O28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Amnt_Deposited!O29</f>
        <v>0</v>
      </c>
      <c r="D34" s="453">
        <f>Dry_Matter_Content!O21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Amnt_Deposited!O29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Amnt_Deposited!O30</f>
        <v>0</v>
      </c>
      <c r="D35" s="453">
        <f>Dry_Matter_Content!O22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Amnt_Deposited!O30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Amnt_Deposited!O31</f>
        <v>0</v>
      </c>
      <c r="D36" s="453">
        <f>Dry_Matter_Content!O23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Amnt_Deposited!O31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Amnt_Deposited!O32</f>
        <v>0</v>
      </c>
      <c r="D37" s="453">
        <f>Dry_Matter_Content!O24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Amnt_Deposited!O32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Amnt_Deposited!O33</f>
        <v>0</v>
      </c>
      <c r="D38" s="453">
        <f>Dry_Matter_Content!O25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Amnt_Deposited!O33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Amnt_Deposited!O34</f>
        <v>0</v>
      </c>
      <c r="D39" s="453">
        <f>Dry_Matter_Content!O26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Amnt_Deposited!O34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Amnt_Deposited!O35</f>
        <v>0</v>
      </c>
      <c r="D40" s="453">
        <f>Dry_Matter_Content!O27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Amnt_Deposited!O35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Amnt_Deposited!O36</f>
        <v>0</v>
      </c>
      <c r="D41" s="453">
        <f>Dry_Matter_Content!O28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Amnt_Deposited!O36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Amnt_Deposited!O37</f>
        <v>0</v>
      </c>
      <c r="D42" s="453">
        <f>Dry_Matter_Content!O29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Amnt_Deposited!O37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Amnt_Deposited!O38</f>
        <v>0</v>
      </c>
      <c r="D43" s="453">
        <f>Dry_Matter_Content!O30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Amnt_Deposited!O38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Amnt_Deposited!O39</f>
        <v>0</v>
      </c>
      <c r="D44" s="453">
        <f>Dry_Matter_Content!O31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Amnt_Deposited!O39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Amnt_Deposited!O40</f>
        <v>0</v>
      </c>
      <c r="D45" s="453">
        <f>Dry_Matter_Content!O32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Amnt_Deposited!O40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Amnt_Deposited!O41</f>
        <v>0</v>
      </c>
      <c r="D46" s="453">
        <f>Dry_Matter_Content!O33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Amnt_Deposited!O41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Amnt_Deposited!O42</f>
        <v>0</v>
      </c>
      <c r="D47" s="453">
        <f>Dry_Matter_Content!O34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Amnt_Deposited!O42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Amnt_Deposited!O43</f>
        <v>0</v>
      </c>
      <c r="D48" s="453">
        <f>Dry_Matter_Content!O35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Amnt_Deposited!O43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Amnt_Deposited!O44</f>
        <v>0</v>
      </c>
      <c r="D49" s="453">
        <f>Dry_Matter_Content!O36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Amnt_Deposited!O44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Amnt_Deposited!O45</f>
        <v>0</v>
      </c>
      <c r="D50" s="453">
        <f>Dry_Matter_Content!O37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Amnt_Deposited!O45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Amnt_Deposited!O46</f>
        <v>0</v>
      </c>
      <c r="D51" s="453">
        <f>Dry_Matter_Content!O38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Amnt_Deposited!O46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Amnt_Deposited!O47</f>
        <v>0</v>
      </c>
      <c r="D52" s="453">
        <f>Dry_Matter_Content!O39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Amnt_Deposited!O47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Amnt_Deposited!O48</f>
        <v>0</v>
      </c>
      <c r="D53" s="453">
        <f>Dry_Matter_Content!O40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Amnt_Deposited!O48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Amnt_Deposited!O49</f>
        <v>0</v>
      </c>
      <c r="D54" s="453">
        <f>Dry_Matter_Content!O41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Amnt_Deposited!O49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Amnt_Deposited!O50</f>
        <v>0</v>
      </c>
      <c r="D55" s="453">
        <f>Dry_Matter_Content!O42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Amnt_Deposited!O50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Amnt_Deposited!O51</f>
        <v>0</v>
      </c>
      <c r="D56" s="453">
        <f>Dry_Matter_Content!O43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Amnt_Deposited!O51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Amnt_Deposited!O52</f>
        <v>0</v>
      </c>
      <c r="D57" s="453">
        <f>Dry_Matter_Content!O44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Amnt_Deposited!O52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Amnt_Deposited!O53</f>
        <v>0</v>
      </c>
      <c r="D58" s="453">
        <f>Dry_Matter_Content!O45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Amnt_Deposited!O53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Amnt_Deposited!O54</f>
        <v>0</v>
      </c>
      <c r="D59" s="453">
        <f>Dry_Matter_Content!O46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Amnt_Deposited!O54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Amnt_Deposited!O55</f>
        <v>0</v>
      </c>
      <c r="D60" s="453">
        <f>Dry_Matter_Content!O47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Amnt_Deposited!O55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Amnt_Deposited!O56</f>
        <v>0</v>
      </c>
      <c r="D61" s="453">
        <f>Dry_Matter_Content!O48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Amnt_Deposited!O56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Amnt_Deposited!O57</f>
        <v>0</v>
      </c>
      <c r="D62" s="453">
        <f>Dry_Matter_Content!O49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Amnt_Deposited!O57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Amnt_Deposited!O58</f>
        <v>0</v>
      </c>
      <c r="D63" s="453">
        <f>Dry_Matter_Content!O50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Amnt_Deposited!O58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Amnt_Deposited!O59</f>
        <v>0</v>
      </c>
      <c r="D64" s="453">
        <f>Dry_Matter_Content!O51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Amnt_Deposited!O59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Amnt_Deposited!O60</f>
        <v>0</v>
      </c>
      <c r="D65" s="453">
        <f>Dry_Matter_Content!O52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Amnt_Deposited!O60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Amnt_Deposited!O61</f>
        <v>0</v>
      </c>
      <c r="D66" s="453">
        <f>Dry_Matter_Content!O53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Amnt_Deposited!O61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Amnt_Deposited!O62</f>
        <v>0</v>
      </c>
      <c r="D67" s="453">
        <f>Dry_Matter_Content!O54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Amnt_Deposited!O62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Amnt_Deposited!O63</f>
        <v>0</v>
      </c>
      <c r="D68" s="453">
        <f>Dry_Matter_Content!O55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Amnt_Deposited!O63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Amnt_Deposited!O64</f>
        <v>0</v>
      </c>
      <c r="D69" s="453">
        <f>Dry_Matter_Content!O56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Amnt_Deposited!O64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Amnt_Deposited!O65</f>
        <v>0</v>
      </c>
      <c r="D70" s="453">
        <f>Dry_Matter_Content!O57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Amnt_Deposited!O65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Amnt_Deposited!O66</f>
        <v>0</v>
      </c>
      <c r="D71" s="453">
        <f>Dry_Matter_Content!O58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Amnt_Deposited!O66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Amnt_Deposited!O67</f>
        <v>0</v>
      </c>
      <c r="D72" s="453">
        <f>Dry_Matter_Content!O59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Amnt_Deposited!O67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Amnt_Deposited!O68</f>
        <v>0</v>
      </c>
      <c r="D73" s="453">
        <f>Dry_Matter_Content!O60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Amnt_Deposited!O68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Amnt_Deposited!O69</f>
        <v>0</v>
      </c>
      <c r="D74" s="453">
        <f>Dry_Matter_Content!O61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Amnt_Deposited!O69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Amnt_Deposited!O70</f>
        <v>0</v>
      </c>
      <c r="D75" s="453">
        <f>Dry_Matter_Content!O62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Amnt_Deposited!O70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Amnt_Deposited!O71</f>
        <v>0</v>
      </c>
      <c r="D76" s="453">
        <f>Dry_Matter_Content!O63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Amnt_Deposited!O71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Amnt_Deposited!O72</f>
        <v>0</v>
      </c>
      <c r="D77" s="453">
        <f>Dry_Matter_Content!O64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Amnt_Deposited!O72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Amnt_Deposited!O73</f>
        <v>0</v>
      </c>
      <c r="D78" s="453">
        <f>Dry_Matter_Content!O65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Amnt_Deposited!O73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Amnt_Deposited!O74</f>
        <v>0</v>
      </c>
      <c r="D79" s="453">
        <f>Dry_Matter_Content!O66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Amnt_Deposited!O74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Amnt_Deposited!O75</f>
        <v>0</v>
      </c>
      <c r="D80" s="453">
        <f>Dry_Matter_Content!O67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Amnt_Deposited!O75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Amnt_Deposited!O76</f>
        <v>0</v>
      </c>
      <c r="D81" s="453">
        <f>Dry_Matter_Content!O68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Amnt_Deposited!O76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Amnt_Deposited!O77</f>
        <v>0</v>
      </c>
      <c r="D82" s="453">
        <f>Dry_Matter_Content!O69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Amnt_Deposited!O77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Amnt_Deposited!O78</f>
        <v>0</v>
      </c>
      <c r="D83" s="453">
        <f>Dry_Matter_Content!O70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Amnt_Deposited!O78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Amnt_Deposited!O79</f>
        <v>0</v>
      </c>
      <c r="D84" s="453">
        <f>Dry_Matter_Content!O71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Amnt_Deposited!O79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Amnt_Deposited!O80</f>
        <v>0</v>
      </c>
      <c r="D85" s="453">
        <f>Dry_Matter_Content!O72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Amnt_Deposited!O80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Amnt_Deposited!O81</f>
        <v>0</v>
      </c>
      <c r="D86" s="453">
        <f>Dry_Matter_Content!O73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Amnt_Deposited!O81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Amnt_Deposited!O82</f>
        <v>0</v>
      </c>
      <c r="D87" s="453">
        <f>Dry_Matter_Content!O74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Amnt_Deposited!O82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Amnt_Deposited!O83</f>
        <v>0</v>
      </c>
      <c r="D88" s="453">
        <f>Dry_Matter_Content!O75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Amnt_Deposited!O83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Amnt_Deposited!O84</f>
        <v>0</v>
      </c>
      <c r="D89" s="453">
        <f>Dry_Matter_Content!O76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Amnt_Deposited!O84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Amnt_Deposited!O85</f>
        <v>0</v>
      </c>
      <c r="D90" s="453">
        <f>Dry_Matter_Content!O77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Amnt_Deposited!O85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Amnt_Deposited!O86</f>
        <v>0</v>
      </c>
      <c r="D91" s="453">
        <f>Dry_Matter_Content!O78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Amnt_Deposited!O86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Amnt_Deposited!O87</f>
        <v>0</v>
      </c>
      <c r="D92" s="453">
        <f>Dry_Matter_Content!O79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Amnt_Deposited!O87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Amnt_Deposited!O88</f>
        <v>0</v>
      </c>
      <c r="D93" s="453">
        <f>Dry_Matter_Content!O80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Amnt_Deposited!O88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Amnt_Deposited!O89</f>
        <v>0</v>
      </c>
      <c r="D94" s="453">
        <f>Dry_Matter_Content!O81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Amnt_Deposited!O89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Amnt_Deposited!O90</f>
        <v>0</v>
      </c>
      <c r="D95" s="453">
        <f>Dry_Matter_Content!O82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Amnt_Deposited!O90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Amnt_Deposited!O91</f>
        <v>0</v>
      </c>
      <c r="D96" s="453">
        <f>Dry_Matter_Content!O83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Amnt_Deposited!O91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Amnt_Deposited!O92</f>
        <v>0</v>
      </c>
      <c r="D97" s="453">
        <f>Dry_Matter_Content!O84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Amnt_Deposited!O92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Amnt_Deposited!O93</f>
        <v>0</v>
      </c>
      <c r="D98" s="453">
        <f>Dry_Matter_Content!O85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Amnt_Deposited!O93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Amnt_Deposited!O94</f>
        <v>0</v>
      </c>
      <c r="D99" s="454">
        <f>Dry_Matter_Content!O86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Amnt_Deposited!O94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Parameters!O28</f>
        <v>0</v>
      </c>
      <c r="O6" s="257"/>
      <c r="P6" s="258"/>
      <c r="Q6" s="249"/>
      <c r="R6" s="128" t="s">
        <v>9</v>
      </c>
      <c r="S6" s="129"/>
      <c r="T6" s="129"/>
      <c r="U6" s="133"/>
      <c r="V6" s="140" t="s">
        <v>9</v>
      </c>
      <c r="W6" s="293">
        <f>Parameters!R28</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Parameters!O47</f>
        <v>0.17</v>
      </c>
      <c r="O8" s="67"/>
      <c r="P8" s="67"/>
      <c r="Q8" s="249"/>
      <c r="R8" s="128" t="s">
        <v>192</v>
      </c>
      <c r="S8" s="129"/>
      <c r="T8" s="129"/>
      <c r="U8" s="133"/>
      <c r="V8" s="140" t="s">
        <v>188</v>
      </c>
      <c r="W8" s="134">
        <f>Parameters!O47</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Amnt_Deposited!P14</f>
        <v>0</v>
      </c>
      <c r="D19" s="451">
        <f>Dry_Matter_Content!P6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Amnt_Deposited!P14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Amnt_Deposited!P15</f>
        <v>0</v>
      </c>
      <c r="D20" s="453">
        <f>Dry_Matter_Content!P7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Amnt_Deposited!P15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Amnt_Deposited!P16</f>
        <v>0</v>
      </c>
      <c r="D21" s="453">
        <f>Dry_Matter_Content!P8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Amnt_Deposited!P16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Amnt_Deposited!P17</f>
        <v>0</v>
      </c>
      <c r="D22" s="453">
        <f>Dry_Matter_Content!P9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Amnt_Deposited!P17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Amnt_Deposited!P18</f>
        <v>0</v>
      </c>
      <c r="D23" s="453">
        <f>Dry_Matter_Content!P10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Amnt_Deposited!P18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Amnt_Deposited!P19</f>
        <v>0</v>
      </c>
      <c r="D24" s="453">
        <f>Dry_Matter_Content!P11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Amnt_Deposited!P19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Amnt_Deposited!P20</f>
        <v>0</v>
      </c>
      <c r="D25" s="453">
        <f>Dry_Matter_Content!P12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Amnt_Deposited!P20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Amnt_Deposited!P21</f>
        <v>0</v>
      </c>
      <c r="D26" s="453">
        <f>Dry_Matter_Content!P13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Amnt_Deposited!P21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Amnt_Deposited!P22</f>
        <v>0</v>
      </c>
      <c r="D27" s="453">
        <f>Dry_Matter_Content!P14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Amnt_Deposited!P22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Amnt_Deposited!P23</f>
        <v>0</v>
      </c>
      <c r="D28" s="453">
        <f>Dry_Matter_Content!P15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Amnt_Deposited!P23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Amnt_Deposited!P24</f>
        <v>0</v>
      </c>
      <c r="D29" s="453">
        <f>Dry_Matter_Content!P16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Amnt_Deposited!P24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Amnt_Deposited!P25</f>
        <v>0</v>
      </c>
      <c r="D30" s="453">
        <f>Dry_Matter_Content!P17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Amnt_Deposited!P25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Amnt_Deposited!P26</f>
        <v>0</v>
      </c>
      <c r="D31" s="453">
        <f>Dry_Matter_Content!P18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Amnt_Deposited!P26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Amnt_Deposited!P27</f>
        <v>0</v>
      </c>
      <c r="D32" s="453">
        <f>Dry_Matter_Content!P19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Amnt_Deposited!P27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Amnt_Deposited!P28</f>
        <v>0</v>
      </c>
      <c r="D33" s="453">
        <f>Dry_Matter_Content!P20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Amnt_Deposited!P28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Amnt_Deposited!P29</f>
        <v>0</v>
      </c>
      <c r="D34" s="453">
        <f>Dry_Matter_Content!P21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Amnt_Deposited!P29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Amnt_Deposited!P30</f>
        <v>0</v>
      </c>
      <c r="D35" s="453">
        <f>Dry_Matter_Content!P22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Amnt_Deposited!P30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Amnt_Deposited!P31</f>
        <v>0</v>
      </c>
      <c r="D36" s="453">
        <f>Dry_Matter_Content!P23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Amnt_Deposited!P31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Amnt_Deposited!P32</f>
        <v>0</v>
      </c>
      <c r="D37" s="453">
        <f>Dry_Matter_Content!P24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Amnt_Deposited!P32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Amnt_Deposited!P33</f>
        <v>0</v>
      </c>
      <c r="D38" s="453">
        <f>Dry_Matter_Content!P25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Amnt_Deposited!P33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Amnt_Deposited!P34</f>
        <v>0</v>
      </c>
      <c r="D39" s="453">
        <f>Dry_Matter_Content!P26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Amnt_Deposited!P34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Amnt_Deposited!P35</f>
        <v>0</v>
      </c>
      <c r="D40" s="453">
        <f>Dry_Matter_Content!P27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Amnt_Deposited!P35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Amnt_Deposited!P36</f>
        <v>0</v>
      </c>
      <c r="D41" s="453">
        <f>Dry_Matter_Content!P28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Amnt_Deposited!P36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Amnt_Deposited!P37</f>
        <v>0</v>
      </c>
      <c r="D42" s="453">
        <f>Dry_Matter_Content!P29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Amnt_Deposited!P37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Amnt_Deposited!P38</f>
        <v>0</v>
      </c>
      <c r="D43" s="453">
        <f>Dry_Matter_Content!P30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Amnt_Deposited!P38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Amnt_Deposited!P39</f>
        <v>0</v>
      </c>
      <c r="D44" s="453">
        <f>Dry_Matter_Content!P31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Amnt_Deposited!P39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Amnt_Deposited!P40</f>
        <v>0</v>
      </c>
      <c r="D45" s="453">
        <f>Dry_Matter_Content!P32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Amnt_Deposited!P40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Amnt_Deposited!P41</f>
        <v>0</v>
      </c>
      <c r="D46" s="453">
        <f>Dry_Matter_Content!P33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Amnt_Deposited!P41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Amnt_Deposited!P42</f>
        <v>0</v>
      </c>
      <c r="D47" s="453">
        <f>Dry_Matter_Content!P34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Amnt_Deposited!P42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Amnt_Deposited!P43</f>
        <v>0</v>
      </c>
      <c r="D48" s="453">
        <f>Dry_Matter_Content!P35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Amnt_Deposited!P43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Amnt_Deposited!P44</f>
        <v>0</v>
      </c>
      <c r="D49" s="453">
        <f>Dry_Matter_Content!P36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Amnt_Deposited!P44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Amnt_Deposited!P45</f>
        <v>0</v>
      </c>
      <c r="D50" s="453">
        <f>Dry_Matter_Content!P37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Amnt_Deposited!P45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Amnt_Deposited!P46</f>
        <v>0</v>
      </c>
      <c r="D51" s="453">
        <f>Dry_Matter_Content!P38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Amnt_Deposited!P46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Amnt_Deposited!P47</f>
        <v>0</v>
      </c>
      <c r="D52" s="453">
        <f>Dry_Matter_Content!P39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Amnt_Deposited!P47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Amnt_Deposited!P48</f>
        <v>0</v>
      </c>
      <c r="D53" s="453">
        <f>Dry_Matter_Content!P40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Amnt_Deposited!P48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Amnt_Deposited!P49</f>
        <v>0</v>
      </c>
      <c r="D54" s="453">
        <f>Dry_Matter_Content!P41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Amnt_Deposited!P49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Amnt_Deposited!P50</f>
        <v>0</v>
      </c>
      <c r="D55" s="453">
        <f>Dry_Matter_Content!P42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Amnt_Deposited!P50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Amnt_Deposited!P51</f>
        <v>0</v>
      </c>
      <c r="D56" s="453">
        <f>Dry_Matter_Content!P43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Amnt_Deposited!P51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Amnt_Deposited!P52</f>
        <v>0</v>
      </c>
      <c r="D57" s="453">
        <f>Dry_Matter_Content!P44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Amnt_Deposited!P52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Amnt_Deposited!P53</f>
        <v>0</v>
      </c>
      <c r="D58" s="453">
        <f>Dry_Matter_Content!P45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Amnt_Deposited!P53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Amnt_Deposited!P54</f>
        <v>0</v>
      </c>
      <c r="D59" s="453">
        <f>Dry_Matter_Content!P46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Amnt_Deposited!P54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Amnt_Deposited!P55</f>
        <v>0</v>
      </c>
      <c r="D60" s="453">
        <f>Dry_Matter_Content!P47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Amnt_Deposited!P55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Amnt_Deposited!P56</f>
        <v>0</v>
      </c>
      <c r="D61" s="453">
        <f>Dry_Matter_Content!P48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Amnt_Deposited!P56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Amnt_Deposited!P57</f>
        <v>0</v>
      </c>
      <c r="D62" s="453">
        <f>Dry_Matter_Content!P49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Amnt_Deposited!P57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Amnt_Deposited!P58</f>
        <v>0</v>
      </c>
      <c r="D63" s="453">
        <f>Dry_Matter_Content!P50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Amnt_Deposited!P58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Amnt_Deposited!P59</f>
        <v>0</v>
      </c>
      <c r="D64" s="453">
        <f>Dry_Matter_Content!P51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Amnt_Deposited!P59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Amnt_Deposited!P60</f>
        <v>0</v>
      </c>
      <c r="D65" s="453">
        <f>Dry_Matter_Content!P52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Amnt_Deposited!P60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Amnt_Deposited!P61</f>
        <v>0</v>
      </c>
      <c r="D66" s="453">
        <f>Dry_Matter_Content!P53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Amnt_Deposited!P61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Amnt_Deposited!P62</f>
        <v>0</v>
      </c>
      <c r="D67" s="453">
        <f>Dry_Matter_Content!P54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Amnt_Deposited!P62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Amnt_Deposited!P63</f>
        <v>0</v>
      </c>
      <c r="D68" s="453">
        <f>Dry_Matter_Content!P55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Amnt_Deposited!P63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Amnt_Deposited!P64</f>
        <v>0</v>
      </c>
      <c r="D69" s="453">
        <f>Dry_Matter_Content!P56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Amnt_Deposited!P64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Amnt_Deposited!P65</f>
        <v>0</v>
      </c>
      <c r="D70" s="453">
        <f>Dry_Matter_Content!P57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Amnt_Deposited!P65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Amnt_Deposited!P66</f>
        <v>0</v>
      </c>
      <c r="D71" s="453">
        <f>Dry_Matter_Content!P58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Amnt_Deposited!P66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Amnt_Deposited!P67</f>
        <v>0</v>
      </c>
      <c r="D72" s="453">
        <f>Dry_Matter_Content!P59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Amnt_Deposited!P67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Amnt_Deposited!P68</f>
        <v>0</v>
      </c>
      <c r="D73" s="453">
        <f>Dry_Matter_Content!P60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Amnt_Deposited!P68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Amnt_Deposited!P69</f>
        <v>0</v>
      </c>
      <c r="D74" s="453">
        <f>Dry_Matter_Content!P61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Amnt_Deposited!P69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Amnt_Deposited!P70</f>
        <v>0</v>
      </c>
      <c r="D75" s="453">
        <f>Dry_Matter_Content!P62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Amnt_Deposited!P70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Amnt_Deposited!P71</f>
        <v>0</v>
      </c>
      <c r="D76" s="453">
        <f>Dry_Matter_Content!P63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Amnt_Deposited!P71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Amnt_Deposited!P72</f>
        <v>0</v>
      </c>
      <c r="D77" s="453">
        <f>Dry_Matter_Content!P64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Amnt_Deposited!P72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Amnt_Deposited!P73</f>
        <v>0</v>
      </c>
      <c r="D78" s="453">
        <f>Dry_Matter_Content!P65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Amnt_Deposited!P73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Amnt_Deposited!P74</f>
        <v>0</v>
      </c>
      <c r="D79" s="453">
        <f>Dry_Matter_Content!P66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Amnt_Deposited!P74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Amnt_Deposited!P75</f>
        <v>0</v>
      </c>
      <c r="D80" s="453">
        <f>Dry_Matter_Content!P67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Amnt_Deposited!P75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Amnt_Deposited!P76</f>
        <v>0</v>
      </c>
      <c r="D81" s="453">
        <f>Dry_Matter_Content!P68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Amnt_Deposited!P76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Amnt_Deposited!P77</f>
        <v>0</v>
      </c>
      <c r="D82" s="453">
        <f>Dry_Matter_Content!P69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Amnt_Deposited!P77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Amnt_Deposited!P78</f>
        <v>0</v>
      </c>
      <c r="D83" s="453">
        <f>Dry_Matter_Content!P70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Amnt_Deposited!P78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Amnt_Deposited!P79</f>
        <v>0</v>
      </c>
      <c r="D84" s="453">
        <f>Dry_Matter_Content!P71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Amnt_Deposited!P79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Amnt_Deposited!P80</f>
        <v>0</v>
      </c>
      <c r="D85" s="453">
        <f>Dry_Matter_Content!P72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Amnt_Deposited!P80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Amnt_Deposited!P81</f>
        <v>0</v>
      </c>
      <c r="D86" s="453">
        <f>Dry_Matter_Content!P73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Amnt_Deposited!P81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Amnt_Deposited!P82</f>
        <v>0</v>
      </c>
      <c r="D87" s="453">
        <f>Dry_Matter_Content!P74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Amnt_Deposited!P82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Amnt_Deposited!P83</f>
        <v>0</v>
      </c>
      <c r="D88" s="453">
        <f>Dry_Matter_Content!P75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Amnt_Deposited!P83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Amnt_Deposited!P84</f>
        <v>0</v>
      </c>
      <c r="D89" s="453">
        <f>Dry_Matter_Content!P76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Amnt_Deposited!P84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Amnt_Deposited!P85</f>
        <v>0</v>
      </c>
      <c r="D90" s="453">
        <f>Dry_Matter_Content!P77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Amnt_Deposited!P85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Amnt_Deposited!P86</f>
        <v>0</v>
      </c>
      <c r="D91" s="453">
        <f>Dry_Matter_Content!P78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Amnt_Deposited!P86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Amnt_Deposited!P87</f>
        <v>0</v>
      </c>
      <c r="D92" s="453">
        <f>Dry_Matter_Content!P79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Amnt_Deposited!P87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Amnt_Deposited!P88</f>
        <v>0</v>
      </c>
      <c r="D93" s="453">
        <f>Dry_Matter_Content!P80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Amnt_Deposited!P88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Amnt_Deposited!P89</f>
        <v>0</v>
      </c>
      <c r="D94" s="453">
        <f>Dry_Matter_Content!P81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Amnt_Deposited!P89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Amnt_Deposited!P90</f>
        <v>0</v>
      </c>
      <c r="D95" s="453">
        <f>Dry_Matter_Content!P82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Amnt_Deposited!P90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Amnt_Deposited!P91</f>
        <v>0</v>
      </c>
      <c r="D96" s="453">
        <f>Dry_Matter_Content!P83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Amnt_Deposited!P91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Amnt_Deposited!P92</f>
        <v>0</v>
      </c>
      <c r="D97" s="453">
        <f>Dry_Matter_Content!P84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Amnt_Deposited!P92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Amnt_Deposited!P93</f>
        <v>0</v>
      </c>
      <c r="D98" s="453">
        <f>Dry_Matter_Content!P85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Amnt_Deposited!P93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Amnt_Deposited!P94</f>
        <v>0</v>
      </c>
      <c r="D99" s="453">
        <f>Dry_Matter_Content!P86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Amnt_Deposited!P94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H10" sqref="H10"/>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88" t="s">
        <v>107</v>
      </c>
      <c r="R2" s="788"/>
      <c r="S2" s="788"/>
      <c r="T2" s="788"/>
    </row>
    <row r="4" spans="2:20">
      <c r="C4" t="s">
        <v>26</v>
      </c>
    </row>
    <row r="5" spans="2:20">
      <c r="C5" t="s">
        <v>281</v>
      </c>
    </row>
    <row r="6" spans="2:20">
      <c r="C6" t="s">
        <v>29</v>
      </c>
    </row>
    <row r="7" spans="2:20">
      <c r="C7" t="s">
        <v>109</v>
      </c>
    </row>
    <row r="8" spans="2:20" ht="13.5" thickBot="1"/>
    <row r="9" spans="2:20" ht="13.5" thickBot="1">
      <c r="C9" s="789" t="s">
        <v>95</v>
      </c>
      <c r="D9" s="790"/>
      <c r="E9" s="790"/>
      <c r="F9" s="790"/>
      <c r="G9" s="790"/>
      <c r="H9" s="791"/>
      <c r="I9" s="797" t="s">
        <v>308</v>
      </c>
      <c r="J9" s="798"/>
      <c r="K9" s="798"/>
      <c r="L9" s="798"/>
      <c r="M9" s="798"/>
      <c r="N9" s="799"/>
      <c r="R9" s="174" t="s">
        <v>95</v>
      </c>
      <c r="S9" s="467" t="s">
        <v>308</v>
      </c>
    </row>
    <row r="10" spans="2:20" s="1" customFormat="1" ht="38.25" customHeight="1">
      <c r="B10" s="26"/>
      <c r="C10" s="637" t="s">
        <v>341</v>
      </c>
      <c r="D10" s="27" t="s">
        <v>340</v>
      </c>
      <c r="E10" s="27" t="s">
        <v>338</v>
      </c>
      <c r="F10" s="27" t="s">
        <v>206</v>
      </c>
      <c r="G10" s="27" t="s">
        <v>339</v>
      </c>
      <c r="H10" s="28" t="s">
        <v>161</v>
      </c>
      <c r="I10" s="584" t="s">
        <v>104</v>
      </c>
      <c r="J10" s="585" t="s">
        <v>105</v>
      </c>
      <c r="K10" s="585" t="s">
        <v>0</v>
      </c>
      <c r="L10" s="585" t="s">
        <v>206</v>
      </c>
      <c r="M10" s="585" t="s">
        <v>103</v>
      </c>
      <c r="N10" s="586" t="s">
        <v>161</v>
      </c>
      <c r="O10" s="466" t="s">
        <v>28</v>
      </c>
      <c r="R10" s="792" t="s">
        <v>147</v>
      </c>
      <c r="S10" s="792" t="s">
        <v>315</v>
      </c>
    </row>
    <row r="11" spans="2:20" s="3" customFormat="1" ht="13.5" thickBot="1">
      <c r="B11" s="23"/>
      <c r="C11" s="23" t="s">
        <v>11</v>
      </c>
      <c r="D11" s="24" t="s">
        <v>11</v>
      </c>
      <c r="E11" s="24" t="s">
        <v>11</v>
      </c>
      <c r="F11" s="24" t="s">
        <v>11</v>
      </c>
      <c r="G11" s="24" t="s">
        <v>11</v>
      </c>
      <c r="H11" s="25"/>
      <c r="I11" s="23" t="s">
        <v>11</v>
      </c>
      <c r="J11" s="24" t="s">
        <v>11</v>
      </c>
      <c r="K11" s="24" t="s">
        <v>11</v>
      </c>
      <c r="L11" s="24" t="s">
        <v>11</v>
      </c>
      <c r="M11" s="24" t="s">
        <v>11</v>
      </c>
      <c r="N11" s="25"/>
      <c r="O11" s="587"/>
      <c r="R11" s="793"/>
      <c r="S11" s="793"/>
    </row>
    <row r="12" spans="2:20" s="3" customFormat="1" ht="13.5" thickBot="1">
      <c r="B12" s="172" t="s">
        <v>25</v>
      </c>
      <c r="C12" s="170">
        <v>0.4</v>
      </c>
      <c r="D12" s="22">
        <v>0.8</v>
      </c>
      <c r="E12" s="22">
        <v>1</v>
      </c>
      <c r="F12" s="22">
        <v>0.5</v>
      </c>
      <c r="G12" s="22">
        <v>0.6</v>
      </c>
      <c r="H12" s="14"/>
      <c r="I12" s="170">
        <v>0.4</v>
      </c>
      <c r="J12" s="22">
        <v>0.8</v>
      </c>
      <c r="K12" s="22">
        <v>1</v>
      </c>
      <c r="L12" s="22">
        <v>0.5</v>
      </c>
      <c r="M12" s="22">
        <v>0.6</v>
      </c>
      <c r="N12" s="14"/>
      <c r="O12" s="588"/>
      <c r="R12" s="793"/>
      <c r="S12" s="793"/>
    </row>
    <row r="13" spans="2:20" s="3" customFormat="1" ht="26.25" thickBot="1">
      <c r="B13" s="172" t="s">
        <v>159</v>
      </c>
      <c r="C13" s="171">
        <f>C12</f>
        <v>0.4</v>
      </c>
      <c r="D13" s="60">
        <f>D12</f>
        <v>0.8</v>
      </c>
      <c r="E13" s="60">
        <f>E12</f>
        <v>1</v>
      </c>
      <c r="F13" s="60">
        <f>F12</f>
        <v>0.5</v>
      </c>
      <c r="G13" s="60">
        <f>G12</f>
        <v>0.6</v>
      </c>
      <c r="H13" s="168"/>
      <c r="I13" s="171">
        <v>0.4</v>
      </c>
      <c r="J13" s="60">
        <v>0.8</v>
      </c>
      <c r="K13" s="60">
        <v>1</v>
      </c>
      <c r="L13" s="60">
        <v>0.5</v>
      </c>
      <c r="M13" s="60">
        <v>0.6</v>
      </c>
      <c r="N13" s="168"/>
      <c r="O13" s="589"/>
      <c r="R13" s="793"/>
      <c r="S13" s="793"/>
    </row>
    <row r="14" spans="2:20" s="3" customFormat="1" ht="13.5" thickBot="1">
      <c r="B14" s="32"/>
      <c r="C14" s="32"/>
      <c r="D14" s="21"/>
      <c r="E14" s="21"/>
      <c r="F14" s="21"/>
      <c r="G14" s="21"/>
      <c r="H14" s="169"/>
      <c r="I14" s="32"/>
      <c r="J14" s="21"/>
      <c r="K14" s="21"/>
      <c r="L14" s="21"/>
      <c r="M14" s="21"/>
      <c r="N14" s="169"/>
      <c r="O14" s="590"/>
      <c r="R14" s="793"/>
      <c r="S14" s="793"/>
    </row>
    <row r="15" spans="2:20" s="3" customFormat="1" ht="12.75" customHeight="1" thickBot="1">
      <c r="B15" s="266"/>
      <c r="C15" s="785" t="s">
        <v>158</v>
      </c>
      <c r="D15" s="786"/>
      <c r="E15" s="786"/>
      <c r="F15" s="786"/>
      <c r="G15" s="786"/>
      <c r="H15" s="787"/>
      <c r="I15" s="785" t="s">
        <v>158</v>
      </c>
      <c r="J15" s="786"/>
      <c r="K15" s="786"/>
      <c r="L15" s="786"/>
      <c r="M15" s="786"/>
      <c r="N15" s="787"/>
      <c r="O15" s="591"/>
      <c r="R15" s="793"/>
      <c r="S15" s="793"/>
    </row>
    <row r="16" spans="2:20" s="3" customFormat="1" ht="26.25" thickBot="1">
      <c r="B16" s="172" t="s">
        <v>160</v>
      </c>
      <c r="C16" s="269">
        <v>0</v>
      </c>
      <c r="D16" s="270">
        <v>1</v>
      </c>
      <c r="E16" s="270">
        <v>0</v>
      </c>
      <c r="F16" s="270">
        <v>0</v>
      </c>
      <c r="G16" s="270">
        <v>0</v>
      </c>
      <c r="H16" s="795" t="s">
        <v>36</v>
      </c>
      <c r="I16" s="592">
        <v>0.2</v>
      </c>
      <c r="J16" s="593">
        <v>0.3</v>
      </c>
      <c r="K16" s="593">
        <v>0.25</v>
      </c>
      <c r="L16" s="593">
        <v>0.05</v>
      </c>
      <c r="M16" s="593">
        <v>0.2</v>
      </c>
      <c r="N16" s="795" t="s">
        <v>36</v>
      </c>
      <c r="O16" s="594"/>
      <c r="R16" s="794"/>
      <c r="S16" s="794"/>
    </row>
    <row r="17" spans="2:19" s="3" customFormat="1" ht="13.5" thickBot="1">
      <c r="B17" s="15" t="s">
        <v>1</v>
      </c>
      <c r="C17" s="15" t="s">
        <v>24</v>
      </c>
      <c r="D17" s="16" t="s">
        <v>24</v>
      </c>
      <c r="E17" s="16" t="s">
        <v>24</v>
      </c>
      <c r="F17" s="16" t="s">
        <v>24</v>
      </c>
      <c r="G17" s="16" t="s">
        <v>24</v>
      </c>
      <c r="H17" s="796"/>
      <c r="I17" s="15" t="s">
        <v>24</v>
      </c>
      <c r="J17" s="16" t="s">
        <v>24</v>
      </c>
      <c r="K17" s="16" t="s">
        <v>24</v>
      </c>
      <c r="L17" s="16" t="s">
        <v>24</v>
      </c>
      <c r="M17" s="16" t="s">
        <v>24</v>
      </c>
      <c r="N17" s="796"/>
      <c r="O17" s="587"/>
      <c r="R17" s="172" t="s">
        <v>157</v>
      </c>
      <c r="S17" s="595" t="s">
        <v>157</v>
      </c>
    </row>
    <row r="18" spans="2:19">
      <c r="B18" s="300">
        <f>year</f>
        <v>2000</v>
      </c>
      <c r="C18" s="267">
        <f>C$16</f>
        <v>0</v>
      </c>
      <c r="D18" s="268">
        <f t="shared" ref="D18:G33" si="0">D$16</f>
        <v>1</v>
      </c>
      <c r="E18" s="268">
        <f t="shared" si="0"/>
        <v>0</v>
      </c>
      <c r="F18" s="268">
        <f t="shared" si="0"/>
        <v>0</v>
      </c>
      <c r="G18" s="268">
        <f t="shared" si="0"/>
        <v>0</v>
      </c>
      <c r="H18" s="33">
        <f>SUM(C18:G18)</f>
        <v>1</v>
      </c>
      <c r="I18" s="267">
        <f>I$16</f>
        <v>0.2</v>
      </c>
      <c r="J18" s="268">
        <f t="shared" ref="J18:M33" si="1">J$16</f>
        <v>0.3</v>
      </c>
      <c r="K18" s="268">
        <f t="shared" si="1"/>
        <v>0.25</v>
      </c>
      <c r="L18" s="268">
        <f t="shared" si="1"/>
        <v>0.05</v>
      </c>
      <c r="M18" s="268">
        <f t="shared" si="1"/>
        <v>0.2</v>
      </c>
      <c r="N18" s="33">
        <f>SUM(I18:M18)</f>
        <v>1</v>
      </c>
      <c r="O18" s="58"/>
      <c r="R18" s="173">
        <f>C18*C$13+D18*D$13+E18*E$13+F18*F$13+G18*G$13</f>
        <v>0.8</v>
      </c>
      <c r="S18" s="596">
        <f>I18*I$13+J18*J$13+K18*K$13+L18*L$13+M18*M$13</f>
        <v>0.71500000000000008</v>
      </c>
    </row>
    <row r="19" spans="2:19">
      <c r="B19" s="301">
        <f t="shared" ref="B19:B50" si="2">B18+1</f>
        <v>2001</v>
      </c>
      <c r="C19" s="61">
        <f t="shared" ref="C19:G50" si="3">C$16</f>
        <v>0</v>
      </c>
      <c r="D19" s="62">
        <f t="shared" si="0"/>
        <v>1</v>
      </c>
      <c r="E19" s="62">
        <f t="shared" si="0"/>
        <v>0</v>
      </c>
      <c r="F19" s="62">
        <f t="shared" si="0"/>
        <v>0</v>
      </c>
      <c r="G19" s="62">
        <f t="shared" si="0"/>
        <v>0</v>
      </c>
      <c r="H19" s="29">
        <f t="shared" ref="H19:H82" si="4">SUM(C19:G19)</f>
        <v>1</v>
      </c>
      <c r="I19" s="61">
        <f t="shared" ref="I19:M50" si="5">I$16</f>
        <v>0.2</v>
      </c>
      <c r="J19" s="62">
        <f t="shared" si="1"/>
        <v>0.3</v>
      </c>
      <c r="K19" s="62">
        <f t="shared" si="1"/>
        <v>0.25</v>
      </c>
      <c r="L19" s="62">
        <f t="shared" si="1"/>
        <v>0.05</v>
      </c>
      <c r="M19" s="62">
        <f t="shared" si="1"/>
        <v>0.2</v>
      </c>
      <c r="N19" s="29">
        <f t="shared" ref="N19:N82" si="6">SUM(I19:M19)</f>
        <v>1</v>
      </c>
      <c r="O19" s="271"/>
      <c r="R19" s="173">
        <f t="shared" ref="R19:R82" si="7">C19*C$13+D19*D$13+E19*E$13+F19*F$13+G19*G$13</f>
        <v>0.8</v>
      </c>
      <c r="S19" s="596">
        <f t="shared" ref="S19:S82" si="8">I19*I$13+J19*J$13+K19*K$13+L19*L$13+M19*M$13</f>
        <v>0.71500000000000008</v>
      </c>
    </row>
    <row r="20" spans="2:19">
      <c r="B20" s="301">
        <f t="shared" si="2"/>
        <v>2002</v>
      </c>
      <c r="C20" s="61">
        <f t="shared" si="3"/>
        <v>0</v>
      </c>
      <c r="D20" s="62">
        <f t="shared" si="0"/>
        <v>1</v>
      </c>
      <c r="E20" s="62">
        <f t="shared" si="0"/>
        <v>0</v>
      </c>
      <c r="F20" s="62">
        <f t="shared" si="0"/>
        <v>0</v>
      </c>
      <c r="G20" s="62">
        <f t="shared" si="0"/>
        <v>0</v>
      </c>
      <c r="H20" s="29">
        <f t="shared" si="4"/>
        <v>1</v>
      </c>
      <c r="I20" s="61">
        <f t="shared" si="5"/>
        <v>0.2</v>
      </c>
      <c r="J20" s="62">
        <f t="shared" si="1"/>
        <v>0.3</v>
      </c>
      <c r="K20" s="62">
        <f t="shared" si="1"/>
        <v>0.25</v>
      </c>
      <c r="L20" s="62">
        <f t="shared" si="1"/>
        <v>0.05</v>
      </c>
      <c r="M20" s="62">
        <f t="shared" si="1"/>
        <v>0.2</v>
      </c>
      <c r="N20" s="29">
        <f t="shared" si="6"/>
        <v>1</v>
      </c>
      <c r="O20" s="271"/>
      <c r="R20" s="173">
        <f t="shared" si="7"/>
        <v>0.8</v>
      </c>
      <c r="S20" s="596">
        <f t="shared" si="8"/>
        <v>0.71500000000000008</v>
      </c>
    </row>
    <row r="21" spans="2:19">
      <c r="B21" s="301">
        <f t="shared" si="2"/>
        <v>2003</v>
      </c>
      <c r="C21" s="61">
        <f t="shared" si="3"/>
        <v>0</v>
      </c>
      <c r="D21" s="62">
        <f t="shared" si="0"/>
        <v>1</v>
      </c>
      <c r="E21" s="62">
        <f t="shared" si="0"/>
        <v>0</v>
      </c>
      <c r="F21" s="62">
        <f t="shared" si="0"/>
        <v>0</v>
      </c>
      <c r="G21" s="62">
        <f t="shared" si="0"/>
        <v>0</v>
      </c>
      <c r="H21" s="29">
        <f t="shared" si="4"/>
        <v>1</v>
      </c>
      <c r="I21" s="61">
        <f t="shared" si="5"/>
        <v>0.2</v>
      </c>
      <c r="J21" s="62">
        <f t="shared" si="1"/>
        <v>0.3</v>
      </c>
      <c r="K21" s="62">
        <f t="shared" si="1"/>
        <v>0.25</v>
      </c>
      <c r="L21" s="62">
        <f t="shared" si="1"/>
        <v>0.05</v>
      </c>
      <c r="M21" s="62">
        <f t="shared" si="1"/>
        <v>0.2</v>
      </c>
      <c r="N21" s="29">
        <f t="shared" si="6"/>
        <v>1</v>
      </c>
      <c r="O21" s="271"/>
      <c r="R21" s="173">
        <f t="shared" si="7"/>
        <v>0.8</v>
      </c>
      <c r="S21" s="596">
        <f t="shared" si="8"/>
        <v>0.71500000000000008</v>
      </c>
    </row>
    <row r="22" spans="2:19">
      <c r="B22" s="301">
        <f t="shared" si="2"/>
        <v>2004</v>
      </c>
      <c r="C22" s="61">
        <f t="shared" si="3"/>
        <v>0</v>
      </c>
      <c r="D22" s="62">
        <f t="shared" si="0"/>
        <v>1</v>
      </c>
      <c r="E22" s="62">
        <f t="shared" si="0"/>
        <v>0</v>
      </c>
      <c r="F22" s="62">
        <f t="shared" si="0"/>
        <v>0</v>
      </c>
      <c r="G22" s="62">
        <f t="shared" si="0"/>
        <v>0</v>
      </c>
      <c r="H22" s="29">
        <f t="shared" si="4"/>
        <v>1</v>
      </c>
      <c r="I22" s="61">
        <f t="shared" si="5"/>
        <v>0.2</v>
      </c>
      <c r="J22" s="62">
        <f t="shared" si="1"/>
        <v>0.3</v>
      </c>
      <c r="K22" s="62">
        <f t="shared" si="1"/>
        <v>0.25</v>
      </c>
      <c r="L22" s="62">
        <f t="shared" si="1"/>
        <v>0.05</v>
      </c>
      <c r="M22" s="62">
        <f t="shared" si="1"/>
        <v>0.2</v>
      </c>
      <c r="N22" s="29">
        <f t="shared" si="6"/>
        <v>1</v>
      </c>
      <c r="O22" s="271"/>
      <c r="R22" s="173">
        <f t="shared" si="7"/>
        <v>0.8</v>
      </c>
      <c r="S22" s="596">
        <f t="shared" si="8"/>
        <v>0.71500000000000008</v>
      </c>
    </row>
    <row r="23" spans="2:19">
      <c r="B23" s="301">
        <f t="shared" si="2"/>
        <v>2005</v>
      </c>
      <c r="C23" s="61">
        <f t="shared" si="3"/>
        <v>0</v>
      </c>
      <c r="D23" s="62">
        <f t="shared" si="0"/>
        <v>1</v>
      </c>
      <c r="E23" s="62">
        <f t="shared" si="0"/>
        <v>0</v>
      </c>
      <c r="F23" s="62">
        <f t="shared" si="0"/>
        <v>0</v>
      </c>
      <c r="G23" s="62">
        <f t="shared" si="0"/>
        <v>0</v>
      </c>
      <c r="H23" s="29">
        <f t="shared" si="4"/>
        <v>1</v>
      </c>
      <c r="I23" s="61">
        <f t="shared" si="5"/>
        <v>0.2</v>
      </c>
      <c r="J23" s="62">
        <f t="shared" si="1"/>
        <v>0.3</v>
      </c>
      <c r="K23" s="62">
        <f t="shared" si="1"/>
        <v>0.25</v>
      </c>
      <c r="L23" s="62">
        <f t="shared" si="1"/>
        <v>0.05</v>
      </c>
      <c r="M23" s="62">
        <f t="shared" si="1"/>
        <v>0.2</v>
      </c>
      <c r="N23" s="29">
        <f t="shared" si="6"/>
        <v>1</v>
      </c>
      <c r="O23" s="271"/>
      <c r="R23" s="173">
        <f t="shared" si="7"/>
        <v>0.8</v>
      </c>
      <c r="S23" s="596">
        <f t="shared" si="8"/>
        <v>0.71500000000000008</v>
      </c>
    </row>
    <row r="24" spans="2:19">
      <c r="B24" s="301">
        <f t="shared" si="2"/>
        <v>2006</v>
      </c>
      <c r="C24" s="61">
        <f t="shared" si="3"/>
        <v>0</v>
      </c>
      <c r="D24" s="62">
        <f t="shared" si="0"/>
        <v>1</v>
      </c>
      <c r="E24" s="62">
        <f t="shared" si="0"/>
        <v>0</v>
      </c>
      <c r="F24" s="62">
        <f t="shared" si="0"/>
        <v>0</v>
      </c>
      <c r="G24" s="62">
        <f t="shared" si="0"/>
        <v>0</v>
      </c>
      <c r="H24" s="29">
        <f t="shared" si="4"/>
        <v>1</v>
      </c>
      <c r="I24" s="61">
        <f t="shared" si="5"/>
        <v>0.2</v>
      </c>
      <c r="J24" s="62">
        <f t="shared" si="1"/>
        <v>0.3</v>
      </c>
      <c r="K24" s="62">
        <f t="shared" si="1"/>
        <v>0.25</v>
      </c>
      <c r="L24" s="62">
        <f t="shared" si="1"/>
        <v>0.05</v>
      </c>
      <c r="M24" s="62">
        <f t="shared" si="1"/>
        <v>0.2</v>
      </c>
      <c r="N24" s="29">
        <f t="shared" si="6"/>
        <v>1</v>
      </c>
      <c r="O24" s="271"/>
      <c r="R24" s="173">
        <f t="shared" si="7"/>
        <v>0.8</v>
      </c>
      <c r="S24" s="596">
        <f t="shared" si="8"/>
        <v>0.71500000000000008</v>
      </c>
    </row>
    <row r="25" spans="2:19">
      <c r="B25" s="301">
        <f t="shared" si="2"/>
        <v>2007</v>
      </c>
      <c r="C25" s="61">
        <f t="shared" si="3"/>
        <v>0</v>
      </c>
      <c r="D25" s="62">
        <f t="shared" si="0"/>
        <v>1</v>
      </c>
      <c r="E25" s="62">
        <f t="shared" si="0"/>
        <v>0</v>
      </c>
      <c r="F25" s="62">
        <f t="shared" si="0"/>
        <v>0</v>
      </c>
      <c r="G25" s="62">
        <f t="shared" si="0"/>
        <v>0</v>
      </c>
      <c r="H25" s="29">
        <f t="shared" si="4"/>
        <v>1</v>
      </c>
      <c r="I25" s="61">
        <f t="shared" si="5"/>
        <v>0.2</v>
      </c>
      <c r="J25" s="62">
        <f t="shared" si="1"/>
        <v>0.3</v>
      </c>
      <c r="K25" s="62">
        <f t="shared" si="1"/>
        <v>0.25</v>
      </c>
      <c r="L25" s="62">
        <f t="shared" si="1"/>
        <v>0.05</v>
      </c>
      <c r="M25" s="62">
        <f t="shared" si="1"/>
        <v>0.2</v>
      </c>
      <c r="N25" s="29">
        <f t="shared" si="6"/>
        <v>1</v>
      </c>
      <c r="O25" s="271"/>
      <c r="R25" s="173">
        <f t="shared" si="7"/>
        <v>0.8</v>
      </c>
      <c r="S25" s="596">
        <f t="shared" si="8"/>
        <v>0.71500000000000008</v>
      </c>
    </row>
    <row r="26" spans="2:19">
      <c r="B26" s="301">
        <f t="shared" si="2"/>
        <v>2008</v>
      </c>
      <c r="C26" s="61">
        <f t="shared" si="3"/>
        <v>0</v>
      </c>
      <c r="D26" s="62">
        <f t="shared" si="0"/>
        <v>1</v>
      </c>
      <c r="E26" s="62">
        <f t="shared" si="0"/>
        <v>0</v>
      </c>
      <c r="F26" s="62">
        <f t="shared" si="0"/>
        <v>0</v>
      </c>
      <c r="G26" s="62">
        <f t="shared" si="0"/>
        <v>0</v>
      </c>
      <c r="H26" s="29">
        <f t="shared" si="4"/>
        <v>1</v>
      </c>
      <c r="I26" s="61">
        <f t="shared" si="5"/>
        <v>0.2</v>
      </c>
      <c r="J26" s="62">
        <f t="shared" si="1"/>
        <v>0.3</v>
      </c>
      <c r="K26" s="62">
        <f t="shared" si="1"/>
        <v>0.25</v>
      </c>
      <c r="L26" s="62">
        <f t="shared" si="1"/>
        <v>0.05</v>
      </c>
      <c r="M26" s="62">
        <f t="shared" si="1"/>
        <v>0.2</v>
      </c>
      <c r="N26" s="29">
        <f t="shared" si="6"/>
        <v>1</v>
      </c>
      <c r="O26" s="271"/>
      <c r="R26" s="173">
        <f t="shared" si="7"/>
        <v>0.8</v>
      </c>
      <c r="S26" s="596">
        <f t="shared" si="8"/>
        <v>0.71500000000000008</v>
      </c>
    </row>
    <row r="27" spans="2:19">
      <c r="B27" s="301">
        <f t="shared" si="2"/>
        <v>2009</v>
      </c>
      <c r="C27" s="61">
        <f t="shared" si="3"/>
        <v>0</v>
      </c>
      <c r="D27" s="62">
        <f t="shared" si="0"/>
        <v>1</v>
      </c>
      <c r="E27" s="62">
        <f t="shared" si="0"/>
        <v>0</v>
      </c>
      <c r="F27" s="62">
        <f t="shared" si="0"/>
        <v>0</v>
      </c>
      <c r="G27" s="62">
        <f t="shared" si="0"/>
        <v>0</v>
      </c>
      <c r="H27" s="29">
        <f t="shared" si="4"/>
        <v>1</v>
      </c>
      <c r="I27" s="61">
        <f t="shared" si="5"/>
        <v>0.2</v>
      </c>
      <c r="J27" s="62">
        <f t="shared" si="1"/>
        <v>0.3</v>
      </c>
      <c r="K27" s="62">
        <f t="shared" si="1"/>
        <v>0.25</v>
      </c>
      <c r="L27" s="62">
        <f t="shared" si="1"/>
        <v>0.05</v>
      </c>
      <c r="M27" s="62">
        <f t="shared" si="1"/>
        <v>0.2</v>
      </c>
      <c r="N27" s="29">
        <f t="shared" si="6"/>
        <v>1</v>
      </c>
      <c r="O27" s="271"/>
      <c r="R27" s="173">
        <f t="shared" si="7"/>
        <v>0.8</v>
      </c>
      <c r="S27" s="596">
        <f t="shared" si="8"/>
        <v>0.71500000000000008</v>
      </c>
    </row>
    <row r="28" spans="2:19">
      <c r="B28" s="301">
        <f t="shared" si="2"/>
        <v>2010</v>
      </c>
      <c r="C28" s="61">
        <f t="shared" si="3"/>
        <v>0</v>
      </c>
      <c r="D28" s="62">
        <f t="shared" si="0"/>
        <v>1</v>
      </c>
      <c r="E28" s="62">
        <f t="shared" si="0"/>
        <v>0</v>
      </c>
      <c r="F28" s="62">
        <f t="shared" si="0"/>
        <v>0</v>
      </c>
      <c r="G28" s="62">
        <f t="shared" si="0"/>
        <v>0</v>
      </c>
      <c r="H28" s="29">
        <f t="shared" si="4"/>
        <v>1</v>
      </c>
      <c r="I28" s="61">
        <f t="shared" si="5"/>
        <v>0.2</v>
      </c>
      <c r="J28" s="62">
        <f t="shared" si="1"/>
        <v>0.3</v>
      </c>
      <c r="K28" s="62">
        <f t="shared" si="1"/>
        <v>0.25</v>
      </c>
      <c r="L28" s="62">
        <f t="shared" si="1"/>
        <v>0.05</v>
      </c>
      <c r="M28" s="62">
        <f t="shared" si="1"/>
        <v>0.2</v>
      </c>
      <c r="N28" s="29">
        <f t="shared" si="6"/>
        <v>1</v>
      </c>
      <c r="O28" s="271"/>
      <c r="R28" s="173">
        <f t="shared" si="7"/>
        <v>0.8</v>
      </c>
      <c r="S28" s="596">
        <f t="shared" si="8"/>
        <v>0.71500000000000008</v>
      </c>
    </row>
    <row r="29" spans="2:19">
      <c r="B29" s="301">
        <f t="shared" si="2"/>
        <v>2011</v>
      </c>
      <c r="C29" s="61">
        <f t="shared" si="3"/>
        <v>0</v>
      </c>
      <c r="D29" s="62">
        <f t="shared" si="0"/>
        <v>1</v>
      </c>
      <c r="E29" s="62">
        <f t="shared" si="0"/>
        <v>0</v>
      </c>
      <c r="F29" s="62">
        <f t="shared" si="0"/>
        <v>0</v>
      </c>
      <c r="G29" s="62">
        <f t="shared" si="0"/>
        <v>0</v>
      </c>
      <c r="H29" s="29">
        <f t="shared" si="4"/>
        <v>1</v>
      </c>
      <c r="I29" s="61">
        <f t="shared" si="5"/>
        <v>0.2</v>
      </c>
      <c r="J29" s="62">
        <f t="shared" si="1"/>
        <v>0.3</v>
      </c>
      <c r="K29" s="62">
        <f t="shared" si="1"/>
        <v>0.25</v>
      </c>
      <c r="L29" s="62">
        <f t="shared" si="1"/>
        <v>0.05</v>
      </c>
      <c r="M29" s="62">
        <f t="shared" si="1"/>
        <v>0.2</v>
      </c>
      <c r="N29" s="29">
        <f t="shared" si="6"/>
        <v>1</v>
      </c>
      <c r="O29" s="271"/>
      <c r="R29" s="173">
        <f t="shared" si="7"/>
        <v>0.8</v>
      </c>
      <c r="S29" s="596">
        <f t="shared" si="8"/>
        <v>0.71500000000000008</v>
      </c>
    </row>
    <row r="30" spans="2:19">
      <c r="B30" s="301">
        <f t="shared" si="2"/>
        <v>2012</v>
      </c>
      <c r="C30" s="61">
        <f t="shared" si="3"/>
        <v>0</v>
      </c>
      <c r="D30" s="62">
        <f t="shared" si="0"/>
        <v>1</v>
      </c>
      <c r="E30" s="62">
        <f t="shared" si="0"/>
        <v>0</v>
      </c>
      <c r="F30" s="62">
        <f t="shared" si="0"/>
        <v>0</v>
      </c>
      <c r="G30" s="62">
        <f t="shared" si="0"/>
        <v>0</v>
      </c>
      <c r="H30" s="29">
        <f t="shared" si="4"/>
        <v>1</v>
      </c>
      <c r="I30" s="61">
        <f t="shared" si="5"/>
        <v>0.2</v>
      </c>
      <c r="J30" s="62">
        <f t="shared" si="1"/>
        <v>0.3</v>
      </c>
      <c r="K30" s="62">
        <f t="shared" si="1"/>
        <v>0.25</v>
      </c>
      <c r="L30" s="62">
        <f t="shared" si="1"/>
        <v>0.05</v>
      </c>
      <c r="M30" s="62">
        <f t="shared" si="1"/>
        <v>0.2</v>
      </c>
      <c r="N30" s="29">
        <f t="shared" si="6"/>
        <v>1</v>
      </c>
      <c r="O30" s="271"/>
      <c r="R30" s="173">
        <f t="shared" si="7"/>
        <v>0.8</v>
      </c>
      <c r="S30" s="596">
        <f t="shared" si="8"/>
        <v>0.71500000000000008</v>
      </c>
    </row>
    <row r="31" spans="2:19">
      <c r="B31" s="301">
        <f t="shared" si="2"/>
        <v>2013</v>
      </c>
      <c r="C31" s="61">
        <f t="shared" si="3"/>
        <v>0</v>
      </c>
      <c r="D31" s="62">
        <f t="shared" si="0"/>
        <v>1</v>
      </c>
      <c r="E31" s="62">
        <f t="shared" si="0"/>
        <v>0</v>
      </c>
      <c r="F31" s="62">
        <f t="shared" si="0"/>
        <v>0</v>
      </c>
      <c r="G31" s="62">
        <f t="shared" si="0"/>
        <v>0</v>
      </c>
      <c r="H31" s="29">
        <f t="shared" si="4"/>
        <v>1</v>
      </c>
      <c r="I31" s="61">
        <f t="shared" si="5"/>
        <v>0.2</v>
      </c>
      <c r="J31" s="62">
        <f t="shared" si="1"/>
        <v>0.3</v>
      </c>
      <c r="K31" s="62">
        <f t="shared" si="1"/>
        <v>0.25</v>
      </c>
      <c r="L31" s="62">
        <f t="shared" si="1"/>
        <v>0.05</v>
      </c>
      <c r="M31" s="62">
        <f t="shared" si="1"/>
        <v>0.2</v>
      </c>
      <c r="N31" s="29">
        <f t="shared" si="6"/>
        <v>1</v>
      </c>
      <c r="O31" s="271"/>
      <c r="R31" s="173">
        <f t="shared" si="7"/>
        <v>0.8</v>
      </c>
      <c r="S31" s="596">
        <f t="shared" si="8"/>
        <v>0.71500000000000008</v>
      </c>
    </row>
    <row r="32" spans="2:19">
      <c r="B32" s="301">
        <f t="shared" si="2"/>
        <v>2014</v>
      </c>
      <c r="C32" s="61">
        <f t="shared" si="3"/>
        <v>0</v>
      </c>
      <c r="D32" s="62">
        <f t="shared" si="0"/>
        <v>1</v>
      </c>
      <c r="E32" s="62">
        <f t="shared" si="0"/>
        <v>0</v>
      </c>
      <c r="F32" s="62">
        <f t="shared" si="0"/>
        <v>0</v>
      </c>
      <c r="G32" s="62">
        <f t="shared" si="0"/>
        <v>0</v>
      </c>
      <c r="H32" s="29">
        <f t="shared" si="4"/>
        <v>1</v>
      </c>
      <c r="I32" s="61">
        <f t="shared" si="5"/>
        <v>0.2</v>
      </c>
      <c r="J32" s="62">
        <f t="shared" si="1"/>
        <v>0.3</v>
      </c>
      <c r="K32" s="62">
        <f t="shared" si="1"/>
        <v>0.25</v>
      </c>
      <c r="L32" s="62">
        <f t="shared" si="1"/>
        <v>0.05</v>
      </c>
      <c r="M32" s="62">
        <f t="shared" si="1"/>
        <v>0.2</v>
      </c>
      <c r="N32" s="29">
        <f t="shared" si="6"/>
        <v>1</v>
      </c>
      <c r="O32" s="271"/>
      <c r="R32" s="173">
        <f t="shared" si="7"/>
        <v>0.8</v>
      </c>
      <c r="S32" s="596">
        <f t="shared" si="8"/>
        <v>0.71500000000000008</v>
      </c>
    </row>
    <row r="33" spans="2:19">
      <c r="B33" s="301">
        <f t="shared" si="2"/>
        <v>2015</v>
      </c>
      <c r="C33" s="61">
        <f t="shared" si="3"/>
        <v>0</v>
      </c>
      <c r="D33" s="62">
        <f t="shared" si="0"/>
        <v>1</v>
      </c>
      <c r="E33" s="62">
        <f t="shared" si="0"/>
        <v>0</v>
      </c>
      <c r="F33" s="62">
        <f t="shared" si="0"/>
        <v>0</v>
      </c>
      <c r="G33" s="62">
        <f t="shared" si="0"/>
        <v>0</v>
      </c>
      <c r="H33" s="29">
        <f t="shared" si="4"/>
        <v>1</v>
      </c>
      <c r="I33" s="61">
        <f t="shared" si="5"/>
        <v>0.2</v>
      </c>
      <c r="J33" s="62">
        <f t="shared" si="1"/>
        <v>0.3</v>
      </c>
      <c r="K33" s="62">
        <f t="shared" si="1"/>
        <v>0.25</v>
      </c>
      <c r="L33" s="62">
        <f t="shared" si="1"/>
        <v>0.05</v>
      </c>
      <c r="M33" s="62">
        <f t="shared" si="1"/>
        <v>0.2</v>
      </c>
      <c r="N33" s="29">
        <f t="shared" si="6"/>
        <v>1</v>
      </c>
      <c r="O33" s="271"/>
      <c r="R33" s="173">
        <f t="shared" si="7"/>
        <v>0.8</v>
      </c>
      <c r="S33" s="596">
        <f t="shared" si="8"/>
        <v>0.71500000000000008</v>
      </c>
    </row>
    <row r="34" spans="2:19">
      <c r="B34" s="301">
        <f t="shared" si="2"/>
        <v>2016</v>
      </c>
      <c r="C34" s="61">
        <f t="shared" si="3"/>
        <v>0</v>
      </c>
      <c r="D34" s="62">
        <f t="shared" si="3"/>
        <v>1</v>
      </c>
      <c r="E34" s="62">
        <f t="shared" si="3"/>
        <v>0</v>
      </c>
      <c r="F34" s="62">
        <f t="shared" si="3"/>
        <v>0</v>
      </c>
      <c r="G34" s="62">
        <f t="shared" si="3"/>
        <v>0</v>
      </c>
      <c r="H34" s="29">
        <f t="shared" si="4"/>
        <v>1</v>
      </c>
      <c r="I34" s="61">
        <f t="shared" si="5"/>
        <v>0.2</v>
      </c>
      <c r="J34" s="62">
        <f t="shared" si="5"/>
        <v>0.3</v>
      </c>
      <c r="K34" s="62">
        <f t="shared" si="5"/>
        <v>0.25</v>
      </c>
      <c r="L34" s="62">
        <f t="shared" si="5"/>
        <v>0.05</v>
      </c>
      <c r="M34" s="62">
        <f t="shared" si="5"/>
        <v>0.2</v>
      </c>
      <c r="N34" s="29">
        <f t="shared" si="6"/>
        <v>1</v>
      </c>
      <c r="O34" s="271"/>
      <c r="R34" s="173">
        <f t="shared" si="7"/>
        <v>0.8</v>
      </c>
      <c r="S34" s="596">
        <f t="shared" si="8"/>
        <v>0.71500000000000008</v>
      </c>
    </row>
    <row r="35" spans="2:19">
      <c r="B35" s="301">
        <f t="shared" si="2"/>
        <v>2017</v>
      </c>
      <c r="C35" s="61">
        <f t="shared" si="3"/>
        <v>0</v>
      </c>
      <c r="D35" s="62">
        <f t="shared" si="3"/>
        <v>1</v>
      </c>
      <c r="E35" s="62">
        <f t="shared" si="3"/>
        <v>0</v>
      </c>
      <c r="F35" s="62">
        <f t="shared" si="3"/>
        <v>0</v>
      </c>
      <c r="G35" s="62">
        <f t="shared" si="3"/>
        <v>0</v>
      </c>
      <c r="H35" s="29">
        <f t="shared" si="4"/>
        <v>1</v>
      </c>
      <c r="I35" s="61">
        <f t="shared" si="5"/>
        <v>0.2</v>
      </c>
      <c r="J35" s="62">
        <f t="shared" si="5"/>
        <v>0.3</v>
      </c>
      <c r="K35" s="62">
        <f t="shared" si="5"/>
        <v>0.25</v>
      </c>
      <c r="L35" s="62">
        <f t="shared" si="5"/>
        <v>0.05</v>
      </c>
      <c r="M35" s="62">
        <f t="shared" si="5"/>
        <v>0.2</v>
      </c>
      <c r="N35" s="29">
        <f t="shared" si="6"/>
        <v>1</v>
      </c>
      <c r="O35" s="271"/>
      <c r="R35" s="173">
        <f t="shared" si="7"/>
        <v>0.8</v>
      </c>
      <c r="S35" s="596">
        <f t="shared" si="8"/>
        <v>0.71500000000000008</v>
      </c>
    </row>
    <row r="36" spans="2:19">
      <c r="B36" s="301">
        <f t="shared" si="2"/>
        <v>2018</v>
      </c>
      <c r="C36" s="61">
        <f t="shared" si="3"/>
        <v>0</v>
      </c>
      <c r="D36" s="62">
        <f t="shared" si="3"/>
        <v>1</v>
      </c>
      <c r="E36" s="62">
        <f t="shared" si="3"/>
        <v>0</v>
      </c>
      <c r="F36" s="62">
        <f t="shared" si="3"/>
        <v>0</v>
      </c>
      <c r="G36" s="62">
        <f t="shared" si="3"/>
        <v>0</v>
      </c>
      <c r="H36" s="29">
        <f t="shared" si="4"/>
        <v>1</v>
      </c>
      <c r="I36" s="61">
        <f t="shared" si="5"/>
        <v>0.2</v>
      </c>
      <c r="J36" s="62">
        <f t="shared" si="5"/>
        <v>0.3</v>
      </c>
      <c r="K36" s="62">
        <f t="shared" si="5"/>
        <v>0.25</v>
      </c>
      <c r="L36" s="62">
        <f t="shared" si="5"/>
        <v>0.05</v>
      </c>
      <c r="M36" s="62">
        <f t="shared" si="5"/>
        <v>0.2</v>
      </c>
      <c r="N36" s="29">
        <f t="shared" si="6"/>
        <v>1</v>
      </c>
      <c r="O36" s="271"/>
      <c r="R36" s="173">
        <f t="shared" si="7"/>
        <v>0.8</v>
      </c>
      <c r="S36" s="596">
        <f t="shared" si="8"/>
        <v>0.71500000000000008</v>
      </c>
    </row>
    <row r="37" spans="2:19">
      <c r="B37" s="301">
        <f t="shared" si="2"/>
        <v>2019</v>
      </c>
      <c r="C37" s="61">
        <f t="shared" si="3"/>
        <v>0</v>
      </c>
      <c r="D37" s="62">
        <f t="shared" si="3"/>
        <v>1</v>
      </c>
      <c r="E37" s="62">
        <f t="shared" si="3"/>
        <v>0</v>
      </c>
      <c r="F37" s="62">
        <f t="shared" si="3"/>
        <v>0</v>
      </c>
      <c r="G37" s="62">
        <f t="shared" si="3"/>
        <v>0</v>
      </c>
      <c r="H37" s="29">
        <f t="shared" si="4"/>
        <v>1</v>
      </c>
      <c r="I37" s="61">
        <f t="shared" si="5"/>
        <v>0.2</v>
      </c>
      <c r="J37" s="62">
        <f t="shared" si="5"/>
        <v>0.3</v>
      </c>
      <c r="K37" s="62">
        <f t="shared" si="5"/>
        <v>0.25</v>
      </c>
      <c r="L37" s="62">
        <f t="shared" si="5"/>
        <v>0.05</v>
      </c>
      <c r="M37" s="62">
        <f t="shared" si="5"/>
        <v>0.2</v>
      </c>
      <c r="N37" s="29">
        <f t="shared" si="6"/>
        <v>1</v>
      </c>
      <c r="O37" s="271"/>
      <c r="R37" s="173">
        <f t="shared" si="7"/>
        <v>0.8</v>
      </c>
      <c r="S37" s="596">
        <f t="shared" si="8"/>
        <v>0.71500000000000008</v>
      </c>
    </row>
    <row r="38" spans="2:19">
      <c r="B38" s="301">
        <f t="shared" si="2"/>
        <v>2020</v>
      </c>
      <c r="C38" s="61">
        <f t="shared" si="3"/>
        <v>0</v>
      </c>
      <c r="D38" s="62">
        <f t="shared" si="3"/>
        <v>1</v>
      </c>
      <c r="E38" s="62">
        <f t="shared" si="3"/>
        <v>0</v>
      </c>
      <c r="F38" s="62">
        <f t="shared" si="3"/>
        <v>0</v>
      </c>
      <c r="G38" s="62">
        <f t="shared" si="3"/>
        <v>0</v>
      </c>
      <c r="H38" s="29">
        <f t="shared" si="4"/>
        <v>1</v>
      </c>
      <c r="I38" s="61">
        <f t="shared" si="5"/>
        <v>0.2</v>
      </c>
      <c r="J38" s="62">
        <f t="shared" si="5"/>
        <v>0.3</v>
      </c>
      <c r="K38" s="62">
        <f t="shared" si="5"/>
        <v>0.25</v>
      </c>
      <c r="L38" s="62">
        <f t="shared" si="5"/>
        <v>0.05</v>
      </c>
      <c r="M38" s="62">
        <f t="shared" si="5"/>
        <v>0.2</v>
      </c>
      <c r="N38" s="29">
        <f t="shared" si="6"/>
        <v>1</v>
      </c>
      <c r="O38" s="271"/>
      <c r="R38" s="173">
        <f t="shared" si="7"/>
        <v>0.8</v>
      </c>
      <c r="S38" s="596">
        <f t="shared" si="8"/>
        <v>0.71500000000000008</v>
      </c>
    </row>
    <row r="39" spans="2:19">
      <c r="B39" s="301">
        <f t="shared" si="2"/>
        <v>2021</v>
      </c>
      <c r="C39" s="61">
        <f t="shared" si="3"/>
        <v>0</v>
      </c>
      <c r="D39" s="62">
        <f t="shared" si="3"/>
        <v>1</v>
      </c>
      <c r="E39" s="62">
        <f t="shared" si="3"/>
        <v>0</v>
      </c>
      <c r="F39" s="62">
        <f t="shared" si="3"/>
        <v>0</v>
      </c>
      <c r="G39" s="62">
        <f t="shared" si="3"/>
        <v>0</v>
      </c>
      <c r="H39" s="29">
        <f t="shared" si="4"/>
        <v>1</v>
      </c>
      <c r="I39" s="61">
        <f t="shared" si="5"/>
        <v>0.2</v>
      </c>
      <c r="J39" s="62">
        <f t="shared" si="5"/>
        <v>0.3</v>
      </c>
      <c r="K39" s="62">
        <f t="shared" si="5"/>
        <v>0.25</v>
      </c>
      <c r="L39" s="62">
        <f t="shared" si="5"/>
        <v>0.05</v>
      </c>
      <c r="M39" s="62">
        <f t="shared" si="5"/>
        <v>0.2</v>
      </c>
      <c r="N39" s="29">
        <f t="shared" si="6"/>
        <v>1</v>
      </c>
      <c r="O39" s="271"/>
      <c r="R39" s="173">
        <f t="shared" si="7"/>
        <v>0.8</v>
      </c>
      <c r="S39" s="596">
        <f t="shared" si="8"/>
        <v>0.71500000000000008</v>
      </c>
    </row>
    <row r="40" spans="2:19">
      <c r="B40" s="301">
        <f t="shared" si="2"/>
        <v>2022</v>
      </c>
      <c r="C40" s="61">
        <f t="shared" si="3"/>
        <v>0</v>
      </c>
      <c r="D40" s="62">
        <f t="shared" si="3"/>
        <v>1</v>
      </c>
      <c r="E40" s="62">
        <f t="shared" si="3"/>
        <v>0</v>
      </c>
      <c r="F40" s="62">
        <f t="shared" si="3"/>
        <v>0</v>
      </c>
      <c r="G40" s="62">
        <f t="shared" si="3"/>
        <v>0</v>
      </c>
      <c r="H40" s="29">
        <f t="shared" si="4"/>
        <v>1</v>
      </c>
      <c r="I40" s="61">
        <f t="shared" si="5"/>
        <v>0.2</v>
      </c>
      <c r="J40" s="62">
        <f t="shared" si="5"/>
        <v>0.3</v>
      </c>
      <c r="K40" s="62">
        <f t="shared" si="5"/>
        <v>0.25</v>
      </c>
      <c r="L40" s="62">
        <f t="shared" si="5"/>
        <v>0.05</v>
      </c>
      <c r="M40" s="62">
        <f t="shared" si="5"/>
        <v>0.2</v>
      </c>
      <c r="N40" s="29">
        <f t="shared" si="6"/>
        <v>1</v>
      </c>
      <c r="O40" s="271"/>
      <c r="R40" s="173">
        <f t="shared" si="7"/>
        <v>0.8</v>
      </c>
      <c r="S40" s="596">
        <f t="shared" si="8"/>
        <v>0.71500000000000008</v>
      </c>
    </row>
    <row r="41" spans="2:19">
      <c r="B41" s="301">
        <f t="shared" si="2"/>
        <v>2023</v>
      </c>
      <c r="C41" s="61">
        <f t="shared" si="3"/>
        <v>0</v>
      </c>
      <c r="D41" s="62">
        <f t="shared" si="3"/>
        <v>1</v>
      </c>
      <c r="E41" s="62">
        <f t="shared" si="3"/>
        <v>0</v>
      </c>
      <c r="F41" s="62">
        <f t="shared" si="3"/>
        <v>0</v>
      </c>
      <c r="G41" s="62">
        <f t="shared" si="3"/>
        <v>0</v>
      </c>
      <c r="H41" s="29">
        <f t="shared" si="4"/>
        <v>1</v>
      </c>
      <c r="I41" s="61">
        <f t="shared" si="5"/>
        <v>0.2</v>
      </c>
      <c r="J41" s="62">
        <f t="shared" si="5"/>
        <v>0.3</v>
      </c>
      <c r="K41" s="62">
        <f t="shared" si="5"/>
        <v>0.25</v>
      </c>
      <c r="L41" s="62">
        <f t="shared" si="5"/>
        <v>0.05</v>
      </c>
      <c r="M41" s="62">
        <f t="shared" si="5"/>
        <v>0.2</v>
      </c>
      <c r="N41" s="29">
        <f t="shared" si="6"/>
        <v>1</v>
      </c>
      <c r="O41" s="271"/>
      <c r="R41" s="173">
        <f t="shared" si="7"/>
        <v>0.8</v>
      </c>
      <c r="S41" s="596">
        <f t="shared" si="8"/>
        <v>0.71500000000000008</v>
      </c>
    </row>
    <row r="42" spans="2:19">
      <c r="B42" s="301">
        <f t="shared" si="2"/>
        <v>2024</v>
      </c>
      <c r="C42" s="61">
        <f t="shared" si="3"/>
        <v>0</v>
      </c>
      <c r="D42" s="62">
        <f t="shared" si="3"/>
        <v>1</v>
      </c>
      <c r="E42" s="62">
        <f t="shared" si="3"/>
        <v>0</v>
      </c>
      <c r="F42" s="62">
        <f t="shared" si="3"/>
        <v>0</v>
      </c>
      <c r="G42" s="62">
        <f t="shared" si="3"/>
        <v>0</v>
      </c>
      <c r="H42" s="29">
        <f t="shared" si="4"/>
        <v>1</v>
      </c>
      <c r="I42" s="61">
        <f t="shared" si="5"/>
        <v>0.2</v>
      </c>
      <c r="J42" s="62">
        <f t="shared" si="5"/>
        <v>0.3</v>
      </c>
      <c r="K42" s="62">
        <f t="shared" si="5"/>
        <v>0.25</v>
      </c>
      <c r="L42" s="62">
        <f t="shared" si="5"/>
        <v>0.05</v>
      </c>
      <c r="M42" s="62">
        <f t="shared" si="5"/>
        <v>0.2</v>
      </c>
      <c r="N42" s="29">
        <f t="shared" si="6"/>
        <v>1</v>
      </c>
      <c r="O42" s="271"/>
      <c r="R42" s="173">
        <f t="shared" si="7"/>
        <v>0.8</v>
      </c>
      <c r="S42" s="596">
        <f t="shared" si="8"/>
        <v>0.71500000000000008</v>
      </c>
    </row>
    <row r="43" spans="2:19">
      <c r="B43" s="301">
        <f t="shared" si="2"/>
        <v>2025</v>
      </c>
      <c r="C43" s="61">
        <f t="shared" si="3"/>
        <v>0</v>
      </c>
      <c r="D43" s="62">
        <f t="shared" si="3"/>
        <v>1</v>
      </c>
      <c r="E43" s="62">
        <f t="shared" si="3"/>
        <v>0</v>
      </c>
      <c r="F43" s="62">
        <f t="shared" si="3"/>
        <v>0</v>
      </c>
      <c r="G43" s="62">
        <f t="shared" si="3"/>
        <v>0</v>
      </c>
      <c r="H43" s="29">
        <f t="shared" si="4"/>
        <v>1</v>
      </c>
      <c r="I43" s="61">
        <f t="shared" si="5"/>
        <v>0.2</v>
      </c>
      <c r="J43" s="62">
        <f t="shared" si="5"/>
        <v>0.3</v>
      </c>
      <c r="K43" s="62">
        <f t="shared" si="5"/>
        <v>0.25</v>
      </c>
      <c r="L43" s="62">
        <f t="shared" si="5"/>
        <v>0.05</v>
      </c>
      <c r="M43" s="62">
        <f t="shared" si="5"/>
        <v>0.2</v>
      </c>
      <c r="N43" s="29">
        <f t="shared" si="6"/>
        <v>1</v>
      </c>
      <c r="O43" s="271"/>
      <c r="R43" s="173">
        <f t="shared" si="7"/>
        <v>0.8</v>
      </c>
      <c r="S43" s="596">
        <f t="shared" si="8"/>
        <v>0.71500000000000008</v>
      </c>
    </row>
    <row r="44" spans="2:19">
      <c r="B44" s="301">
        <f t="shared" si="2"/>
        <v>2026</v>
      </c>
      <c r="C44" s="61">
        <f t="shared" si="3"/>
        <v>0</v>
      </c>
      <c r="D44" s="62">
        <f t="shared" si="3"/>
        <v>1</v>
      </c>
      <c r="E44" s="62">
        <f t="shared" si="3"/>
        <v>0</v>
      </c>
      <c r="F44" s="62">
        <f t="shared" si="3"/>
        <v>0</v>
      </c>
      <c r="G44" s="62">
        <f t="shared" si="3"/>
        <v>0</v>
      </c>
      <c r="H44" s="29">
        <f t="shared" si="4"/>
        <v>1</v>
      </c>
      <c r="I44" s="61">
        <f t="shared" si="5"/>
        <v>0.2</v>
      </c>
      <c r="J44" s="62">
        <f t="shared" si="5"/>
        <v>0.3</v>
      </c>
      <c r="K44" s="62">
        <f t="shared" si="5"/>
        <v>0.25</v>
      </c>
      <c r="L44" s="62">
        <f t="shared" si="5"/>
        <v>0.05</v>
      </c>
      <c r="M44" s="62">
        <f t="shared" si="5"/>
        <v>0.2</v>
      </c>
      <c r="N44" s="29">
        <f t="shared" si="6"/>
        <v>1</v>
      </c>
      <c r="O44" s="271"/>
      <c r="R44" s="173">
        <f t="shared" si="7"/>
        <v>0.8</v>
      </c>
      <c r="S44" s="596">
        <f t="shared" si="8"/>
        <v>0.71500000000000008</v>
      </c>
    </row>
    <row r="45" spans="2:19">
      <c r="B45" s="301">
        <f t="shared" si="2"/>
        <v>2027</v>
      </c>
      <c r="C45" s="61">
        <f t="shared" si="3"/>
        <v>0</v>
      </c>
      <c r="D45" s="62">
        <f t="shared" si="3"/>
        <v>1</v>
      </c>
      <c r="E45" s="62">
        <f t="shared" si="3"/>
        <v>0</v>
      </c>
      <c r="F45" s="62">
        <f t="shared" si="3"/>
        <v>0</v>
      </c>
      <c r="G45" s="62">
        <f t="shared" si="3"/>
        <v>0</v>
      </c>
      <c r="H45" s="29">
        <f t="shared" si="4"/>
        <v>1</v>
      </c>
      <c r="I45" s="61">
        <f t="shared" si="5"/>
        <v>0.2</v>
      </c>
      <c r="J45" s="62">
        <f t="shared" si="5"/>
        <v>0.3</v>
      </c>
      <c r="K45" s="62">
        <f t="shared" si="5"/>
        <v>0.25</v>
      </c>
      <c r="L45" s="62">
        <f t="shared" si="5"/>
        <v>0.05</v>
      </c>
      <c r="M45" s="62">
        <f t="shared" si="5"/>
        <v>0.2</v>
      </c>
      <c r="N45" s="29">
        <f t="shared" si="6"/>
        <v>1</v>
      </c>
      <c r="O45" s="271"/>
      <c r="R45" s="173">
        <f t="shared" si="7"/>
        <v>0.8</v>
      </c>
      <c r="S45" s="596">
        <f t="shared" si="8"/>
        <v>0.71500000000000008</v>
      </c>
    </row>
    <row r="46" spans="2:19">
      <c r="B46" s="301">
        <f t="shared" si="2"/>
        <v>2028</v>
      </c>
      <c r="C46" s="61">
        <f t="shared" si="3"/>
        <v>0</v>
      </c>
      <c r="D46" s="62">
        <f t="shared" si="3"/>
        <v>1</v>
      </c>
      <c r="E46" s="62">
        <f t="shared" si="3"/>
        <v>0</v>
      </c>
      <c r="F46" s="62">
        <f t="shared" si="3"/>
        <v>0</v>
      </c>
      <c r="G46" s="62">
        <f t="shared" si="3"/>
        <v>0</v>
      </c>
      <c r="H46" s="29">
        <f t="shared" si="4"/>
        <v>1</v>
      </c>
      <c r="I46" s="61">
        <f t="shared" si="5"/>
        <v>0.2</v>
      </c>
      <c r="J46" s="62">
        <f t="shared" si="5"/>
        <v>0.3</v>
      </c>
      <c r="K46" s="62">
        <f t="shared" si="5"/>
        <v>0.25</v>
      </c>
      <c r="L46" s="62">
        <f t="shared" si="5"/>
        <v>0.05</v>
      </c>
      <c r="M46" s="62">
        <f t="shared" si="5"/>
        <v>0.2</v>
      </c>
      <c r="N46" s="29">
        <f t="shared" si="6"/>
        <v>1</v>
      </c>
      <c r="O46" s="271"/>
      <c r="R46" s="173">
        <f t="shared" si="7"/>
        <v>0.8</v>
      </c>
      <c r="S46" s="596">
        <f t="shared" si="8"/>
        <v>0.71500000000000008</v>
      </c>
    </row>
    <row r="47" spans="2:19">
      <c r="B47" s="301">
        <f t="shared" si="2"/>
        <v>2029</v>
      </c>
      <c r="C47" s="61">
        <f t="shared" si="3"/>
        <v>0</v>
      </c>
      <c r="D47" s="62">
        <f t="shared" si="3"/>
        <v>1</v>
      </c>
      <c r="E47" s="62">
        <f t="shared" si="3"/>
        <v>0</v>
      </c>
      <c r="F47" s="62">
        <f t="shared" si="3"/>
        <v>0</v>
      </c>
      <c r="G47" s="62">
        <f t="shared" si="3"/>
        <v>0</v>
      </c>
      <c r="H47" s="29">
        <f t="shared" si="4"/>
        <v>1</v>
      </c>
      <c r="I47" s="61">
        <f t="shared" si="5"/>
        <v>0.2</v>
      </c>
      <c r="J47" s="62">
        <f t="shared" si="5"/>
        <v>0.3</v>
      </c>
      <c r="K47" s="62">
        <f t="shared" si="5"/>
        <v>0.25</v>
      </c>
      <c r="L47" s="62">
        <f t="shared" si="5"/>
        <v>0.05</v>
      </c>
      <c r="M47" s="62">
        <f t="shared" si="5"/>
        <v>0.2</v>
      </c>
      <c r="N47" s="29">
        <f t="shared" si="6"/>
        <v>1</v>
      </c>
      <c r="O47" s="271"/>
      <c r="R47" s="173">
        <f t="shared" si="7"/>
        <v>0.8</v>
      </c>
      <c r="S47" s="596">
        <f t="shared" si="8"/>
        <v>0.71500000000000008</v>
      </c>
    </row>
    <row r="48" spans="2:19">
      <c r="B48" s="301">
        <f t="shared" si="2"/>
        <v>2030</v>
      </c>
      <c r="C48" s="61">
        <f t="shared" si="3"/>
        <v>0</v>
      </c>
      <c r="D48" s="62">
        <f t="shared" si="3"/>
        <v>1</v>
      </c>
      <c r="E48" s="62">
        <f t="shared" si="3"/>
        <v>0</v>
      </c>
      <c r="F48" s="62">
        <f t="shared" si="3"/>
        <v>0</v>
      </c>
      <c r="G48" s="62">
        <f t="shared" si="3"/>
        <v>0</v>
      </c>
      <c r="H48" s="29">
        <f t="shared" si="4"/>
        <v>1</v>
      </c>
      <c r="I48" s="61">
        <f t="shared" si="5"/>
        <v>0.2</v>
      </c>
      <c r="J48" s="62">
        <f t="shared" si="5"/>
        <v>0.3</v>
      </c>
      <c r="K48" s="62">
        <f t="shared" si="5"/>
        <v>0.25</v>
      </c>
      <c r="L48" s="62">
        <f t="shared" si="5"/>
        <v>0.05</v>
      </c>
      <c r="M48" s="62">
        <f t="shared" si="5"/>
        <v>0.2</v>
      </c>
      <c r="N48" s="29">
        <f t="shared" si="6"/>
        <v>1</v>
      </c>
      <c r="O48" s="271"/>
      <c r="R48" s="173">
        <f t="shared" si="7"/>
        <v>0.8</v>
      </c>
      <c r="S48" s="596">
        <f t="shared" si="8"/>
        <v>0.71500000000000008</v>
      </c>
    </row>
    <row r="49" spans="2:19">
      <c r="B49" s="301">
        <f t="shared" si="2"/>
        <v>2031</v>
      </c>
      <c r="C49" s="61">
        <f t="shared" si="3"/>
        <v>0</v>
      </c>
      <c r="D49" s="62">
        <f t="shared" si="3"/>
        <v>1</v>
      </c>
      <c r="E49" s="62">
        <f t="shared" si="3"/>
        <v>0</v>
      </c>
      <c r="F49" s="62">
        <f t="shared" si="3"/>
        <v>0</v>
      </c>
      <c r="G49" s="62">
        <f t="shared" si="3"/>
        <v>0</v>
      </c>
      <c r="H49" s="29">
        <f t="shared" si="4"/>
        <v>1</v>
      </c>
      <c r="I49" s="61">
        <f t="shared" si="5"/>
        <v>0.2</v>
      </c>
      <c r="J49" s="62">
        <f t="shared" si="5"/>
        <v>0.3</v>
      </c>
      <c r="K49" s="62">
        <f t="shared" si="5"/>
        <v>0.25</v>
      </c>
      <c r="L49" s="62">
        <f t="shared" si="5"/>
        <v>0.05</v>
      </c>
      <c r="M49" s="62">
        <f t="shared" si="5"/>
        <v>0.2</v>
      </c>
      <c r="N49" s="29">
        <f t="shared" si="6"/>
        <v>1</v>
      </c>
      <c r="O49" s="271"/>
      <c r="R49" s="173">
        <f t="shared" si="7"/>
        <v>0.8</v>
      </c>
      <c r="S49" s="596">
        <f t="shared" si="8"/>
        <v>0.71500000000000008</v>
      </c>
    </row>
    <row r="50" spans="2:19">
      <c r="B50" s="301">
        <f t="shared" si="2"/>
        <v>2032</v>
      </c>
      <c r="C50" s="61">
        <f t="shared" si="3"/>
        <v>0</v>
      </c>
      <c r="D50" s="62">
        <f t="shared" si="3"/>
        <v>1</v>
      </c>
      <c r="E50" s="62">
        <f t="shared" si="3"/>
        <v>0</v>
      </c>
      <c r="F50" s="62">
        <f t="shared" si="3"/>
        <v>0</v>
      </c>
      <c r="G50" s="62">
        <f t="shared" si="3"/>
        <v>0</v>
      </c>
      <c r="H50" s="29">
        <f t="shared" si="4"/>
        <v>1</v>
      </c>
      <c r="I50" s="61">
        <f t="shared" si="5"/>
        <v>0.2</v>
      </c>
      <c r="J50" s="62">
        <f t="shared" si="5"/>
        <v>0.3</v>
      </c>
      <c r="K50" s="62">
        <f t="shared" si="5"/>
        <v>0.25</v>
      </c>
      <c r="L50" s="62">
        <f t="shared" si="5"/>
        <v>0.05</v>
      </c>
      <c r="M50" s="62">
        <f t="shared" si="5"/>
        <v>0.2</v>
      </c>
      <c r="N50" s="29">
        <f t="shared" si="6"/>
        <v>1</v>
      </c>
      <c r="O50" s="271"/>
      <c r="R50" s="173">
        <f t="shared" si="7"/>
        <v>0.8</v>
      </c>
      <c r="S50" s="596">
        <f t="shared" si="8"/>
        <v>0.71500000000000008</v>
      </c>
    </row>
    <row r="51" spans="2:19">
      <c r="B51" s="301">
        <f t="shared" ref="B51:B82" si="9">B50+1</f>
        <v>2033</v>
      </c>
      <c r="C51" s="61">
        <f t="shared" ref="C51:G98" si="10">C$16</f>
        <v>0</v>
      </c>
      <c r="D51" s="62">
        <f t="shared" si="10"/>
        <v>1</v>
      </c>
      <c r="E51" s="62">
        <f t="shared" si="10"/>
        <v>0</v>
      </c>
      <c r="F51" s="62">
        <f t="shared" si="10"/>
        <v>0</v>
      </c>
      <c r="G51" s="62">
        <f t="shared" si="10"/>
        <v>0</v>
      </c>
      <c r="H51" s="29">
        <f t="shared" si="4"/>
        <v>1</v>
      </c>
      <c r="I51" s="61">
        <f t="shared" ref="I51:M98" si="11">I$16</f>
        <v>0.2</v>
      </c>
      <c r="J51" s="62">
        <f t="shared" si="11"/>
        <v>0.3</v>
      </c>
      <c r="K51" s="62">
        <f t="shared" si="11"/>
        <v>0.25</v>
      </c>
      <c r="L51" s="62">
        <f t="shared" si="11"/>
        <v>0.05</v>
      </c>
      <c r="M51" s="62">
        <f t="shared" si="11"/>
        <v>0.2</v>
      </c>
      <c r="N51" s="29">
        <f t="shared" si="6"/>
        <v>1</v>
      </c>
      <c r="O51" s="271"/>
      <c r="R51" s="173">
        <f t="shared" si="7"/>
        <v>0.8</v>
      </c>
      <c r="S51" s="596">
        <f t="shared" si="8"/>
        <v>0.71500000000000008</v>
      </c>
    </row>
    <row r="52" spans="2:19">
      <c r="B52" s="301">
        <f t="shared" si="9"/>
        <v>2034</v>
      </c>
      <c r="C52" s="61">
        <f t="shared" si="10"/>
        <v>0</v>
      </c>
      <c r="D52" s="62">
        <f t="shared" si="10"/>
        <v>1</v>
      </c>
      <c r="E52" s="62">
        <f t="shared" si="10"/>
        <v>0</v>
      </c>
      <c r="F52" s="62">
        <f t="shared" si="10"/>
        <v>0</v>
      </c>
      <c r="G52" s="62">
        <f t="shared" si="10"/>
        <v>0</v>
      </c>
      <c r="H52" s="29">
        <f t="shared" si="4"/>
        <v>1</v>
      </c>
      <c r="I52" s="61">
        <f t="shared" si="11"/>
        <v>0.2</v>
      </c>
      <c r="J52" s="62">
        <f t="shared" si="11"/>
        <v>0.3</v>
      </c>
      <c r="K52" s="62">
        <f t="shared" si="11"/>
        <v>0.25</v>
      </c>
      <c r="L52" s="62">
        <f t="shared" si="11"/>
        <v>0.05</v>
      </c>
      <c r="M52" s="62">
        <f t="shared" si="11"/>
        <v>0.2</v>
      </c>
      <c r="N52" s="29">
        <f t="shared" si="6"/>
        <v>1</v>
      </c>
      <c r="O52" s="271"/>
      <c r="R52" s="173">
        <f t="shared" si="7"/>
        <v>0.8</v>
      </c>
      <c r="S52" s="596">
        <f t="shared" si="8"/>
        <v>0.71500000000000008</v>
      </c>
    </row>
    <row r="53" spans="2:19">
      <c r="B53" s="301">
        <f t="shared" si="9"/>
        <v>2035</v>
      </c>
      <c r="C53" s="61">
        <f t="shared" si="10"/>
        <v>0</v>
      </c>
      <c r="D53" s="62">
        <f t="shared" si="10"/>
        <v>1</v>
      </c>
      <c r="E53" s="62">
        <f t="shared" si="10"/>
        <v>0</v>
      </c>
      <c r="F53" s="62">
        <f t="shared" si="10"/>
        <v>0</v>
      </c>
      <c r="G53" s="62">
        <f t="shared" si="10"/>
        <v>0</v>
      </c>
      <c r="H53" s="29">
        <f t="shared" si="4"/>
        <v>1</v>
      </c>
      <c r="I53" s="61">
        <f t="shared" si="11"/>
        <v>0.2</v>
      </c>
      <c r="J53" s="62">
        <f t="shared" si="11"/>
        <v>0.3</v>
      </c>
      <c r="K53" s="62">
        <f t="shared" si="11"/>
        <v>0.25</v>
      </c>
      <c r="L53" s="62">
        <f t="shared" si="11"/>
        <v>0.05</v>
      </c>
      <c r="M53" s="62">
        <f t="shared" si="11"/>
        <v>0.2</v>
      </c>
      <c r="N53" s="29">
        <f t="shared" si="6"/>
        <v>1</v>
      </c>
      <c r="O53" s="271"/>
      <c r="R53" s="173">
        <f t="shared" si="7"/>
        <v>0.8</v>
      </c>
      <c r="S53" s="596">
        <f t="shared" si="8"/>
        <v>0.71500000000000008</v>
      </c>
    </row>
    <row r="54" spans="2:19">
      <c r="B54" s="301">
        <f t="shared" si="9"/>
        <v>2036</v>
      </c>
      <c r="C54" s="61">
        <f t="shared" si="10"/>
        <v>0</v>
      </c>
      <c r="D54" s="62">
        <f t="shared" si="10"/>
        <v>1</v>
      </c>
      <c r="E54" s="62">
        <f t="shared" si="10"/>
        <v>0</v>
      </c>
      <c r="F54" s="62">
        <f t="shared" si="10"/>
        <v>0</v>
      </c>
      <c r="G54" s="62">
        <f t="shared" si="10"/>
        <v>0</v>
      </c>
      <c r="H54" s="29">
        <f t="shared" si="4"/>
        <v>1</v>
      </c>
      <c r="I54" s="61">
        <f t="shared" si="11"/>
        <v>0.2</v>
      </c>
      <c r="J54" s="62">
        <f t="shared" si="11"/>
        <v>0.3</v>
      </c>
      <c r="K54" s="62">
        <f t="shared" si="11"/>
        <v>0.25</v>
      </c>
      <c r="L54" s="62">
        <f t="shared" si="11"/>
        <v>0.05</v>
      </c>
      <c r="M54" s="62">
        <f t="shared" si="11"/>
        <v>0.2</v>
      </c>
      <c r="N54" s="29">
        <f t="shared" si="6"/>
        <v>1</v>
      </c>
      <c r="O54" s="271"/>
      <c r="R54" s="173">
        <f t="shared" si="7"/>
        <v>0.8</v>
      </c>
      <c r="S54" s="596">
        <f t="shared" si="8"/>
        <v>0.71500000000000008</v>
      </c>
    </row>
    <row r="55" spans="2:19">
      <c r="B55" s="301">
        <f t="shared" si="9"/>
        <v>2037</v>
      </c>
      <c r="C55" s="61">
        <f t="shared" si="10"/>
        <v>0</v>
      </c>
      <c r="D55" s="62">
        <f t="shared" si="10"/>
        <v>1</v>
      </c>
      <c r="E55" s="62">
        <f t="shared" si="10"/>
        <v>0</v>
      </c>
      <c r="F55" s="62">
        <f t="shared" si="10"/>
        <v>0</v>
      </c>
      <c r="G55" s="62">
        <f t="shared" si="10"/>
        <v>0</v>
      </c>
      <c r="H55" s="29">
        <f t="shared" si="4"/>
        <v>1</v>
      </c>
      <c r="I55" s="61">
        <f t="shared" si="11"/>
        <v>0.2</v>
      </c>
      <c r="J55" s="62">
        <f t="shared" si="11"/>
        <v>0.3</v>
      </c>
      <c r="K55" s="62">
        <f t="shared" si="11"/>
        <v>0.25</v>
      </c>
      <c r="L55" s="62">
        <f t="shared" si="11"/>
        <v>0.05</v>
      </c>
      <c r="M55" s="62">
        <f t="shared" si="11"/>
        <v>0.2</v>
      </c>
      <c r="N55" s="29">
        <f t="shared" si="6"/>
        <v>1</v>
      </c>
      <c r="O55" s="271"/>
      <c r="R55" s="173">
        <f t="shared" si="7"/>
        <v>0.8</v>
      </c>
      <c r="S55" s="596">
        <f t="shared" si="8"/>
        <v>0.71500000000000008</v>
      </c>
    </row>
    <row r="56" spans="2:19">
      <c r="B56" s="301">
        <f t="shared" si="9"/>
        <v>2038</v>
      </c>
      <c r="C56" s="61">
        <f t="shared" si="10"/>
        <v>0</v>
      </c>
      <c r="D56" s="62">
        <f t="shared" si="10"/>
        <v>1</v>
      </c>
      <c r="E56" s="62">
        <f t="shared" si="10"/>
        <v>0</v>
      </c>
      <c r="F56" s="62">
        <f t="shared" si="10"/>
        <v>0</v>
      </c>
      <c r="G56" s="62">
        <f t="shared" si="10"/>
        <v>0</v>
      </c>
      <c r="H56" s="29">
        <f t="shared" si="4"/>
        <v>1</v>
      </c>
      <c r="I56" s="61">
        <f t="shared" si="11"/>
        <v>0.2</v>
      </c>
      <c r="J56" s="62">
        <f t="shared" si="11"/>
        <v>0.3</v>
      </c>
      <c r="K56" s="62">
        <f t="shared" si="11"/>
        <v>0.25</v>
      </c>
      <c r="L56" s="62">
        <f t="shared" si="11"/>
        <v>0.05</v>
      </c>
      <c r="M56" s="62">
        <f t="shared" si="11"/>
        <v>0.2</v>
      </c>
      <c r="N56" s="29">
        <f t="shared" si="6"/>
        <v>1</v>
      </c>
      <c r="O56" s="271"/>
      <c r="R56" s="173">
        <f t="shared" si="7"/>
        <v>0.8</v>
      </c>
      <c r="S56" s="596">
        <f t="shared" si="8"/>
        <v>0.71500000000000008</v>
      </c>
    </row>
    <row r="57" spans="2:19">
      <c r="B57" s="301">
        <f t="shared" si="9"/>
        <v>2039</v>
      </c>
      <c r="C57" s="61">
        <f t="shared" si="10"/>
        <v>0</v>
      </c>
      <c r="D57" s="62">
        <f t="shared" si="10"/>
        <v>1</v>
      </c>
      <c r="E57" s="62">
        <f t="shared" si="10"/>
        <v>0</v>
      </c>
      <c r="F57" s="62">
        <f t="shared" si="10"/>
        <v>0</v>
      </c>
      <c r="G57" s="62">
        <f t="shared" si="10"/>
        <v>0</v>
      </c>
      <c r="H57" s="29">
        <f t="shared" si="4"/>
        <v>1</v>
      </c>
      <c r="I57" s="61">
        <f t="shared" si="11"/>
        <v>0.2</v>
      </c>
      <c r="J57" s="62">
        <f t="shared" si="11"/>
        <v>0.3</v>
      </c>
      <c r="K57" s="62">
        <f t="shared" si="11"/>
        <v>0.25</v>
      </c>
      <c r="L57" s="62">
        <f t="shared" si="11"/>
        <v>0.05</v>
      </c>
      <c r="M57" s="62">
        <f t="shared" si="11"/>
        <v>0.2</v>
      </c>
      <c r="N57" s="29">
        <f t="shared" si="6"/>
        <v>1</v>
      </c>
      <c r="O57" s="271"/>
      <c r="R57" s="173">
        <f t="shared" si="7"/>
        <v>0.8</v>
      </c>
      <c r="S57" s="596">
        <f t="shared" si="8"/>
        <v>0.71500000000000008</v>
      </c>
    </row>
    <row r="58" spans="2:19">
      <c r="B58" s="301">
        <f t="shared" si="9"/>
        <v>2040</v>
      </c>
      <c r="C58" s="61">
        <f t="shared" si="10"/>
        <v>0</v>
      </c>
      <c r="D58" s="62">
        <f t="shared" si="10"/>
        <v>1</v>
      </c>
      <c r="E58" s="62">
        <f t="shared" si="10"/>
        <v>0</v>
      </c>
      <c r="F58" s="62">
        <f t="shared" si="10"/>
        <v>0</v>
      </c>
      <c r="G58" s="62">
        <f t="shared" si="10"/>
        <v>0</v>
      </c>
      <c r="H58" s="29">
        <f t="shared" si="4"/>
        <v>1</v>
      </c>
      <c r="I58" s="61">
        <f t="shared" si="11"/>
        <v>0.2</v>
      </c>
      <c r="J58" s="62">
        <f t="shared" si="11"/>
        <v>0.3</v>
      </c>
      <c r="K58" s="62">
        <f t="shared" si="11"/>
        <v>0.25</v>
      </c>
      <c r="L58" s="62">
        <f t="shared" si="11"/>
        <v>0.05</v>
      </c>
      <c r="M58" s="62">
        <f t="shared" si="11"/>
        <v>0.2</v>
      </c>
      <c r="N58" s="29">
        <f t="shared" si="6"/>
        <v>1</v>
      </c>
      <c r="O58" s="271"/>
      <c r="R58" s="173">
        <f t="shared" si="7"/>
        <v>0.8</v>
      </c>
      <c r="S58" s="596">
        <f t="shared" si="8"/>
        <v>0.71500000000000008</v>
      </c>
    </row>
    <row r="59" spans="2:19">
      <c r="B59" s="301">
        <f t="shared" si="9"/>
        <v>2041</v>
      </c>
      <c r="C59" s="61">
        <f t="shared" si="10"/>
        <v>0</v>
      </c>
      <c r="D59" s="62">
        <f t="shared" si="10"/>
        <v>1</v>
      </c>
      <c r="E59" s="62">
        <f t="shared" si="10"/>
        <v>0</v>
      </c>
      <c r="F59" s="62">
        <f t="shared" si="10"/>
        <v>0</v>
      </c>
      <c r="G59" s="62">
        <f t="shared" si="10"/>
        <v>0</v>
      </c>
      <c r="H59" s="29">
        <f t="shared" si="4"/>
        <v>1</v>
      </c>
      <c r="I59" s="61">
        <f t="shared" si="11"/>
        <v>0.2</v>
      </c>
      <c r="J59" s="62">
        <f t="shared" si="11"/>
        <v>0.3</v>
      </c>
      <c r="K59" s="62">
        <f t="shared" si="11"/>
        <v>0.25</v>
      </c>
      <c r="L59" s="62">
        <f t="shared" si="11"/>
        <v>0.05</v>
      </c>
      <c r="M59" s="62">
        <f t="shared" si="11"/>
        <v>0.2</v>
      </c>
      <c r="N59" s="29">
        <f t="shared" si="6"/>
        <v>1</v>
      </c>
      <c r="O59" s="271"/>
      <c r="R59" s="173">
        <f t="shared" si="7"/>
        <v>0.8</v>
      </c>
      <c r="S59" s="596">
        <f t="shared" si="8"/>
        <v>0.71500000000000008</v>
      </c>
    </row>
    <row r="60" spans="2:19">
      <c r="B60" s="301">
        <f t="shared" si="9"/>
        <v>2042</v>
      </c>
      <c r="C60" s="61">
        <f t="shared" si="10"/>
        <v>0</v>
      </c>
      <c r="D60" s="62">
        <f t="shared" si="10"/>
        <v>1</v>
      </c>
      <c r="E60" s="62">
        <f t="shared" si="10"/>
        <v>0</v>
      </c>
      <c r="F60" s="62">
        <f t="shared" si="10"/>
        <v>0</v>
      </c>
      <c r="G60" s="62">
        <f t="shared" si="10"/>
        <v>0</v>
      </c>
      <c r="H60" s="29">
        <f t="shared" si="4"/>
        <v>1</v>
      </c>
      <c r="I60" s="61">
        <f t="shared" si="11"/>
        <v>0.2</v>
      </c>
      <c r="J60" s="62">
        <f t="shared" si="11"/>
        <v>0.3</v>
      </c>
      <c r="K60" s="62">
        <f t="shared" si="11"/>
        <v>0.25</v>
      </c>
      <c r="L60" s="62">
        <f t="shared" si="11"/>
        <v>0.05</v>
      </c>
      <c r="M60" s="62">
        <f t="shared" si="11"/>
        <v>0.2</v>
      </c>
      <c r="N60" s="29">
        <f t="shared" si="6"/>
        <v>1</v>
      </c>
      <c r="O60" s="271"/>
      <c r="R60" s="173">
        <f t="shared" si="7"/>
        <v>0.8</v>
      </c>
      <c r="S60" s="596">
        <f t="shared" si="8"/>
        <v>0.71500000000000008</v>
      </c>
    </row>
    <row r="61" spans="2:19">
      <c r="B61" s="301">
        <f t="shared" si="9"/>
        <v>2043</v>
      </c>
      <c r="C61" s="61">
        <f t="shared" si="10"/>
        <v>0</v>
      </c>
      <c r="D61" s="62">
        <f t="shared" si="10"/>
        <v>1</v>
      </c>
      <c r="E61" s="62">
        <f t="shared" si="10"/>
        <v>0</v>
      </c>
      <c r="F61" s="62">
        <f t="shared" si="10"/>
        <v>0</v>
      </c>
      <c r="G61" s="62">
        <f t="shared" si="10"/>
        <v>0</v>
      </c>
      <c r="H61" s="29">
        <f t="shared" si="4"/>
        <v>1</v>
      </c>
      <c r="I61" s="61">
        <f t="shared" si="11"/>
        <v>0.2</v>
      </c>
      <c r="J61" s="62">
        <f t="shared" si="11"/>
        <v>0.3</v>
      </c>
      <c r="K61" s="62">
        <f t="shared" si="11"/>
        <v>0.25</v>
      </c>
      <c r="L61" s="62">
        <f t="shared" si="11"/>
        <v>0.05</v>
      </c>
      <c r="M61" s="62">
        <f t="shared" si="11"/>
        <v>0.2</v>
      </c>
      <c r="N61" s="29">
        <f t="shared" si="6"/>
        <v>1</v>
      </c>
      <c r="O61" s="271"/>
      <c r="R61" s="173">
        <f t="shared" si="7"/>
        <v>0.8</v>
      </c>
      <c r="S61" s="596">
        <f t="shared" si="8"/>
        <v>0.71500000000000008</v>
      </c>
    </row>
    <row r="62" spans="2:19">
      <c r="B62" s="301">
        <f t="shared" si="9"/>
        <v>2044</v>
      </c>
      <c r="C62" s="61">
        <f t="shared" si="10"/>
        <v>0</v>
      </c>
      <c r="D62" s="62">
        <f t="shared" si="10"/>
        <v>1</v>
      </c>
      <c r="E62" s="62">
        <f t="shared" si="10"/>
        <v>0</v>
      </c>
      <c r="F62" s="62">
        <f t="shared" si="10"/>
        <v>0</v>
      </c>
      <c r="G62" s="62">
        <f t="shared" si="10"/>
        <v>0</v>
      </c>
      <c r="H62" s="29">
        <f t="shared" si="4"/>
        <v>1</v>
      </c>
      <c r="I62" s="61">
        <f t="shared" si="11"/>
        <v>0.2</v>
      </c>
      <c r="J62" s="62">
        <f t="shared" si="11"/>
        <v>0.3</v>
      </c>
      <c r="K62" s="62">
        <f t="shared" si="11"/>
        <v>0.25</v>
      </c>
      <c r="L62" s="62">
        <f t="shared" si="11"/>
        <v>0.05</v>
      </c>
      <c r="M62" s="62">
        <f t="shared" si="11"/>
        <v>0.2</v>
      </c>
      <c r="N62" s="29">
        <f t="shared" si="6"/>
        <v>1</v>
      </c>
      <c r="O62" s="271"/>
      <c r="R62" s="173">
        <f t="shared" si="7"/>
        <v>0.8</v>
      </c>
      <c r="S62" s="596">
        <f t="shared" si="8"/>
        <v>0.71500000000000008</v>
      </c>
    </row>
    <row r="63" spans="2:19">
      <c r="B63" s="301">
        <f t="shared" si="9"/>
        <v>2045</v>
      </c>
      <c r="C63" s="61">
        <f t="shared" si="10"/>
        <v>0</v>
      </c>
      <c r="D63" s="62">
        <f t="shared" si="10"/>
        <v>1</v>
      </c>
      <c r="E63" s="62">
        <f t="shared" si="10"/>
        <v>0</v>
      </c>
      <c r="F63" s="62">
        <f t="shared" si="10"/>
        <v>0</v>
      </c>
      <c r="G63" s="62">
        <f t="shared" si="10"/>
        <v>0</v>
      </c>
      <c r="H63" s="29">
        <f t="shared" si="4"/>
        <v>1</v>
      </c>
      <c r="I63" s="61">
        <f t="shared" si="11"/>
        <v>0.2</v>
      </c>
      <c r="J63" s="62">
        <f t="shared" si="11"/>
        <v>0.3</v>
      </c>
      <c r="K63" s="62">
        <f t="shared" si="11"/>
        <v>0.25</v>
      </c>
      <c r="L63" s="62">
        <f t="shared" si="11"/>
        <v>0.05</v>
      </c>
      <c r="M63" s="62">
        <f t="shared" si="11"/>
        <v>0.2</v>
      </c>
      <c r="N63" s="29">
        <f t="shared" si="6"/>
        <v>1</v>
      </c>
      <c r="O63" s="271"/>
      <c r="R63" s="173">
        <f t="shared" si="7"/>
        <v>0.8</v>
      </c>
      <c r="S63" s="596">
        <f t="shared" si="8"/>
        <v>0.71500000000000008</v>
      </c>
    </row>
    <row r="64" spans="2:19">
      <c r="B64" s="301">
        <f t="shared" si="9"/>
        <v>2046</v>
      </c>
      <c r="C64" s="61">
        <f t="shared" si="10"/>
        <v>0</v>
      </c>
      <c r="D64" s="62">
        <f t="shared" si="10"/>
        <v>1</v>
      </c>
      <c r="E64" s="62">
        <f t="shared" si="10"/>
        <v>0</v>
      </c>
      <c r="F64" s="62">
        <f t="shared" si="10"/>
        <v>0</v>
      </c>
      <c r="G64" s="62">
        <f t="shared" si="10"/>
        <v>0</v>
      </c>
      <c r="H64" s="29">
        <f t="shared" si="4"/>
        <v>1</v>
      </c>
      <c r="I64" s="61">
        <f t="shared" si="11"/>
        <v>0.2</v>
      </c>
      <c r="J64" s="62">
        <f t="shared" si="11"/>
        <v>0.3</v>
      </c>
      <c r="K64" s="62">
        <f t="shared" si="11"/>
        <v>0.25</v>
      </c>
      <c r="L64" s="62">
        <f t="shared" si="11"/>
        <v>0.05</v>
      </c>
      <c r="M64" s="62">
        <f t="shared" si="11"/>
        <v>0.2</v>
      </c>
      <c r="N64" s="29">
        <f t="shared" si="6"/>
        <v>1</v>
      </c>
      <c r="O64" s="271"/>
      <c r="R64" s="173">
        <f t="shared" si="7"/>
        <v>0.8</v>
      </c>
      <c r="S64" s="596">
        <f t="shared" si="8"/>
        <v>0.71500000000000008</v>
      </c>
    </row>
    <row r="65" spans="2:19">
      <c r="B65" s="301">
        <f t="shared" si="9"/>
        <v>2047</v>
      </c>
      <c r="C65" s="61">
        <f t="shared" si="10"/>
        <v>0</v>
      </c>
      <c r="D65" s="62">
        <f t="shared" si="10"/>
        <v>1</v>
      </c>
      <c r="E65" s="62">
        <f t="shared" si="10"/>
        <v>0</v>
      </c>
      <c r="F65" s="62">
        <f t="shared" si="10"/>
        <v>0</v>
      </c>
      <c r="G65" s="62">
        <f t="shared" si="10"/>
        <v>0</v>
      </c>
      <c r="H65" s="29">
        <f t="shared" si="4"/>
        <v>1</v>
      </c>
      <c r="I65" s="61">
        <f t="shared" si="11"/>
        <v>0.2</v>
      </c>
      <c r="J65" s="62">
        <f t="shared" si="11"/>
        <v>0.3</v>
      </c>
      <c r="K65" s="62">
        <f t="shared" si="11"/>
        <v>0.25</v>
      </c>
      <c r="L65" s="62">
        <f t="shared" si="11"/>
        <v>0.05</v>
      </c>
      <c r="M65" s="62">
        <f t="shared" si="11"/>
        <v>0.2</v>
      </c>
      <c r="N65" s="29">
        <f t="shared" si="6"/>
        <v>1</v>
      </c>
      <c r="O65" s="271"/>
      <c r="R65" s="173">
        <f t="shared" si="7"/>
        <v>0.8</v>
      </c>
      <c r="S65" s="596">
        <f t="shared" si="8"/>
        <v>0.71500000000000008</v>
      </c>
    </row>
    <row r="66" spans="2:19">
      <c r="B66" s="301">
        <f t="shared" si="9"/>
        <v>2048</v>
      </c>
      <c r="C66" s="61">
        <f t="shared" si="10"/>
        <v>0</v>
      </c>
      <c r="D66" s="62">
        <f t="shared" si="10"/>
        <v>1</v>
      </c>
      <c r="E66" s="62">
        <f t="shared" si="10"/>
        <v>0</v>
      </c>
      <c r="F66" s="62">
        <f t="shared" si="10"/>
        <v>0</v>
      </c>
      <c r="G66" s="62">
        <f t="shared" si="10"/>
        <v>0</v>
      </c>
      <c r="H66" s="29">
        <f t="shared" si="4"/>
        <v>1</v>
      </c>
      <c r="I66" s="61">
        <f t="shared" si="11"/>
        <v>0.2</v>
      </c>
      <c r="J66" s="62">
        <f t="shared" si="11"/>
        <v>0.3</v>
      </c>
      <c r="K66" s="62">
        <f t="shared" si="11"/>
        <v>0.25</v>
      </c>
      <c r="L66" s="62">
        <f t="shared" si="11"/>
        <v>0.05</v>
      </c>
      <c r="M66" s="62">
        <f t="shared" si="11"/>
        <v>0.2</v>
      </c>
      <c r="N66" s="29">
        <f t="shared" si="6"/>
        <v>1</v>
      </c>
      <c r="O66" s="271"/>
      <c r="R66" s="173">
        <f t="shared" si="7"/>
        <v>0.8</v>
      </c>
      <c r="S66" s="596">
        <f t="shared" si="8"/>
        <v>0.71500000000000008</v>
      </c>
    </row>
    <row r="67" spans="2:19">
      <c r="B67" s="301">
        <f t="shared" si="9"/>
        <v>2049</v>
      </c>
      <c r="C67" s="61">
        <f t="shared" si="10"/>
        <v>0</v>
      </c>
      <c r="D67" s="62">
        <f t="shared" si="10"/>
        <v>1</v>
      </c>
      <c r="E67" s="62">
        <f t="shared" si="10"/>
        <v>0</v>
      </c>
      <c r="F67" s="62">
        <f t="shared" si="10"/>
        <v>0</v>
      </c>
      <c r="G67" s="62">
        <f t="shared" si="10"/>
        <v>0</v>
      </c>
      <c r="H67" s="29">
        <f t="shared" si="4"/>
        <v>1</v>
      </c>
      <c r="I67" s="61">
        <f t="shared" si="11"/>
        <v>0.2</v>
      </c>
      <c r="J67" s="62">
        <f t="shared" si="11"/>
        <v>0.3</v>
      </c>
      <c r="K67" s="62">
        <f t="shared" si="11"/>
        <v>0.25</v>
      </c>
      <c r="L67" s="62">
        <f t="shared" si="11"/>
        <v>0.05</v>
      </c>
      <c r="M67" s="62">
        <f t="shared" si="11"/>
        <v>0.2</v>
      </c>
      <c r="N67" s="29">
        <f t="shared" si="6"/>
        <v>1</v>
      </c>
      <c r="O67" s="271"/>
      <c r="R67" s="173">
        <f t="shared" si="7"/>
        <v>0.8</v>
      </c>
      <c r="S67" s="596">
        <f t="shared" si="8"/>
        <v>0.71500000000000008</v>
      </c>
    </row>
    <row r="68" spans="2:19">
      <c r="B68" s="301">
        <f t="shared" si="9"/>
        <v>2050</v>
      </c>
      <c r="C68" s="61">
        <f t="shared" si="10"/>
        <v>0</v>
      </c>
      <c r="D68" s="62">
        <f t="shared" si="10"/>
        <v>1</v>
      </c>
      <c r="E68" s="62">
        <f t="shared" si="10"/>
        <v>0</v>
      </c>
      <c r="F68" s="62">
        <f t="shared" si="10"/>
        <v>0</v>
      </c>
      <c r="G68" s="62">
        <f t="shared" si="10"/>
        <v>0</v>
      </c>
      <c r="H68" s="29">
        <f t="shared" si="4"/>
        <v>1</v>
      </c>
      <c r="I68" s="61">
        <f t="shared" si="11"/>
        <v>0.2</v>
      </c>
      <c r="J68" s="62">
        <f t="shared" si="11"/>
        <v>0.3</v>
      </c>
      <c r="K68" s="62">
        <f t="shared" si="11"/>
        <v>0.25</v>
      </c>
      <c r="L68" s="62">
        <f t="shared" si="11"/>
        <v>0.05</v>
      </c>
      <c r="M68" s="62">
        <f t="shared" si="11"/>
        <v>0.2</v>
      </c>
      <c r="N68" s="29">
        <f t="shared" si="6"/>
        <v>1</v>
      </c>
      <c r="O68" s="271"/>
      <c r="R68" s="173">
        <f t="shared" si="7"/>
        <v>0.8</v>
      </c>
      <c r="S68" s="596">
        <f t="shared" si="8"/>
        <v>0.71500000000000008</v>
      </c>
    </row>
    <row r="69" spans="2:19">
      <c r="B69" s="301">
        <f t="shared" si="9"/>
        <v>2051</v>
      </c>
      <c r="C69" s="61">
        <f t="shared" si="10"/>
        <v>0</v>
      </c>
      <c r="D69" s="62">
        <f t="shared" si="10"/>
        <v>1</v>
      </c>
      <c r="E69" s="62">
        <f t="shared" si="10"/>
        <v>0</v>
      </c>
      <c r="F69" s="62">
        <f t="shared" si="10"/>
        <v>0</v>
      </c>
      <c r="G69" s="62">
        <f t="shared" si="10"/>
        <v>0</v>
      </c>
      <c r="H69" s="29">
        <f t="shared" si="4"/>
        <v>1</v>
      </c>
      <c r="I69" s="61">
        <f t="shared" si="11"/>
        <v>0.2</v>
      </c>
      <c r="J69" s="62">
        <f t="shared" si="11"/>
        <v>0.3</v>
      </c>
      <c r="K69" s="62">
        <f t="shared" si="11"/>
        <v>0.25</v>
      </c>
      <c r="L69" s="62">
        <f t="shared" si="11"/>
        <v>0.05</v>
      </c>
      <c r="M69" s="62">
        <f t="shared" si="11"/>
        <v>0.2</v>
      </c>
      <c r="N69" s="29">
        <f t="shared" si="6"/>
        <v>1</v>
      </c>
      <c r="O69" s="271"/>
      <c r="R69" s="173">
        <f t="shared" si="7"/>
        <v>0.8</v>
      </c>
      <c r="S69" s="596">
        <f t="shared" si="8"/>
        <v>0.71500000000000008</v>
      </c>
    </row>
    <row r="70" spans="2:19">
      <c r="B70" s="301">
        <f t="shared" si="9"/>
        <v>2052</v>
      </c>
      <c r="C70" s="61">
        <f t="shared" si="10"/>
        <v>0</v>
      </c>
      <c r="D70" s="62">
        <f t="shared" si="10"/>
        <v>1</v>
      </c>
      <c r="E70" s="62">
        <f t="shared" si="10"/>
        <v>0</v>
      </c>
      <c r="F70" s="62">
        <f t="shared" si="10"/>
        <v>0</v>
      </c>
      <c r="G70" s="62">
        <f t="shared" si="10"/>
        <v>0</v>
      </c>
      <c r="H70" s="29">
        <f t="shared" si="4"/>
        <v>1</v>
      </c>
      <c r="I70" s="61">
        <f t="shared" si="11"/>
        <v>0.2</v>
      </c>
      <c r="J70" s="62">
        <f t="shared" si="11"/>
        <v>0.3</v>
      </c>
      <c r="K70" s="62">
        <f t="shared" si="11"/>
        <v>0.25</v>
      </c>
      <c r="L70" s="62">
        <f t="shared" si="11"/>
        <v>0.05</v>
      </c>
      <c r="M70" s="62">
        <f t="shared" si="11"/>
        <v>0.2</v>
      </c>
      <c r="N70" s="29">
        <f t="shared" si="6"/>
        <v>1</v>
      </c>
      <c r="O70" s="271"/>
      <c r="R70" s="173">
        <f t="shared" si="7"/>
        <v>0.8</v>
      </c>
      <c r="S70" s="596">
        <f t="shared" si="8"/>
        <v>0.71500000000000008</v>
      </c>
    </row>
    <row r="71" spans="2:19">
      <c r="B71" s="301">
        <f t="shared" si="9"/>
        <v>2053</v>
      </c>
      <c r="C71" s="61">
        <f t="shared" si="10"/>
        <v>0</v>
      </c>
      <c r="D71" s="62">
        <f t="shared" si="10"/>
        <v>1</v>
      </c>
      <c r="E71" s="62">
        <f t="shared" si="10"/>
        <v>0</v>
      </c>
      <c r="F71" s="62">
        <f t="shared" si="10"/>
        <v>0</v>
      </c>
      <c r="G71" s="62">
        <f t="shared" si="10"/>
        <v>0</v>
      </c>
      <c r="H71" s="29">
        <f t="shared" si="4"/>
        <v>1</v>
      </c>
      <c r="I71" s="61">
        <f t="shared" si="11"/>
        <v>0.2</v>
      </c>
      <c r="J71" s="62">
        <f t="shared" si="11"/>
        <v>0.3</v>
      </c>
      <c r="K71" s="62">
        <f t="shared" si="11"/>
        <v>0.25</v>
      </c>
      <c r="L71" s="62">
        <f t="shared" si="11"/>
        <v>0.05</v>
      </c>
      <c r="M71" s="62">
        <f t="shared" si="11"/>
        <v>0.2</v>
      </c>
      <c r="N71" s="29">
        <f t="shared" si="6"/>
        <v>1</v>
      </c>
      <c r="O71" s="271"/>
      <c r="R71" s="173">
        <f t="shared" si="7"/>
        <v>0.8</v>
      </c>
      <c r="S71" s="596">
        <f t="shared" si="8"/>
        <v>0.71500000000000008</v>
      </c>
    </row>
    <row r="72" spans="2:19">
      <c r="B72" s="301">
        <f t="shared" si="9"/>
        <v>2054</v>
      </c>
      <c r="C72" s="61">
        <f t="shared" si="10"/>
        <v>0</v>
      </c>
      <c r="D72" s="62">
        <f t="shared" si="10"/>
        <v>1</v>
      </c>
      <c r="E72" s="62">
        <f t="shared" si="10"/>
        <v>0</v>
      </c>
      <c r="F72" s="62">
        <f t="shared" si="10"/>
        <v>0</v>
      </c>
      <c r="G72" s="62">
        <f t="shared" si="10"/>
        <v>0</v>
      </c>
      <c r="H72" s="29">
        <f t="shared" si="4"/>
        <v>1</v>
      </c>
      <c r="I72" s="61">
        <f t="shared" si="11"/>
        <v>0.2</v>
      </c>
      <c r="J72" s="62">
        <f t="shared" si="11"/>
        <v>0.3</v>
      </c>
      <c r="K72" s="62">
        <f t="shared" si="11"/>
        <v>0.25</v>
      </c>
      <c r="L72" s="62">
        <f t="shared" si="11"/>
        <v>0.05</v>
      </c>
      <c r="M72" s="62">
        <f t="shared" si="11"/>
        <v>0.2</v>
      </c>
      <c r="N72" s="29">
        <f t="shared" si="6"/>
        <v>1</v>
      </c>
      <c r="O72" s="271"/>
      <c r="R72" s="173">
        <f t="shared" si="7"/>
        <v>0.8</v>
      </c>
      <c r="S72" s="596">
        <f t="shared" si="8"/>
        <v>0.71500000000000008</v>
      </c>
    </row>
    <row r="73" spans="2:19">
      <c r="B73" s="301">
        <f t="shared" si="9"/>
        <v>2055</v>
      </c>
      <c r="C73" s="61">
        <f t="shared" si="10"/>
        <v>0</v>
      </c>
      <c r="D73" s="62">
        <f t="shared" si="10"/>
        <v>1</v>
      </c>
      <c r="E73" s="62">
        <f t="shared" si="10"/>
        <v>0</v>
      </c>
      <c r="F73" s="62">
        <f t="shared" si="10"/>
        <v>0</v>
      </c>
      <c r="G73" s="62">
        <f t="shared" si="10"/>
        <v>0</v>
      </c>
      <c r="H73" s="29">
        <f t="shared" si="4"/>
        <v>1</v>
      </c>
      <c r="I73" s="61">
        <f t="shared" si="11"/>
        <v>0.2</v>
      </c>
      <c r="J73" s="62">
        <f t="shared" si="11"/>
        <v>0.3</v>
      </c>
      <c r="K73" s="62">
        <f t="shared" si="11"/>
        <v>0.25</v>
      </c>
      <c r="L73" s="62">
        <f t="shared" si="11"/>
        <v>0.05</v>
      </c>
      <c r="M73" s="62">
        <f t="shared" si="11"/>
        <v>0.2</v>
      </c>
      <c r="N73" s="29">
        <f t="shared" si="6"/>
        <v>1</v>
      </c>
      <c r="O73" s="271"/>
      <c r="R73" s="173">
        <f t="shared" si="7"/>
        <v>0.8</v>
      </c>
      <c r="S73" s="596">
        <f t="shared" si="8"/>
        <v>0.71500000000000008</v>
      </c>
    </row>
    <row r="74" spans="2:19">
      <c r="B74" s="301">
        <f t="shared" si="9"/>
        <v>2056</v>
      </c>
      <c r="C74" s="61">
        <f t="shared" si="10"/>
        <v>0</v>
      </c>
      <c r="D74" s="62">
        <f t="shared" si="10"/>
        <v>1</v>
      </c>
      <c r="E74" s="62">
        <f t="shared" si="10"/>
        <v>0</v>
      </c>
      <c r="F74" s="62">
        <f t="shared" si="10"/>
        <v>0</v>
      </c>
      <c r="G74" s="62">
        <f t="shared" si="10"/>
        <v>0</v>
      </c>
      <c r="H74" s="29">
        <f t="shared" si="4"/>
        <v>1</v>
      </c>
      <c r="I74" s="61">
        <f t="shared" si="11"/>
        <v>0.2</v>
      </c>
      <c r="J74" s="62">
        <f t="shared" si="11"/>
        <v>0.3</v>
      </c>
      <c r="K74" s="62">
        <f t="shared" si="11"/>
        <v>0.25</v>
      </c>
      <c r="L74" s="62">
        <f t="shared" si="11"/>
        <v>0.05</v>
      </c>
      <c r="M74" s="62">
        <f t="shared" si="11"/>
        <v>0.2</v>
      </c>
      <c r="N74" s="29">
        <f t="shared" si="6"/>
        <v>1</v>
      </c>
      <c r="O74" s="271"/>
      <c r="R74" s="173">
        <f t="shared" si="7"/>
        <v>0.8</v>
      </c>
      <c r="S74" s="596">
        <f t="shared" si="8"/>
        <v>0.71500000000000008</v>
      </c>
    </row>
    <row r="75" spans="2:19">
      <c r="B75" s="301">
        <f t="shared" si="9"/>
        <v>2057</v>
      </c>
      <c r="C75" s="61">
        <f t="shared" si="10"/>
        <v>0</v>
      </c>
      <c r="D75" s="62">
        <f t="shared" si="10"/>
        <v>1</v>
      </c>
      <c r="E75" s="62">
        <f t="shared" si="10"/>
        <v>0</v>
      </c>
      <c r="F75" s="62">
        <f t="shared" si="10"/>
        <v>0</v>
      </c>
      <c r="G75" s="62">
        <f t="shared" si="10"/>
        <v>0</v>
      </c>
      <c r="H75" s="29">
        <f t="shared" si="4"/>
        <v>1</v>
      </c>
      <c r="I75" s="61">
        <f t="shared" si="11"/>
        <v>0.2</v>
      </c>
      <c r="J75" s="62">
        <f t="shared" si="11"/>
        <v>0.3</v>
      </c>
      <c r="K75" s="62">
        <f t="shared" si="11"/>
        <v>0.25</v>
      </c>
      <c r="L75" s="62">
        <f t="shared" si="11"/>
        <v>0.05</v>
      </c>
      <c r="M75" s="62">
        <f t="shared" si="11"/>
        <v>0.2</v>
      </c>
      <c r="N75" s="29">
        <f t="shared" si="6"/>
        <v>1</v>
      </c>
      <c r="O75" s="271"/>
      <c r="R75" s="173">
        <f t="shared" si="7"/>
        <v>0.8</v>
      </c>
      <c r="S75" s="596">
        <f t="shared" si="8"/>
        <v>0.71500000000000008</v>
      </c>
    </row>
    <row r="76" spans="2:19">
      <c r="B76" s="301">
        <f t="shared" si="9"/>
        <v>2058</v>
      </c>
      <c r="C76" s="61">
        <f t="shared" si="10"/>
        <v>0</v>
      </c>
      <c r="D76" s="62">
        <f t="shared" si="10"/>
        <v>1</v>
      </c>
      <c r="E76" s="62">
        <f t="shared" si="10"/>
        <v>0</v>
      </c>
      <c r="F76" s="62">
        <f t="shared" si="10"/>
        <v>0</v>
      </c>
      <c r="G76" s="62">
        <f t="shared" si="10"/>
        <v>0</v>
      </c>
      <c r="H76" s="29">
        <f t="shared" si="4"/>
        <v>1</v>
      </c>
      <c r="I76" s="61">
        <f t="shared" si="11"/>
        <v>0.2</v>
      </c>
      <c r="J76" s="62">
        <f t="shared" si="11"/>
        <v>0.3</v>
      </c>
      <c r="K76" s="62">
        <f t="shared" si="11"/>
        <v>0.25</v>
      </c>
      <c r="L76" s="62">
        <f t="shared" si="11"/>
        <v>0.05</v>
      </c>
      <c r="M76" s="62">
        <f t="shared" si="11"/>
        <v>0.2</v>
      </c>
      <c r="N76" s="29">
        <f t="shared" si="6"/>
        <v>1</v>
      </c>
      <c r="O76" s="271"/>
      <c r="R76" s="173">
        <f t="shared" si="7"/>
        <v>0.8</v>
      </c>
      <c r="S76" s="596">
        <f t="shared" si="8"/>
        <v>0.71500000000000008</v>
      </c>
    </row>
    <row r="77" spans="2:19">
      <c r="B77" s="301">
        <f t="shared" si="9"/>
        <v>2059</v>
      </c>
      <c r="C77" s="61">
        <f t="shared" si="10"/>
        <v>0</v>
      </c>
      <c r="D77" s="62">
        <f t="shared" si="10"/>
        <v>1</v>
      </c>
      <c r="E77" s="62">
        <f t="shared" si="10"/>
        <v>0</v>
      </c>
      <c r="F77" s="62">
        <f t="shared" si="10"/>
        <v>0</v>
      </c>
      <c r="G77" s="62">
        <f t="shared" si="10"/>
        <v>0</v>
      </c>
      <c r="H77" s="29">
        <f t="shared" si="4"/>
        <v>1</v>
      </c>
      <c r="I77" s="61">
        <f t="shared" si="11"/>
        <v>0.2</v>
      </c>
      <c r="J77" s="62">
        <f t="shared" si="11"/>
        <v>0.3</v>
      </c>
      <c r="K77" s="62">
        <f t="shared" si="11"/>
        <v>0.25</v>
      </c>
      <c r="L77" s="62">
        <f t="shared" si="11"/>
        <v>0.05</v>
      </c>
      <c r="M77" s="62">
        <f t="shared" si="11"/>
        <v>0.2</v>
      </c>
      <c r="N77" s="29">
        <f t="shared" si="6"/>
        <v>1</v>
      </c>
      <c r="O77" s="271"/>
      <c r="R77" s="173">
        <f t="shared" si="7"/>
        <v>0.8</v>
      </c>
      <c r="S77" s="596">
        <f t="shared" si="8"/>
        <v>0.71500000000000008</v>
      </c>
    </row>
    <row r="78" spans="2:19">
      <c r="B78" s="301">
        <f t="shared" si="9"/>
        <v>2060</v>
      </c>
      <c r="C78" s="61">
        <f t="shared" si="10"/>
        <v>0</v>
      </c>
      <c r="D78" s="62">
        <f t="shared" si="10"/>
        <v>1</v>
      </c>
      <c r="E78" s="62">
        <f t="shared" si="10"/>
        <v>0</v>
      </c>
      <c r="F78" s="62">
        <f t="shared" si="10"/>
        <v>0</v>
      </c>
      <c r="G78" s="62">
        <f t="shared" si="10"/>
        <v>0</v>
      </c>
      <c r="H78" s="29">
        <f t="shared" si="4"/>
        <v>1</v>
      </c>
      <c r="I78" s="61">
        <f t="shared" si="11"/>
        <v>0.2</v>
      </c>
      <c r="J78" s="62">
        <f t="shared" si="11"/>
        <v>0.3</v>
      </c>
      <c r="K78" s="62">
        <f t="shared" si="11"/>
        <v>0.25</v>
      </c>
      <c r="L78" s="62">
        <f t="shared" si="11"/>
        <v>0.05</v>
      </c>
      <c r="M78" s="62">
        <f t="shared" si="11"/>
        <v>0.2</v>
      </c>
      <c r="N78" s="29">
        <f t="shared" si="6"/>
        <v>1</v>
      </c>
      <c r="O78" s="271"/>
      <c r="R78" s="173">
        <f t="shared" si="7"/>
        <v>0.8</v>
      </c>
      <c r="S78" s="596">
        <f t="shared" si="8"/>
        <v>0.71500000000000008</v>
      </c>
    </row>
    <row r="79" spans="2:19">
      <c r="B79" s="301">
        <f t="shared" si="9"/>
        <v>2061</v>
      </c>
      <c r="C79" s="61">
        <f t="shared" si="10"/>
        <v>0</v>
      </c>
      <c r="D79" s="62">
        <f t="shared" si="10"/>
        <v>1</v>
      </c>
      <c r="E79" s="62">
        <f t="shared" si="10"/>
        <v>0</v>
      </c>
      <c r="F79" s="62">
        <f t="shared" si="10"/>
        <v>0</v>
      </c>
      <c r="G79" s="62">
        <f t="shared" si="10"/>
        <v>0</v>
      </c>
      <c r="H79" s="29">
        <f t="shared" si="4"/>
        <v>1</v>
      </c>
      <c r="I79" s="61">
        <f t="shared" si="11"/>
        <v>0.2</v>
      </c>
      <c r="J79" s="62">
        <f t="shared" si="11"/>
        <v>0.3</v>
      </c>
      <c r="K79" s="62">
        <f t="shared" si="11"/>
        <v>0.25</v>
      </c>
      <c r="L79" s="62">
        <f t="shared" si="11"/>
        <v>0.05</v>
      </c>
      <c r="M79" s="62">
        <f t="shared" si="11"/>
        <v>0.2</v>
      </c>
      <c r="N79" s="29">
        <f t="shared" si="6"/>
        <v>1</v>
      </c>
      <c r="O79" s="271"/>
      <c r="R79" s="173">
        <f t="shared" si="7"/>
        <v>0.8</v>
      </c>
      <c r="S79" s="596">
        <f t="shared" si="8"/>
        <v>0.71500000000000008</v>
      </c>
    </row>
    <row r="80" spans="2:19">
      <c r="B80" s="301">
        <f t="shared" si="9"/>
        <v>2062</v>
      </c>
      <c r="C80" s="61">
        <f t="shared" si="10"/>
        <v>0</v>
      </c>
      <c r="D80" s="62">
        <f t="shared" si="10"/>
        <v>1</v>
      </c>
      <c r="E80" s="62">
        <f t="shared" si="10"/>
        <v>0</v>
      </c>
      <c r="F80" s="62">
        <f t="shared" si="10"/>
        <v>0</v>
      </c>
      <c r="G80" s="62">
        <f t="shared" si="10"/>
        <v>0</v>
      </c>
      <c r="H80" s="29">
        <f t="shared" si="4"/>
        <v>1</v>
      </c>
      <c r="I80" s="61">
        <f t="shared" si="11"/>
        <v>0.2</v>
      </c>
      <c r="J80" s="62">
        <f t="shared" si="11"/>
        <v>0.3</v>
      </c>
      <c r="K80" s="62">
        <f t="shared" si="11"/>
        <v>0.25</v>
      </c>
      <c r="L80" s="62">
        <f t="shared" si="11"/>
        <v>0.05</v>
      </c>
      <c r="M80" s="62">
        <f t="shared" si="11"/>
        <v>0.2</v>
      </c>
      <c r="N80" s="29">
        <f t="shared" si="6"/>
        <v>1</v>
      </c>
      <c r="O80" s="271"/>
      <c r="R80" s="173">
        <f t="shared" si="7"/>
        <v>0.8</v>
      </c>
      <c r="S80" s="596">
        <f t="shared" si="8"/>
        <v>0.71500000000000008</v>
      </c>
    </row>
    <row r="81" spans="2:19">
      <c r="B81" s="301">
        <f t="shared" si="9"/>
        <v>2063</v>
      </c>
      <c r="C81" s="61">
        <f t="shared" si="10"/>
        <v>0</v>
      </c>
      <c r="D81" s="62">
        <f t="shared" si="10"/>
        <v>1</v>
      </c>
      <c r="E81" s="62">
        <f t="shared" si="10"/>
        <v>0</v>
      </c>
      <c r="F81" s="62">
        <f t="shared" si="10"/>
        <v>0</v>
      </c>
      <c r="G81" s="62">
        <f t="shared" si="10"/>
        <v>0</v>
      </c>
      <c r="H81" s="29">
        <f t="shared" si="4"/>
        <v>1</v>
      </c>
      <c r="I81" s="61">
        <f t="shared" si="11"/>
        <v>0.2</v>
      </c>
      <c r="J81" s="62">
        <f t="shared" si="11"/>
        <v>0.3</v>
      </c>
      <c r="K81" s="62">
        <f t="shared" si="11"/>
        <v>0.25</v>
      </c>
      <c r="L81" s="62">
        <f t="shared" si="11"/>
        <v>0.05</v>
      </c>
      <c r="M81" s="62">
        <f t="shared" si="11"/>
        <v>0.2</v>
      </c>
      <c r="N81" s="29">
        <f t="shared" si="6"/>
        <v>1</v>
      </c>
      <c r="O81" s="271"/>
      <c r="R81" s="173">
        <f t="shared" si="7"/>
        <v>0.8</v>
      </c>
      <c r="S81" s="596">
        <f t="shared" si="8"/>
        <v>0.71500000000000008</v>
      </c>
    </row>
    <row r="82" spans="2:19">
      <c r="B82" s="301">
        <f t="shared" si="9"/>
        <v>2064</v>
      </c>
      <c r="C82" s="61">
        <f t="shared" si="10"/>
        <v>0</v>
      </c>
      <c r="D82" s="62">
        <f t="shared" si="10"/>
        <v>1</v>
      </c>
      <c r="E82" s="62">
        <f t="shared" si="10"/>
        <v>0</v>
      </c>
      <c r="F82" s="62">
        <f t="shared" si="10"/>
        <v>0</v>
      </c>
      <c r="G82" s="62">
        <f t="shared" si="10"/>
        <v>0</v>
      </c>
      <c r="H82" s="29">
        <f t="shared" si="4"/>
        <v>1</v>
      </c>
      <c r="I82" s="61">
        <f t="shared" si="11"/>
        <v>0.2</v>
      </c>
      <c r="J82" s="62">
        <f t="shared" si="11"/>
        <v>0.3</v>
      </c>
      <c r="K82" s="62">
        <f t="shared" si="11"/>
        <v>0.25</v>
      </c>
      <c r="L82" s="62">
        <f t="shared" si="11"/>
        <v>0.05</v>
      </c>
      <c r="M82" s="62">
        <f t="shared" si="11"/>
        <v>0.2</v>
      </c>
      <c r="N82" s="29">
        <f t="shared" si="6"/>
        <v>1</v>
      </c>
      <c r="O82" s="271"/>
      <c r="R82" s="173">
        <f t="shared" si="7"/>
        <v>0.8</v>
      </c>
      <c r="S82" s="596">
        <f t="shared" si="8"/>
        <v>0.71500000000000008</v>
      </c>
    </row>
    <row r="83" spans="2:19">
      <c r="B83" s="301">
        <f t="shared" ref="B83:B98" si="12">B82+1</f>
        <v>2065</v>
      </c>
      <c r="C83" s="61">
        <f t="shared" si="10"/>
        <v>0</v>
      </c>
      <c r="D83" s="62">
        <f t="shared" si="10"/>
        <v>1</v>
      </c>
      <c r="E83" s="62">
        <f t="shared" si="10"/>
        <v>0</v>
      </c>
      <c r="F83" s="62">
        <f t="shared" si="10"/>
        <v>0</v>
      </c>
      <c r="G83" s="62">
        <f t="shared" si="10"/>
        <v>0</v>
      </c>
      <c r="H83" s="29">
        <f t="shared" ref="H83:H98" si="13">SUM(C83:G83)</f>
        <v>1</v>
      </c>
      <c r="I83" s="61">
        <f t="shared" si="11"/>
        <v>0.2</v>
      </c>
      <c r="J83" s="62">
        <f t="shared" si="11"/>
        <v>0.3</v>
      </c>
      <c r="K83" s="62">
        <f t="shared" si="11"/>
        <v>0.25</v>
      </c>
      <c r="L83" s="62">
        <f t="shared" si="11"/>
        <v>0.05</v>
      </c>
      <c r="M83" s="62">
        <f t="shared" si="11"/>
        <v>0.2</v>
      </c>
      <c r="N83" s="29">
        <f t="shared" ref="N83:N98" si="14">SUM(I83:M83)</f>
        <v>1</v>
      </c>
      <c r="O83" s="271"/>
      <c r="R83" s="173">
        <f t="shared" ref="R83:R98" si="15">C83*C$13+D83*D$13+E83*E$13+F83*F$13+G83*G$13</f>
        <v>0.8</v>
      </c>
      <c r="S83" s="596">
        <f t="shared" ref="S83:S98" si="16">I83*I$13+J83*J$13+K83*K$13+L83*L$13+M83*M$13</f>
        <v>0.71500000000000008</v>
      </c>
    </row>
    <row r="84" spans="2:19">
      <c r="B84" s="301">
        <f t="shared" si="12"/>
        <v>2066</v>
      </c>
      <c r="C84" s="61">
        <f t="shared" si="10"/>
        <v>0</v>
      </c>
      <c r="D84" s="62">
        <f t="shared" si="10"/>
        <v>1</v>
      </c>
      <c r="E84" s="62">
        <f t="shared" si="10"/>
        <v>0</v>
      </c>
      <c r="F84" s="62">
        <f t="shared" si="10"/>
        <v>0</v>
      </c>
      <c r="G84" s="62">
        <f t="shared" si="10"/>
        <v>0</v>
      </c>
      <c r="H84" s="29">
        <f t="shared" si="13"/>
        <v>1</v>
      </c>
      <c r="I84" s="61">
        <f t="shared" si="11"/>
        <v>0.2</v>
      </c>
      <c r="J84" s="62">
        <f t="shared" si="11"/>
        <v>0.3</v>
      </c>
      <c r="K84" s="62">
        <f t="shared" si="11"/>
        <v>0.25</v>
      </c>
      <c r="L84" s="62">
        <f t="shared" si="11"/>
        <v>0.05</v>
      </c>
      <c r="M84" s="62">
        <f t="shared" si="11"/>
        <v>0.2</v>
      </c>
      <c r="N84" s="29">
        <f t="shared" si="14"/>
        <v>1</v>
      </c>
      <c r="O84" s="271"/>
      <c r="R84" s="173">
        <f t="shared" si="15"/>
        <v>0.8</v>
      </c>
      <c r="S84" s="596">
        <f t="shared" si="16"/>
        <v>0.71500000000000008</v>
      </c>
    </row>
    <row r="85" spans="2:19">
      <c r="B85" s="301">
        <f t="shared" si="12"/>
        <v>2067</v>
      </c>
      <c r="C85" s="61">
        <f t="shared" si="10"/>
        <v>0</v>
      </c>
      <c r="D85" s="62">
        <f t="shared" si="10"/>
        <v>1</v>
      </c>
      <c r="E85" s="62">
        <f t="shared" si="10"/>
        <v>0</v>
      </c>
      <c r="F85" s="62">
        <f t="shared" si="10"/>
        <v>0</v>
      </c>
      <c r="G85" s="62">
        <f t="shared" si="10"/>
        <v>0</v>
      </c>
      <c r="H85" s="29">
        <f t="shared" si="13"/>
        <v>1</v>
      </c>
      <c r="I85" s="61">
        <f t="shared" si="11"/>
        <v>0.2</v>
      </c>
      <c r="J85" s="62">
        <f t="shared" si="11"/>
        <v>0.3</v>
      </c>
      <c r="K85" s="62">
        <f t="shared" si="11"/>
        <v>0.25</v>
      </c>
      <c r="L85" s="62">
        <f t="shared" si="11"/>
        <v>0.05</v>
      </c>
      <c r="M85" s="62">
        <f t="shared" si="11"/>
        <v>0.2</v>
      </c>
      <c r="N85" s="29">
        <f t="shared" si="14"/>
        <v>1</v>
      </c>
      <c r="O85" s="271"/>
      <c r="R85" s="173">
        <f t="shared" si="15"/>
        <v>0.8</v>
      </c>
      <c r="S85" s="596">
        <f t="shared" si="16"/>
        <v>0.71500000000000008</v>
      </c>
    </row>
    <row r="86" spans="2:19">
      <c r="B86" s="301">
        <f t="shared" si="12"/>
        <v>2068</v>
      </c>
      <c r="C86" s="61">
        <f t="shared" si="10"/>
        <v>0</v>
      </c>
      <c r="D86" s="62">
        <f t="shared" si="10"/>
        <v>1</v>
      </c>
      <c r="E86" s="62">
        <f t="shared" si="10"/>
        <v>0</v>
      </c>
      <c r="F86" s="62">
        <f t="shared" si="10"/>
        <v>0</v>
      </c>
      <c r="G86" s="62">
        <f t="shared" si="10"/>
        <v>0</v>
      </c>
      <c r="H86" s="29">
        <f t="shared" si="13"/>
        <v>1</v>
      </c>
      <c r="I86" s="61">
        <f t="shared" si="11"/>
        <v>0.2</v>
      </c>
      <c r="J86" s="62">
        <f t="shared" si="11"/>
        <v>0.3</v>
      </c>
      <c r="K86" s="62">
        <f t="shared" si="11"/>
        <v>0.25</v>
      </c>
      <c r="L86" s="62">
        <f t="shared" si="11"/>
        <v>0.05</v>
      </c>
      <c r="M86" s="62">
        <f t="shared" si="11"/>
        <v>0.2</v>
      </c>
      <c r="N86" s="29">
        <f t="shared" si="14"/>
        <v>1</v>
      </c>
      <c r="O86" s="271"/>
      <c r="R86" s="173">
        <f t="shared" si="15"/>
        <v>0.8</v>
      </c>
      <c r="S86" s="596">
        <f t="shared" si="16"/>
        <v>0.71500000000000008</v>
      </c>
    </row>
    <row r="87" spans="2:19">
      <c r="B87" s="301">
        <f t="shared" si="12"/>
        <v>2069</v>
      </c>
      <c r="C87" s="61">
        <f t="shared" si="10"/>
        <v>0</v>
      </c>
      <c r="D87" s="62">
        <f t="shared" si="10"/>
        <v>1</v>
      </c>
      <c r="E87" s="62">
        <f t="shared" si="10"/>
        <v>0</v>
      </c>
      <c r="F87" s="62">
        <f t="shared" si="10"/>
        <v>0</v>
      </c>
      <c r="G87" s="62">
        <f t="shared" si="10"/>
        <v>0</v>
      </c>
      <c r="H87" s="29">
        <f t="shared" si="13"/>
        <v>1</v>
      </c>
      <c r="I87" s="61">
        <f t="shared" si="11"/>
        <v>0.2</v>
      </c>
      <c r="J87" s="62">
        <f t="shared" si="11"/>
        <v>0.3</v>
      </c>
      <c r="K87" s="62">
        <f t="shared" si="11"/>
        <v>0.25</v>
      </c>
      <c r="L87" s="62">
        <f t="shared" si="11"/>
        <v>0.05</v>
      </c>
      <c r="M87" s="62">
        <f t="shared" si="11"/>
        <v>0.2</v>
      </c>
      <c r="N87" s="29">
        <f t="shared" si="14"/>
        <v>1</v>
      </c>
      <c r="O87" s="271"/>
      <c r="R87" s="173">
        <f t="shared" si="15"/>
        <v>0.8</v>
      </c>
      <c r="S87" s="596">
        <f t="shared" si="16"/>
        <v>0.71500000000000008</v>
      </c>
    </row>
    <row r="88" spans="2:19">
      <c r="B88" s="301">
        <f t="shared" si="12"/>
        <v>2070</v>
      </c>
      <c r="C88" s="61">
        <f t="shared" si="10"/>
        <v>0</v>
      </c>
      <c r="D88" s="62">
        <f t="shared" si="10"/>
        <v>1</v>
      </c>
      <c r="E88" s="62">
        <f t="shared" si="10"/>
        <v>0</v>
      </c>
      <c r="F88" s="62">
        <f t="shared" si="10"/>
        <v>0</v>
      </c>
      <c r="G88" s="62">
        <f t="shared" si="10"/>
        <v>0</v>
      </c>
      <c r="H88" s="29">
        <f t="shared" si="13"/>
        <v>1</v>
      </c>
      <c r="I88" s="61">
        <f t="shared" si="11"/>
        <v>0.2</v>
      </c>
      <c r="J88" s="62">
        <f t="shared" si="11"/>
        <v>0.3</v>
      </c>
      <c r="K88" s="62">
        <f t="shared" si="11"/>
        <v>0.25</v>
      </c>
      <c r="L88" s="62">
        <f t="shared" si="11"/>
        <v>0.05</v>
      </c>
      <c r="M88" s="62">
        <f t="shared" si="11"/>
        <v>0.2</v>
      </c>
      <c r="N88" s="29">
        <f t="shared" si="14"/>
        <v>1</v>
      </c>
      <c r="O88" s="271"/>
      <c r="R88" s="173">
        <f t="shared" si="15"/>
        <v>0.8</v>
      </c>
      <c r="S88" s="596">
        <f t="shared" si="16"/>
        <v>0.71500000000000008</v>
      </c>
    </row>
    <row r="89" spans="2:19">
      <c r="B89" s="301">
        <f t="shared" si="12"/>
        <v>2071</v>
      </c>
      <c r="C89" s="61">
        <f t="shared" si="10"/>
        <v>0</v>
      </c>
      <c r="D89" s="62">
        <f t="shared" si="10"/>
        <v>1</v>
      </c>
      <c r="E89" s="62">
        <f t="shared" si="10"/>
        <v>0</v>
      </c>
      <c r="F89" s="62">
        <f t="shared" si="10"/>
        <v>0</v>
      </c>
      <c r="G89" s="62">
        <f t="shared" si="10"/>
        <v>0</v>
      </c>
      <c r="H89" s="29">
        <f t="shared" si="13"/>
        <v>1</v>
      </c>
      <c r="I89" s="61">
        <f t="shared" si="11"/>
        <v>0.2</v>
      </c>
      <c r="J89" s="62">
        <f t="shared" si="11"/>
        <v>0.3</v>
      </c>
      <c r="K89" s="62">
        <f t="shared" si="11"/>
        <v>0.25</v>
      </c>
      <c r="L89" s="62">
        <f t="shared" si="11"/>
        <v>0.05</v>
      </c>
      <c r="M89" s="62">
        <f t="shared" si="11"/>
        <v>0.2</v>
      </c>
      <c r="N89" s="29">
        <f t="shared" si="14"/>
        <v>1</v>
      </c>
      <c r="O89" s="271"/>
      <c r="R89" s="173">
        <f t="shared" si="15"/>
        <v>0.8</v>
      </c>
      <c r="S89" s="596">
        <f t="shared" si="16"/>
        <v>0.71500000000000008</v>
      </c>
    </row>
    <row r="90" spans="2:19">
      <c r="B90" s="301">
        <f t="shared" si="12"/>
        <v>2072</v>
      </c>
      <c r="C90" s="61">
        <f t="shared" si="10"/>
        <v>0</v>
      </c>
      <c r="D90" s="62">
        <f t="shared" si="10"/>
        <v>1</v>
      </c>
      <c r="E90" s="62">
        <f t="shared" si="10"/>
        <v>0</v>
      </c>
      <c r="F90" s="62">
        <f t="shared" si="10"/>
        <v>0</v>
      </c>
      <c r="G90" s="62">
        <f t="shared" si="10"/>
        <v>0</v>
      </c>
      <c r="H90" s="29">
        <f t="shared" si="13"/>
        <v>1</v>
      </c>
      <c r="I90" s="61">
        <f t="shared" si="11"/>
        <v>0.2</v>
      </c>
      <c r="J90" s="62">
        <f t="shared" si="11"/>
        <v>0.3</v>
      </c>
      <c r="K90" s="62">
        <f t="shared" si="11"/>
        <v>0.25</v>
      </c>
      <c r="L90" s="62">
        <f t="shared" si="11"/>
        <v>0.05</v>
      </c>
      <c r="M90" s="62">
        <f t="shared" si="11"/>
        <v>0.2</v>
      </c>
      <c r="N90" s="29">
        <f t="shared" si="14"/>
        <v>1</v>
      </c>
      <c r="O90" s="271"/>
      <c r="R90" s="173">
        <f t="shared" si="15"/>
        <v>0.8</v>
      </c>
      <c r="S90" s="596">
        <f t="shared" si="16"/>
        <v>0.71500000000000008</v>
      </c>
    </row>
    <row r="91" spans="2:19">
      <c r="B91" s="301">
        <f t="shared" si="12"/>
        <v>2073</v>
      </c>
      <c r="C91" s="61">
        <f t="shared" si="10"/>
        <v>0</v>
      </c>
      <c r="D91" s="62">
        <f t="shared" si="10"/>
        <v>1</v>
      </c>
      <c r="E91" s="62">
        <f t="shared" si="10"/>
        <v>0</v>
      </c>
      <c r="F91" s="62">
        <f t="shared" si="10"/>
        <v>0</v>
      </c>
      <c r="G91" s="62">
        <f t="shared" si="10"/>
        <v>0</v>
      </c>
      <c r="H91" s="29">
        <f t="shared" si="13"/>
        <v>1</v>
      </c>
      <c r="I91" s="61">
        <f t="shared" si="11"/>
        <v>0.2</v>
      </c>
      <c r="J91" s="62">
        <f t="shared" si="11"/>
        <v>0.3</v>
      </c>
      <c r="K91" s="62">
        <f t="shared" si="11"/>
        <v>0.25</v>
      </c>
      <c r="L91" s="62">
        <f t="shared" si="11"/>
        <v>0.05</v>
      </c>
      <c r="M91" s="62">
        <f t="shared" si="11"/>
        <v>0.2</v>
      </c>
      <c r="N91" s="29">
        <f t="shared" si="14"/>
        <v>1</v>
      </c>
      <c r="O91" s="271"/>
      <c r="R91" s="173">
        <f t="shared" si="15"/>
        <v>0.8</v>
      </c>
      <c r="S91" s="596">
        <f t="shared" si="16"/>
        <v>0.71500000000000008</v>
      </c>
    </row>
    <row r="92" spans="2:19">
      <c r="B92" s="301">
        <f t="shared" si="12"/>
        <v>2074</v>
      </c>
      <c r="C92" s="61">
        <f t="shared" si="10"/>
        <v>0</v>
      </c>
      <c r="D92" s="62">
        <f t="shared" si="10"/>
        <v>1</v>
      </c>
      <c r="E92" s="62">
        <f t="shared" si="10"/>
        <v>0</v>
      </c>
      <c r="F92" s="62">
        <f t="shared" si="10"/>
        <v>0</v>
      </c>
      <c r="G92" s="62">
        <f t="shared" si="10"/>
        <v>0</v>
      </c>
      <c r="H92" s="29">
        <f t="shared" si="13"/>
        <v>1</v>
      </c>
      <c r="I92" s="61">
        <f t="shared" si="11"/>
        <v>0.2</v>
      </c>
      <c r="J92" s="62">
        <f t="shared" si="11"/>
        <v>0.3</v>
      </c>
      <c r="K92" s="62">
        <f t="shared" si="11"/>
        <v>0.25</v>
      </c>
      <c r="L92" s="62">
        <f t="shared" si="11"/>
        <v>0.05</v>
      </c>
      <c r="M92" s="62">
        <f t="shared" si="11"/>
        <v>0.2</v>
      </c>
      <c r="N92" s="29">
        <f t="shared" si="14"/>
        <v>1</v>
      </c>
      <c r="O92" s="271"/>
      <c r="R92" s="173">
        <f t="shared" si="15"/>
        <v>0.8</v>
      </c>
      <c r="S92" s="596">
        <f t="shared" si="16"/>
        <v>0.71500000000000008</v>
      </c>
    </row>
    <row r="93" spans="2:19">
      <c r="B93" s="301">
        <f t="shared" si="12"/>
        <v>2075</v>
      </c>
      <c r="C93" s="61">
        <f t="shared" si="10"/>
        <v>0</v>
      </c>
      <c r="D93" s="62">
        <f t="shared" si="10"/>
        <v>1</v>
      </c>
      <c r="E93" s="62">
        <f t="shared" si="10"/>
        <v>0</v>
      </c>
      <c r="F93" s="62">
        <f t="shared" si="10"/>
        <v>0</v>
      </c>
      <c r="G93" s="62">
        <f t="shared" si="10"/>
        <v>0</v>
      </c>
      <c r="H93" s="29">
        <f t="shared" si="13"/>
        <v>1</v>
      </c>
      <c r="I93" s="61">
        <f t="shared" si="11"/>
        <v>0.2</v>
      </c>
      <c r="J93" s="62">
        <f t="shared" si="11"/>
        <v>0.3</v>
      </c>
      <c r="K93" s="62">
        <f t="shared" si="11"/>
        <v>0.25</v>
      </c>
      <c r="L93" s="62">
        <f t="shared" si="11"/>
        <v>0.05</v>
      </c>
      <c r="M93" s="62">
        <f t="shared" si="11"/>
        <v>0.2</v>
      </c>
      <c r="N93" s="29">
        <f t="shared" si="14"/>
        <v>1</v>
      </c>
      <c r="O93" s="271"/>
      <c r="R93" s="173">
        <f t="shared" si="15"/>
        <v>0.8</v>
      </c>
      <c r="S93" s="596">
        <f t="shared" si="16"/>
        <v>0.71500000000000008</v>
      </c>
    </row>
    <row r="94" spans="2:19">
      <c r="B94" s="301">
        <f t="shared" si="12"/>
        <v>2076</v>
      </c>
      <c r="C94" s="61">
        <f t="shared" si="10"/>
        <v>0</v>
      </c>
      <c r="D94" s="62">
        <f t="shared" si="10"/>
        <v>1</v>
      </c>
      <c r="E94" s="62">
        <f t="shared" si="10"/>
        <v>0</v>
      </c>
      <c r="F94" s="62">
        <f t="shared" si="10"/>
        <v>0</v>
      </c>
      <c r="G94" s="62">
        <f t="shared" si="10"/>
        <v>0</v>
      </c>
      <c r="H94" s="29">
        <f t="shared" si="13"/>
        <v>1</v>
      </c>
      <c r="I94" s="61">
        <f t="shared" si="11"/>
        <v>0.2</v>
      </c>
      <c r="J94" s="62">
        <f t="shared" si="11"/>
        <v>0.3</v>
      </c>
      <c r="K94" s="62">
        <f t="shared" si="11"/>
        <v>0.25</v>
      </c>
      <c r="L94" s="62">
        <f t="shared" si="11"/>
        <v>0.05</v>
      </c>
      <c r="M94" s="62">
        <f t="shared" si="11"/>
        <v>0.2</v>
      </c>
      <c r="N94" s="29">
        <f t="shared" si="14"/>
        <v>1</v>
      </c>
      <c r="O94" s="271"/>
      <c r="R94" s="173">
        <f t="shared" si="15"/>
        <v>0.8</v>
      </c>
      <c r="S94" s="596">
        <f t="shared" si="16"/>
        <v>0.71500000000000008</v>
      </c>
    </row>
    <row r="95" spans="2:19">
      <c r="B95" s="301">
        <f t="shared" si="12"/>
        <v>2077</v>
      </c>
      <c r="C95" s="61">
        <f t="shared" si="10"/>
        <v>0</v>
      </c>
      <c r="D95" s="62">
        <f t="shared" si="10"/>
        <v>1</v>
      </c>
      <c r="E95" s="62">
        <f t="shared" si="10"/>
        <v>0</v>
      </c>
      <c r="F95" s="62">
        <f t="shared" si="10"/>
        <v>0</v>
      </c>
      <c r="G95" s="62">
        <f t="shared" si="10"/>
        <v>0</v>
      </c>
      <c r="H95" s="29">
        <f t="shared" si="13"/>
        <v>1</v>
      </c>
      <c r="I95" s="61">
        <f t="shared" si="11"/>
        <v>0.2</v>
      </c>
      <c r="J95" s="62">
        <f t="shared" si="11"/>
        <v>0.3</v>
      </c>
      <c r="K95" s="62">
        <f t="shared" si="11"/>
        <v>0.25</v>
      </c>
      <c r="L95" s="62">
        <f t="shared" si="11"/>
        <v>0.05</v>
      </c>
      <c r="M95" s="62">
        <f t="shared" si="11"/>
        <v>0.2</v>
      </c>
      <c r="N95" s="29">
        <f t="shared" si="14"/>
        <v>1</v>
      </c>
      <c r="O95" s="271"/>
      <c r="R95" s="173">
        <f t="shared" si="15"/>
        <v>0.8</v>
      </c>
      <c r="S95" s="596">
        <f t="shared" si="16"/>
        <v>0.71500000000000008</v>
      </c>
    </row>
    <row r="96" spans="2:19">
      <c r="B96" s="301">
        <f t="shared" si="12"/>
        <v>2078</v>
      </c>
      <c r="C96" s="61">
        <f t="shared" si="10"/>
        <v>0</v>
      </c>
      <c r="D96" s="62">
        <f t="shared" si="10"/>
        <v>1</v>
      </c>
      <c r="E96" s="62">
        <f t="shared" si="10"/>
        <v>0</v>
      </c>
      <c r="F96" s="62">
        <f t="shared" si="10"/>
        <v>0</v>
      </c>
      <c r="G96" s="62">
        <f t="shared" si="10"/>
        <v>0</v>
      </c>
      <c r="H96" s="29">
        <f t="shared" si="13"/>
        <v>1</v>
      </c>
      <c r="I96" s="61">
        <f t="shared" si="11"/>
        <v>0.2</v>
      </c>
      <c r="J96" s="62">
        <f t="shared" si="11"/>
        <v>0.3</v>
      </c>
      <c r="K96" s="62">
        <f t="shared" si="11"/>
        <v>0.25</v>
      </c>
      <c r="L96" s="62">
        <f t="shared" si="11"/>
        <v>0.05</v>
      </c>
      <c r="M96" s="62">
        <f t="shared" si="11"/>
        <v>0.2</v>
      </c>
      <c r="N96" s="29">
        <f t="shared" si="14"/>
        <v>1</v>
      </c>
      <c r="O96" s="271"/>
      <c r="R96" s="173">
        <f t="shared" si="15"/>
        <v>0.8</v>
      </c>
      <c r="S96" s="596">
        <f t="shared" si="16"/>
        <v>0.71500000000000008</v>
      </c>
    </row>
    <row r="97" spans="2:19">
      <c r="B97" s="301">
        <f t="shared" si="12"/>
        <v>2079</v>
      </c>
      <c r="C97" s="61">
        <f t="shared" si="10"/>
        <v>0</v>
      </c>
      <c r="D97" s="62">
        <f t="shared" si="10"/>
        <v>1</v>
      </c>
      <c r="E97" s="62">
        <f t="shared" si="10"/>
        <v>0</v>
      </c>
      <c r="F97" s="62">
        <f t="shared" si="10"/>
        <v>0</v>
      </c>
      <c r="G97" s="62">
        <f t="shared" si="10"/>
        <v>0</v>
      </c>
      <c r="H97" s="29">
        <f t="shared" si="13"/>
        <v>1</v>
      </c>
      <c r="I97" s="61">
        <f t="shared" si="11"/>
        <v>0.2</v>
      </c>
      <c r="J97" s="62">
        <f t="shared" si="11"/>
        <v>0.3</v>
      </c>
      <c r="K97" s="62">
        <f t="shared" si="11"/>
        <v>0.25</v>
      </c>
      <c r="L97" s="62">
        <f t="shared" si="11"/>
        <v>0.05</v>
      </c>
      <c r="M97" s="62">
        <f t="shared" si="11"/>
        <v>0.2</v>
      </c>
      <c r="N97" s="29">
        <f t="shared" si="14"/>
        <v>1</v>
      </c>
      <c r="O97" s="271"/>
      <c r="R97" s="173">
        <f t="shared" si="15"/>
        <v>0.8</v>
      </c>
      <c r="S97" s="596">
        <f t="shared" si="16"/>
        <v>0.71500000000000008</v>
      </c>
    </row>
    <row r="98" spans="2:19" ht="13.5" thickBot="1">
      <c r="B98" s="302">
        <f t="shared" si="12"/>
        <v>2080</v>
      </c>
      <c r="C98" s="63">
        <f t="shared" si="10"/>
        <v>0</v>
      </c>
      <c r="D98" s="64">
        <f t="shared" si="10"/>
        <v>1</v>
      </c>
      <c r="E98" s="64">
        <f t="shared" si="10"/>
        <v>0</v>
      </c>
      <c r="F98" s="64">
        <f t="shared" si="10"/>
        <v>0</v>
      </c>
      <c r="G98" s="64">
        <f t="shared" si="10"/>
        <v>0</v>
      </c>
      <c r="H98" s="30">
        <f t="shared" si="13"/>
        <v>1</v>
      </c>
      <c r="I98" s="63">
        <f t="shared" si="11"/>
        <v>0.2</v>
      </c>
      <c r="J98" s="64">
        <f t="shared" si="11"/>
        <v>0.3</v>
      </c>
      <c r="K98" s="64">
        <f t="shared" si="11"/>
        <v>0.25</v>
      </c>
      <c r="L98" s="64">
        <f t="shared" si="11"/>
        <v>0.05</v>
      </c>
      <c r="M98" s="64">
        <f t="shared" si="11"/>
        <v>0.2</v>
      </c>
      <c r="N98" s="30">
        <f t="shared" si="14"/>
        <v>1</v>
      </c>
      <c r="O98" s="579"/>
      <c r="R98" s="167">
        <f t="shared" si="15"/>
        <v>0.8</v>
      </c>
      <c r="S98" s="167">
        <f t="shared" si="16"/>
        <v>0.71500000000000008</v>
      </c>
    </row>
    <row r="99" spans="2:19">
      <c r="H99" s="31"/>
    </row>
    <row r="100" spans="2:19">
      <c r="H100" s="31"/>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pageSetup paperSize="9" orientation="portrait" horizontalDpi="4294967292" verticalDpi="0" r:id="rId1"/>
  <headerFooter alignWithMargins="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2" activePane="bottomRight" state="frozen"/>
      <selection activeCell="E19" sqref="E19"/>
      <selection pane="topRight" activeCell="E19" sqref="E19"/>
      <selection pane="bottomLeft" activeCell="E19" sqref="E19"/>
      <selection pane="bottomRight" activeCell="AB16" sqref="AB16"/>
    </sheetView>
  </sheetViews>
  <sheetFormatPr defaultColWidth="11.42578125" defaultRowHeight="12.75"/>
  <cols>
    <col min="1" max="1" width="2.28515625" style="638" customWidth="1"/>
    <col min="2" max="2" width="6.28515625" style="638" customWidth="1"/>
    <col min="3" max="3" width="9.28515625" style="638" customWidth="1"/>
    <col min="4" max="4" width="7.42578125" style="638" customWidth="1"/>
    <col min="5" max="14" width="8" style="638" customWidth="1"/>
    <col min="15" max="16" width="8.42578125" style="638" customWidth="1"/>
    <col min="17" max="17" width="3.85546875" style="638" customWidth="1"/>
    <col min="18" max="18" width="3.42578125" style="638" customWidth="1"/>
    <col min="19" max="21" width="11.42578125" style="638" hidden="1" customWidth="1"/>
    <col min="22" max="22" width="10.28515625" style="638" hidden="1" customWidth="1"/>
    <col min="23" max="23" width="9.7109375" style="638" hidden="1" customWidth="1"/>
    <col min="24" max="24" width="9.42578125" style="638" hidden="1" customWidth="1"/>
    <col min="25" max="27" width="0" style="638" hidden="1" customWidth="1"/>
    <col min="28" max="29" width="11.42578125" style="638"/>
    <col min="30" max="30" width="10.85546875" style="638" customWidth="1"/>
    <col min="31" max="16384" width="11.42578125" style="638"/>
  </cols>
  <sheetData>
    <row r="2" spans="2:30" ht="15.75">
      <c r="C2" s="639" t="s">
        <v>34</v>
      </c>
      <c r="S2" s="639" t="s">
        <v>300</v>
      </c>
      <c r="AC2" s="638" t="s">
        <v>6</v>
      </c>
      <c r="AD2" s="640">
        <v>0.66390000000000005</v>
      </c>
    </row>
    <row r="3" spans="2:30">
      <c r="B3" s="641"/>
      <c r="C3" s="641"/>
      <c r="S3" s="641"/>
      <c r="AC3" s="638" t="s">
        <v>256</v>
      </c>
      <c r="AD3" s="640">
        <v>0.1285</v>
      </c>
    </row>
    <row r="4" spans="2:30">
      <c r="B4" s="641"/>
      <c r="C4" s="641" t="s">
        <v>38</v>
      </c>
      <c r="S4" s="641" t="s">
        <v>301</v>
      </c>
      <c r="AC4" s="638" t="s">
        <v>2</v>
      </c>
      <c r="AD4" s="640">
        <v>0</v>
      </c>
    </row>
    <row r="5" spans="2:30">
      <c r="B5" s="641"/>
      <c r="C5" s="641"/>
      <c r="S5" s="641" t="s">
        <v>38</v>
      </c>
      <c r="AC5" s="638" t="s">
        <v>16</v>
      </c>
      <c r="AD5" s="640">
        <v>8.1000000000000013E-3</v>
      </c>
    </row>
    <row r="6" spans="2:30">
      <c r="B6" s="641"/>
      <c r="S6" s="641"/>
      <c r="AC6" s="638" t="s">
        <v>331</v>
      </c>
      <c r="AD6" s="640">
        <v>0</v>
      </c>
    </row>
    <row r="7" spans="2:30" ht="13.5" thickBot="1">
      <c r="B7" s="641"/>
      <c r="C7" s="642"/>
      <c r="S7" s="641"/>
      <c r="AC7" s="638" t="s">
        <v>332</v>
      </c>
      <c r="AD7" s="640">
        <v>0.10710000000000001</v>
      </c>
    </row>
    <row r="8" spans="2:30" ht="13.5" thickBot="1">
      <c r="B8" s="641"/>
      <c r="D8" s="643">
        <v>6.2100000000000002E-2</v>
      </c>
      <c r="E8" s="644">
        <v>0.66390000000000005</v>
      </c>
      <c r="F8" s="645">
        <v>0.1285</v>
      </c>
      <c r="G8" s="646">
        <v>0</v>
      </c>
      <c r="H8" s="645">
        <v>0</v>
      </c>
      <c r="I8" s="645">
        <v>0</v>
      </c>
      <c r="J8" s="645">
        <v>8.0999999999999996E-3</v>
      </c>
      <c r="K8" s="645">
        <v>0</v>
      </c>
      <c r="L8" s="645">
        <v>0.1071</v>
      </c>
      <c r="M8" s="645">
        <v>1.77E-2</v>
      </c>
      <c r="N8" s="645">
        <v>1.3299999999999999E-2</v>
      </c>
      <c r="O8" s="645">
        <v>6.2100000000000002E-2</v>
      </c>
      <c r="P8" s="647">
        <f>SUM(E8:O8)</f>
        <v>1.0006999999999999</v>
      </c>
      <c r="S8" s="641"/>
      <c r="T8" s="641"/>
      <c r="AC8" s="638" t="s">
        <v>231</v>
      </c>
      <c r="AD8" s="640">
        <v>1.77E-2</v>
      </c>
    </row>
    <row r="9" spans="2:30" ht="13.5" thickBot="1">
      <c r="B9" s="648"/>
      <c r="C9" s="649"/>
      <c r="D9" s="650"/>
      <c r="E9" s="800" t="s">
        <v>41</v>
      </c>
      <c r="F9" s="801"/>
      <c r="G9" s="801"/>
      <c r="H9" s="801"/>
      <c r="I9" s="801"/>
      <c r="J9" s="801"/>
      <c r="K9" s="801"/>
      <c r="L9" s="801"/>
      <c r="M9" s="801"/>
      <c r="N9" s="801"/>
      <c r="O9" s="801"/>
      <c r="P9" s="651"/>
      <c r="AC9" s="638" t="s">
        <v>232</v>
      </c>
      <c r="AD9" s="640">
        <v>1.3300000000000001E-2</v>
      </c>
    </row>
    <row r="10" spans="2:30" ht="21.75" customHeight="1" thickBot="1">
      <c r="B10" s="802" t="s">
        <v>1</v>
      </c>
      <c r="C10" s="802" t="s">
        <v>33</v>
      </c>
      <c r="D10" s="802" t="s">
        <v>40</v>
      </c>
      <c r="E10" s="802" t="s">
        <v>228</v>
      </c>
      <c r="F10" s="802" t="s">
        <v>271</v>
      </c>
      <c r="G10" s="792" t="s">
        <v>267</v>
      </c>
      <c r="H10" s="802" t="s">
        <v>270</v>
      </c>
      <c r="I10" s="792" t="s">
        <v>2</v>
      </c>
      <c r="J10" s="802" t="s">
        <v>16</v>
      </c>
      <c r="K10" s="792" t="s">
        <v>229</v>
      </c>
      <c r="L10" s="804" t="s">
        <v>273</v>
      </c>
      <c r="M10" s="805"/>
      <c r="N10" s="805"/>
      <c r="O10" s="806"/>
      <c r="P10" s="802" t="s">
        <v>27</v>
      </c>
      <c r="AC10" s="638" t="s">
        <v>233</v>
      </c>
      <c r="AD10" s="640">
        <v>6.2100000000000002E-2</v>
      </c>
    </row>
    <row r="11" spans="2:30" s="653" customFormat="1" ht="42" customHeight="1" thickBot="1">
      <c r="B11" s="803"/>
      <c r="C11" s="803"/>
      <c r="D11" s="803"/>
      <c r="E11" s="803"/>
      <c r="F11" s="803"/>
      <c r="G11" s="794"/>
      <c r="H11" s="803"/>
      <c r="I11" s="794"/>
      <c r="J11" s="803"/>
      <c r="K11" s="794"/>
      <c r="L11" s="652" t="s">
        <v>230</v>
      </c>
      <c r="M11" s="652" t="s">
        <v>231</v>
      </c>
      <c r="N11" s="652" t="s">
        <v>232</v>
      </c>
      <c r="O11" s="652" t="s">
        <v>233</v>
      </c>
      <c r="P11" s="803"/>
      <c r="S11" s="400" t="s">
        <v>1</v>
      </c>
      <c r="T11" s="404" t="s">
        <v>302</v>
      </c>
      <c r="U11" s="400" t="s">
        <v>303</v>
      </c>
      <c r="V11" s="404" t="s">
        <v>304</v>
      </c>
      <c r="W11" s="400" t="s">
        <v>40</v>
      </c>
      <c r="X11" s="404" t="s">
        <v>305</v>
      </c>
    </row>
    <row r="12" spans="2:30" s="660" customFormat="1" ht="26.25" thickBot="1">
      <c r="B12" s="654"/>
      <c r="C12" s="655" t="s">
        <v>15</v>
      </c>
      <c r="D12" s="655" t="s">
        <v>24</v>
      </c>
      <c r="E12" s="656" t="s">
        <v>24</v>
      </c>
      <c r="F12" s="657" t="s">
        <v>24</v>
      </c>
      <c r="G12" s="657" t="s">
        <v>24</v>
      </c>
      <c r="H12" s="657" t="s">
        <v>24</v>
      </c>
      <c r="I12" s="657" t="s">
        <v>24</v>
      </c>
      <c r="J12" s="657" t="s">
        <v>24</v>
      </c>
      <c r="K12" s="657" t="s">
        <v>24</v>
      </c>
      <c r="L12" s="657" t="s">
        <v>24</v>
      </c>
      <c r="M12" s="657" t="s">
        <v>24</v>
      </c>
      <c r="N12" s="657" t="s">
        <v>24</v>
      </c>
      <c r="O12" s="658" t="s">
        <v>24</v>
      </c>
      <c r="P12" s="659" t="s">
        <v>39</v>
      </c>
      <c r="S12" s="661"/>
      <c r="T12" s="662" t="s">
        <v>306</v>
      </c>
      <c r="U12" s="661" t="s">
        <v>307</v>
      </c>
      <c r="V12" s="662" t="s">
        <v>15</v>
      </c>
      <c r="W12" s="663" t="s">
        <v>24</v>
      </c>
      <c r="X12" s="662" t="s">
        <v>15</v>
      </c>
    </row>
    <row r="13" spans="2:30">
      <c r="B13" s="664">
        <f>year</f>
        <v>2000</v>
      </c>
      <c r="C13" s="665">
        <f>'[2]Fraksi pengelolaan sampah BaU'!C30</f>
        <v>26.164919088000001</v>
      </c>
      <c r="D13" s="666">
        <v>1</v>
      </c>
      <c r="E13" s="667">
        <f t="shared" ref="E13:O28" si="0">E$8</f>
        <v>0.66390000000000005</v>
      </c>
      <c r="F13" s="667">
        <f t="shared" si="0"/>
        <v>0.1285</v>
      </c>
      <c r="G13" s="667">
        <f t="shared" si="0"/>
        <v>0</v>
      </c>
      <c r="H13" s="667">
        <f t="shared" si="0"/>
        <v>0</v>
      </c>
      <c r="I13" s="667">
        <f t="shared" si="0"/>
        <v>0</v>
      </c>
      <c r="J13" s="667">
        <f t="shared" si="0"/>
        <v>8.0999999999999996E-3</v>
      </c>
      <c r="K13" s="667">
        <f t="shared" si="0"/>
        <v>0</v>
      </c>
      <c r="L13" s="667">
        <f t="shared" si="0"/>
        <v>0.1071</v>
      </c>
      <c r="M13" s="667">
        <f t="shared" si="0"/>
        <v>1.77E-2</v>
      </c>
      <c r="N13" s="667">
        <f t="shared" si="0"/>
        <v>1.3299999999999999E-2</v>
      </c>
      <c r="O13" s="667">
        <f t="shared" si="0"/>
        <v>6.2100000000000002E-2</v>
      </c>
      <c r="P13" s="668">
        <f t="shared" ref="P13:P44" si="1">SUM(E13:O13)</f>
        <v>1.0006999999999999</v>
      </c>
      <c r="S13" s="664">
        <f>year</f>
        <v>2000</v>
      </c>
      <c r="T13" s="669">
        <v>0</v>
      </c>
      <c r="U13" s="669">
        <v>5</v>
      </c>
      <c r="V13" s="670">
        <f>T13*U13</f>
        <v>0</v>
      </c>
      <c r="W13" s="671">
        <v>1</v>
      </c>
      <c r="X13" s="672">
        <f t="shared" ref="X13:X44" si="2">V13*W13</f>
        <v>0</v>
      </c>
    </row>
    <row r="14" spans="2:30">
      <c r="B14" s="673">
        <f t="shared" ref="B14:B45" si="3">B13+1</f>
        <v>2001</v>
      </c>
      <c r="C14" s="665">
        <f>'[2]Fraksi pengelolaan sampah BaU'!C31</f>
        <v>26.651413536000003</v>
      </c>
      <c r="D14" s="666">
        <v>1</v>
      </c>
      <c r="E14" s="667">
        <f t="shared" si="0"/>
        <v>0.66390000000000005</v>
      </c>
      <c r="F14" s="667">
        <f t="shared" si="0"/>
        <v>0.1285</v>
      </c>
      <c r="G14" s="667">
        <f t="shared" si="0"/>
        <v>0</v>
      </c>
      <c r="H14" s="667">
        <f t="shared" si="0"/>
        <v>0</v>
      </c>
      <c r="I14" s="667">
        <f t="shared" si="0"/>
        <v>0</v>
      </c>
      <c r="J14" s="667">
        <f t="shared" si="0"/>
        <v>8.0999999999999996E-3</v>
      </c>
      <c r="K14" s="667">
        <f t="shared" si="0"/>
        <v>0</v>
      </c>
      <c r="L14" s="667">
        <f t="shared" si="0"/>
        <v>0.1071</v>
      </c>
      <c r="M14" s="667">
        <f t="shared" si="0"/>
        <v>1.77E-2</v>
      </c>
      <c r="N14" s="667">
        <f t="shared" si="0"/>
        <v>1.3299999999999999E-2</v>
      </c>
      <c r="O14" s="667">
        <f t="shared" si="0"/>
        <v>6.2100000000000002E-2</v>
      </c>
      <c r="P14" s="674">
        <f t="shared" si="1"/>
        <v>1.0006999999999999</v>
      </c>
      <c r="S14" s="673">
        <f t="shared" ref="S14:S77" si="4">S13+1</f>
        <v>2001</v>
      </c>
      <c r="T14" s="675">
        <v>0</v>
      </c>
      <c r="U14" s="675">
        <v>5</v>
      </c>
      <c r="V14" s="676">
        <f>T14*U14</f>
        <v>0</v>
      </c>
      <c r="W14" s="677">
        <v>1</v>
      </c>
      <c r="X14" s="678">
        <f t="shared" si="2"/>
        <v>0</v>
      </c>
    </row>
    <row r="15" spans="2:30">
      <c r="B15" s="673">
        <f t="shared" si="3"/>
        <v>2002</v>
      </c>
      <c r="C15" s="665">
        <f>'[2]Fraksi pengelolaan sampah BaU'!C32</f>
        <v>27.453895128000003</v>
      </c>
      <c r="D15" s="666">
        <v>1</v>
      </c>
      <c r="E15" s="667">
        <f t="shared" si="0"/>
        <v>0.66390000000000005</v>
      </c>
      <c r="F15" s="667">
        <f t="shared" si="0"/>
        <v>0.1285</v>
      </c>
      <c r="G15" s="667">
        <f t="shared" si="0"/>
        <v>0</v>
      </c>
      <c r="H15" s="667">
        <f t="shared" si="0"/>
        <v>0</v>
      </c>
      <c r="I15" s="667">
        <f t="shared" si="0"/>
        <v>0</v>
      </c>
      <c r="J15" s="667">
        <f t="shared" si="0"/>
        <v>8.0999999999999996E-3</v>
      </c>
      <c r="K15" s="667">
        <f t="shared" si="0"/>
        <v>0</v>
      </c>
      <c r="L15" s="667">
        <f t="shared" si="0"/>
        <v>0.1071</v>
      </c>
      <c r="M15" s="667">
        <f t="shared" si="0"/>
        <v>1.77E-2</v>
      </c>
      <c r="N15" s="667">
        <f t="shared" si="0"/>
        <v>1.3299999999999999E-2</v>
      </c>
      <c r="O15" s="667">
        <f t="shared" si="0"/>
        <v>6.2100000000000002E-2</v>
      </c>
      <c r="P15" s="674">
        <f t="shared" si="1"/>
        <v>1.0006999999999999</v>
      </c>
      <c r="S15" s="673">
        <f t="shared" si="4"/>
        <v>2002</v>
      </c>
      <c r="T15" s="675">
        <v>0</v>
      </c>
      <c r="U15" s="675">
        <v>5</v>
      </c>
      <c r="V15" s="676">
        <f t="shared" ref="V15:V78" si="5">T15*U15</f>
        <v>0</v>
      </c>
      <c r="W15" s="677">
        <v>1</v>
      </c>
      <c r="X15" s="678">
        <f t="shared" si="2"/>
        <v>0</v>
      </c>
    </row>
    <row r="16" spans="2:30">
      <c r="B16" s="673">
        <f t="shared" si="3"/>
        <v>2003</v>
      </c>
      <c r="C16" s="665">
        <f>'[2]Fraksi pengelolaan sampah BaU'!C33</f>
        <v>29.619880355999999</v>
      </c>
      <c r="D16" s="666">
        <v>1</v>
      </c>
      <c r="E16" s="667">
        <f t="shared" si="0"/>
        <v>0.66390000000000005</v>
      </c>
      <c r="F16" s="667">
        <f t="shared" si="0"/>
        <v>0.1285</v>
      </c>
      <c r="G16" s="667">
        <f t="shared" si="0"/>
        <v>0</v>
      </c>
      <c r="H16" s="667">
        <f t="shared" si="0"/>
        <v>0</v>
      </c>
      <c r="I16" s="667">
        <f t="shared" si="0"/>
        <v>0</v>
      </c>
      <c r="J16" s="667">
        <f t="shared" si="0"/>
        <v>8.0999999999999996E-3</v>
      </c>
      <c r="K16" s="667">
        <f t="shared" si="0"/>
        <v>0</v>
      </c>
      <c r="L16" s="667">
        <f t="shared" si="0"/>
        <v>0.1071</v>
      </c>
      <c r="M16" s="667">
        <f t="shared" si="0"/>
        <v>1.77E-2</v>
      </c>
      <c r="N16" s="667">
        <f t="shared" si="0"/>
        <v>1.3299999999999999E-2</v>
      </c>
      <c r="O16" s="667">
        <f t="shared" si="0"/>
        <v>6.2100000000000002E-2</v>
      </c>
      <c r="P16" s="674">
        <f t="shared" si="1"/>
        <v>1.0006999999999999</v>
      </c>
      <c r="S16" s="673">
        <f t="shared" si="4"/>
        <v>2003</v>
      </c>
      <c r="T16" s="675">
        <v>0</v>
      </c>
      <c r="U16" s="675">
        <v>5</v>
      </c>
      <c r="V16" s="676">
        <f t="shared" si="5"/>
        <v>0</v>
      </c>
      <c r="W16" s="677">
        <v>1</v>
      </c>
      <c r="X16" s="678">
        <f t="shared" si="2"/>
        <v>0</v>
      </c>
    </row>
    <row r="17" spans="2:24">
      <c r="B17" s="673">
        <f t="shared" si="3"/>
        <v>2004</v>
      </c>
      <c r="C17" s="665">
        <f>'[2]Fraksi pengelolaan sampah BaU'!C34</f>
        <v>29.9204565</v>
      </c>
      <c r="D17" s="666">
        <v>1</v>
      </c>
      <c r="E17" s="667">
        <f t="shared" si="0"/>
        <v>0.66390000000000005</v>
      </c>
      <c r="F17" s="667">
        <f t="shared" si="0"/>
        <v>0.1285</v>
      </c>
      <c r="G17" s="667">
        <f t="shared" si="0"/>
        <v>0</v>
      </c>
      <c r="H17" s="667">
        <f t="shared" si="0"/>
        <v>0</v>
      </c>
      <c r="I17" s="667">
        <f t="shared" si="0"/>
        <v>0</v>
      </c>
      <c r="J17" s="667">
        <f t="shared" si="0"/>
        <v>8.0999999999999996E-3</v>
      </c>
      <c r="K17" s="667">
        <f t="shared" si="0"/>
        <v>0</v>
      </c>
      <c r="L17" s="667">
        <f t="shared" si="0"/>
        <v>0.1071</v>
      </c>
      <c r="M17" s="667">
        <f t="shared" si="0"/>
        <v>1.77E-2</v>
      </c>
      <c r="N17" s="667">
        <f t="shared" si="0"/>
        <v>1.3299999999999999E-2</v>
      </c>
      <c r="O17" s="667">
        <f t="shared" si="0"/>
        <v>6.2100000000000002E-2</v>
      </c>
      <c r="P17" s="674">
        <f t="shared" si="1"/>
        <v>1.0006999999999999</v>
      </c>
      <c r="S17" s="673">
        <f t="shared" si="4"/>
        <v>2004</v>
      </c>
      <c r="T17" s="675">
        <v>0</v>
      </c>
      <c r="U17" s="675">
        <v>5</v>
      </c>
      <c r="V17" s="676">
        <f t="shared" si="5"/>
        <v>0</v>
      </c>
      <c r="W17" s="677">
        <v>1</v>
      </c>
      <c r="X17" s="678">
        <f t="shared" si="2"/>
        <v>0</v>
      </c>
    </row>
    <row r="18" spans="2:24">
      <c r="B18" s="673">
        <f t="shared" si="3"/>
        <v>2005</v>
      </c>
      <c r="C18" s="665">
        <f>'[2]Fraksi pengelolaan sampah BaU'!C35</f>
        <v>30.735081960000002</v>
      </c>
      <c r="D18" s="666">
        <v>1</v>
      </c>
      <c r="E18" s="667">
        <f t="shared" si="0"/>
        <v>0.66390000000000005</v>
      </c>
      <c r="F18" s="667">
        <f t="shared" si="0"/>
        <v>0.1285</v>
      </c>
      <c r="G18" s="667">
        <f t="shared" si="0"/>
        <v>0</v>
      </c>
      <c r="H18" s="667">
        <f t="shared" si="0"/>
        <v>0</v>
      </c>
      <c r="I18" s="667">
        <f t="shared" si="0"/>
        <v>0</v>
      </c>
      <c r="J18" s="667">
        <f t="shared" si="0"/>
        <v>8.0999999999999996E-3</v>
      </c>
      <c r="K18" s="667">
        <f t="shared" si="0"/>
        <v>0</v>
      </c>
      <c r="L18" s="667">
        <f t="shared" si="0"/>
        <v>0.1071</v>
      </c>
      <c r="M18" s="667">
        <f t="shared" si="0"/>
        <v>1.77E-2</v>
      </c>
      <c r="N18" s="667">
        <f t="shared" si="0"/>
        <v>1.3299999999999999E-2</v>
      </c>
      <c r="O18" s="667">
        <f t="shared" si="0"/>
        <v>6.2100000000000002E-2</v>
      </c>
      <c r="P18" s="674">
        <f t="shared" si="1"/>
        <v>1.0006999999999999</v>
      </c>
      <c r="S18" s="673">
        <f t="shared" si="4"/>
        <v>2005</v>
      </c>
      <c r="T18" s="675">
        <v>0</v>
      </c>
      <c r="U18" s="675">
        <v>5</v>
      </c>
      <c r="V18" s="676">
        <f t="shared" si="5"/>
        <v>0</v>
      </c>
      <c r="W18" s="677">
        <v>1</v>
      </c>
      <c r="X18" s="678">
        <f t="shared" si="2"/>
        <v>0</v>
      </c>
    </row>
    <row r="19" spans="2:24">
      <c r="B19" s="673">
        <f t="shared" si="3"/>
        <v>2006</v>
      </c>
      <c r="C19" s="665">
        <f>'[2]Fraksi pengelolaan sampah BaU'!C36</f>
        <v>31.356083616000003</v>
      </c>
      <c r="D19" s="666">
        <v>1</v>
      </c>
      <c r="E19" s="667">
        <f t="shared" si="0"/>
        <v>0.66390000000000005</v>
      </c>
      <c r="F19" s="667">
        <f t="shared" si="0"/>
        <v>0.1285</v>
      </c>
      <c r="G19" s="667">
        <f t="shared" si="0"/>
        <v>0</v>
      </c>
      <c r="H19" s="667">
        <f t="shared" si="0"/>
        <v>0</v>
      </c>
      <c r="I19" s="667">
        <f t="shared" si="0"/>
        <v>0</v>
      </c>
      <c r="J19" s="667">
        <f t="shared" si="0"/>
        <v>8.0999999999999996E-3</v>
      </c>
      <c r="K19" s="667">
        <f t="shared" si="0"/>
        <v>0</v>
      </c>
      <c r="L19" s="667">
        <f t="shared" si="0"/>
        <v>0.1071</v>
      </c>
      <c r="M19" s="667">
        <f t="shared" si="0"/>
        <v>1.77E-2</v>
      </c>
      <c r="N19" s="667">
        <f t="shared" si="0"/>
        <v>1.3299999999999999E-2</v>
      </c>
      <c r="O19" s="667">
        <f t="shared" si="0"/>
        <v>6.2100000000000002E-2</v>
      </c>
      <c r="P19" s="674">
        <f t="shared" si="1"/>
        <v>1.0006999999999999</v>
      </c>
      <c r="S19" s="673">
        <f t="shared" si="4"/>
        <v>2006</v>
      </c>
      <c r="T19" s="675">
        <v>0</v>
      </c>
      <c r="U19" s="675">
        <v>5</v>
      </c>
      <c r="V19" s="676">
        <f t="shared" si="5"/>
        <v>0</v>
      </c>
      <c r="W19" s="677">
        <v>1</v>
      </c>
      <c r="X19" s="678">
        <f t="shared" si="2"/>
        <v>0</v>
      </c>
    </row>
    <row r="20" spans="2:24">
      <c r="B20" s="673">
        <f t="shared" si="3"/>
        <v>2007</v>
      </c>
      <c r="C20" s="665">
        <f>'[2]Fraksi pengelolaan sampah BaU'!C37</f>
        <v>31.976098967999999</v>
      </c>
      <c r="D20" s="666">
        <v>1</v>
      </c>
      <c r="E20" s="667">
        <f t="shared" si="0"/>
        <v>0.66390000000000005</v>
      </c>
      <c r="F20" s="667">
        <f t="shared" si="0"/>
        <v>0.1285</v>
      </c>
      <c r="G20" s="667">
        <f t="shared" si="0"/>
        <v>0</v>
      </c>
      <c r="H20" s="667">
        <f t="shared" si="0"/>
        <v>0</v>
      </c>
      <c r="I20" s="667">
        <f t="shared" si="0"/>
        <v>0</v>
      </c>
      <c r="J20" s="667">
        <f t="shared" si="0"/>
        <v>8.0999999999999996E-3</v>
      </c>
      <c r="K20" s="667">
        <f t="shared" si="0"/>
        <v>0</v>
      </c>
      <c r="L20" s="667">
        <f t="shared" si="0"/>
        <v>0.1071</v>
      </c>
      <c r="M20" s="667">
        <f t="shared" si="0"/>
        <v>1.77E-2</v>
      </c>
      <c r="N20" s="667">
        <f t="shared" si="0"/>
        <v>1.3299999999999999E-2</v>
      </c>
      <c r="O20" s="667">
        <f t="shared" si="0"/>
        <v>6.2100000000000002E-2</v>
      </c>
      <c r="P20" s="674">
        <f t="shared" si="1"/>
        <v>1.0006999999999999</v>
      </c>
      <c r="S20" s="673">
        <f t="shared" si="4"/>
        <v>2007</v>
      </c>
      <c r="T20" s="675">
        <v>0</v>
      </c>
      <c r="U20" s="675">
        <v>5</v>
      </c>
      <c r="V20" s="676">
        <f t="shared" si="5"/>
        <v>0</v>
      </c>
      <c r="W20" s="677">
        <v>1</v>
      </c>
      <c r="X20" s="678">
        <f t="shared" si="2"/>
        <v>0</v>
      </c>
    </row>
    <row r="21" spans="2:24">
      <c r="B21" s="673">
        <f t="shared" si="3"/>
        <v>2008</v>
      </c>
      <c r="C21" s="665">
        <f>'[2]Fraksi pengelolaan sampah BaU'!C38</f>
        <v>32.591306088000003</v>
      </c>
      <c r="D21" s="666">
        <v>1</v>
      </c>
      <c r="E21" s="667">
        <f t="shared" si="0"/>
        <v>0.66390000000000005</v>
      </c>
      <c r="F21" s="667">
        <f t="shared" si="0"/>
        <v>0.1285</v>
      </c>
      <c r="G21" s="667">
        <f t="shared" si="0"/>
        <v>0</v>
      </c>
      <c r="H21" s="667">
        <f t="shared" si="0"/>
        <v>0</v>
      </c>
      <c r="I21" s="667">
        <f t="shared" si="0"/>
        <v>0</v>
      </c>
      <c r="J21" s="667">
        <f t="shared" si="0"/>
        <v>8.0999999999999996E-3</v>
      </c>
      <c r="K21" s="667">
        <f t="shared" si="0"/>
        <v>0</v>
      </c>
      <c r="L21" s="667">
        <f t="shared" si="0"/>
        <v>0.1071</v>
      </c>
      <c r="M21" s="667">
        <f t="shared" si="0"/>
        <v>1.77E-2</v>
      </c>
      <c r="N21" s="667">
        <f t="shared" si="0"/>
        <v>1.3299999999999999E-2</v>
      </c>
      <c r="O21" s="667">
        <f t="shared" si="0"/>
        <v>6.2100000000000002E-2</v>
      </c>
      <c r="P21" s="674">
        <f t="shared" si="1"/>
        <v>1.0006999999999999</v>
      </c>
      <c r="S21" s="673">
        <f t="shared" si="4"/>
        <v>2008</v>
      </c>
      <c r="T21" s="675">
        <v>0</v>
      </c>
      <c r="U21" s="675">
        <v>5</v>
      </c>
      <c r="V21" s="676">
        <f t="shared" si="5"/>
        <v>0</v>
      </c>
      <c r="W21" s="677">
        <v>1</v>
      </c>
      <c r="X21" s="678">
        <f t="shared" si="2"/>
        <v>0</v>
      </c>
    </row>
    <row r="22" spans="2:24">
      <c r="B22" s="673">
        <f t="shared" si="3"/>
        <v>2009</v>
      </c>
      <c r="C22" s="665">
        <f>'[2]Fraksi pengelolaan sampah BaU'!C39</f>
        <v>33.197081676000003</v>
      </c>
      <c r="D22" s="666">
        <v>1</v>
      </c>
      <c r="E22" s="667">
        <f t="shared" si="0"/>
        <v>0.66390000000000005</v>
      </c>
      <c r="F22" s="667">
        <f t="shared" si="0"/>
        <v>0.1285</v>
      </c>
      <c r="G22" s="667">
        <f t="shared" si="0"/>
        <v>0</v>
      </c>
      <c r="H22" s="667">
        <f t="shared" si="0"/>
        <v>0</v>
      </c>
      <c r="I22" s="667">
        <f t="shared" si="0"/>
        <v>0</v>
      </c>
      <c r="J22" s="667">
        <f t="shared" si="0"/>
        <v>8.0999999999999996E-3</v>
      </c>
      <c r="K22" s="667">
        <f t="shared" si="0"/>
        <v>0</v>
      </c>
      <c r="L22" s="667">
        <f t="shared" si="0"/>
        <v>0.1071</v>
      </c>
      <c r="M22" s="667">
        <f t="shared" si="0"/>
        <v>1.77E-2</v>
      </c>
      <c r="N22" s="667">
        <f t="shared" si="0"/>
        <v>1.3299999999999999E-2</v>
      </c>
      <c r="O22" s="667">
        <f t="shared" si="0"/>
        <v>6.2100000000000002E-2</v>
      </c>
      <c r="P22" s="674">
        <f t="shared" si="1"/>
        <v>1.0006999999999999</v>
      </c>
      <c r="S22" s="673">
        <f t="shared" si="4"/>
        <v>2009</v>
      </c>
      <c r="T22" s="675">
        <v>0</v>
      </c>
      <c r="U22" s="675">
        <v>5</v>
      </c>
      <c r="V22" s="676">
        <f t="shared" si="5"/>
        <v>0</v>
      </c>
      <c r="W22" s="677">
        <v>1</v>
      </c>
      <c r="X22" s="678">
        <f t="shared" si="2"/>
        <v>0</v>
      </c>
    </row>
    <row r="23" spans="2:24">
      <c r="B23" s="673">
        <f t="shared" si="3"/>
        <v>2010</v>
      </c>
      <c r="C23" s="665">
        <f>'[2]Fraksi pengelolaan sampah BaU'!C40</f>
        <v>38.631061920000008</v>
      </c>
      <c r="D23" s="666">
        <v>1</v>
      </c>
      <c r="E23" s="667">
        <f t="shared" ref="E23:O38" si="6">E$8</f>
        <v>0.66390000000000005</v>
      </c>
      <c r="F23" s="667">
        <f t="shared" si="6"/>
        <v>0.1285</v>
      </c>
      <c r="G23" s="667">
        <f t="shared" si="0"/>
        <v>0</v>
      </c>
      <c r="H23" s="667">
        <f t="shared" si="6"/>
        <v>0</v>
      </c>
      <c r="I23" s="667">
        <f t="shared" si="0"/>
        <v>0</v>
      </c>
      <c r="J23" s="667">
        <f t="shared" si="6"/>
        <v>8.0999999999999996E-3</v>
      </c>
      <c r="K23" s="667">
        <f t="shared" si="6"/>
        <v>0</v>
      </c>
      <c r="L23" s="667">
        <f t="shared" si="6"/>
        <v>0.1071</v>
      </c>
      <c r="M23" s="667">
        <f t="shared" si="6"/>
        <v>1.77E-2</v>
      </c>
      <c r="N23" s="667">
        <f t="shared" si="6"/>
        <v>1.3299999999999999E-2</v>
      </c>
      <c r="O23" s="667">
        <f t="shared" si="6"/>
        <v>6.2100000000000002E-2</v>
      </c>
      <c r="P23" s="674">
        <f t="shared" si="1"/>
        <v>1.0006999999999999</v>
      </c>
      <c r="S23" s="673">
        <f t="shared" si="4"/>
        <v>2010</v>
      </c>
      <c r="T23" s="675">
        <v>0</v>
      </c>
      <c r="U23" s="675">
        <v>5</v>
      </c>
      <c r="V23" s="676">
        <f t="shared" si="5"/>
        <v>0</v>
      </c>
      <c r="W23" s="677">
        <v>1</v>
      </c>
      <c r="X23" s="678">
        <f t="shared" si="2"/>
        <v>0</v>
      </c>
    </row>
    <row r="24" spans="2:24">
      <c r="B24" s="673">
        <f t="shared" si="3"/>
        <v>2011</v>
      </c>
      <c r="C24" s="679"/>
      <c r="D24" s="666">
        <v>1</v>
      </c>
      <c r="E24" s="667">
        <f t="shared" si="6"/>
        <v>0.66390000000000005</v>
      </c>
      <c r="F24" s="667">
        <f t="shared" si="6"/>
        <v>0.1285</v>
      </c>
      <c r="G24" s="667">
        <f t="shared" si="0"/>
        <v>0</v>
      </c>
      <c r="H24" s="667">
        <f t="shared" si="6"/>
        <v>0</v>
      </c>
      <c r="I24" s="667">
        <f t="shared" si="0"/>
        <v>0</v>
      </c>
      <c r="J24" s="667">
        <f t="shared" si="6"/>
        <v>8.0999999999999996E-3</v>
      </c>
      <c r="K24" s="667">
        <f t="shared" si="6"/>
        <v>0</v>
      </c>
      <c r="L24" s="667">
        <f t="shared" si="6"/>
        <v>0.1071</v>
      </c>
      <c r="M24" s="667">
        <f t="shared" si="6"/>
        <v>1.77E-2</v>
      </c>
      <c r="N24" s="667">
        <f t="shared" si="6"/>
        <v>1.3299999999999999E-2</v>
      </c>
      <c r="O24" s="667">
        <f t="shared" si="6"/>
        <v>6.2100000000000002E-2</v>
      </c>
      <c r="P24" s="674">
        <f t="shared" si="1"/>
        <v>1.0006999999999999</v>
      </c>
      <c r="S24" s="673">
        <f t="shared" si="4"/>
        <v>2011</v>
      </c>
      <c r="T24" s="675">
        <v>0</v>
      </c>
      <c r="U24" s="675">
        <v>5</v>
      </c>
      <c r="V24" s="676">
        <f t="shared" si="5"/>
        <v>0</v>
      </c>
      <c r="W24" s="677">
        <v>1</v>
      </c>
      <c r="X24" s="678">
        <f t="shared" si="2"/>
        <v>0</v>
      </c>
    </row>
    <row r="25" spans="2:24">
      <c r="B25" s="673">
        <f t="shared" si="3"/>
        <v>2012</v>
      </c>
      <c r="C25" s="679"/>
      <c r="D25" s="666">
        <v>1</v>
      </c>
      <c r="E25" s="667">
        <f t="shared" si="6"/>
        <v>0.66390000000000005</v>
      </c>
      <c r="F25" s="667">
        <f t="shared" si="6"/>
        <v>0.1285</v>
      </c>
      <c r="G25" s="667">
        <f t="shared" si="0"/>
        <v>0</v>
      </c>
      <c r="H25" s="667">
        <f t="shared" si="6"/>
        <v>0</v>
      </c>
      <c r="I25" s="667">
        <f t="shared" si="0"/>
        <v>0</v>
      </c>
      <c r="J25" s="667">
        <f t="shared" si="6"/>
        <v>8.0999999999999996E-3</v>
      </c>
      <c r="K25" s="667">
        <f t="shared" si="6"/>
        <v>0</v>
      </c>
      <c r="L25" s="667">
        <f t="shared" si="6"/>
        <v>0.1071</v>
      </c>
      <c r="M25" s="667">
        <f t="shared" si="6"/>
        <v>1.77E-2</v>
      </c>
      <c r="N25" s="667">
        <f t="shared" si="6"/>
        <v>1.3299999999999999E-2</v>
      </c>
      <c r="O25" s="667">
        <f t="shared" si="6"/>
        <v>6.2100000000000002E-2</v>
      </c>
      <c r="P25" s="674">
        <f t="shared" si="1"/>
        <v>1.0006999999999999</v>
      </c>
      <c r="S25" s="673">
        <f t="shared" si="4"/>
        <v>2012</v>
      </c>
      <c r="T25" s="675">
        <v>0</v>
      </c>
      <c r="U25" s="675">
        <v>5</v>
      </c>
      <c r="V25" s="676">
        <f t="shared" si="5"/>
        <v>0</v>
      </c>
      <c r="W25" s="677">
        <v>1</v>
      </c>
      <c r="X25" s="678">
        <f t="shared" si="2"/>
        <v>0</v>
      </c>
    </row>
    <row r="26" spans="2:24">
      <c r="B26" s="673">
        <f t="shared" si="3"/>
        <v>2013</v>
      </c>
      <c r="C26" s="679"/>
      <c r="D26" s="666">
        <v>1</v>
      </c>
      <c r="E26" s="667">
        <f t="shared" si="6"/>
        <v>0.66390000000000005</v>
      </c>
      <c r="F26" s="667">
        <f t="shared" si="6"/>
        <v>0.1285</v>
      </c>
      <c r="G26" s="667">
        <f t="shared" si="0"/>
        <v>0</v>
      </c>
      <c r="H26" s="667">
        <f t="shared" si="6"/>
        <v>0</v>
      </c>
      <c r="I26" s="667">
        <f t="shared" si="0"/>
        <v>0</v>
      </c>
      <c r="J26" s="667">
        <f t="shared" si="6"/>
        <v>8.0999999999999996E-3</v>
      </c>
      <c r="K26" s="667">
        <f t="shared" si="6"/>
        <v>0</v>
      </c>
      <c r="L26" s="667">
        <f t="shared" si="6"/>
        <v>0.1071</v>
      </c>
      <c r="M26" s="667">
        <f t="shared" si="6"/>
        <v>1.77E-2</v>
      </c>
      <c r="N26" s="667">
        <f t="shared" si="6"/>
        <v>1.3299999999999999E-2</v>
      </c>
      <c r="O26" s="667">
        <f t="shared" si="6"/>
        <v>6.2100000000000002E-2</v>
      </c>
      <c r="P26" s="674">
        <f t="shared" si="1"/>
        <v>1.0006999999999999</v>
      </c>
      <c r="S26" s="673">
        <f t="shared" si="4"/>
        <v>2013</v>
      </c>
      <c r="T26" s="675">
        <v>0</v>
      </c>
      <c r="U26" s="675">
        <v>5</v>
      </c>
      <c r="V26" s="676">
        <f t="shared" si="5"/>
        <v>0</v>
      </c>
      <c r="W26" s="677">
        <v>1</v>
      </c>
      <c r="X26" s="678">
        <f t="shared" si="2"/>
        <v>0</v>
      </c>
    </row>
    <row r="27" spans="2:24">
      <c r="B27" s="673">
        <f t="shared" si="3"/>
        <v>2014</v>
      </c>
      <c r="C27" s="679"/>
      <c r="D27" s="666">
        <v>1</v>
      </c>
      <c r="E27" s="667">
        <f t="shared" si="6"/>
        <v>0.66390000000000005</v>
      </c>
      <c r="F27" s="667">
        <f t="shared" si="6"/>
        <v>0.1285</v>
      </c>
      <c r="G27" s="667">
        <f t="shared" si="0"/>
        <v>0</v>
      </c>
      <c r="H27" s="667">
        <f t="shared" si="6"/>
        <v>0</v>
      </c>
      <c r="I27" s="667">
        <f t="shared" si="0"/>
        <v>0</v>
      </c>
      <c r="J27" s="667">
        <f t="shared" si="6"/>
        <v>8.0999999999999996E-3</v>
      </c>
      <c r="K27" s="667">
        <f t="shared" si="6"/>
        <v>0</v>
      </c>
      <c r="L27" s="667">
        <f t="shared" si="6"/>
        <v>0.1071</v>
      </c>
      <c r="M27" s="667">
        <f t="shared" si="6"/>
        <v>1.77E-2</v>
      </c>
      <c r="N27" s="667">
        <f t="shared" si="6"/>
        <v>1.3299999999999999E-2</v>
      </c>
      <c r="O27" s="667">
        <f t="shared" si="6"/>
        <v>6.2100000000000002E-2</v>
      </c>
      <c r="P27" s="674">
        <f t="shared" si="1"/>
        <v>1.0006999999999999</v>
      </c>
      <c r="S27" s="673">
        <f t="shared" si="4"/>
        <v>2014</v>
      </c>
      <c r="T27" s="675">
        <v>0</v>
      </c>
      <c r="U27" s="675">
        <v>5</v>
      </c>
      <c r="V27" s="676">
        <f t="shared" si="5"/>
        <v>0</v>
      </c>
      <c r="W27" s="677">
        <v>1</v>
      </c>
      <c r="X27" s="678">
        <f t="shared" si="2"/>
        <v>0</v>
      </c>
    </row>
    <row r="28" spans="2:24">
      <c r="B28" s="673">
        <f t="shared" si="3"/>
        <v>2015</v>
      </c>
      <c r="C28" s="679"/>
      <c r="D28" s="666">
        <v>1</v>
      </c>
      <c r="E28" s="667">
        <f t="shared" si="6"/>
        <v>0.66390000000000005</v>
      </c>
      <c r="F28" s="667">
        <f t="shared" si="6"/>
        <v>0.1285</v>
      </c>
      <c r="G28" s="667">
        <f t="shared" si="0"/>
        <v>0</v>
      </c>
      <c r="H28" s="667">
        <f t="shared" si="6"/>
        <v>0</v>
      </c>
      <c r="I28" s="667">
        <f t="shared" si="0"/>
        <v>0</v>
      </c>
      <c r="J28" s="667">
        <f t="shared" si="6"/>
        <v>8.0999999999999996E-3</v>
      </c>
      <c r="K28" s="667">
        <f t="shared" si="6"/>
        <v>0</v>
      </c>
      <c r="L28" s="667">
        <f t="shared" si="6"/>
        <v>0.1071</v>
      </c>
      <c r="M28" s="667">
        <f t="shared" si="6"/>
        <v>1.77E-2</v>
      </c>
      <c r="N28" s="667">
        <f t="shared" si="6"/>
        <v>1.3299999999999999E-2</v>
      </c>
      <c r="O28" s="667">
        <f t="shared" si="6"/>
        <v>6.2100000000000002E-2</v>
      </c>
      <c r="P28" s="674">
        <f t="shared" si="1"/>
        <v>1.0006999999999999</v>
      </c>
      <c r="S28" s="673">
        <f t="shared" si="4"/>
        <v>2015</v>
      </c>
      <c r="T28" s="675">
        <v>0</v>
      </c>
      <c r="U28" s="675">
        <v>5</v>
      </c>
      <c r="V28" s="676">
        <f t="shared" si="5"/>
        <v>0</v>
      </c>
      <c r="W28" s="677">
        <v>1</v>
      </c>
      <c r="X28" s="678">
        <f t="shared" si="2"/>
        <v>0</v>
      </c>
    </row>
    <row r="29" spans="2:24">
      <c r="B29" s="673">
        <f t="shared" si="3"/>
        <v>2016</v>
      </c>
      <c r="C29" s="679"/>
      <c r="D29" s="666">
        <v>1</v>
      </c>
      <c r="E29" s="667">
        <f t="shared" si="6"/>
        <v>0.66390000000000005</v>
      </c>
      <c r="F29" s="667">
        <f t="shared" si="6"/>
        <v>0.1285</v>
      </c>
      <c r="G29" s="667">
        <f t="shared" si="6"/>
        <v>0</v>
      </c>
      <c r="H29" s="667">
        <f t="shared" si="6"/>
        <v>0</v>
      </c>
      <c r="I29" s="667">
        <f t="shared" si="6"/>
        <v>0</v>
      </c>
      <c r="J29" s="667">
        <f t="shared" si="6"/>
        <v>8.0999999999999996E-3</v>
      </c>
      <c r="K29" s="667">
        <f t="shared" si="6"/>
        <v>0</v>
      </c>
      <c r="L29" s="667">
        <f t="shared" si="6"/>
        <v>0.1071</v>
      </c>
      <c r="M29" s="667">
        <f t="shared" si="6"/>
        <v>1.77E-2</v>
      </c>
      <c r="N29" s="667">
        <f t="shared" si="6"/>
        <v>1.3299999999999999E-2</v>
      </c>
      <c r="O29" s="667">
        <f t="shared" si="6"/>
        <v>6.2100000000000002E-2</v>
      </c>
      <c r="P29" s="674">
        <f t="shared" si="1"/>
        <v>1.0006999999999999</v>
      </c>
      <c r="S29" s="673">
        <f t="shared" si="4"/>
        <v>2016</v>
      </c>
      <c r="T29" s="675">
        <v>0</v>
      </c>
      <c r="U29" s="675">
        <v>5</v>
      </c>
      <c r="V29" s="676">
        <f t="shared" si="5"/>
        <v>0</v>
      </c>
      <c r="W29" s="677">
        <v>1</v>
      </c>
      <c r="X29" s="678">
        <f t="shared" si="2"/>
        <v>0</v>
      </c>
    </row>
    <row r="30" spans="2:24">
      <c r="B30" s="673">
        <f t="shared" si="3"/>
        <v>2017</v>
      </c>
      <c r="C30" s="679"/>
      <c r="D30" s="666">
        <v>1</v>
      </c>
      <c r="E30" s="667">
        <f t="shared" si="6"/>
        <v>0.66390000000000005</v>
      </c>
      <c r="F30" s="667">
        <f t="shared" si="6"/>
        <v>0.1285</v>
      </c>
      <c r="G30" s="667">
        <f t="shared" si="6"/>
        <v>0</v>
      </c>
      <c r="H30" s="667">
        <f t="shared" si="6"/>
        <v>0</v>
      </c>
      <c r="I30" s="667">
        <f t="shared" si="6"/>
        <v>0</v>
      </c>
      <c r="J30" s="667">
        <f t="shared" si="6"/>
        <v>8.0999999999999996E-3</v>
      </c>
      <c r="K30" s="667">
        <f t="shared" si="6"/>
        <v>0</v>
      </c>
      <c r="L30" s="667">
        <f t="shared" si="6"/>
        <v>0.1071</v>
      </c>
      <c r="M30" s="667">
        <f t="shared" si="6"/>
        <v>1.77E-2</v>
      </c>
      <c r="N30" s="667">
        <f t="shared" si="6"/>
        <v>1.3299999999999999E-2</v>
      </c>
      <c r="O30" s="667">
        <f t="shared" si="6"/>
        <v>6.2100000000000002E-2</v>
      </c>
      <c r="P30" s="674">
        <f t="shared" si="1"/>
        <v>1.0006999999999999</v>
      </c>
      <c r="S30" s="673">
        <f t="shared" si="4"/>
        <v>2017</v>
      </c>
      <c r="T30" s="675">
        <v>0</v>
      </c>
      <c r="U30" s="675">
        <v>5</v>
      </c>
      <c r="V30" s="676">
        <f t="shared" si="5"/>
        <v>0</v>
      </c>
      <c r="W30" s="677">
        <v>1</v>
      </c>
      <c r="X30" s="678">
        <f t="shared" si="2"/>
        <v>0</v>
      </c>
    </row>
    <row r="31" spans="2:24">
      <c r="B31" s="673">
        <f t="shared" si="3"/>
        <v>2018</v>
      </c>
      <c r="C31" s="679"/>
      <c r="D31" s="666">
        <v>1</v>
      </c>
      <c r="E31" s="667">
        <f t="shared" si="6"/>
        <v>0.66390000000000005</v>
      </c>
      <c r="F31" s="667">
        <f t="shared" si="6"/>
        <v>0.1285</v>
      </c>
      <c r="G31" s="667">
        <f t="shared" si="6"/>
        <v>0</v>
      </c>
      <c r="H31" s="667">
        <f t="shared" si="6"/>
        <v>0</v>
      </c>
      <c r="I31" s="667">
        <f t="shared" si="6"/>
        <v>0</v>
      </c>
      <c r="J31" s="667">
        <f t="shared" si="6"/>
        <v>8.0999999999999996E-3</v>
      </c>
      <c r="K31" s="667">
        <f t="shared" si="6"/>
        <v>0</v>
      </c>
      <c r="L31" s="667">
        <f t="shared" si="6"/>
        <v>0.1071</v>
      </c>
      <c r="M31" s="667">
        <f t="shared" si="6"/>
        <v>1.77E-2</v>
      </c>
      <c r="N31" s="667">
        <f t="shared" si="6"/>
        <v>1.3299999999999999E-2</v>
      </c>
      <c r="O31" s="667">
        <f t="shared" si="6"/>
        <v>6.2100000000000002E-2</v>
      </c>
      <c r="P31" s="674">
        <f t="shared" si="1"/>
        <v>1.0006999999999999</v>
      </c>
      <c r="S31" s="673">
        <f t="shared" si="4"/>
        <v>2018</v>
      </c>
      <c r="T31" s="675">
        <v>0</v>
      </c>
      <c r="U31" s="675">
        <v>5</v>
      </c>
      <c r="V31" s="676">
        <f t="shared" si="5"/>
        <v>0</v>
      </c>
      <c r="W31" s="677">
        <v>1</v>
      </c>
      <c r="X31" s="678">
        <f t="shared" si="2"/>
        <v>0</v>
      </c>
    </row>
    <row r="32" spans="2:24">
      <c r="B32" s="673">
        <f t="shared" si="3"/>
        <v>2019</v>
      </c>
      <c r="C32" s="679"/>
      <c r="D32" s="666">
        <v>1</v>
      </c>
      <c r="E32" s="667">
        <f t="shared" si="6"/>
        <v>0.66390000000000005</v>
      </c>
      <c r="F32" s="667">
        <f t="shared" si="6"/>
        <v>0.1285</v>
      </c>
      <c r="G32" s="667">
        <f t="shared" si="6"/>
        <v>0</v>
      </c>
      <c r="H32" s="667">
        <f t="shared" si="6"/>
        <v>0</v>
      </c>
      <c r="I32" s="667">
        <f t="shared" si="6"/>
        <v>0</v>
      </c>
      <c r="J32" s="667">
        <f t="shared" si="6"/>
        <v>8.0999999999999996E-3</v>
      </c>
      <c r="K32" s="667">
        <f t="shared" si="6"/>
        <v>0</v>
      </c>
      <c r="L32" s="667">
        <f t="shared" si="6"/>
        <v>0.1071</v>
      </c>
      <c r="M32" s="667">
        <f t="shared" si="6"/>
        <v>1.77E-2</v>
      </c>
      <c r="N32" s="667">
        <f t="shared" si="6"/>
        <v>1.3299999999999999E-2</v>
      </c>
      <c r="O32" s="667">
        <f t="shared" si="6"/>
        <v>6.2100000000000002E-2</v>
      </c>
      <c r="P32" s="674">
        <f t="shared" si="1"/>
        <v>1.0006999999999999</v>
      </c>
      <c r="S32" s="673">
        <f t="shared" si="4"/>
        <v>2019</v>
      </c>
      <c r="T32" s="675">
        <v>0</v>
      </c>
      <c r="U32" s="675">
        <v>5</v>
      </c>
      <c r="V32" s="676">
        <f t="shared" si="5"/>
        <v>0</v>
      </c>
      <c r="W32" s="677">
        <v>1</v>
      </c>
      <c r="X32" s="678">
        <f t="shared" si="2"/>
        <v>0</v>
      </c>
    </row>
    <row r="33" spans="2:24">
      <c r="B33" s="673">
        <f t="shared" si="3"/>
        <v>2020</v>
      </c>
      <c r="C33" s="679"/>
      <c r="D33" s="666">
        <v>1</v>
      </c>
      <c r="E33" s="667">
        <f t="shared" ref="E33:O48" si="7">E$8</f>
        <v>0.66390000000000005</v>
      </c>
      <c r="F33" s="667">
        <f t="shared" si="7"/>
        <v>0.1285</v>
      </c>
      <c r="G33" s="667">
        <f t="shared" si="6"/>
        <v>0</v>
      </c>
      <c r="H33" s="667">
        <f t="shared" si="7"/>
        <v>0</v>
      </c>
      <c r="I33" s="667">
        <f t="shared" si="6"/>
        <v>0</v>
      </c>
      <c r="J33" s="667">
        <f t="shared" si="7"/>
        <v>8.0999999999999996E-3</v>
      </c>
      <c r="K33" s="667">
        <f t="shared" si="7"/>
        <v>0</v>
      </c>
      <c r="L33" s="667">
        <f t="shared" si="7"/>
        <v>0.1071</v>
      </c>
      <c r="M33" s="667">
        <f t="shared" si="7"/>
        <v>1.77E-2</v>
      </c>
      <c r="N33" s="667">
        <f t="shared" si="7"/>
        <v>1.3299999999999999E-2</v>
      </c>
      <c r="O33" s="667">
        <f t="shared" si="7"/>
        <v>6.2100000000000002E-2</v>
      </c>
      <c r="P33" s="674">
        <f t="shared" si="1"/>
        <v>1.0006999999999999</v>
      </c>
      <c r="S33" s="673">
        <f t="shared" si="4"/>
        <v>2020</v>
      </c>
      <c r="T33" s="675">
        <v>0</v>
      </c>
      <c r="U33" s="675">
        <v>5</v>
      </c>
      <c r="V33" s="676">
        <f t="shared" si="5"/>
        <v>0</v>
      </c>
      <c r="W33" s="677">
        <v>1</v>
      </c>
      <c r="X33" s="678">
        <f t="shared" si="2"/>
        <v>0</v>
      </c>
    </row>
    <row r="34" spans="2:24">
      <c r="B34" s="673">
        <f t="shared" si="3"/>
        <v>2021</v>
      </c>
      <c r="C34" s="679"/>
      <c r="D34" s="666">
        <v>1</v>
      </c>
      <c r="E34" s="667">
        <f t="shared" si="7"/>
        <v>0.66390000000000005</v>
      </c>
      <c r="F34" s="667">
        <f t="shared" si="7"/>
        <v>0.1285</v>
      </c>
      <c r="G34" s="667">
        <f t="shared" si="6"/>
        <v>0</v>
      </c>
      <c r="H34" s="667">
        <f t="shared" si="7"/>
        <v>0</v>
      </c>
      <c r="I34" s="667">
        <f t="shared" si="6"/>
        <v>0</v>
      </c>
      <c r="J34" s="667">
        <f t="shared" si="7"/>
        <v>8.0999999999999996E-3</v>
      </c>
      <c r="K34" s="667">
        <f t="shared" si="7"/>
        <v>0</v>
      </c>
      <c r="L34" s="667">
        <f t="shared" si="7"/>
        <v>0.1071</v>
      </c>
      <c r="M34" s="667">
        <f t="shared" si="7"/>
        <v>1.77E-2</v>
      </c>
      <c r="N34" s="667">
        <f t="shared" si="7"/>
        <v>1.3299999999999999E-2</v>
      </c>
      <c r="O34" s="667">
        <f t="shared" si="7"/>
        <v>6.2100000000000002E-2</v>
      </c>
      <c r="P34" s="674">
        <f t="shared" si="1"/>
        <v>1.0006999999999999</v>
      </c>
      <c r="S34" s="673">
        <f t="shared" si="4"/>
        <v>2021</v>
      </c>
      <c r="T34" s="675">
        <v>0</v>
      </c>
      <c r="U34" s="675">
        <v>5</v>
      </c>
      <c r="V34" s="676">
        <f t="shared" si="5"/>
        <v>0</v>
      </c>
      <c r="W34" s="677">
        <v>1</v>
      </c>
      <c r="X34" s="678">
        <f t="shared" si="2"/>
        <v>0</v>
      </c>
    </row>
    <row r="35" spans="2:24">
      <c r="B35" s="673">
        <f t="shared" si="3"/>
        <v>2022</v>
      </c>
      <c r="C35" s="679"/>
      <c r="D35" s="666">
        <v>1</v>
      </c>
      <c r="E35" s="667">
        <f t="shared" si="7"/>
        <v>0.66390000000000005</v>
      </c>
      <c r="F35" s="667">
        <f t="shared" si="7"/>
        <v>0.1285</v>
      </c>
      <c r="G35" s="667">
        <f t="shared" si="6"/>
        <v>0</v>
      </c>
      <c r="H35" s="667">
        <f t="shared" si="7"/>
        <v>0</v>
      </c>
      <c r="I35" s="667">
        <f t="shared" si="6"/>
        <v>0</v>
      </c>
      <c r="J35" s="667">
        <f t="shared" si="7"/>
        <v>8.0999999999999996E-3</v>
      </c>
      <c r="K35" s="667">
        <f t="shared" si="7"/>
        <v>0</v>
      </c>
      <c r="L35" s="667">
        <f t="shared" si="7"/>
        <v>0.1071</v>
      </c>
      <c r="M35" s="667">
        <f t="shared" si="7"/>
        <v>1.77E-2</v>
      </c>
      <c r="N35" s="667">
        <f t="shared" si="7"/>
        <v>1.3299999999999999E-2</v>
      </c>
      <c r="O35" s="667">
        <f t="shared" si="7"/>
        <v>6.2100000000000002E-2</v>
      </c>
      <c r="P35" s="674">
        <f t="shared" si="1"/>
        <v>1.0006999999999999</v>
      </c>
      <c r="S35" s="673">
        <f t="shared" si="4"/>
        <v>2022</v>
      </c>
      <c r="T35" s="675">
        <v>0</v>
      </c>
      <c r="U35" s="675">
        <v>5</v>
      </c>
      <c r="V35" s="676">
        <f t="shared" si="5"/>
        <v>0</v>
      </c>
      <c r="W35" s="677">
        <v>1</v>
      </c>
      <c r="X35" s="678">
        <f t="shared" si="2"/>
        <v>0</v>
      </c>
    </row>
    <row r="36" spans="2:24">
      <c r="B36" s="673">
        <f t="shared" si="3"/>
        <v>2023</v>
      </c>
      <c r="C36" s="679"/>
      <c r="D36" s="666">
        <v>1</v>
      </c>
      <c r="E36" s="667">
        <f t="shared" si="7"/>
        <v>0.66390000000000005</v>
      </c>
      <c r="F36" s="667">
        <f t="shared" si="7"/>
        <v>0.1285</v>
      </c>
      <c r="G36" s="667">
        <f t="shared" si="6"/>
        <v>0</v>
      </c>
      <c r="H36" s="667">
        <f t="shared" si="7"/>
        <v>0</v>
      </c>
      <c r="I36" s="667">
        <f t="shared" si="6"/>
        <v>0</v>
      </c>
      <c r="J36" s="667">
        <f t="shared" si="7"/>
        <v>8.0999999999999996E-3</v>
      </c>
      <c r="K36" s="667">
        <f t="shared" si="7"/>
        <v>0</v>
      </c>
      <c r="L36" s="667">
        <f t="shared" si="7"/>
        <v>0.1071</v>
      </c>
      <c r="M36" s="667">
        <f t="shared" si="7"/>
        <v>1.77E-2</v>
      </c>
      <c r="N36" s="667">
        <f t="shared" si="7"/>
        <v>1.3299999999999999E-2</v>
      </c>
      <c r="O36" s="667">
        <f t="shared" si="7"/>
        <v>6.2100000000000002E-2</v>
      </c>
      <c r="P36" s="674">
        <f t="shared" si="1"/>
        <v>1.0006999999999999</v>
      </c>
      <c r="S36" s="673">
        <f t="shared" si="4"/>
        <v>2023</v>
      </c>
      <c r="T36" s="675">
        <v>0</v>
      </c>
      <c r="U36" s="675">
        <v>5</v>
      </c>
      <c r="V36" s="676">
        <f t="shared" si="5"/>
        <v>0</v>
      </c>
      <c r="W36" s="677">
        <v>1</v>
      </c>
      <c r="X36" s="678">
        <f t="shared" si="2"/>
        <v>0</v>
      </c>
    </row>
    <row r="37" spans="2:24">
      <c r="B37" s="673">
        <f t="shared" si="3"/>
        <v>2024</v>
      </c>
      <c r="C37" s="679"/>
      <c r="D37" s="666">
        <v>1</v>
      </c>
      <c r="E37" s="667">
        <f t="shared" si="7"/>
        <v>0.66390000000000005</v>
      </c>
      <c r="F37" s="667">
        <f t="shared" si="7"/>
        <v>0.1285</v>
      </c>
      <c r="G37" s="667">
        <f t="shared" si="6"/>
        <v>0</v>
      </c>
      <c r="H37" s="667">
        <f t="shared" si="7"/>
        <v>0</v>
      </c>
      <c r="I37" s="667">
        <f t="shared" si="6"/>
        <v>0</v>
      </c>
      <c r="J37" s="667">
        <f t="shared" si="7"/>
        <v>8.0999999999999996E-3</v>
      </c>
      <c r="K37" s="667">
        <f t="shared" si="7"/>
        <v>0</v>
      </c>
      <c r="L37" s="667">
        <f t="shared" si="7"/>
        <v>0.1071</v>
      </c>
      <c r="M37" s="667">
        <f t="shared" si="7"/>
        <v>1.77E-2</v>
      </c>
      <c r="N37" s="667">
        <f t="shared" si="7"/>
        <v>1.3299999999999999E-2</v>
      </c>
      <c r="O37" s="667">
        <f t="shared" si="7"/>
        <v>6.2100000000000002E-2</v>
      </c>
      <c r="P37" s="674">
        <f t="shared" si="1"/>
        <v>1.0006999999999999</v>
      </c>
      <c r="S37" s="673">
        <f t="shared" si="4"/>
        <v>2024</v>
      </c>
      <c r="T37" s="675">
        <v>0</v>
      </c>
      <c r="U37" s="675">
        <v>5</v>
      </c>
      <c r="V37" s="676">
        <f t="shared" si="5"/>
        <v>0</v>
      </c>
      <c r="W37" s="677">
        <v>1</v>
      </c>
      <c r="X37" s="678">
        <f t="shared" si="2"/>
        <v>0</v>
      </c>
    </row>
    <row r="38" spans="2:24">
      <c r="B38" s="673">
        <f t="shared" si="3"/>
        <v>2025</v>
      </c>
      <c r="C38" s="679"/>
      <c r="D38" s="666">
        <v>1</v>
      </c>
      <c r="E38" s="667">
        <f t="shared" si="7"/>
        <v>0.66390000000000005</v>
      </c>
      <c r="F38" s="667">
        <f t="shared" si="7"/>
        <v>0.1285</v>
      </c>
      <c r="G38" s="667">
        <f t="shared" si="6"/>
        <v>0</v>
      </c>
      <c r="H38" s="667">
        <f t="shared" si="7"/>
        <v>0</v>
      </c>
      <c r="I38" s="667">
        <f t="shared" si="6"/>
        <v>0</v>
      </c>
      <c r="J38" s="667">
        <f t="shared" si="7"/>
        <v>8.0999999999999996E-3</v>
      </c>
      <c r="K38" s="667">
        <f t="shared" si="7"/>
        <v>0</v>
      </c>
      <c r="L38" s="667">
        <f t="shared" si="7"/>
        <v>0.1071</v>
      </c>
      <c r="M38" s="667">
        <f t="shared" si="7"/>
        <v>1.77E-2</v>
      </c>
      <c r="N38" s="667">
        <f t="shared" si="7"/>
        <v>1.3299999999999999E-2</v>
      </c>
      <c r="O38" s="667">
        <f t="shared" si="7"/>
        <v>6.2100000000000002E-2</v>
      </c>
      <c r="P38" s="674">
        <f t="shared" si="1"/>
        <v>1.0006999999999999</v>
      </c>
      <c r="S38" s="673">
        <f t="shared" si="4"/>
        <v>2025</v>
      </c>
      <c r="T38" s="675">
        <v>0</v>
      </c>
      <c r="U38" s="675">
        <v>5</v>
      </c>
      <c r="V38" s="676">
        <f t="shared" si="5"/>
        <v>0</v>
      </c>
      <c r="W38" s="677">
        <v>1</v>
      </c>
      <c r="X38" s="678">
        <f t="shared" si="2"/>
        <v>0</v>
      </c>
    </row>
    <row r="39" spans="2:24">
      <c r="B39" s="673">
        <f t="shared" si="3"/>
        <v>2026</v>
      </c>
      <c r="C39" s="679"/>
      <c r="D39" s="666">
        <v>1</v>
      </c>
      <c r="E39" s="667">
        <f t="shared" si="7"/>
        <v>0.66390000000000005</v>
      </c>
      <c r="F39" s="667">
        <f t="shared" si="7"/>
        <v>0.1285</v>
      </c>
      <c r="G39" s="667">
        <f t="shared" si="7"/>
        <v>0</v>
      </c>
      <c r="H39" s="667">
        <f t="shared" si="7"/>
        <v>0</v>
      </c>
      <c r="I39" s="667">
        <f t="shared" si="7"/>
        <v>0</v>
      </c>
      <c r="J39" s="667">
        <f t="shared" si="7"/>
        <v>8.0999999999999996E-3</v>
      </c>
      <c r="K39" s="667">
        <f t="shared" si="7"/>
        <v>0</v>
      </c>
      <c r="L39" s="667">
        <f t="shared" si="7"/>
        <v>0.1071</v>
      </c>
      <c r="M39" s="667">
        <f t="shared" si="7"/>
        <v>1.77E-2</v>
      </c>
      <c r="N39" s="667">
        <f t="shared" si="7"/>
        <v>1.3299999999999999E-2</v>
      </c>
      <c r="O39" s="667">
        <f t="shared" si="7"/>
        <v>6.2100000000000002E-2</v>
      </c>
      <c r="P39" s="674">
        <f t="shared" si="1"/>
        <v>1.0006999999999999</v>
      </c>
      <c r="S39" s="673">
        <f t="shared" si="4"/>
        <v>2026</v>
      </c>
      <c r="T39" s="675">
        <v>0</v>
      </c>
      <c r="U39" s="675">
        <v>5</v>
      </c>
      <c r="V39" s="676">
        <f t="shared" si="5"/>
        <v>0</v>
      </c>
      <c r="W39" s="677">
        <v>1</v>
      </c>
      <c r="X39" s="678">
        <f t="shared" si="2"/>
        <v>0</v>
      </c>
    </row>
    <row r="40" spans="2:24">
      <c r="B40" s="673">
        <f t="shared" si="3"/>
        <v>2027</v>
      </c>
      <c r="C40" s="679"/>
      <c r="D40" s="666">
        <v>1</v>
      </c>
      <c r="E40" s="667">
        <f t="shared" si="7"/>
        <v>0.66390000000000005</v>
      </c>
      <c r="F40" s="667">
        <f t="shared" si="7"/>
        <v>0.1285</v>
      </c>
      <c r="G40" s="667">
        <f t="shared" si="7"/>
        <v>0</v>
      </c>
      <c r="H40" s="667">
        <f t="shared" si="7"/>
        <v>0</v>
      </c>
      <c r="I40" s="667">
        <f t="shared" si="7"/>
        <v>0</v>
      </c>
      <c r="J40" s="667">
        <f t="shared" si="7"/>
        <v>8.0999999999999996E-3</v>
      </c>
      <c r="K40" s="667">
        <f t="shared" si="7"/>
        <v>0</v>
      </c>
      <c r="L40" s="667">
        <f t="shared" si="7"/>
        <v>0.1071</v>
      </c>
      <c r="M40" s="667">
        <f t="shared" si="7"/>
        <v>1.77E-2</v>
      </c>
      <c r="N40" s="667">
        <f t="shared" si="7"/>
        <v>1.3299999999999999E-2</v>
      </c>
      <c r="O40" s="667">
        <f t="shared" si="7"/>
        <v>6.2100000000000002E-2</v>
      </c>
      <c r="P40" s="674">
        <f t="shared" si="1"/>
        <v>1.0006999999999999</v>
      </c>
      <c r="S40" s="673">
        <f t="shared" si="4"/>
        <v>2027</v>
      </c>
      <c r="T40" s="675">
        <v>0</v>
      </c>
      <c r="U40" s="675">
        <v>5</v>
      </c>
      <c r="V40" s="676">
        <f t="shared" si="5"/>
        <v>0</v>
      </c>
      <c r="W40" s="677">
        <v>1</v>
      </c>
      <c r="X40" s="678">
        <f t="shared" si="2"/>
        <v>0</v>
      </c>
    </row>
    <row r="41" spans="2:24">
      <c r="B41" s="673">
        <f t="shared" si="3"/>
        <v>2028</v>
      </c>
      <c r="C41" s="679"/>
      <c r="D41" s="666">
        <v>1</v>
      </c>
      <c r="E41" s="667">
        <f t="shared" si="7"/>
        <v>0.66390000000000005</v>
      </c>
      <c r="F41" s="667">
        <f t="shared" si="7"/>
        <v>0.1285</v>
      </c>
      <c r="G41" s="667">
        <f t="shared" si="7"/>
        <v>0</v>
      </c>
      <c r="H41" s="667">
        <f t="shared" si="7"/>
        <v>0</v>
      </c>
      <c r="I41" s="667">
        <f t="shared" si="7"/>
        <v>0</v>
      </c>
      <c r="J41" s="667">
        <f t="shared" si="7"/>
        <v>8.0999999999999996E-3</v>
      </c>
      <c r="K41" s="667">
        <f t="shared" si="7"/>
        <v>0</v>
      </c>
      <c r="L41" s="667">
        <f t="shared" si="7"/>
        <v>0.1071</v>
      </c>
      <c r="M41" s="667">
        <f t="shared" si="7"/>
        <v>1.77E-2</v>
      </c>
      <c r="N41" s="667">
        <f t="shared" si="7"/>
        <v>1.3299999999999999E-2</v>
      </c>
      <c r="O41" s="667">
        <f t="shared" si="7"/>
        <v>6.2100000000000002E-2</v>
      </c>
      <c r="P41" s="674">
        <f t="shared" si="1"/>
        <v>1.0006999999999999</v>
      </c>
      <c r="S41" s="673">
        <f t="shared" si="4"/>
        <v>2028</v>
      </c>
      <c r="T41" s="675">
        <v>0</v>
      </c>
      <c r="U41" s="675">
        <v>5</v>
      </c>
      <c r="V41" s="676">
        <f t="shared" si="5"/>
        <v>0</v>
      </c>
      <c r="W41" s="677">
        <v>1</v>
      </c>
      <c r="X41" s="678">
        <f t="shared" si="2"/>
        <v>0</v>
      </c>
    </row>
    <row r="42" spans="2:24">
      <c r="B42" s="673">
        <f t="shared" si="3"/>
        <v>2029</v>
      </c>
      <c r="C42" s="679"/>
      <c r="D42" s="666">
        <v>1</v>
      </c>
      <c r="E42" s="667">
        <f t="shared" si="7"/>
        <v>0.66390000000000005</v>
      </c>
      <c r="F42" s="667">
        <f t="shared" si="7"/>
        <v>0.1285</v>
      </c>
      <c r="G42" s="667">
        <f t="shared" si="7"/>
        <v>0</v>
      </c>
      <c r="H42" s="667">
        <f t="shared" si="7"/>
        <v>0</v>
      </c>
      <c r="I42" s="667">
        <f t="shared" si="7"/>
        <v>0</v>
      </c>
      <c r="J42" s="667">
        <f t="shared" si="7"/>
        <v>8.0999999999999996E-3</v>
      </c>
      <c r="K42" s="667">
        <f t="shared" si="7"/>
        <v>0</v>
      </c>
      <c r="L42" s="667">
        <f t="shared" si="7"/>
        <v>0.1071</v>
      </c>
      <c r="M42" s="667">
        <f t="shared" si="7"/>
        <v>1.77E-2</v>
      </c>
      <c r="N42" s="667">
        <f t="shared" si="7"/>
        <v>1.3299999999999999E-2</v>
      </c>
      <c r="O42" s="667">
        <f t="shared" si="7"/>
        <v>6.2100000000000002E-2</v>
      </c>
      <c r="P42" s="674">
        <f t="shared" si="1"/>
        <v>1.0006999999999999</v>
      </c>
      <c r="S42" s="673">
        <f t="shared" si="4"/>
        <v>2029</v>
      </c>
      <c r="T42" s="675">
        <v>0</v>
      </c>
      <c r="U42" s="675">
        <v>5</v>
      </c>
      <c r="V42" s="676">
        <f t="shared" si="5"/>
        <v>0</v>
      </c>
      <c r="W42" s="677">
        <v>1</v>
      </c>
      <c r="X42" s="678">
        <f t="shared" si="2"/>
        <v>0</v>
      </c>
    </row>
    <row r="43" spans="2:24">
      <c r="B43" s="673">
        <f t="shared" si="3"/>
        <v>2030</v>
      </c>
      <c r="C43" s="679"/>
      <c r="D43" s="666">
        <v>1</v>
      </c>
      <c r="E43" s="667">
        <f t="shared" ref="E43:O58" si="8">E$8</f>
        <v>0.66390000000000005</v>
      </c>
      <c r="F43" s="667">
        <f t="shared" si="8"/>
        <v>0.1285</v>
      </c>
      <c r="G43" s="667">
        <f t="shared" si="7"/>
        <v>0</v>
      </c>
      <c r="H43" s="667">
        <f t="shared" si="8"/>
        <v>0</v>
      </c>
      <c r="I43" s="667">
        <f t="shared" si="7"/>
        <v>0</v>
      </c>
      <c r="J43" s="667">
        <f t="shared" si="8"/>
        <v>8.0999999999999996E-3</v>
      </c>
      <c r="K43" s="667">
        <f t="shared" si="8"/>
        <v>0</v>
      </c>
      <c r="L43" s="667">
        <f t="shared" si="8"/>
        <v>0.1071</v>
      </c>
      <c r="M43" s="667">
        <f t="shared" si="8"/>
        <v>1.77E-2</v>
      </c>
      <c r="N43" s="667">
        <f t="shared" si="8"/>
        <v>1.3299999999999999E-2</v>
      </c>
      <c r="O43" s="667">
        <f t="shared" si="8"/>
        <v>6.2100000000000002E-2</v>
      </c>
      <c r="P43" s="674">
        <f t="shared" si="1"/>
        <v>1.0006999999999999</v>
      </c>
      <c r="S43" s="673">
        <f t="shared" si="4"/>
        <v>2030</v>
      </c>
      <c r="T43" s="675">
        <v>0</v>
      </c>
      <c r="U43" s="675">
        <v>5</v>
      </c>
      <c r="V43" s="676">
        <f t="shared" si="5"/>
        <v>0</v>
      </c>
      <c r="W43" s="677">
        <v>1</v>
      </c>
      <c r="X43" s="678">
        <f t="shared" si="2"/>
        <v>0</v>
      </c>
    </row>
    <row r="44" spans="2:24">
      <c r="B44" s="673">
        <f t="shared" si="3"/>
        <v>2031</v>
      </c>
      <c r="C44" s="679"/>
      <c r="D44" s="666">
        <v>1</v>
      </c>
      <c r="E44" s="667">
        <f t="shared" si="8"/>
        <v>0.66390000000000005</v>
      </c>
      <c r="F44" s="667">
        <f t="shared" si="8"/>
        <v>0.1285</v>
      </c>
      <c r="G44" s="667">
        <f t="shared" si="7"/>
        <v>0</v>
      </c>
      <c r="H44" s="667">
        <f t="shared" si="8"/>
        <v>0</v>
      </c>
      <c r="I44" s="667">
        <f t="shared" si="7"/>
        <v>0</v>
      </c>
      <c r="J44" s="667">
        <f t="shared" si="8"/>
        <v>8.0999999999999996E-3</v>
      </c>
      <c r="K44" s="667">
        <f t="shared" si="8"/>
        <v>0</v>
      </c>
      <c r="L44" s="667">
        <f t="shared" si="8"/>
        <v>0.1071</v>
      </c>
      <c r="M44" s="667">
        <f t="shared" si="8"/>
        <v>1.77E-2</v>
      </c>
      <c r="N44" s="667">
        <f t="shared" si="8"/>
        <v>1.3299999999999999E-2</v>
      </c>
      <c r="O44" s="667">
        <f t="shared" si="8"/>
        <v>6.2100000000000002E-2</v>
      </c>
      <c r="P44" s="674">
        <f t="shared" si="1"/>
        <v>1.0006999999999999</v>
      </c>
      <c r="S44" s="673">
        <f t="shared" si="4"/>
        <v>2031</v>
      </c>
      <c r="T44" s="675">
        <v>0</v>
      </c>
      <c r="U44" s="675">
        <v>5</v>
      </c>
      <c r="V44" s="676">
        <f t="shared" si="5"/>
        <v>0</v>
      </c>
      <c r="W44" s="677">
        <v>1</v>
      </c>
      <c r="X44" s="678">
        <f t="shared" si="2"/>
        <v>0</v>
      </c>
    </row>
    <row r="45" spans="2:24">
      <c r="B45" s="673">
        <f t="shared" si="3"/>
        <v>2032</v>
      </c>
      <c r="C45" s="679"/>
      <c r="D45" s="666">
        <v>1</v>
      </c>
      <c r="E45" s="667">
        <f t="shared" si="8"/>
        <v>0.66390000000000005</v>
      </c>
      <c r="F45" s="667">
        <f t="shared" si="8"/>
        <v>0.1285</v>
      </c>
      <c r="G45" s="667">
        <f t="shared" si="7"/>
        <v>0</v>
      </c>
      <c r="H45" s="667">
        <f t="shared" si="8"/>
        <v>0</v>
      </c>
      <c r="I45" s="667">
        <f t="shared" si="7"/>
        <v>0</v>
      </c>
      <c r="J45" s="667">
        <f t="shared" si="8"/>
        <v>8.0999999999999996E-3</v>
      </c>
      <c r="K45" s="667">
        <f t="shared" si="8"/>
        <v>0</v>
      </c>
      <c r="L45" s="667">
        <f t="shared" si="8"/>
        <v>0.1071</v>
      </c>
      <c r="M45" s="667">
        <f t="shared" si="8"/>
        <v>1.77E-2</v>
      </c>
      <c r="N45" s="667">
        <f t="shared" si="8"/>
        <v>1.3299999999999999E-2</v>
      </c>
      <c r="O45" s="667">
        <f t="shared" si="8"/>
        <v>6.2100000000000002E-2</v>
      </c>
      <c r="P45" s="674">
        <f t="shared" ref="P45:P76" si="9">SUM(E45:O45)</f>
        <v>1.0006999999999999</v>
      </c>
      <c r="S45" s="673">
        <f t="shared" si="4"/>
        <v>2032</v>
      </c>
      <c r="T45" s="675">
        <v>0</v>
      </c>
      <c r="U45" s="675">
        <v>5</v>
      </c>
      <c r="V45" s="676">
        <f t="shared" si="5"/>
        <v>0</v>
      </c>
      <c r="W45" s="677">
        <v>1</v>
      </c>
      <c r="X45" s="678">
        <f t="shared" ref="X45:X76" si="10">V45*W45</f>
        <v>0</v>
      </c>
    </row>
    <row r="46" spans="2:24">
      <c r="B46" s="673">
        <f t="shared" ref="B46:B77" si="11">B45+1</f>
        <v>2033</v>
      </c>
      <c r="C46" s="679"/>
      <c r="D46" s="666">
        <v>1</v>
      </c>
      <c r="E46" s="667">
        <f t="shared" si="8"/>
        <v>0.66390000000000005</v>
      </c>
      <c r="F46" s="667">
        <f t="shared" si="8"/>
        <v>0.1285</v>
      </c>
      <c r="G46" s="667">
        <f t="shared" si="7"/>
        <v>0</v>
      </c>
      <c r="H46" s="667">
        <f t="shared" si="8"/>
        <v>0</v>
      </c>
      <c r="I46" s="667">
        <f t="shared" si="7"/>
        <v>0</v>
      </c>
      <c r="J46" s="667">
        <f t="shared" si="8"/>
        <v>8.0999999999999996E-3</v>
      </c>
      <c r="K46" s="667">
        <f t="shared" si="8"/>
        <v>0</v>
      </c>
      <c r="L46" s="667">
        <f t="shared" si="8"/>
        <v>0.1071</v>
      </c>
      <c r="M46" s="667">
        <f t="shared" si="8"/>
        <v>1.77E-2</v>
      </c>
      <c r="N46" s="667">
        <f t="shared" si="8"/>
        <v>1.3299999999999999E-2</v>
      </c>
      <c r="O46" s="667">
        <f t="shared" si="8"/>
        <v>6.2100000000000002E-2</v>
      </c>
      <c r="P46" s="674">
        <f t="shared" si="9"/>
        <v>1.0006999999999999</v>
      </c>
      <c r="S46" s="673">
        <f t="shared" si="4"/>
        <v>2033</v>
      </c>
      <c r="T46" s="675">
        <v>0</v>
      </c>
      <c r="U46" s="675">
        <v>5</v>
      </c>
      <c r="V46" s="676">
        <f t="shared" si="5"/>
        <v>0</v>
      </c>
      <c r="W46" s="677">
        <v>1</v>
      </c>
      <c r="X46" s="678">
        <f t="shared" si="10"/>
        <v>0</v>
      </c>
    </row>
    <row r="47" spans="2:24">
      <c r="B47" s="673">
        <f t="shared" si="11"/>
        <v>2034</v>
      </c>
      <c r="C47" s="679"/>
      <c r="D47" s="666">
        <v>1</v>
      </c>
      <c r="E47" s="667">
        <f t="shared" si="8"/>
        <v>0.66390000000000005</v>
      </c>
      <c r="F47" s="667">
        <f t="shared" si="8"/>
        <v>0.1285</v>
      </c>
      <c r="G47" s="667">
        <f t="shared" si="7"/>
        <v>0</v>
      </c>
      <c r="H47" s="667">
        <f t="shared" si="8"/>
        <v>0</v>
      </c>
      <c r="I47" s="667">
        <f t="shared" si="7"/>
        <v>0</v>
      </c>
      <c r="J47" s="667">
        <f t="shared" si="8"/>
        <v>8.0999999999999996E-3</v>
      </c>
      <c r="K47" s="667">
        <f t="shared" si="8"/>
        <v>0</v>
      </c>
      <c r="L47" s="667">
        <f t="shared" si="8"/>
        <v>0.1071</v>
      </c>
      <c r="M47" s="667">
        <f t="shared" si="8"/>
        <v>1.77E-2</v>
      </c>
      <c r="N47" s="667">
        <f t="shared" si="8"/>
        <v>1.3299999999999999E-2</v>
      </c>
      <c r="O47" s="667">
        <f t="shared" si="8"/>
        <v>6.2100000000000002E-2</v>
      </c>
      <c r="P47" s="674">
        <f t="shared" si="9"/>
        <v>1.0006999999999999</v>
      </c>
      <c r="S47" s="673">
        <f t="shared" si="4"/>
        <v>2034</v>
      </c>
      <c r="T47" s="675">
        <v>0</v>
      </c>
      <c r="U47" s="675">
        <v>5</v>
      </c>
      <c r="V47" s="676">
        <f t="shared" si="5"/>
        <v>0</v>
      </c>
      <c r="W47" s="677">
        <v>1</v>
      </c>
      <c r="X47" s="678">
        <f t="shared" si="10"/>
        <v>0</v>
      </c>
    </row>
    <row r="48" spans="2:24">
      <c r="B48" s="673">
        <f t="shared" si="11"/>
        <v>2035</v>
      </c>
      <c r="C48" s="679"/>
      <c r="D48" s="666">
        <v>1</v>
      </c>
      <c r="E48" s="667">
        <f t="shared" si="8"/>
        <v>0.66390000000000005</v>
      </c>
      <c r="F48" s="667">
        <f t="shared" si="8"/>
        <v>0.1285</v>
      </c>
      <c r="G48" s="667">
        <f t="shared" si="7"/>
        <v>0</v>
      </c>
      <c r="H48" s="667">
        <f t="shared" si="8"/>
        <v>0</v>
      </c>
      <c r="I48" s="667">
        <f t="shared" si="7"/>
        <v>0</v>
      </c>
      <c r="J48" s="667">
        <f t="shared" si="8"/>
        <v>8.0999999999999996E-3</v>
      </c>
      <c r="K48" s="667">
        <f t="shared" si="8"/>
        <v>0</v>
      </c>
      <c r="L48" s="667">
        <f t="shared" si="8"/>
        <v>0.1071</v>
      </c>
      <c r="M48" s="667">
        <f t="shared" si="8"/>
        <v>1.77E-2</v>
      </c>
      <c r="N48" s="667">
        <f t="shared" si="8"/>
        <v>1.3299999999999999E-2</v>
      </c>
      <c r="O48" s="667">
        <f t="shared" si="8"/>
        <v>6.2100000000000002E-2</v>
      </c>
      <c r="P48" s="674">
        <f t="shared" si="9"/>
        <v>1.0006999999999999</v>
      </c>
      <c r="S48" s="673">
        <f t="shared" si="4"/>
        <v>2035</v>
      </c>
      <c r="T48" s="675">
        <v>0</v>
      </c>
      <c r="U48" s="675">
        <v>5</v>
      </c>
      <c r="V48" s="676">
        <f t="shared" si="5"/>
        <v>0</v>
      </c>
      <c r="W48" s="677">
        <v>1</v>
      </c>
      <c r="X48" s="678">
        <f t="shared" si="10"/>
        <v>0</v>
      </c>
    </row>
    <row r="49" spans="2:24">
      <c r="B49" s="673">
        <f t="shared" si="11"/>
        <v>2036</v>
      </c>
      <c r="C49" s="679"/>
      <c r="D49" s="666">
        <v>1</v>
      </c>
      <c r="E49" s="667">
        <f t="shared" si="8"/>
        <v>0.66390000000000005</v>
      </c>
      <c r="F49" s="667">
        <f t="shared" si="8"/>
        <v>0.1285</v>
      </c>
      <c r="G49" s="667">
        <f t="shared" si="8"/>
        <v>0</v>
      </c>
      <c r="H49" s="667">
        <f t="shared" si="8"/>
        <v>0</v>
      </c>
      <c r="I49" s="667">
        <f t="shared" si="8"/>
        <v>0</v>
      </c>
      <c r="J49" s="667">
        <f t="shared" si="8"/>
        <v>8.0999999999999996E-3</v>
      </c>
      <c r="K49" s="667">
        <f t="shared" si="8"/>
        <v>0</v>
      </c>
      <c r="L49" s="667">
        <f t="shared" si="8"/>
        <v>0.1071</v>
      </c>
      <c r="M49" s="667">
        <f t="shared" si="8"/>
        <v>1.77E-2</v>
      </c>
      <c r="N49" s="667">
        <f t="shared" si="8"/>
        <v>1.3299999999999999E-2</v>
      </c>
      <c r="O49" s="667">
        <f t="shared" si="8"/>
        <v>6.2100000000000002E-2</v>
      </c>
      <c r="P49" s="674">
        <f t="shared" si="9"/>
        <v>1.0006999999999999</v>
      </c>
      <c r="S49" s="673">
        <f t="shared" si="4"/>
        <v>2036</v>
      </c>
      <c r="T49" s="675">
        <v>0</v>
      </c>
      <c r="U49" s="675">
        <v>5</v>
      </c>
      <c r="V49" s="676">
        <f t="shared" si="5"/>
        <v>0</v>
      </c>
      <c r="W49" s="677">
        <v>1</v>
      </c>
      <c r="X49" s="678">
        <f t="shared" si="10"/>
        <v>0</v>
      </c>
    </row>
    <row r="50" spans="2:24">
      <c r="B50" s="673">
        <f t="shared" si="11"/>
        <v>2037</v>
      </c>
      <c r="C50" s="679"/>
      <c r="D50" s="666">
        <v>1</v>
      </c>
      <c r="E50" s="667">
        <f t="shared" si="8"/>
        <v>0.66390000000000005</v>
      </c>
      <c r="F50" s="667">
        <f t="shared" si="8"/>
        <v>0.1285</v>
      </c>
      <c r="G50" s="667">
        <f t="shared" si="8"/>
        <v>0</v>
      </c>
      <c r="H50" s="667">
        <f t="shared" si="8"/>
        <v>0</v>
      </c>
      <c r="I50" s="667">
        <f t="shared" si="8"/>
        <v>0</v>
      </c>
      <c r="J50" s="667">
        <f t="shared" si="8"/>
        <v>8.0999999999999996E-3</v>
      </c>
      <c r="K50" s="667">
        <f t="shared" si="8"/>
        <v>0</v>
      </c>
      <c r="L50" s="667">
        <f t="shared" si="8"/>
        <v>0.1071</v>
      </c>
      <c r="M50" s="667">
        <f t="shared" si="8"/>
        <v>1.77E-2</v>
      </c>
      <c r="N50" s="667">
        <f t="shared" si="8"/>
        <v>1.3299999999999999E-2</v>
      </c>
      <c r="O50" s="667">
        <f t="shared" si="8"/>
        <v>6.2100000000000002E-2</v>
      </c>
      <c r="P50" s="674">
        <f t="shared" si="9"/>
        <v>1.0006999999999999</v>
      </c>
      <c r="S50" s="673">
        <f t="shared" si="4"/>
        <v>2037</v>
      </c>
      <c r="T50" s="675">
        <v>0</v>
      </c>
      <c r="U50" s="675">
        <v>5</v>
      </c>
      <c r="V50" s="676">
        <f t="shared" si="5"/>
        <v>0</v>
      </c>
      <c r="W50" s="677">
        <v>1</v>
      </c>
      <c r="X50" s="678">
        <f t="shared" si="10"/>
        <v>0</v>
      </c>
    </row>
    <row r="51" spans="2:24">
      <c r="B51" s="673">
        <f t="shared" si="11"/>
        <v>2038</v>
      </c>
      <c r="C51" s="679"/>
      <c r="D51" s="666">
        <v>1</v>
      </c>
      <c r="E51" s="667">
        <f t="shared" si="8"/>
        <v>0.66390000000000005</v>
      </c>
      <c r="F51" s="667">
        <f t="shared" si="8"/>
        <v>0.1285</v>
      </c>
      <c r="G51" s="667">
        <f t="shared" si="8"/>
        <v>0</v>
      </c>
      <c r="H51" s="667">
        <f t="shared" si="8"/>
        <v>0</v>
      </c>
      <c r="I51" s="667">
        <f t="shared" si="8"/>
        <v>0</v>
      </c>
      <c r="J51" s="667">
        <f t="shared" si="8"/>
        <v>8.0999999999999996E-3</v>
      </c>
      <c r="K51" s="667">
        <f t="shared" si="8"/>
        <v>0</v>
      </c>
      <c r="L51" s="667">
        <f t="shared" si="8"/>
        <v>0.1071</v>
      </c>
      <c r="M51" s="667">
        <f t="shared" si="8"/>
        <v>1.77E-2</v>
      </c>
      <c r="N51" s="667">
        <f t="shared" si="8"/>
        <v>1.3299999999999999E-2</v>
      </c>
      <c r="O51" s="667">
        <f t="shared" si="8"/>
        <v>6.2100000000000002E-2</v>
      </c>
      <c r="P51" s="674">
        <f t="shared" si="9"/>
        <v>1.0006999999999999</v>
      </c>
      <c r="S51" s="673">
        <f t="shared" si="4"/>
        <v>2038</v>
      </c>
      <c r="T51" s="675">
        <v>0</v>
      </c>
      <c r="U51" s="675">
        <v>5</v>
      </c>
      <c r="V51" s="676">
        <f t="shared" si="5"/>
        <v>0</v>
      </c>
      <c r="W51" s="677">
        <v>1</v>
      </c>
      <c r="X51" s="678">
        <f t="shared" si="10"/>
        <v>0</v>
      </c>
    </row>
    <row r="52" spans="2:24">
      <c r="B52" s="673">
        <f t="shared" si="11"/>
        <v>2039</v>
      </c>
      <c r="C52" s="679"/>
      <c r="D52" s="666">
        <v>1</v>
      </c>
      <c r="E52" s="667">
        <f t="shared" si="8"/>
        <v>0.66390000000000005</v>
      </c>
      <c r="F52" s="667">
        <f t="shared" si="8"/>
        <v>0.1285</v>
      </c>
      <c r="G52" s="667">
        <f t="shared" si="8"/>
        <v>0</v>
      </c>
      <c r="H52" s="667">
        <f t="shared" si="8"/>
        <v>0</v>
      </c>
      <c r="I52" s="667">
        <f t="shared" si="8"/>
        <v>0</v>
      </c>
      <c r="J52" s="667">
        <f t="shared" si="8"/>
        <v>8.0999999999999996E-3</v>
      </c>
      <c r="K52" s="667">
        <f t="shared" si="8"/>
        <v>0</v>
      </c>
      <c r="L52" s="667">
        <f t="shared" si="8"/>
        <v>0.1071</v>
      </c>
      <c r="M52" s="667">
        <f t="shared" si="8"/>
        <v>1.77E-2</v>
      </c>
      <c r="N52" s="667">
        <f t="shared" si="8"/>
        <v>1.3299999999999999E-2</v>
      </c>
      <c r="O52" s="667">
        <f t="shared" si="8"/>
        <v>6.2100000000000002E-2</v>
      </c>
      <c r="P52" s="674">
        <f t="shared" si="9"/>
        <v>1.0006999999999999</v>
      </c>
      <c r="S52" s="673">
        <f t="shared" si="4"/>
        <v>2039</v>
      </c>
      <c r="T52" s="675">
        <v>0</v>
      </c>
      <c r="U52" s="675">
        <v>5</v>
      </c>
      <c r="V52" s="676">
        <f t="shared" si="5"/>
        <v>0</v>
      </c>
      <c r="W52" s="677">
        <v>1</v>
      </c>
      <c r="X52" s="678">
        <f t="shared" si="10"/>
        <v>0</v>
      </c>
    </row>
    <row r="53" spans="2:24">
      <c r="B53" s="673">
        <f t="shared" si="11"/>
        <v>2040</v>
      </c>
      <c r="C53" s="679"/>
      <c r="D53" s="666">
        <v>1</v>
      </c>
      <c r="E53" s="667">
        <f t="shared" ref="E53:O68" si="12">E$8</f>
        <v>0.66390000000000005</v>
      </c>
      <c r="F53" s="667">
        <f t="shared" si="12"/>
        <v>0.1285</v>
      </c>
      <c r="G53" s="667">
        <f t="shared" si="8"/>
        <v>0</v>
      </c>
      <c r="H53" s="667">
        <f t="shared" si="12"/>
        <v>0</v>
      </c>
      <c r="I53" s="667">
        <f t="shared" si="8"/>
        <v>0</v>
      </c>
      <c r="J53" s="667">
        <f t="shared" si="12"/>
        <v>8.0999999999999996E-3</v>
      </c>
      <c r="K53" s="667">
        <f t="shared" si="12"/>
        <v>0</v>
      </c>
      <c r="L53" s="667">
        <f t="shared" si="12"/>
        <v>0.1071</v>
      </c>
      <c r="M53" s="667">
        <f t="shared" si="12"/>
        <v>1.77E-2</v>
      </c>
      <c r="N53" s="667">
        <f t="shared" si="12"/>
        <v>1.3299999999999999E-2</v>
      </c>
      <c r="O53" s="667">
        <f t="shared" si="12"/>
        <v>6.2100000000000002E-2</v>
      </c>
      <c r="P53" s="674">
        <f t="shared" si="9"/>
        <v>1.0006999999999999</v>
      </c>
      <c r="S53" s="673">
        <f t="shared" si="4"/>
        <v>2040</v>
      </c>
      <c r="T53" s="675">
        <v>0</v>
      </c>
      <c r="U53" s="675">
        <v>5</v>
      </c>
      <c r="V53" s="676">
        <f t="shared" si="5"/>
        <v>0</v>
      </c>
      <c r="W53" s="677">
        <v>1</v>
      </c>
      <c r="X53" s="678">
        <f t="shared" si="10"/>
        <v>0</v>
      </c>
    </row>
    <row r="54" spans="2:24">
      <c r="B54" s="673">
        <f t="shared" si="11"/>
        <v>2041</v>
      </c>
      <c r="C54" s="679"/>
      <c r="D54" s="666">
        <v>1</v>
      </c>
      <c r="E54" s="667">
        <f t="shared" si="12"/>
        <v>0.66390000000000005</v>
      </c>
      <c r="F54" s="667">
        <f t="shared" si="12"/>
        <v>0.1285</v>
      </c>
      <c r="G54" s="667">
        <f t="shared" si="8"/>
        <v>0</v>
      </c>
      <c r="H54" s="667">
        <f t="shared" si="12"/>
        <v>0</v>
      </c>
      <c r="I54" s="667">
        <f t="shared" si="8"/>
        <v>0</v>
      </c>
      <c r="J54" s="667">
        <f t="shared" si="12"/>
        <v>8.0999999999999996E-3</v>
      </c>
      <c r="K54" s="667">
        <f t="shared" si="12"/>
        <v>0</v>
      </c>
      <c r="L54" s="667">
        <f t="shared" si="12"/>
        <v>0.1071</v>
      </c>
      <c r="M54" s="667">
        <f t="shared" si="12"/>
        <v>1.77E-2</v>
      </c>
      <c r="N54" s="667">
        <f t="shared" si="12"/>
        <v>1.3299999999999999E-2</v>
      </c>
      <c r="O54" s="667">
        <f t="shared" si="12"/>
        <v>6.2100000000000002E-2</v>
      </c>
      <c r="P54" s="674">
        <f t="shared" si="9"/>
        <v>1.0006999999999999</v>
      </c>
      <c r="S54" s="673">
        <f t="shared" si="4"/>
        <v>2041</v>
      </c>
      <c r="T54" s="675">
        <v>0</v>
      </c>
      <c r="U54" s="675">
        <v>5</v>
      </c>
      <c r="V54" s="676">
        <f t="shared" si="5"/>
        <v>0</v>
      </c>
      <c r="W54" s="677">
        <v>1</v>
      </c>
      <c r="X54" s="678">
        <f t="shared" si="10"/>
        <v>0</v>
      </c>
    </row>
    <row r="55" spans="2:24">
      <c r="B55" s="673">
        <f t="shared" si="11"/>
        <v>2042</v>
      </c>
      <c r="C55" s="679"/>
      <c r="D55" s="666">
        <v>1</v>
      </c>
      <c r="E55" s="667">
        <f t="shared" si="12"/>
        <v>0.66390000000000005</v>
      </c>
      <c r="F55" s="667">
        <f t="shared" si="12"/>
        <v>0.1285</v>
      </c>
      <c r="G55" s="667">
        <f t="shared" si="8"/>
        <v>0</v>
      </c>
      <c r="H55" s="667">
        <f t="shared" si="12"/>
        <v>0</v>
      </c>
      <c r="I55" s="667">
        <f t="shared" si="8"/>
        <v>0</v>
      </c>
      <c r="J55" s="667">
        <f t="shared" si="12"/>
        <v>8.0999999999999996E-3</v>
      </c>
      <c r="K55" s="667">
        <f t="shared" si="12"/>
        <v>0</v>
      </c>
      <c r="L55" s="667">
        <f t="shared" si="12"/>
        <v>0.1071</v>
      </c>
      <c r="M55" s="667">
        <f t="shared" si="12"/>
        <v>1.77E-2</v>
      </c>
      <c r="N55" s="667">
        <f t="shared" si="12"/>
        <v>1.3299999999999999E-2</v>
      </c>
      <c r="O55" s="667">
        <f t="shared" si="12"/>
        <v>6.2100000000000002E-2</v>
      </c>
      <c r="P55" s="674">
        <f t="shared" si="9"/>
        <v>1.0006999999999999</v>
      </c>
      <c r="S55" s="673">
        <f t="shared" si="4"/>
        <v>2042</v>
      </c>
      <c r="T55" s="675">
        <v>0</v>
      </c>
      <c r="U55" s="675">
        <v>5</v>
      </c>
      <c r="V55" s="676">
        <f t="shared" si="5"/>
        <v>0</v>
      </c>
      <c r="W55" s="677">
        <v>1</v>
      </c>
      <c r="X55" s="678">
        <f t="shared" si="10"/>
        <v>0</v>
      </c>
    </row>
    <row r="56" spans="2:24">
      <c r="B56" s="673">
        <f t="shared" si="11"/>
        <v>2043</v>
      </c>
      <c r="C56" s="679"/>
      <c r="D56" s="666">
        <v>1</v>
      </c>
      <c r="E56" s="667">
        <f t="shared" si="12"/>
        <v>0.66390000000000005</v>
      </c>
      <c r="F56" s="667">
        <f t="shared" si="12"/>
        <v>0.1285</v>
      </c>
      <c r="G56" s="667">
        <f t="shared" si="8"/>
        <v>0</v>
      </c>
      <c r="H56" s="667">
        <f t="shared" si="12"/>
        <v>0</v>
      </c>
      <c r="I56" s="667">
        <f t="shared" si="8"/>
        <v>0</v>
      </c>
      <c r="J56" s="667">
        <f t="shared" si="12"/>
        <v>8.0999999999999996E-3</v>
      </c>
      <c r="K56" s="667">
        <f t="shared" si="12"/>
        <v>0</v>
      </c>
      <c r="L56" s="667">
        <f t="shared" si="12"/>
        <v>0.1071</v>
      </c>
      <c r="M56" s="667">
        <f t="shared" si="12"/>
        <v>1.77E-2</v>
      </c>
      <c r="N56" s="667">
        <f t="shared" si="12"/>
        <v>1.3299999999999999E-2</v>
      </c>
      <c r="O56" s="667">
        <f t="shared" si="12"/>
        <v>6.2100000000000002E-2</v>
      </c>
      <c r="P56" s="674">
        <f t="shared" si="9"/>
        <v>1.0006999999999999</v>
      </c>
      <c r="S56" s="673">
        <f t="shared" si="4"/>
        <v>2043</v>
      </c>
      <c r="T56" s="675">
        <v>0</v>
      </c>
      <c r="U56" s="675">
        <v>5</v>
      </c>
      <c r="V56" s="676">
        <f t="shared" si="5"/>
        <v>0</v>
      </c>
      <c r="W56" s="677">
        <v>1</v>
      </c>
      <c r="X56" s="678">
        <f t="shared" si="10"/>
        <v>0</v>
      </c>
    </row>
    <row r="57" spans="2:24">
      <c r="B57" s="673">
        <f t="shared" si="11"/>
        <v>2044</v>
      </c>
      <c r="C57" s="679"/>
      <c r="D57" s="666">
        <v>1</v>
      </c>
      <c r="E57" s="667">
        <f t="shared" si="12"/>
        <v>0.66390000000000005</v>
      </c>
      <c r="F57" s="667">
        <f t="shared" si="12"/>
        <v>0.1285</v>
      </c>
      <c r="G57" s="667">
        <f t="shared" si="8"/>
        <v>0</v>
      </c>
      <c r="H57" s="667">
        <f t="shared" si="12"/>
        <v>0</v>
      </c>
      <c r="I57" s="667">
        <f t="shared" si="8"/>
        <v>0</v>
      </c>
      <c r="J57" s="667">
        <f t="shared" si="12"/>
        <v>8.0999999999999996E-3</v>
      </c>
      <c r="K57" s="667">
        <f t="shared" si="12"/>
        <v>0</v>
      </c>
      <c r="L57" s="667">
        <f t="shared" si="12"/>
        <v>0.1071</v>
      </c>
      <c r="M57" s="667">
        <f t="shared" si="12"/>
        <v>1.77E-2</v>
      </c>
      <c r="N57" s="667">
        <f t="shared" si="12"/>
        <v>1.3299999999999999E-2</v>
      </c>
      <c r="O57" s="667">
        <f t="shared" si="12"/>
        <v>6.2100000000000002E-2</v>
      </c>
      <c r="P57" s="674">
        <f t="shared" si="9"/>
        <v>1.0006999999999999</v>
      </c>
      <c r="S57" s="673">
        <f t="shared" si="4"/>
        <v>2044</v>
      </c>
      <c r="T57" s="675">
        <v>0</v>
      </c>
      <c r="U57" s="675">
        <v>5</v>
      </c>
      <c r="V57" s="676">
        <f t="shared" si="5"/>
        <v>0</v>
      </c>
      <c r="W57" s="677">
        <v>1</v>
      </c>
      <c r="X57" s="678">
        <f t="shared" si="10"/>
        <v>0</v>
      </c>
    </row>
    <row r="58" spans="2:24">
      <c r="B58" s="673">
        <f t="shared" si="11"/>
        <v>2045</v>
      </c>
      <c r="C58" s="679"/>
      <c r="D58" s="666">
        <v>1</v>
      </c>
      <c r="E58" s="667">
        <f t="shared" si="12"/>
        <v>0.66390000000000005</v>
      </c>
      <c r="F58" s="667">
        <f t="shared" si="12"/>
        <v>0.1285</v>
      </c>
      <c r="G58" s="667">
        <f t="shared" si="8"/>
        <v>0</v>
      </c>
      <c r="H58" s="667">
        <f t="shared" si="12"/>
        <v>0</v>
      </c>
      <c r="I58" s="667">
        <f t="shared" si="8"/>
        <v>0</v>
      </c>
      <c r="J58" s="667">
        <f t="shared" si="12"/>
        <v>8.0999999999999996E-3</v>
      </c>
      <c r="K58" s="667">
        <f t="shared" si="12"/>
        <v>0</v>
      </c>
      <c r="L58" s="667">
        <f t="shared" si="12"/>
        <v>0.1071</v>
      </c>
      <c r="M58" s="667">
        <f t="shared" si="12"/>
        <v>1.77E-2</v>
      </c>
      <c r="N58" s="667">
        <f t="shared" si="12"/>
        <v>1.3299999999999999E-2</v>
      </c>
      <c r="O58" s="667">
        <f t="shared" si="12"/>
        <v>6.2100000000000002E-2</v>
      </c>
      <c r="P58" s="674">
        <f t="shared" si="9"/>
        <v>1.0006999999999999</v>
      </c>
      <c r="S58" s="673">
        <f t="shared" si="4"/>
        <v>2045</v>
      </c>
      <c r="T58" s="675">
        <v>0</v>
      </c>
      <c r="U58" s="675">
        <v>5</v>
      </c>
      <c r="V58" s="676">
        <f t="shared" si="5"/>
        <v>0</v>
      </c>
      <c r="W58" s="677">
        <v>1</v>
      </c>
      <c r="X58" s="678">
        <f t="shared" si="10"/>
        <v>0</v>
      </c>
    </row>
    <row r="59" spans="2:24">
      <c r="B59" s="673">
        <f t="shared" si="11"/>
        <v>2046</v>
      </c>
      <c r="C59" s="679"/>
      <c r="D59" s="666">
        <v>1</v>
      </c>
      <c r="E59" s="667">
        <f t="shared" si="12"/>
        <v>0.66390000000000005</v>
      </c>
      <c r="F59" s="667">
        <f t="shared" si="12"/>
        <v>0.1285</v>
      </c>
      <c r="G59" s="667">
        <f t="shared" si="12"/>
        <v>0</v>
      </c>
      <c r="H59" s="667">
        <f t="shared" si="12"/>
        <v>0</v>
      </c>
      <c r="I59" s="667">
        <f t="shared" si="12"/>
        <v>0</v>
      </c>
      <c r="J59" s="667">
        <f t="shared" si="12"/>
        <v>8.0999999999999996E-3</v>
      </c>
      <c r="K59" s="667">
        <f t="shared" si="12"/>
        <v>0</v>
      </c>
      <c r="L59" s="667">
        <f t="shared" si="12"/>
        <v>0.1071</v>
      </c>
      <c r="M59" s="667">
        <f t="shared" si="12"/>
        <v>1.77E-2</v>
      </c>
      <c r="N59" s="667">
        <f t="shared" si="12"/>
        <v>1.3299999999999999E-2</v>
      </c>
      <c r="O59" s="667">
        <f t="shared" si="12"/>
        <v>6.2100000000000002E-2</v>
      </c>
      <c r="P59" s="674">
        <f t="shared" si="9"/>
        <v>1.0006999999999999</v>
      </c>
      <c r="S59" s="673">
        <f t="shared" si="4"/>
        <v>2046</v>
      </c>
      <c r="T59" s="675">
        <v>0</v>
      </c>
      <c r="U59" s="675">
        <v>5</v>
      </c>
      <c r="V59" s="676">
        <f t="shared" si="5"/>
        <v>0</v>
      </c>
      <c r="W59" s="677">
        <v>1</v>
      </c>
      <c r="X59" s="678">
        <f t="shared" si="10"/>
        <v>0</v>
      </c>
    </row>
    <row r="60" spans="2:24">
      <c r="B60" s="673">
        <f t="shared" si="11"/>
        <v>2047</v>
      </c>
      <c r="C60" s="679"/>
      <c r="D60" s="666">
        <v>1</v>
      </c>
      <c r="E60" s="667">
        <f t="shared" si="12"/>
        <v>0.66390000000000005</v>
      </c>
      <c r="F60" s="667">
        <f t="shared" si="12"/>
        <v>0.1285</v>
      </c>
      <c r="G60" s="667">
        <f t="shared" si="12"/>
        <v>0</v>
      </c>
      <c r="H60" s="667">
        <f t="shared" si="12"/>
        <v>0</v>
      </c>
      <c r="I60" s="667">
        <f t="shared" si="12"/>
        <v>0</v>
      </c>
      <c r="J60" s="667">
        <f t="shared" si="12"/>
        <v>8.0999999999999996E-3</v>
      </c>
      <c r="K60" s="667">
        <f t="shared" si="12"/>
        <v>0</v>
      </c>
      <c r="L60" s="667">
        <f t="shared" si="12"/>
        <v>0.1071</v>
      </c>
      <c r="M60" s="667">
        <f t="shared" si="12"/>
        <v>1.77E-2</v>
      </c>
      <c r="N60" s="667">
        <f t="shared" si="12"/>
        <v>1.3299999999999999E-2</v>
      </c>
      <c r="O60" s="667">
        <f t="shared" si="12"/>
        <v>6.2100000000000002E-2</v>
      </c>
      <c r="P60" s="674">
        <f t="shared" si="9"/>
        <v>1.0006999999999999</v>
      </c>
      <c r="S60" s="673">
        <f t="shared" si="4"/>
        <v>2047</v>
      </c>
      <c r="T60" s="675">
        <v>0</v>
      </c>
      <c r="U60" s="675">
        <v>5</v>
      </c>
      <c r="V60" s="676">
        <f t="shared" si="5"/>
        <v>0</v>
      </c>
      <c r="W60" s="677">
        <v>1</v>
      </c>
      <c r="X60" s="678">
        <f t="shared" si="10"/>
        <v>0</v>
      </c>
    </row>
    <row r="61" spans="2:24">
      <c r="B61" s="673">
        <f t="shared" si="11"/>
        <v>2048</v>
      </c>
      <c r="C61" s="679"/>
      <c r="D61" s="666">
        <v>1</v>
      </c>
      <c r="E61" s="667">
        <f t="shared" si="12"/>
        <v>0.66390000000000005</v>
      </c>
      <c r="F61" s="667">
        <f t="shared" si="12"/>
        <v>0.1285</v>
      </c>
      <c r="G61" s="667">
        <f t="shared" si="12"/>
        <v>0</v>
      </c>
      <c r="H61" s="667">
        <f t="shared" si="12"/>
        <v>0</v>
      </c>
      <c r="I61" s="667">
        <f t="shared" si="12"/>
        <v>0</v>
      </c>
      <c r="J61" s="667">
        <f t="shared" si="12"/>
        <v>8.0999999999999996E-3</v>
      </c>
      <c r="K61" s="667">
        <f t="shared" si="12"/>
        <v>0</v>
      </c>
      <c r="L61" s="667">
        <f t="shared" si="12"/>
        <v>0.1071</v>
      </c>
      <c r="M61" s="667">
        <f t="shared" si="12"/>
        <v>1.77E-2</v>
      </c>
      <c r="N61" s="667">
        <f t="shared" si="12"/>
        <v>1.3299999999999999E-2</v>
      </c>
      <c r="O61" s="667">
        <f t="shared" si="12"/>
        <v>6.2100000000000002E-2</v>
      </c>
      <c r="P61" s="674">
        <f t="shared" si="9"/>
        <v>1.0006999999999999</v>
      </c>
      <c r="S61" s="673">
        <f t="shared" si="4"/>
        <v>2048</v>
      </c>
      <c r="T61" s="675">
        <v>0</v>
      </c>
      <c r="U61" s="675">
        <v>5</v>
      </c>
      <c r="V61" s="676">
        <f t="shared" si="5"/>
        <v>0</v>
      </c>
      <c r="W61" s="677">
        <v>1</v>
      </c>
      <c r="X61" s="678">
        <f t="shared" si="10"/>
        <v>0</v>
      </c>
    </row>
    <row r="62" spans="2:24">
      <c r="B62" s="673">
        <f t="shared" si="11"/>
        <v>2049</v>
      </c>
      <c r="C62" s="679"/>
      <c r="D62" s="666">
        <v>1</v>
      </c>
      <c r="E62" s="667">
        <f t="shared" si="12"/>
        <v>0.66390000000000005</v>
      </c>
      <c r="F62" s="667">
        <f t="shared" si="12"/>
        <v>0.1285</v>
      </c>
      <c r="G62" s="667">
        <f t="shared" si="12"/>
        <v>0</v>
      </c>
      <c r="H62" s="667">
        <f t="shared" si="12"/>
        <v>0</v>
      </c>
      <c r="I62" s="667">
        <f t="shared" si="12"/>
        <v>0</v>
      </c>
      <c r="J62" s="667">
        <f t="shared" si="12"/>
        <v>8.0999999999999996E-3</v>
      </c>
      <c r="K62" s="667">
        <f t="shared" si="12"/>
        <v>0</v>
      </c>
      <c r="L62" s="667">
        <f t="shared" si="12"/>
        <v>0.1071</v>
      </c>
      <c r="M62" s="667">
        <f t="shared" si="12"/>
        <v>1.77E-2</v>
      </c>
      <c r="N62" s="667">
        <f t="shared" si="12"/>
        <v>1.3299999999999999E-2</v>
      </c>
      <c r="O62" s="667">
        <f t="shared" si="12"/>
        <v>6.2100000000000002E-2</v>
      </c>
      <c r="P62" s="674">
        <f t="shared" si="9"/>
        <v>1.0006999999999999</v>
      </c>
      <c r="S62" s="673">
        <f t="shared" si="4"/>
        <v>2049</v>
      </c>
      <c r="T62" s="675">
        <v>0</v>
      </c>
      <c r="U62" s="675">
        <v>5</v>
      </c>
      <c r="V62" s="676">
        <f t="shared" si="5"/>
        <v>0</v>
      </c>
      <c r="W62" s="677">
        <v>1</v>
      </c>
      <c r="X62" s="678">
        <f t="shared" si="10"/>
        <v>0</v>
      </c>
    </row>
    <row r="63" spans="2:24">
      <c r="B63" s="673">
        <f t="shared" si="11"/>
        <v>2050</v>
      </c>
      <c r="C63" s="679"/>
      <c r="D63" s="666">
        <v>1</v>
      </c>
      <c r="E63" s="667">
        <f t="shared" ref="E63:O78" si="13">E$8</f>
        <v>0.66390000000000005</v>
      </c>
      <c r="F63" s="667">
        <f t="shared" si="13"/>
        <v>0.1285</v>
      </c>
      <c r="G63" s="667">
        <f t="shared" si="12"/>
        <v>0</v>
      </c>
      <c r="H63" s="667">
        <f t="shared" si="13"/>
        <v>0</v>
      </c>
      <c r="I63" s="667">
        <f t="shared" si="12"/>
        <v>0</v>
      </c>
      <c r="J63" s="667">
        <f t="shared" si="13"/>
        <v>8.0999999999999996E-3</v>
      </c>
      <c r="K63" s="667">
        <f t="shared" si="13"/>
        <v>0</v>
      </c>
      <c r="L63" s="667">
        <f t="shared" si="13"/>
        <v>0.1071</v>
      </c>
      <c r="M63" s="667">
        <f t="shared" si="13"/>
        <v>1.77E-2</v>
      </c>
      <c r="N63" s="667">
        <f t="shared" si="13"/>
        <v>1.3299999999999999E-2</v>
      </c>
      <c r="O63" s="667">
        <f t="shared" si="13"/>
        <v>6.2100000000000002E-2</v>
      </c>
      <c r="P63" s="674">
        <f t="shared" si="9"/>
        <v>1.0006999999999999</v>
      </c>
      <c r="S63" s="673">
        <f t="shared" si="4"/>
        <v>2050</v>
      </c>
      <c r="T63" s="675">
        <v>0</v>
      </c>
      <c r="U63" s="675">
        <v>5</v>
      </c>
      <c r="V63" s="676">
        <f t="shared" si="5"/>
        <v>0</v>
      </c>
      <c r="W63" s="677">
        <v>1</v>
      </c>
      <c r="X63" s="678">
        <f t="shared" si="10"/>
        <v>0</v>
      </c>
    </row>
    <row r="64" spans="2:24">
      <c r="B64" s="673">
        <f t="shared" si="11"/>
        <v>2051</v>
      </c>
      <c r="C64" s="679"/>
      <c r="D64" s="666">
        <v>1</v>
      </c>
      <c r="E64" s="667">
        <f t="shared" si="13"/>
        <v>0.66390000000000005</v>
      </c>
      <c r="F64" s="667">
        <f t="shared" si="13"/>
        <v>0.1285</v>
      </c>
      <c r="G64" s="667">
        <f t="shared" si="12"/>
        <v>0</v>
      </c>
      <c r="H64" s="667">
        <f t="shared" si="13"/>
        <v>0</v>
      </c>
      <c r="I64" s="667">
        <f t="shared" si="12"/>
        <v>0</v>
      </c>
      <c r="J64" s="667">
        <f t="shared" si="13"/>
        <v>8.0999999999999996E-3</v>
      </c>
      <c r="K64" s="667">
        <f t="shared" si="13"/>
        <v>0</v>
      </c>
      <c r="L64" s="667">
        <f t="shared" si="13"/>
        <v>0.1071</v>
      </c>
      <c r="M64" s="667">
        <f t="shared" si="13"/>
        <v>1.77E-2</v>
      </c>
      <c r="N64" s="667">
        <f t="shared" si="13"/>
        <v>1.3299999999999999E-2</v>
      </c>
      <c r="O64" s="667">
        <f t="shared" si="13"/>
        <v>6.2100000000000002E-2</v>
      </c>
      <c r="P64" s="674">
        <f t="shared" si="9"/>
        <v>1.0006999999999999</v>
      </c>
      <c r="S64" s="673">
        <f t="shared" si="4"/>
        <v>2051</v>
      </c>
      <c r="T64" s="675">
        <v>0</v>
      </c>
      <c r="U64" s="675">
        <v>5</v>
      </c>
      <c r="V64" s="676">
        <f t="shared" si="5"/>
        <v>0</v>
      </c>
      <c r="W64" s="677">
        <v>1</v>
      </c>
      <c r="X64" s="678">
        <f t="shared" si="10"/>
        <v>0</v>
      </c>
    </row>
    <row r="65" spans="2:24">
      <c r="B65" s="673">
        <f t="shared" si="11"/>
        <v>2052</v>
      </c>
      <c r="C65" s="679"/>
      <c r="D65" s="666">
        <v>1</v>
      </c>
      <c r="E65" s="667">
        <f t="shared" si="13"/>
        <v>0.66390000000000005</v>
      </c>
      <c r="F65" s="667">
        <f t="shared" si="13"/>
        <v>0.1285</v>
      </c>
      <c r="G65" s="667">
        <f t="shared" si="12"/>
        <v>0</v>
      </c>
      <c r="H65" s="667">
        <f t="shared" si="13"/>
        <v>0</v>
      </c>
      <c r="I65" s="667">
        <f t="shared" si="12"/>
        <v>0</v>
      </c>
      <c r="J65" s="667">
        <f t="shared" si="13"/>
        <v>8.0999999999999996E-3</v>
      </c>
      <c r="K65" s="667">
        <f t="shared" si="13"/>
        <v>0</v>
      </c>
      <c r="L65" s="667">
        <f t="shared" si="13"/>
        <v>0.1071</v>
      </c>
      <c r="M65" s="667">
        <f t="shared" si="13"/>
        <v>1.77E-2</v>
      </c>
      <c r="N65" s="667">
        <f t="shared" si="13"/>
        <v>1.3299999999999999E-2</v>
      </c>
      <c r="O65" s="667">
        <f t="shared" si="13"/>
        <v>6.2100000000000002E-2</v>
      </c>
      <c r="P65" s="674">
        <f t="shared" si="9"/>
        <v>1.0006999999999999</v>
      </c>
      <c r="S65" s="673">
        <f t="shared" si="4"/>
        <v>2052</v>
      </c>
      <c r="T65" s="675">
        <v>0</v>
      </c>
      <c r="U65" s="675">
        <v>5</v>
      </c>
      <c r="V65" s="676">
        <f t="shared" si="5"/>
        <v>0</v>
      </c>
      <c r="W65" s="677">
        <v>1</v>
      </c>
      <c r="X65" s="678">
        <f t="shared" si="10"/>
        <v>0</v>
      </c>
    </row>
    <row r="66" spans="2:24">
      <c r="B66" s="673">
        <f t="shared" si="11"/>
        <v>2053</v>
      </c>
      <c r="C66" s="679"/>
      <c r="D66" s="666">
        <v>1</v>
      </c>
      <c r="E66" s="667">
        <f t="shared" si="13"/>
        <v>0.66390000000000005</v>
      </c>
      <c r="F66" s="667">
        <f t="shared" si="13"/>
        <v>0.1285</v>
      </c>
      <c r="G66" s="667">
        <f t="shared" si="12"/>
        <v>0</v>
      </c>
      <c r="H66" s="667">
        <f t="shared" si="13"/>
        <v>0</v>
      </c>
      <c r="I66" s="667">
        <f t="shared" si="12"/>
        <v>0</v>
      </c>
      <c r="J66" s="667">
        <f t="shared" si="13"/>
        <v>8.0999999999999996E-3</v>
      </c>
      <c r="K66" s="667">
        <f t="shared" si="13"/>
        <v>0</v>
      </c>
      <c r="L66" s="667">
        <f t="shared" si="13"/>
        <v>0.1071</v>
      </c>
      <c r="M66" s="667">
        <f t="shared" si="13"/>
        <v>1.77E-2</v>
      </c>
      <c r="N66" s="667">
        <f t="shared" si="13"/>
        <v>1.3299999999999999E-2</v>
      </c>
      <c r="O66" s="667">
        <f t="shared" si="13"/>
        <v>6.2100000000000002E-2</v>
      </c>
      <c r="P66" s="674">
        <f t="shared" si="9"/>
        <v>1.0006999999999999</v>
      </c>
      <c r="S66" s="673">
        <f t="shared" si="4"/>
        <v>2053</v>
      </c>
      <c r="T66" s="675">
        <v>0</v>
      </c>
      <c r="U66" s="675">
        <v>5</v>
      </c>
      <c r="V66" s="676">
        <f t="shared" si="5"/>
        <v>0</v>
      </c>
      <c r="W66" s="677">
        <v>1</v>
      </c>
      <c r="X66" s="678">
        <f t="shared" si="10"/>
        <v>0</v>
      </c>
    </row>
    <row r="67" spans="2:24">
      <c r="B67" s="673">
        <f t="shared" si="11"/>
        <v>2054</v>
      </c>
      <c r="C67" s="679"/>
      <c r="D67" s="666">
        <v>1</v>
      </c>
      <c r="E67" s="667">
        <f t="shared" si="13"/>
        <v>0.66390000000000005</v>
      </c>
      <c r="F67" s="667">
        <f t="shared" si="13"/>
        <v>0.1285</v>
      </c>
      <c r="G67" s="667">
        <f t="shared" si="12"/>
        <v>0</v>
      </c>
      <c r="H67" s="667">
        <f t="shared" si="13"/>
        <v>0</v>
      </c>
      <c r="I67" s="667">
        <f t="shared" si="12"/>
        <v>0</v>
      </c>
      <c r="J67" s="667">
        <f t="shared" si="13"/>
        <v>8.0999999999999996E-3</v>
      </c>
      <c r="K67" s="667">
        <f t="shared" si="13"/>
        <v>0</v>
      </c>
      <c r="L67" s="667">
        <f t="shared" si="13"/>
        <v>0.1071</v>
      </c>
      <c r="M67" s="667">
        <f t="shared" si="13"/>
        <v>1.77E-2</v>
      </c>
      <c r="N67" s="667">
        <f t="shared" si="13"/>
        <v>1.3299999999999999E-2</v>
      </c>
      <c r="O67" s="667">
        <f t="shared" si="13"/>
        <v>6.2100000000000002E-2</v>
      </c>
      <c r="P67" s="674">
        <f t="shared" si="9"/>
        <v>1.0006999999999999</v>
      </c>
      <c r="S67" s="673">
        <f t="shared" si="4"/>
        <v>2054</v>
      </c>
      <c r="T67" s="675">
        <v>0</v>
      </c>
      <c r="U67" s="675">
        <v>5</v>
      </c>
      <c r="V67" s="676">
        <f t="shared" si="5"/>
        <v>0</v>
      </c>
      <c r="W67" s="677">
        <v>1</v>
      </c>
      <c r="X67" s="678">
        <f t="shared" si="10"/>
        <v>0</v>
      </c>
    </row>
    <row r="68" spans="2:24">
      <c r="B68" s="673">
        <f t="shared" si="11"/>
        <v>2055</v>
      </c>
      <c r="C68" s="679"/>
      <c r="D68" s="666">
        <v>1</v>
      </c>
      <c r="E68" s="667">
        <f t="shared" si="13"/>
        <v>0.66390000000000005</v>
      </c>
      <c r="F68" s="667">
        <f t="shared" si="13"/>
        <v>0.1285</v>
      </c>
      <c r="G68" s="667">
        <f t="shared" si="12"/>
        <v>0</v>
      </c>
      <c r="H68" s="667">
        <f t="shared" si="13"/>
        <v>0</v>
      </c>
      <c r="I68" s="667">
        <f t="shared" si="12"/>
        <v>0</v>
      </c>
      <c r="J68" s="667">
        <f t="shared" si="13"/>
        <v>8.0999999999999996E-3</v>
      </c>
      <c r="K68" s="667">
        <f t="shared" si="13"/>
        <v>0</v>
      </c>
      <c r="L68" s="667">
        <f t="shared" si="13"/>
        <v>0.1071</v>
      </c>
      <c r="M68" s="667">
        <f t="shared" si="13"/>
        <v>1.77E-2</v>
      </c>
      <c r="N68" s="667">
        <f t="shared" si="13"/>
        <v>1.3299999999999999E-2</v>
      </c>
      <c r="O68" s="667">
        <f t="shared" si="13"/>
        <v>6.2100000000000002E-2</v>
      </c>
      <c r="P68" s="674">
        <f t="shared" si="9"/>
        <v>1.0006999999999999</v>
      </c>
      <c r="S68" s="673">
        <f t="shared" si="4"/>
        <v>2055</v>
      </c>
      <c r="T68" s="675">
        <v>0</v>
      </c>
      <c r="U68" s="675">
        <v>5</v>
      </c>
      <c r="V68" s="676">
        <f t="shared" si="5"/>
        <v>0</v>
      </c>
      <c r="W68" s="677">
        <v>1</v>
      </c>
      <c r="X68" s="678">
        <f t="shared" si="10"/>
        <v>0</v>
      </c>
    </row>
    <row r="69" spans="2:24">
      <c r="B69" s="673">
        <f t="shared" si="11"/>
        <v>2056</v>
      </c>
      <c r="C69" s="679"/>
      <c r="D69" s="666">
        <v>1</v>
      </c>
      <c r="E69" s="667">
        <f t="shared" si="13"/>
        <v>0.66390000000000005</v>
      </c>
      <c r="F69" s="667">
        <f t="shared" si="13"/>
        <v>0.1285</v>
      </c>
      <c r="G69" s="667">
        <f t="shared" si="13"/>
        <v>0</v>
      </c>
      <c r="H69" s="667">
        <f t="shared" si="13"/>
        <v>0</v>
      </c>
      <c r="I69" s="667">
        <f t="shared" si="13"/>
        <v>0</v>
      </c>
      <c r="J69" s="667">
        <f t="shared" si="13"/>
        <v>8.0999999999999996E-3</v>
      </c>
      <c r="K69" s="667">
        <f t="shared" si="13"/>
        <v>0</v>
      </c>
      <c r="L69" s="667">
        <f t="shared" si="13"/>
        <v>0.1071</v>
      </c>
      <c r="M69" s="667">
        <f t="shared" si="13"/>
        <v>1.77E-2</v>
      </c>
      <c r="N69" s="667">
        <f t="shared" si="13"/>
        <v>1.3299999999999999E-2</v>
      </c>
      <c r="O69" s="667">
        <f t="shared" si="13"/>
        <v>6.2100000000000002E-2</v>
      </c>
      <c r="P69" s="674">
        <f t="shared" si="9"/>
        <v>1.0006999999999999</v>
      </c>
      <c r="S69" s="673">
        <f t="shared" si="4"/>
        <v>2056</v>
      </c>
      <c r="T69" s="675">
        <v>0</v>
      </c>
      <c r="U69" s="675">
        <v>5</v>
      </c>
      <c r="V69" s="676">
        <f t="shared" si="5"/>
        <v>0</v>
      </c>
      <c r="W69" s="677">
        <v>1</v>
      </c>
      <c r="X69" s="678">
        <f t="shared" si="10"/>
        <v>0</v>
      </c>
    </row>
    <row r="70" spans="2:24">
      <c r="B70" s="673">
        <f t="shared" si="11"/>
        <v>2057</v>
      </c>
      <c r="C70" s="679"/>
      <c r="D70" s="666">
        <v>1</v>
      </c>
      <c r="E70" s="667">
        <f t="shared" si="13"/>
        <v>0.66390000000000005</v>
      </c>
      <c r="F70" s="667">
        <f t="shared" si="13"/>
        <v>0.1285</v>
      </c>
      <c r="G70" s="667">
        <f t="shared" si="13"/>
        <v>0</v>
      </c>
      <c r="H70" s="667">
        <f t="shared" si="13"/>
        <v>0</v>
      </c>
      <c r="I70" s="667">
        <f t="shared" si="13"/>
        <v>0</v>
      </c>
      <c r="J70" s="667">
        <f t="shared" si="13"/>
        <v>8.0999999999999996E-3</v>
      </c>
      <c r="K70" s="667">
        <f t="shared" si="13"/>
        <v>0</v>
      </c>
      <c r="L70" s="667">
        <f t="shared" si="13"/>
        <v>0.1071</v>
      </c>
      <c r="M70" s="667">
        <f t="shared" si="13"/>
        <v>1.77E-2</v>
      </c>
      <c r="N70" s="667">
        <f t="shared" si="13"/>
        <v>1.3299999999999999E-2</v>
      </c>
      <c r="O70" s="667">
        <f t="shared" si="13"/>
        <v>6.2100000000000002E-2</v>
      </c>
      <c r="P70" s="674">
        <f t="shared" si="9"/>
        <v>1.0006999999999999</v>
      </c>
      <c r="S70" s="673">
        <f t="shared" si="4"/>
        <v>2057</v>
      </c>
      <c r="T70" s="675">
        <v>0</v>
      </c>
      <c r="U70" s="675">
        <v>5</v>
      </c>
      <c r="V70" s="676">
        <f t="shared" si="5"/>
        <v>0</v>
      </c>
      <c r="W70" s="677">
        <v>1</v>
      </c>
      <c r="X70" s="678">
        <f t="shared" si="10"/>
        <v>0</v>
      </c>
    </row>
    <row r="71" spans="2:24">
      <c r="B71" s="673">
        <f t="shared" si="11"/>
        <v>2058</v>
      </c>
      <c r="C71" s="679"/>
      <c r="D71" s="666">
        <v>1</v>
      </c>
      <c r="E71" s="667">
        <f t="shared" si="13"/>
        <v>0.66390000000000005</v>
      </c>
      <c r="F71" s="667">
        <f t="shared" si="13"/>
        <v>0.1285</v>
      </c>
      <c r="G71" s="667">
        <f t="shared" si="13"/>
        <v>0</v>
      </c>
      <c r="H71" s="667">
        <f t="shared" si="13"/>
        <v>0</v>
      </c>
      <c r="I71" s="667">
        <f t="shared" si="13"/>
        <v>0</v>
      </c>
      <c r="J71" s="667">
        <f t="shared" si="13"/>
        <v>8.0999999999999996E-3</v>
      </c>
      <c r="K71" s="667">
        <f t="shared" si="13"/>
        <v>0</v>
      </c>
      <c r="L71" s="667">
        <f t="shared" si="13"/>
        <v>0.1071</v>
      </c>
      <c r="M71" s="667">
        <f t="shared" si="13"/>
        <v>1.77E-2</v>
      </c>
      <c r="N71" s="667">
        <f t="shared" si="13"/>
        <v>1.3299999999999999E-2</v>
      </c>
      <c r="O71" s="667">
        <f t="shared" si="13"/>
        <v>6.2100000000000002E-2</v>
      </c>
      <c r="P71" s="674">
        <f t="shared" si="9"/>
        <v>1.0006999999999999</v>
      </c>
      <c r="S71" s="673">
        <f t="shared" si="4"/>
        <v>2058</v>
      </c>
      <c r="T71" s="675">
        <v>0</v>
      </c>
      <c r="U71" s="675">
        <v>5</v>
      </c>
      <c r="V71" s="676">
        <f t="shared" si="5"/>
        <v>0</v>
      </c>
      <c r="W71" s="677">
        <v>1</v>
      </c>
      <c r="X71" s="678">
        <f t="shared" si="10"/>
        <v>0</v>
      </c>
    </row>
    <row r="72" spans="2:24">
      <c r="B72" s="673">
        <f t="shared" si="11"/>
        <v>2059</v>
      </c>
      <c r="C72" s="679"/>
      <c r="D72" s="666">
        <v>1</v>
      </c>
      <c r="E72" s="667">
        <f t="shared" si="13"/>
        <v>0.66390000000000005</v>
      </c>
      <c r="F72" s="667">
        <f t="shared" si="13"/>
        <v>0.1285</v>
      </c>
      <c r="G72" s="667">
        <f t="shared" si="13"/>
        <v>0</v>
      </c>
      <c r="H72" s="667">
        <f t="shared" si="13"/>
        <v>0</v>
      </c>
      <c r="I72" s="667">
        <f t="shared" si="13"/>
        <v>0</v>
      </c>
      <c r="J72" s="667">
        <f t="shared" si="13"/>
        <v>8.0999999999999996E-3</v>
      </c>
      <c r="K72" s="667">
        <f t="shared" si="13"/>
        <v>0</v>
      </c>
      <c r="L72" s="667">
        <f t="shared" si="13"/>
        <v>0.1071</v>
      </c>
      <c r="M72" s="667">
        <f t="shared" si="13"/>
        <v>1.77E-2</v>
      </c>
      <c r="N72" s="667">
        <f t="shared" si="13"/>
        <v>1.3299999999999999E-2</v>
      </c>
      <c r="O72" s="667">
        <f t="shared" si="13"/>
        <v>6.2100000000000002E-2</v>
      </c>
      <c r="P72" s="674">
        <f t="shared" si="9"/>
        <v>1.0006999999999999</v>
      </c>
      <c r="S72" s="673">
        <f t="shared" si="4"/>
        <v>2059</v>
      </c>
      <c r="T72" s="675">
        <v>0</v>
      </c>
      <c r="U72" s="675">
        <v>5</v>
      </c>
      <c r="V72" s="676">
        <f t="shared" si="5"/>
        <v>0</v>
      </c>
      <c r="W72" s="677">
        <v>1</v>
      </c>
      <c r="X72" s="678">
        <f t="shared" si="10"/>
        <v>0</v>
      </c>
    </row>
    <row r="73" spans="2:24">
      <c r="B73" s="673">
        <f t="shared" si="11"/>
        <v>2060</v>
      </c>
      <c r="C73" s="679"/>
      <c r="D73" s="666">
        <v>1</v>
      </c>
      <c r="E73" s="667">
        <f t="shared" ref="E73:O88" si="14">E$8</f>
        <v>0.66390000000000005</v>
      </c>
      <c r="F73" s="667">
        <f t="shared" si="14"/>
        <v>0.1285</v>
      </c>
      <c r="G73" s="667">
        <f t="shared" si="13"/>
        <v>0</v>
      </c>
      <c r="H73" s="667">
        <f t="shared" si="14"/>
        <v>0</v>
      </c>
      <c r="I73" s="667">
        <f t="shared" si="13"/>
        <v>0</v>
      </c>
      <c r="J73" s="667">
        <f t="shared" si="14"/>
        <v>8.0999999999999996E-3</v>
      </c>
      <c r="K73" s="667">
        <f t="shared" si="14"/>
        <v>0</v>
      </c>
      <c r="L73" s="667">
        <f t="shared" si="14"/>
        <v>0.1071</v>
      </c>
      <c r="M73" s="667">
        <f t="shared" si="14"/>
        <v>1.77E-2</v>
      </c>
      <c r="N73" s="667">
        <f t="shared" si="14"/>
        <v>1.3299999999999999E-2</v>
      </c>
      <c r="O73" s="667">
        <f t="shared" si="14"/>
        <v>6.2100000000000002E-2</v>
      </c>
      <c r="P73" s="674">
        <f t="shared" si="9"/>
        <v>1.0006999999999999</v>
      </c>
      <c r="S73" s="673">
        <f t="shared" si="4"/>
        <v>2060</v>
      </c>
      <c r="T73" s="675">
        <v>0</v>
      </c>
      <c r="U73" s="675">
        <v>5</v>
      </c>
      <c r="V73" s="676">
        <f t="shared" si="5"/>
        <v>0</v>
      </c>
      <c r="W73" s="677">
        <v>1</v>
      </c>
      <c r="X73" s="678">
        <f t="shared" si="10"/>
        <v>0</v>
      </c>
    </row>
    <row r="74" spans="2:24">
      <c r="B74" s="673">
        <f t="shared" si="11"/>
        <v>2061</v>
      </c>
      <c r="C74" s="679"/>
      <c r="D74" s="666">
        <v>1</v>
      </c>
      <c r="E74" s="667">
        <f t="shared" si="14"/>
        <v>0.66390000000000005</v>
      </c>
      <c r="F74" s="667">
        <f t="shared" si="14"/>
        <v>0.1285</v>
      </c>
      <c r="G74" s="667">
        <f t="shared" si="13"/>
        <v>0</v>
      </c>
      <c r="H74" s="667">
        <f t="shared" si="14"/>
        <v>0</v>
      </c>
      <c r="I74" s="667">
        <f t="shared" si="13"/>
        <v>0</v>
      </c>
      <c r="J74" s="667">
        <f t="shared" si="14"/>
        <v>8.0999999999999996E-3</v>
      </c>
      <c r="K74" s="667">
        <f t="shared" si="14"/>
        <v>0</v>
      </c>
      <c r="L74" s="667">
        <f t="shared" si="14"/>
        <v>0.1071</v>
      </c>
      <c r="M74" s="667">
        <f t="shared" si="14"/>
        <v>1.77E-2</v>
      </c>
      <c r="N74" s="667">
        <f t="shared" si="14"/>
        <v>1.3299999999999999E-2</v>
      </c>
      <c r="O74" s="667">
        <f t="shared" si="14"/>
        <v>6.2100000000000002E-2</v>
      </c>
      <c r="P74" s="674">
        <f t="shared" si="9"/>
        <v>1.0006999999999999</v>
      </c>
      <c r="S74" s="673">
        <f t="shared" si="4"/>
        <v>2061</v>
      </c>
      <c r="T74" s="675">
        <v>0</v>
      </c>
      <c r="U74" s="675">
        <v>5</v>
      </c>
      <c r="V74" s="676">
        <f t="shared" si="5"/>
        <v>0</v>
      </c>
      <c r="W74" s="677">
        <v>1</v>
      </c>
      <c r="X74" s="678">
        <f t="shared" si="10"/>
        <v>0</v>
      </c>
    </row>
    <row r="75" spans="2:24">
      <c r="B75" s="673">
        <f t="shared" si="11"/>
        <v>2062</v>
      </c>
      <c r="C75" s="679"/>
      <c r="D75" s="666">
        <v>1</v>
      </c>
      <c r="E75" s="667">
        <f t="shared" si="14"/>
        <v>0.66390000000000005</v>
      </c>
      <c r="F75" s="667">
        <f t="shared" si="14"/>
        <v>0.1285</v>
      </c>
      <c r="G75" s="667">
        <f t="shared" si="13"/>
        <v>0</v>
      </c>
      <c r="H75" s="667">
        <f t="shared" si="14"/>
        <v>0</v>
      </c>
      <c r="I75" s="667">
        <f t="shared" si="13"/>
        <v>0</v>
      </c>
      <c r="J75" s="667">
        <f t="shared" si="14"/>
        <v>8.0999999999999996E-3</v>
      </c>
      <c r="K75" s="667">
        <f t="shared" si="14"/>
        <v>0</v>
      </c>
      <c r="L75" s="667">
        <f t="shared" si="14"/>
        <v>0.1071</v>
      </c>
      <c r="M75" s="667">
        <f t="shared" si="14"/>
        <v>1.77E-2</v>
      </c>
      <c r="N75" s="667">
        <f t="shared" si="14"/>
        <v>1.3299999999999999E-2</v>
      </c>
      <c r="O75" s="667">
        <f t="shared" si="14"/>
        <v>6.2100000000000002E-2</v>
      </c>
      <c r="P75" s="674">
        <f t="shared" si="9"/>
        <v>1.0006999999999999</v>
      </c>
      <c r="S75" s="673">
        <f t="shared" si="4"/>
        <v>2062</v>
      </c>
      <c r="T75" s="675">
        <v>0</v>
      </c>
      <c r="U75" s="675">
        <v>5</v>
      </c>
      <c r="V75" s="676">
        <f t="shared" si="5"/>
        <v>0</v>
      </c>
      <c r="W75" s="677">
        <v>1</v>
      </c>
      <c r="X75" s="678">
        <f t="shared" si="10"/>
        <v>0</v>
      </c>
    </row>
    <row r="76" spans="2:24">
      <c r="B76" s="673">
        <f t="shared" si="11"/>
        <v>2063</v>
      </c>
      <c r="C76" s="679"/>
      <c r="D76" s="666">
        <v>1</v>
      </c>
      <c r="E76" s="667">
        <f t="shared" si="14"/>
        <v>0.66390000000000005</v>
      </c>
      <c r="F76" s="667">
        <f t="shared" si="14"/>
        <v>0.1285</v>
      </c>
      <c r="G76" s="667">
        <f t="shared" si="13"/>
        <v>0</v>
      </c>
      <c r="H76" s="667">
        <f t="shared" si="14"/>
        <v>0</v>
      </c>
      <c r="I76" s="667">
        <f t="shared" si="13"/>
        <v>0</v>
      </c>
      <c r="J76" s="667">
        <f t="shared" si="14"/>
        <v>8.0999999999999996E-3</v>
      </c>
      <c r="K76" s="667">
        <f t="shared" si="14"/>
        <v>0</v>
      </c>
      <c r="L76" s="667">
        <f t="shared" si="14"/>
        <v>0.1071</v>
      </c>
      <c r="M76" s="667">
        <f t="shared" si="14"/>
        <v>1.77E-2</v>
      </c>
      <c r="N76" s="667">
        <f t="shared" si="14"/>
        <v>1.3299999999999999E-2</v>
      </c>
      <c r="O76" s="667">
        <f t="shared" si="14"/>
        <v>6.2100000000000002E-2</v>
      </c>
      <c r="P76" s="674">
        <f t="shared" si="9"/>
        <v>1.0006999999999999</v>
      </c>
      <c r="S76" s="673">
        <f t="shared" si="4"/>
        <v>2063</v>
      </c>
      <c r="T76" s="675">
        <v>0</v>
      </c>
      <c r="U76" s="675">
        <v>5</v>
      </c>
      <c r="V76" s="676">
        <f t="shared" si="5"/>
        <v>0</v>
      </c>
      <c r="W76" s="677">
        <v>1</v>
      </c>
      <c r="X76" s="678">
        <f t="shared" si="10"/>
        <v>0</v>
      </c>
    </row>
    <row r="77" spans="2:24">
      <c r="B77" s="673">
        <f t="shared" si="11"/>
        <v>2064</v>
      </c>
      <c r="C77" s="679"/>
      <c r="D77" s="666">
        <v>1</v>
      </c>
      <c r="E77" s="667">
        <f t="shared" si="14"/>
        <v>0.66390000000000005</v>
      </c>
      <c r="F77" s="667">
        <f t="shared" si="14"/>
        <v>0.1285</v>
      </c>
      <c r="G77" s="667">
        <f t="shared" si="13"/>
        <v>0</v>
      </c>
      <c r="H77" s="667">
        <f t="shared" si="14"/>
        <v>0</v>
      </c>
      <c r="I77" s="667">
        <f t="shared" si="13"/>
        <v>0</v>
      </c>
      <c r="J77" s="667">
        <f t="shared" si="14"/>
        <v>8.0999999999999996E-3</v>
      </c>
      <c r="K77" s="667">
        <f t="shared" si="14"/>
        <v>0</v>
      </c>
      <c r="L77" s="667">
        <f t="shared" si="14"/>
        <v>0.1071</v>
      </c>
      <c r="M77" s="667">
        <f t="shared" si="14"/>
        <v>1.77E-2</v>
      </c>
      <c r="N77" s="667">
        <f t="shared" si="14"/>
        <v>1.3299999999999999E-2</v>
      </c>
      <c r="O77" s="667">
        <f t="shared" si="14"/>
        <v>6.2100000000000002E-2</v>
      </c>
      <c r="P77" s="674">
        <f t="shared" ref="P77:P93" si="15">SUM(E77:O77)</f>
        <v>1.0006999999999999</v>
      </c>
      <c r="S77" s="673">
        <f t="shared" si="4"/>
        <v>2064</v>
      </c>
      <c r="T77" s="675">
        <v>0</v>
      </c>
      <c r="U77" s="675">
        <v>5</v>
      </c>
      <c r="V77" s="676">
        <f t="shared" si="5"/>
        <v>0</v>
      </c>
      <c r="W77" s="677">
        <v>1</v>
      </c>
      <c r="X77" s="678">
        <f t="shared" ref="X77:X93" si="16">V77*W77</f>
        <v>0</v>
      </c>
    </row>
    <row r="78" spans="2:24">
      <c r="B78" s="673">
        <f t="shared" ref="B78:B93" si="17">B77+1</f>
        <v>2065</v>
      </c>
      <c r="C78" s="679"/>
      <c r="D78" s="666">
        <v>1</v>
      </c>
      <c r="E78" s="667">
        <f t="shared" si="14"/>
        <v>0.66390000000000005</v>
      </c>
      <c r="F78" s="667">
        <f t="shared" si="14"/>
        <v>0.1285</v>
      </c>
      <c r="G78" s="667">
        <f t="shared" si="13"/>
        <v>0</v>
      </c>
      <c r="H78" s="667">
        <f t="shared" si="14"/>
        <v>0</v>
      </c>
      <c r="I78" s="667">
        <f t="shared" si="13"/>
        <v>0</v>
      </c>
      <c r="J78" s="667">
        <f t="shared" si="14"/>
        <v>8.0999999999999996E-3</v>
      </c>
      <c r="K78" s="667">
        <f t="shared" si="14"/>
        <v>0</v>
      </c>
      <c r="L78" s="667">
        <f t="shared" si="14"/>
        <v>0.1071</v>
      </c>
      <c r="M78" s="667">
        <f t="shared" si="14"/>
        <v>1.77E-2</v>
      </c>
      <c r="N78" s="667">
        <f t="shared" si="14"/>
        <v>1.3299999999999999E-2</v>
      </c>
      <c r="O78" s="667">
        <f t="shared" si="14"/>
        <v>6.2100000000000002E-2</v>
      </c>
      <c r="P78" s="674">
        <f t="shared" si="15"/>
        <v>1.0006999999999999</v>
      </c>
      <c r="S78" s="673">
        <f t="shared" ref="S78:S93" si="18">S77+1</f>
        <v>2065</v>
      </c>
      <c r="T78" s="675">
        <v>0</v>
      </c>
      <c r="U78" s="675">
        <v>5</v>
      </c>
      <c r="V78" s="676">
        <f t="shared" si="5"/>
        <v>0</v>
      </c>
      <c r="W78" s="677">
        <v>1</v>
      </c>
      <c r="X78" s="678">
        <f t="shared" si="16"/>
        <v>0</v>
      </c>
    </row>
    <row r="79" spans="2:24">
      <c r="B79" s="673">
        <f t="shared" si="17"/>
        <v>2066</v>
      </c>
      <c r="C79" s="679"/>
      <c r="D79" s="666">
        <v>1</v>
      </c>
      <c r="E79" s="667">
        <f t="shared" si="14"/>
        <v>0.66390000000000005</v>
      </c>
      <c r="F79" s="667">
        <f t="shared" si="14"/>
        <v>0.1285</v>
      </c>
      <c r="G79" s="667">
        <f t="shared" si="14"/>
        <v>0</v>
      </c>
      <c r="H79" s="667">
        <f t="shared" si="14"/>
        <v>0</v>
      </c>
      <c r="I79" s="667">
        <f t="shared" si="14"/>
        <v>0</v>
      </c>
      <c r="J79" s="667">
        <f t="shared" si="14"/>
        <v>8.0999999999999996E-3</v>
      </c>
      <c r="K79" s="667">
        <f t="shared" si="14"/>
        <v>0</v>
      </c>
      <c r="L79" s="667">
        <f t="shared" si="14"/>
        <v>0.1071</v>
      </c>
      <c r="M79" s="667">
        <f t="shared" si="14"/>
        <v>1.77E-2</v>
      </c>
      <c r="N79" s="667">
        <f t="shared" si="14"/>
        <v>1.3299999999999999E-2</v>
      </c>
      <c r="O79" s="667">
        <f t="shared" si="14"/>
        <v>6.2100000000000002E-2</v>
      </c>
      <c r="P79" s="674">
        <f t="shared" si="15"/>
        <v>1.0006999999999999</v>
      </c>
      <c r="S79" s="673">
        <f t="shared" si="18"/>
        <v>2066</v>
      </c>
      <c r="T79" s="675">
        <v>0</v>
      </c>
      <c r="U79" s="675">
        <v>5</v>
      </c>
      <c r="V79" s="676">
        <f t="shared" ref="V79:V93" si="19">T79*U79</f>
        <v>0</v>
      </c>
      <c r="W79" s="677">
        <v>1</v>
      </c>
      <c r="X79" s="678">
        <f t="shared" si="16"/>
        <v>0</v>
      </c>
    </row>
    <row r="80" spans="2:24">
      <c r="B80" s="673">
        <f t="shared" si="17"/>
        <v>2067</v>
      </c>
      <c r="C80" s="679"/>
      <c r="D80" s="666">
        <v>1</v>
      </c>
      <c r="E80" s="667">
        <f t="shared" si="14"/>
        <v>0.66390000000000005</v>
      </c>
      <c r="F80" s="667">
        <f t="shared" si="14"/>
        <v>0.1285</v>
      </c>
      <c r="G80" s="667">
        <f t="shared" si="14"/>
        <v>0</v>
      </c>
      <c r="H80" s="667">
        <f t="shared" si="14"/>
        <v>0</v>
      </c>
      <c r="I80" s="667">
        <f t="shared" si="14"/>
        <v>0</v>
      </c>
      <c r="J80" s="667">
        <f t="shared" si="14"/>
        <v>8.0999999999999996E-3</v>
      </c>
      <c r="K80" s="667">
        <f t="shared" si="14"/>
        <v>0</v>
      </c>
      <c r="L80" s="667">
        <f t="shared" si="14"/>
        <v>0.1071</v>
      </c>
      <c r="M80" s="667">
        <f t="shared" si="14"/>
        <v>1.77E-2</v>
      </c>
      <c r="N80" s="667">
        <f t="shared" si="14"/>
        <v>1.3299999999999999E-2</v>
      </c>
      <c r="O80" s="667">
        <f t="shared" si="14"/>
        <v>6.2100000000000002E-2</v>
      </c>
      <c r="P80" s="674">
        <f t="shared" si="15"/>
        <v>1.0006999999999999</v>
      </c>
      <c r="S80" s="673">
        <f t="shared" si="18"/>
        <v>2067</v>
      </c>
      <c r="T80" s="675">
        <v>0</v>
      </c>
      <c r="U80" s="675">
        <v>5</v>
      </c>
      <c r="V80" s="676">
        <f t="shared" si="19"/>
        <v>0</v>
      </c>
      <c r="W80" s="677">
        <v>1</v>
      </c>
      <c r="X80" s="678">
        <f t="shared" si="16"/>
        <v>0</v>
      </c>
    </row>
    <row r="81" spans="2:24">
      <c r="B81" s="673">
        <f t="shared" si="17"/>
        <v>2068</v>
      </c>
      <c r="C81" s="679"/>
      <c r="D81" s="666">
        <v>1</v>
      </c>
      <c r="E81" s="667">
        <f t="shared" si="14"/>
        <v>0.66390000000000005</v>
      </c>
      <c r="F81" s="667">
        <f t="shared" si="14"/>
        <v>0.1285</v>
      </c>
      <c r="G81" s="667">
        <f t="shared" si="14"/>
        <v>0</v>
      </c>
      <c r="H81" s="667">
        <f t="shared" si="14"/>
        <v>0</v>
      </c>
      <c r="I81" s="667">
        <f t="shared" si="14"/>
        <v>0</v>
      </c>
      <c r="J81" s="667">
        <f t="shared" si="14"/>
        <v>8.0999999999999996E-3</v>
      </c>
      <c r="K81" s="667">
        <f t="shared" si="14"/>
        <v>0</v>
      </c>
      <c r="L81" s="667">
        <f t="shared" si="14"/>
        <v>0.1071</v>
      </c>
      <c r="M81" s="667">
        <f t="shared" si="14"/>
        <v>1.77E-2</v>
      </c>
      <c r="N81" s="667">
        <f t="shared" si="14"/>
        <v>1.3299999999999999E-2</v>
      </c>
      <c r="O81" s="667">
        <f t="shared" si="14"/>
        <v>6.2100000000000002E-2</v>
      </c>
      <c r="P81" s="674">
        <f t="shared" si="15"/>
        <v>1.0006999999999999</v>
      </c>
      <c r="S81" s="673">
        <f t="shared" si="18"/>
        <v>2068</v>
      </c>
      <c r="T81" s="675">
        <v>0</v>
      </c>
      <c r="U81" s="675">
        <v>5</v>
      </c>
      <c r="V81" s="676">
        <f t="shared" si="19"/>
        <v>0</v>
      </c>
      <c r="W81" s="677">
        <v>1</v>
      </c>
      <c r="X81" s="678">
        <f t="shared" si="16"/>
        <v>0</v>
      </c>
    </row>
    <row r="82" spans="2:24">
      <c r="B82" s="673">
        <f t="shared" si="17"/>
        <v>2069</v>
      </c>
      <c r="C82" s="679"/>
      <c r="D82" s="666">
        <v>1</v>
      </c>
      <c r="E82" s="667">
        <f t="shared" si="14"/>
        <v>0.66390000000000005</v>
      </c>
      <c r="F82" s="667">
        <f t="shared" si="14"/>
        <v>0.1285</v>
      </c>
      <c r="G82" s="667">
        <f t="shared" si="14"/>
        <v>0</v>
      </c>
      <c r="H82" s="667">
        <f t="shared" si="14"/>
        <v>0</v>
      </c>
      <c r="I82" s="667">
        <f t="shared" si="14"/>
        <v>0</v>
      </c>
      <c r="J82" s="667">
        <f t="shared" si="14"/>
        <v>8.0999999999999996E-3</v>
      </c>
      <c r="K82" s="667">
        <f t="shared" si="14"/>
        <v>0</v>
      </c>
      <c r="L82" s="667">
        <f t="shared" si="14"/>
        <v>0.1071</v>
      </c>
      <c r="M82" s="667">
        <f t="shared" si="14"/>
        <v>1.77E-2</v>
      </c>
      <c r="N82" s="667">
        <f t="shared" si="14"/>
        <v>1.3299999999999999E-2</v>
      </c>
      <c r="O82" s="667">
        <f t="shared" si="14"/>
        <v>6.2100000000000002E-2</v>
      </c>
      <c r="P82" s="674">
        <f t="shared" si="15"/>
        <v>1.0006999999999999</v>
      </c>
      <c r="S82" s="673">
        <f t="shared" si="18"/>
        <v>2069</v>
      </c>
      <c r="T82" s="675">
        <v>0</v>
      </c>
      <c r="U82" s="675">
        <v>5</v>
      </c>
      <c r="V82" s="676">
        <f t="shared" si="19"/>
        <v>0</v>
      </c>
      <c r="W82" s="677">
        <v>1</v>
      </c>
      <c r="X82" s="678">
        <f t="shared" si="16"/>
        <v>0</v>
      </c>
    </row>
    <row r="83" spans="2:24">
      <c r="B83" s="673">
        <f t="shared" si="17"/>
        <v>2070</v>
      </c>
      <c r="C83" s="679"/>
      <c r="D83" s="666">
        <v>1</v>
      </c>
      <c r="E83" s="667">
        <f t="shared" ref="E83:O93" si="20">E$8</f>
        <v>0.66390000000000005</v>
      </c>
      <c r="F83" s="667">
        <f t="shared" si="20"/>
        <v>0.1285</v>
      </c>
      <c r="G83" s="667">
        <f t="shared" si="14"/>
        <v>0</v>
      </c>
      <c r="H83" s="667">
        <f t="shared" si="20"/>
        <v>0</v>
      </c>
      <c r="I83" s="667">
        <f t="shared" si="14"/>
        <v>0</v>
      </c>
      <c r="J83" s="667">
        <f t="shared" si="20"/>
        <v>8.0999999999999996E-3</v>
      </c>
      <c r="K83" s="667">
        <f t="shared" si="20"/>
        <v>0</v>
      </c>
      <c r="L83" s="667">
        <f t="shared" si="20"/>
        <v>0.1071</v>
      </c>
      <c r="M83" s="667">
        <f t="shared" si="20"/>
        <v>1.77E-2</v>
      </c>
      <c r="N83" s="667">
        <f t="shared" si="20"/>
        <v>1.3299999999999999E-2</v>
      </c>
      <c r="O83" s="667">
        <f t="shared" si="20"/>
        <v>6.2100000000000002E-2</v>
      </c>
      <c r="P83" s="674">
        <f t="shared" si="15"/>
        <v>1.0006999999999999</v>
      </c>
      <c r="S83" s="673">
        <f t="shared" si="18"/>
        <v>2070</v>
      </c>
      <c r="T83" s="675">
        <v>0</v>
      </c>
      <c r="U83" s="675">
        <v>5</v>
      </c>
      <c r="V83" s="676">
        <f t="shared" si="19"/>
        <v>0</v>
      </c>
      <c r="W83" s="677">
        <v>1</v>
      </c>
      <c r="X83" s="678">
        <f t="shared" si="16"/>
        <v>0</v>
      </c>
    </row>
    <row r="84" spans="2:24">
      <c r="B84" s="673">
        <f t="shared" si="17"/>
        <v>2071</v>
      </c>
      <c r="C84" s="679"/>
      <c r="D84" s="666">
        <v>1</v>
      </c>
      <c r="E84" s="667">
        <f t="shared" si="20"/>
        <v>0.66390000000000005</v>
      </c>
      <c r="F84" s="667">
        <f t="shared" si="20"/>
        <v>0.1285</v>
      </c>
      <c r="G84" s="667">
        <f t="shared" si="14"/>
        <v>0</v>
      </c>
      <c r="H84" s="667">
        <f t="shared" si="20"/>
        <v>0</v>
      </c>
      <c r="I84" s="667">
        <f t="shared" si="14"/>
        <v>0</v>
      </c>
      <c r="J84" s="667">
        <f t="shared" si="20"/>
        <v>8.0999999999999996E-3</v>
      </c>
      <c r="K84" s="667">
        <f t="shared" si="20"/>
        <v>0</v>
      </c>
      <c r="L84" s="667">
        <f t="shared" si="20"/>
        <v>0.1071</v>
      </c>
      <c r="M84" s="667">
        <f t="shared" si="20"/>
        <v>1.77E-2</v>
      </c>
      <c r="N84" s="667">
        <f t="shared" si="20"/>
        <v>1.3299999999999999E-2</v>
      </c>
      <c r="O84" s="667">
        <f t="shared" si="20"/>
        <v>6.2100000000000002E-2</v>
      </c>
      <c r="P84" s="674">
        <f t="shared" si="15"/>
        <v>1.0006999999999999</v>
      </c>
      <c r="S84" s="673">
        <f t="shared" si="18"/>
        <v>2071</v>
      </c>
      <c r="T84" s="675">
        <v>0</v>
      </c>
      <c r="U84" s="675">
        <v>5</v>
      </c>
      <c r="V84" s="676">
        <f t="shared" si="19"/>
        <v>0</v>
      </c>
      <c r="W84" s="677">
        <v>1</v>
      </c>
      <c r="X84" s="678">
        <f t="shared" si="16"/>
        <v>0</v>
      </c>
    </row>
    <row r="85" spans="2:24">
      <c r="B85" s="673">
        <f t="shared" si="17"/>
        <v>2072</v>
      </c>
      <c r="C85" s="679"/>
      <c r="D85" s="666">
        <v>1</v>
      </c>
      <c r="E85" s="667">
        <f t="shared" si="20"/>
        <v>0.66390000000000005</v>
      </c>
      <c r="F85" s="667">
        <f t="shared" si="20"/>
        <v>0.1285</v>
      </c>
      <c r="G85" s="667">
        <f t="shared" si="14"/>
        <v>0</v>
      </c>
      <c r="H85" s="667">
        <f t="shared" si="20"/>
        <v>0</v>
      </c>
      <c r="I85" s="667">
        <f t="shared" si="14"/>
        <v>0</v>
      </c>
      <c r="J85" s="667">
        <f t="shared" si="20"/>
        <v>8.0999999999999996E-3</v>
      </c>
      <c r="K85" s="667">
        <f t="shared" si="20"/>
        <v>0</v>
      </c>
      <c r="L85" s="667">
        <f t="shared" si="20"/>
        <v>0.1071</v>
      </c>
      <c r="M85" s="667">
        <f t="shared" si="20"/>
        <v>1.77E-2</v>
      </c>
      <c r="N85" s="667">
        <f t="shared" si="20"/>
        <v>1.3299999999999999E-2</v>
      </c>
      <c r="O85" s="667">
        <f t="shared" si="20"/>
        <v>6.2100000000000002E-2</v>
      </c>
      <c r="P85" s="674">
        <f t="shared" si="15"/>
        <v>1.0006999999999999</v>
      </c>
      <c r="S85" s="673">
        <f t="shared" si="18"/>
        <v>2072</v>
      </c>
      <c r="T85" s="675">
        <v>0</v>
      </c>
      <c r="U85" s="675">
        <v>5</v>
      </c>
      <c r="V85" s="676">
        <f t="shared" si="19"/>
        <v>0</v>
      </c>
      <c r="W85" s="677">
        <v>1</v>
      </c>
      <c r="X85" s="678">
        <f t="shared" si="16"/>
        <v>0</v>
      </c>
    </row>
    <row r="86" spans="2:24">
      <c r="B86" s="673">
        <f t="shared" si="17"/>
        <v>2073</v>
      </c>
      <c r="C86" s="679"/>
      <c r="D86" s="666">
        <v>1</v>
      </c>
      <c r="E86" s="667">
        <f t="shared" si="20"/>
        <v>0.66390000000000005</v>
      </c>
      <c r="F86" s="667">
        <f t="shared" si="20"/>
        <v>0.1285</v>
      </c>
      <c r="G86" s="667">
        <f t="shared" si="14"/>
        <v>0</v>
      </c>
      <c r="H86" s="667">
        <f t="shared" si="20"/>
        <v>0</v>
      </c>
      <c r="I86" s="667">
        <f t="shared" si="14"/>
        <v>0</v>
      </c>
      <c r="J86" s="667">
        <f t="shared" si="20"/>
        <v>8.0999999999999996E-3</v>
      </c>
      <c r="K86" s="667">
        <f t="shared" si="20"/>
        <v>0</v>
      </c>
      <c r="L86" s="667">
        <f t="shared" si="20"/>
        <v>0.1071</v>
      </c>
      <c r="M86" s="667">
        <f t="shared" si="20"/>
        <v>1.77E-2</v>
      </c>
      <c r="N86" s="667">
        <f t="shared" si="20"/>
        <v>1.3299999999999999E-2</v>
      </c>
      <c r="O86" s="667">
        <f t="shared" si="20"/>
        <v>6.2100000000000002E-2</v>
      </c>
      <c r="P86" s="674">
        <f t="shared" si="15"/>
        <v>1.0006999999999999</v>
      </c>
      <c r="S86" s="673">
        <f t="shared" si="18"/>
        <v>2073</v>
      </c>
      <c r="T86" s="675">
        <v>0</v>
      </c>
      <c r="U86" s="675">
        <v>5</v>
      </c>
      <c r="V86" s="676">
        <f t="shared" si="19"/>
        <v>0</v>
      </c>
      <c r="W86" s="677">
        <v>1</v>
      </c>
      <c r="X86" s="678">
        <f t="shared" si="16"/>
        <v>0</v>
      </c>
    </row>
    <row r="87" spans="2:24">
      <c r="B87" s="673">
        <f t="shared" si="17"/>
        <v>2074</v>
      </c>
      <c r="C87" s="679"/>
      <c r="D87" s="666">
        <v>1</v>
      </c>
      <c r="E87" s="667">
        <f t="shared" si="20"/>
        <v>0.66390000000000005</v>
      </c>
      <c r="F87" s="667">
        <f t="shared" si="20"/>
        <v>0.1285</v>
      </c>
      <c r="G87" s="667">
        <f t="shared" si="14"/>
        <v>0</v>
      </c>
      <c r="H87" s="667">
        <f t="shared" si="20"/>
        <v>0</v>
      </c>
      <c r="I87" s="667">
        <f t="shared" si="14"/>
        <v>0</v>
      </c>
      <c r="J87" s="667">
        <f t="shared" si="20"/>
        <v>8.0999999999999996E-3</v>
      </c>
      <c r="K87" s="667">
        <f t="shared" si="20"/>
        <v>0</v>
      </c>
      <c r="L87" s="667">
        <f t="shared" si="20"/>
        <v>0.1071</v>
      </c>
      <c r="M87" s="667">
        <f t="shared" si="20"/>
        <v>1.77E-2</v>
      </c>
      <c r="N87" s="667">
        <f t="shared" si="20"/>
        <v>1.3299999999999999E-2</v>
      </c>
      <c r="O87" s="667">
        <f t="shared" si="20"/>
        <v>6.2100000000000002E-2</v>
      </c>
      <c r="P87" s="674">
        <f t="shared" si="15"/>
        <v>1.0006999999999999</v>
      </c>
      <c r="S87" s="673">
        <f t="shared" si="18"/>
        <v>2074</v>
      </c>
      <c r="T87" s="675">
        <v>0</v>
      </c>
      <c r="U87" s="675">
        <v>5</v>
      </c>
      <c r="V87" s="676">
        <f t="shared" si="19"/>
        <v>0</v>
      </c>
      <c r="W87" s="677">
        <v>1</v>
      </c>
      <c r="X87" s="678">
        <f t="shared" si="16"/>
        <v>0</v>
      </c>
    </row>
    <row r="88" spans="2:24">
      <c r="B88" s="673">
        <f t="shared" si="17"/>
        <v>2075</v>
      </c>
      <c r="C88" s="679"/>
      <c r="D88" s="666">
        <v>1</v>
      </c>
      <c r="E88" s="667">
        <f t="shared" si="20"/>
        <v>0.66390000000000005</v>
      </c>
      <c r="F88" s="667">
        <f t="shared" si="20"/>
        <v>0.1285</v>
      </c>
      <c r="G88" s="667">
        <f t="shared" si="14"/>
        <v>0</v>
      </c>
      <c r="H88" s="667">
        <f t="shared" si="20"/>
        <v>0</v>
      </c>
      <c r="I88" s="667">
        <f t="shared" si="14"/>
        <v>0</v>
      </c>
      <c r="J88" s="667">
        <f t="shared" si="20"/>
        <v>8.0999999999999996E-3</v>
      </c>
      <c r="K88" s="667">
        <f t="shared" si="20"/>
        <v>0</v>
      </c>
      <c r="L88" s="667">
        <f t="shared" si="20"/>
        <v>0.1071</v>
      </c>
      <c r="M88" s="667">
        <f t="shared" si="20"/>
        <v>1.77E-2</v>
      </c>
      <c r="N88" s="667">
        <f t="shared" si="20"/>
        <v>1.3299999999999999E-2</v>
      </c>
      <c r="O88" s="667">
        <f t="shared" si="20"/>
        <v>6.2100000000000002E-2</v>
      </c>
      <c r="P88" s="674">
        <f t="shared" si="15"/>
        <v>1.0006999999999999</v>
      </c>
      <c r="S88" s="673">
        <f t="shared" si="18"/>
        <v>2075</v>
      </c>
      <c r="T88" s="675">
        <v>0</v>
      </c>
      <c r="U88" s="675">
        <v>5</v>
      </c>
      <c r="V88" s="676">
        <f t="shared" si="19"/>
        <v>0</v>
      </c>
      <c r="W88" s="677">
        <v>1</v>
      </c>
      <c r="X88" s="678">
        <f t="shared" si="16"/>
        <v>0</v>
      </c>
    </row>
    <row r="89" spans="2:24">
      <c r="B89" s="673">
        <f t="shared" si="17"/>
        <v>2076</v>
      </c>
      <c r="C89" s="679"/>
      <c r="D89" s="666">
        <v>1</v>
      </c>
      <c r="E89" s="667">
        <f t="shared" si="20"/>
        <v>0.66390000000000005</v>
      </c>
      <c r="F89" s="667">
        <f t="shared" si="20"/>
        <v>0.1285</v>
      </c>
      <c r="G89" s="667">
        <f t="shared" si="20"/>
        <v>0</v>
      </c>
      <c r="H89" s="667">
        <f t="shared" si="20"/>
        <v>0</v>
      </c>
      <c r="I89" s="667">
        <f t="shared" si="20"/>
        <v>0</v>
      </c>
      <c r="J89" s="667">
        <f t="shared" si="20"/>
        <v>8.0999999999999996E-3</v>
      </c>
      <c r="K89" s="667">
        <f t="shared" si="20"/>
        <v>0</v>
      </c>
      <c r="L89" s="667">
        <f t="shared" si="20"/>
        <v>0.1071</v>
      </c>
      <c r="M89" s="667">
        <f t="shared" si="20"/>
        <v>1.77E-2</v>
      </c>
      <c r="N89" s="667">
        <f t="shared" si="20"/>
        <v>1.3299999999999999E-2</v>
      </c>
      <c r="O89" s="667">
        <f t="shared" si="20"/>
        <v>6.2100000000000002E-2</v>
      </c>
      <c r="P89" s="674">
        <f t="shared" si="15"/>
        <v>1.0006999999999999</v>
      </c>
      <c r="S89" s="673">
        <f t="shared" si="18"/>
        <v>2076</v>
      </c>
      <c r="T89" s="675">
        <v>0</v>
      </c>
      <c r="U89" s="675">
        <v>5</v>
      </c>
      <c r="V89" s="676">
        <f t="shared" si="19"/>
        <v>0</v>
      </c>
      <c r="W89" s="677">
        <v>1</v>
      </c>
      <c r="X89" s="678">
        <f t="shared" si="16"/>
        <v>0</v>
      </c>
    </row>
    <row r="90" spans="2:24">
      <c r="B90" s="673">
        <f t="shared" si="17"/>
        <v>2077</v>
      </c>
      <c r="C90" s="679"/>
      <c r="D90" s="666">
        <v>1</v>
      </c>
      <c r="E90" s="667">
        <f t="shared" si="20"/>
        <v>0.66390000000000005</v>
      </c>
      <c r="F90" s="667">
        <f t="shared" si="20"/>
        <v>0.1285</v>
      </c>
      <c r="G90" s="667">
        <f t="shared" si="20"/>
        <v>0</v>
      </c>
      <c r="H90" s="667">
        <f t="shared" si="20"/>
        <v>0</v>
      </c>
      <c r="I90" s="667">
        <f t="shared" si="20"/>
        <v>0</v>
      </c>
      <c r="J90" s="667">
        <f t="shared" si="20"/>
        <v>8.0999999999999996E-3</v>
      </c>
      <c r="K90" s="667">
        <f t="shared" si="20"/>
        <v>0</v>
      </c>
      <c r="L90" s="667">
        <f t="shared" si="20"/>
        <v>0.1071</v>
      </c>
      <c r="M90" s="667">
        <f t="shared" si="20"/>
        <v>1.77E-2</v>
      </c>
      <c r="N90" s="667">
        <f t="shared" si="20"/>
        <v>1.3299999999999999E-2</v>
      </c>
      <c r="O90" s="667">
        <f t="shared" si="20"/>
        <v>6.2100000000000002E-2</v>
      </c>
      <c r="P90" s="674">
        <f t="shared" si="15"/>
        <v>1.0006999999999999</v>
      </c>
      <c r="S90" s="673">
        <f t="shared" si="18"/>
        <v>2077</v>
      </c>
      <c r="T90" s="675">
        <v>0</v>
      </c>
      <c r="U90" s="675">
        <v>5</v>
      </c>
      <c r="V90" s="676">
        <f t="shared" si="19"/>
        <v>0</v>
      </c>
      <c r="W90" s="677">
        <v>1</v>
      </c>
      <c r="X90" s="678">
        <f t="shared" si="16"/>
        <v>0</v>
      </c>
    </row>
    <row r="91" spans="2:24">
      <c r="B91" s="673">
        <f t="shared" si="17"/>
        <v>2078</v>
      </c>
      <c r="C91" s="679"/>
      <c r="D91" s="666">
        <v>1</v>
      </c>
      <c r="E91" s="667">
        <f t="shared" si="20"/>
        <v>0.66390000000000005</v>
      </c>
      <c r="F91" s="667">
        <f t="shared" si="20"/>
        <v>0.1285</v>
      </c>
      <c r="G91" s="667">
        <f t="shared" si="20"/>
        <v>0</v>
      </c>
      <c r="H91" s="667">
        <f t="shared" si="20"/>
        <v>0</v>
      </c>
      <c r="I91" s="667">
        <f t="shared" si="20"/>
        <v>0</v>
      </c>
      <c r="J91" s="667">
        <f t="shared" si="20"/>
        <v>8.0999999999999996E-3</v>
      </c>
      <c r="K91" s="667">
        <f t="shared" si="20"/>
        <v>0</v>
      </c>
      <c r="L91" s="667">
        <f t="shared" si="20"/>
        <v>0.1071</v>
      </c>
      <c r="M91" s="667">
        <f t="shared" si="20"/>
        <v>1.77E-2</v>
      </c>
      <c r="N91" s="667">
        <f t="shared" si="20"/>
        <v>1.3299999999999999E-2</v>
      </c>
      <c r="O91" s="667">
        <f t="shared" si="20"/>
        <v>6.2100000000000002E-2</v>
      </c>
      <c r="P91" s="674">
        <f t="shared" si="15"/>
        <v>1.0006999999999999</v>
      </c>
      <c r="S91" s="673">
        <f t="shared" si="18"/>
        <v>2078</v>
      </c>
      <c r="T91" s="675">
        <v>0</v>
      </c>
      <c r="U91" s="675">
        <v>5</v>
      </c>
      <c r="V91" s="676">
        <f t="shared" si="19"/>
        <v>0</v>
      </c>
      <c r="W91" s="677">
        <v>1</v>
      </c>
      <c r="X91" s="678">
        <f t="shared" si="16"/>
        <v>0</v>
      </c>
    </row>
    <row r="92" spans="2:24">
      <c r="B92" s="673">
        <f t="shared" si="17"/>
        <v>2079</v>
      </c>
      <c r="C92" s="679"/>
      <c r="D92" s="666">
        <v>1</v>
      </c>
      <c r="E92" s="667">
        <f t="shared" si="20"/>
        <v>0.66390000000000005</v>
      </c>
      <c r="F92" s="667">
        <f t="shared" si="20"/>
        <v>0.1285</v>
      </c>
      <c r="G92" s="667">
        <f t="shared" si="20"/>
        <v>0</v>
      </c>
      <c r="H92" s="667">
        <f t="shared" si="20"/>
        <v>0</v>
      </c>
      <c r="I92" s="667">
        <f t="shared" si="20"/>
        <v>0</v>
      </c>
      <c r="J92" s="667">
        <f t="shared" si="20"/>
        <v>8.0999999999999996E-3</v>
      </c>
      <c r="K92" s="667">
        <f t="shared" si="20"/>
        <v>0</v>
      </c>
      <c r="L92" s="667">
        <f t="shared" si="20"/>
        <v>0.1071</v>
      </c>
      <c r="M92" s="667">
        <f t="shared" si="20"/>
        <v>1.77E-2</v>
      </c>
      <c r="N92" s="667">
        <f t="shared" si="20"/>
        <v>1.3299999999999999E-2</v>
      </c>
      <c r="O92" s="667">
        <f t="shared" si="20"/>
        <v>6.2100000000000002E-2</v>
      </c>
      <c r="P92" s="674">
        <f t="shared" si="15"/>
        <v>1.0006999999999999</v>
      </c>
      <c r="S92" s="673">
        <f t="shared" si="18"/>
        <v>2079</v>
      </c>
      <c r="T92" s="675">
        <v>0</v>
      </c>
      <c r="U92" s="675">
        <v>5</v>
      </c>
      <c r="V92" s="676">
        <f t="shared" si="19"/>
        <v>0</v>
      </c>
      <c r="W92" s="677">
        <v>1</v>
      </c>
      <c r="X92" s="678">
        <f t="shared" si="16"/>
        <v>0</v>
      </c>
    </row>
    <row r="93" spans="2:24" ht="13.5" thickBot="1">
      <c r="B93" s="680">
        <f t="shared" si="17"/>
        <v>2080</v>
      </c>
      <c r="C93" s="681"/>
      <c r="D93" s="666">
        <v>1</v>
      </c>
      <c r="E93" s="682">
        <f t="shared" si="20"/>
        <v>0.66390000000000005</v>
      </c>
      <c r="F93" s="682">
        <f t="shared" si="20"/>
        <v>0.1285</v>
      </c>
      <c r="G93" s="682">
        <f t="shared" si="20"/>
        <v>0</v>
      </c>
      <c r="H93" s="682">
        <f t="shared" si="20"/>
        <v>0</v>
      </c>
      <c r="I93" s="682">
        <f t="shared" si="20"/>
        <v>0</v>
      </c>
      <c r="J93" s="682">
        <f t="shared" si="20"/>
        <v>8.0999999999999996E-3</v>
      </c>
      <c r="K93" s="682">
        <f t="shared" si="20"/>
        <v>0</v>
      </c>
      <c r="L93" s="682">
        <f t="shared" si="20"/>
        <v>0.1071</v>
      </c>
      <c r="M93" s="682">
        <f t="shared" si="20"/>
        <v>1.77E-2</v>
      </c>
      <c r="N93" s="682">
        <f t="shared" si="20"/>
        <v>1.3299999999999999E-2</v>
      </c>
      <c r="O93" s="683">
        <f t="shared" si="20"/>
        <v>6.2100000000000002E-2</v>
      </c>
      <c r="P93" s="684">
        <f t="shared" si="15"/>
        <v>1.0006999999999999</v>
      </c>
      <c r="S93" s="680">
        <f t="shared" si="18"/>
        <v>2080</v>
      </c>
      <c r="T93" s="685">
        <v>0</v>
      </c>
      <c r="U93" s="686">
        <v>5</v>
      </c>
      <c r="V93" s="687">
        <f t="shared" si="19"/>
        <v>0</v>
      </c>
      <c r="W93" s="688">
        <v>1</v>
      </c>
      <c r="X93" s="689">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16"/>
    <col min="2" max="2" width="7.42578125" style="416" customWidth="1"/>
    <col min="3" max="3" width="10.42578125" style="416" customWidth="1"/>
    <col min="4" max="4" width="10.28515625" style="416" customWidth="1"/>
    <col min="5" max="5" width="11.140625" style="416" customWidth="1"/>
    <col min="6" max="7" width="11.42578125" style="416" customWidth="1"/>
    <col min="8" max="8" width="8.7109375" style="416" customWidth="1"/>
    <col min="9" max="9" width="11" style="416" customWidth="1"/>
    <col min="10" max="16384" width="8.85546875" style="416"/>
  </cols>
  <sheetData>
    <row r="2" spans="2:16" ht="18">
      <c r="B2" s="415" t="s">
        <v>241</v>
      </c>
    </row>
    <row r="3" spans="2:16" ht="13.5" thickBot="1">
      <c r="B3" s="452" t="s">
        <v>274</v>
      </c>
    </row>
    <row r="4" spans="2:16" ht="25.5">
      <c r="B4" s="457" t="s">
        <v>1</v>
      </c>
      <c r="C4" s="458" t="s">
        <v>6</v>
      </c>
      <c r="D4" s="459" t="s">
        <v>269</v>
      </c>
      <c r="E4" s="459" t="s">
        <v>267</v>
      </c>
      <c r="F4" s="459" t="s">
        <v>139</v>
      </c>
      <c r="G4" s="459" t="s">
        <v>2</v>
      </c>
      <c r="H4" s="458" t="s">
        <v>16</v>
      </c>
      <c r="I4" s="458" t="s">
        <v>229</v>
      </c>
      <c r="J4" s="458" t="s">
        <v>230</v>
      </c>
      <c r="K4" s="458" t="s">
        <v>231</v>
      </c>
      <c r="L4" s="458" t="s">
        <v>232</v>
      </c>
      <c r="M4" s="460" t="s">
        <v>233</v>
      </c>
      <c r="N4" s="460" t="s">
        <v>146</v>
      </c>
      <c r="O4" s="460" t="s">
        <v>204</v>
      </c>
      <c r="P4" s="460" t="s">
        <v>308</v>
      </c>
    </row>
    <row r="5" spans="2:16" ht="13.5" thickBot="1">
      <c r="B5" s="461"/>
      <c r="C5" s="456" t="s">
        <v>24</v>
      </c>
      <c r="D5" s="456" t="s">
        <v>24</v>
      </c>
      <c r="E5" s="456" t="s">
        <v>24</v>
      </c>
      <c r="F5" s="456" t="s">
        <v>24</v>
      </c>
      <c r="G5" s="456" t="s">
        <v>24</v>
      </c>
      <c r="H5" s="456" t="s">
        <v>24</v>
      </c>
      <c r="I5" s="456" t="s">
        <v>24</v>
      </c>
      <c r="J5" s="456" t="s">
        <v>24</v>
      </c>
      <c r="K5" s="456" t="s">
        <v>24</v>
      </c>
      <c r="L5" s="456" t="s">
        <v>24</v>
      </c>
      <c r="M5" s="456" t="s">
        <v>24</v>
      </c>
      <c r="N5" s="456" t="s">
        <v>24</v>
      </c>
      <c r="O5" s="456" t="s">
        <v>24</v>
      </c>
      <c r="P5" s="456" t="s">
        <v>24</v>
      </c>
    </row>
    <row r="6" spans="2:16">
      <c r="B6" s="422">
        <f>year</f>
        <v>2000</v>
      </c>
      <c r="C6" s="455">
        <v>0.59</v>
      </c>
      <c r="D6" s="455">
        <v>0.44</v>
      </c>
      <c r="E6" s="455">
        <v>0.44</v>
      </c>
      <c r="F6" s="455">
        <v>0.56999999999999995</v>
      </c>
      <c r="G6" s="455">
        <v>0.56999999999999995</v>
      </c>
      <c r="H6" s="455">
        <v>0.73</v>
      </c>
      <c r="I6" s="455">
        <v>0.89</v>
      </c>
      <c r="J6" s="455">
        <v>0.56999999999999995</v>
      </c>
      <c r="K6" s="455">
        <v>0.97</v>
      </c>
      <c r="L6" s="455">
        <v>0.66</v>
      </c>
      <c r="M6" s="455">
        <v>0.95</v>
      </c>
      <c r="N6" s="455">
        <v>0</v>
      </c>
      <c r="O6" s="455">
        <v>0</v>
      </c>
      <c r="P6" s="455">
        <v>0</v>
      </c>
    </row>
    <row r="7" spans="2:16">
      <c r="B7" s="417">
        <f>B6+1</f>
        <v>2001</v>
      </c>
      <c r="C7" s="455">
        <v>0.59</v>
      </c>
      <c r="D7" s="455">
        <v>0.44</v>
      </c>
      <c r="E7" s="455">
        <v>0.44</v>
      </c>
      <c r="F7" s="455">
        <v>0.56999999999999995</v>
      </c>
      <c r="G7" s="455">
        <v>0.56999999999999995</v>
      </c>
      <c r="H7" s="455">
        <v>0.73</v>
      </c>
      <c r="I7" s="455">
        <v>0.89</v>
      </c>
      <c r="J7" s="455">
        <v>0.56999999999999995</v>
      </c>
      <c r="K7" s="455">
        <v>0.97</v>
      </c>
      <c r="L7" s="455">
        <v>0.66</v>
      </c>
      <c r="M7" s="455">
        <v>0.95</v>
      </c>
      <c r="N7" s="455">
        <v>0</v>
      </c>
      <c r="O7" s="455">
        <v>0</v>
      </c>
      <c r="P7" s="455">
        <v>0</v>
      </c>
    </row>
    <row r="8" spans="2:16">
      <c r="B8" s="417">
        <f t="shared" ref="B8:B71" si="0">B7+1</f>
        <v>2002</v>
      </c>
      <c r="C8" s="455">
        <v>0.59</v>
      </c>
      <c r="D8" s="455">
        <v>0.44</v>
      </c>
      <c r="E8" s="455">
        <v>0.44</v>
      </c>
      <c r="F8" s="455">
        <v>0.56999999999999995</v>
      </c>
      <c r="G8" s="455">
        <v>0.56999999999999995</v>
      </c>
      <c r="H8" s="455">
        <v>0.73</v>
      </c>
      <c r="I8" s="455">
        <v>0.89</v>
      </c>
      <c r="J8" s="455">
        <v>0.56999999999999995</v>
      </c>
      <c r="K8" s="455">
        <v>0.97</v>
      </c>
      <c r="L8" s="455">
        <v>0.66</v>
      </c>
      <c r="M8" s="455">
        <v>0.95</v>
      </c>
      <c r="N8" s="455">
        <v>0</v>
      </c>
      <c r="O8" s="455">
        <v>0</v>
      </c>
      <c r="P8" s="455">
        <v>0</v>
      </c>
    </row>
    <row r="9" spans="2:16">
      <c r="B9" s="417">
        <f t="shared" si="0"/>
        <v>2003</v>
      </c>
      <c r="C9" s="455">
        <v>0.59</v>
      </c>
      <c r="D9" s="455">
        <v>0.44</v>
      </c>
      <c r="E9" s="455">
        <v>0.44</v>
      </c>
      <c r="F9" s="455">
        <v>0.56999999999999995</v>
      </c>
      <c r="G9" s="455">
        <v>0.56999999999999995</v>
      </c>
      <c r="H9" s="455">
        <v>0.73</v>
      </c>
      <c r="I9" s="455">
        <v>0.89</v>
      </c>
      <c r="J9" s="455">
        <v>0.56999999999999995</v>
      </c>
      <c r="K9" s="455">
        <v>0.97</v>
      </c>
      <c r="L9" s="455">
        <v>0.66</v>
      </c>
      <c r="M9" s="455">
        <v>0.95</v>
      </c>
      <c r="N9" s="455">
        <v>0</v>
      </c>
      <c r="O9" s="455">
        <v>0</v>
      </c>
      <c r="P9" s="455">
        <v>0</v>
      </c>
    </row>
    <row r="10" spans="2:16">
      <c r="B10" s="417">
        <f t="shared" si="0"/>
        <v>2004</v>
      </c>
      <c r="C10" s="455">
        <v>0.59</v>
      </c>
      <c r="D10" s="455">
        <v>0.44</v>
      </c>
      <c r="E10" s="455">
        <v>0.44</v>
      </c>
      <c r="F10" s="455">
        <v>0.56999999999999995</v>
      </c>
      <c r="G10" s="455">
        <v>0.56999999999999995</v>
      </c>
      <c r="H10" s="455">
        <v>0.73</v>
      </c>
      <c r="I10" s="455">
        <v>0.89</v>
      </c>
      <c r="J10" s="455">
        <v>0.56999999999999995</v>
      </c>
      <c r="K10" s="455">
        <v>0.97</v>
      </c>
      <c r="L10" s="455">
        <v>0.66</v>
      </c>
      <c r="M10" s="455">
        <v>0.95</v>
      </c>
      <c r="N10" s="455">
        <v>0</v>
      </c>
      <c r="O10" s="455">
        <v>0</v>
      </c>
      <c r="P10" s="455">
        <v>0</v>
      </c>
    </row>
    <row r="11" spans="2:16">
      <c r="B11" s="417">
        <f t="shared" si="0"/>
        <v>2005</v>
      </c>
      <c r="C11" s="455">
        <v>0.59</v>
      </c>
      <c r="D11" s="455">
        <v>0.44</v>
      </c>
      <c r="E11" s="455">
        <v>0.44</v>
      </c>
      <c r="F11" s="455">
        <v>0.56999999999999995</v>
      </c>
      <c r="G11" s="455">
        <v>0.56999999999999995</v>
      </c>
      <c r="H11" s="455">
        <v>0.73</v>
      </c>
      <c r="I11" s="455">
        <v>0.89</v>
      </c>
      <c r="J11" s="455">
        <v>0.56999999999999995</v>
      </c>
      <c r="K11" s="455">
        <v>0.97</v>
      </c>
      <c r="L11" s="455">
        <v>0.66</v>
      </c>
      <c r="M11" s="455">
        <v>0.95</v>
      </c>
      <c r="N11" s="455">
        <v>0</v>
      </c>
      <c r="O11" s="455">
        <v>0</v>
      </c>
      <c r="P11" s="455">
        <v>0</v>
      </c>
    </row>
    <row r="12" spans="2:16">
      <c r="B12" s="417">
        <f t="shared" si="0"/>
        <v>2006</v>
      </c>
      <c r="C12" s="455">
        <v>0.59</v>
      </c>
      <c r="D12" s="455">
        <v>0.44</v>
      </c>
      <c r="E12" s="455">
        <v>0.44</v>
      </c>
      <c r="F12" s="455">
        <v>0.56999999999999995</v>
      </c>
      <c r="G12" s="455">
        <v>0.56999999999999995</v>
      </c>
      <c r="H12" s="455">
        <v>0.73</v>
      </c>
      <c r="I12" s="455">
        <v>0.89</v>
      </c>
      <c r="J12" s="455">
        <v>0.56999999999999995</v>
      </c>
      <c r="K12" s="455">
        <v>0.97</v>
      </c>
      <c r="L12" s="455">
        <v>0.66</v>
      </c>
      <c r="M12" s="455">
        <v>0.95</v>
      </c>
      <c r="N12" s="455">
        <v>0</v>
      </c>
      <c r="O12" s="455">
        <v>0</v>
      </c>
      <c r="P12" s="455">
        <v>0</v>
      </c>
    </row>
    <row r="13" spans="2:16">
      <c r="B13" s="417">
        <f t="shared" si="0"/>
        <v>2007</v>
      </c>
      <c r="C13" s="455">
        <v>0.59</v>
      </c>
      <c r="D13" s="455">
        <v>0.44</v>
      </c>
      <c r="E13" s="455">
        <v>0.44</v>
      </c>
      <c r="F13" s="455">
        <v>0.56999999999999995</v>
      </c>
      <c r="G13" s="455">
        <v>0.56999999999999995</v>
      </c>
      <c r="H13" s="455">
        <v>0.73</v>
      </c>
      <c r="I13" s="455">
        <v>0.89</v>
      </c>
      <c r="J13" s="455">
        <v>0.56999999999999995</v>
      </c>
      <c r="K13" s="455">
        <v>0.97</v>
      </c>
      <c r="L13" s="455">
        <v>0.66</v>
      </c>
      <c r="M13" s="455">
        <v>0.95</v>
      </c>
      <c r="N13" s="455">
        <v>0</v>
      </c>
      <c r="O13" s="455">
        <v>0</v>
      </c>
      <c r="P13" s="455">
        <v>0</v>
      </c>
    </row>
    <row r="14" spans="2:16">
      <c r="B14" s="417">
        <f t="shared" si="0"/>
        <v>2008</v>
      </c>
      <c r="C14" s="455">
        <v>0.59</v>
      </c>
      <c r="D14" s="455">
        <v>0.44</v>
      </c>
      <c r="E14" s="455">
        <v>0.44</v>
      </c>
      <c r="F14" s="455">
        <v>0.56999999999999995</v>
      </c>
      <c r="G14" s="455">
        <v>0.56999999999999995</v>
      </c>
      <c r="H14" s="455">
        <v>0.73</v>
      </c>
      <c r="I14" s="455">
        <v>0.89</v>
      </c>
      <c r="J14" s="455">
        <v>0.56999999999999995</v>
      </c>
      <c r="K14" s="455">
        <v>0.97</v>
      </c>
      <c r="L14" s="455">
        <v>0.66</v>
      </c>
      <c r="M14" s="455">
        <v>0.95</v>
      </c>
      <c r="N14" s="455">
        <v>0</v>
      </c>
      <c r="O14" s="455">
        <v>0</v>
      </c>
      <c r="P14" s="455">
        <v>0</v>
      </c>
    </row>
    <row r="15" spans="2:16">
      <c r="B15" s="417">
        <f t="shared" si="0"/>
        <v>2009</v>
      </c>
      <c r="C15" s="455">
        <v>0.59</v>
      </c>
      <c r="D15" s="455">
        <v>0.44</v>
      </c>
      <c r="E15" s="455">
        <v>0.44</v>
      </c>
      <c r="F15" s="455">
        <v>0.56999999999999995</v>
      </c>
      <c r="G15" s="455">
        <v>0.56999999999999995</v>
      </c>
      <c r="H15" s="455">
        <v>0.73</v>
      </c>
      <c r="I15" s="455">
        <v>0.89</v>
      </c>
      <c r="J15" s="455">
        <v>0.56999999999999995</v>
      </c>
      <c r="K15" s="455">
        <v>0.97</v>
      </c>
      <c r="L15" s="455">
        <v>0.66</v>
      </c>
      <c r="M15" s="455">
        <v>0.95</v>
      </c>
      <c r="N15" s="455">
        <v>0</v>
      </c>
      <c r="O15" s="455">
        <v>0</v>
      </c>
      <c r="P15" s="455">
        <v>0</v>
      </c>
    </row>
    <row r="16" spans="2:16">
      <c r="B16" s="417">
        <f t="shared" si="0"/>
        <v>2010</v>
      </c>
      <c r="C16" s="455">
        <v>0.59</v>
      </c>
      <c r="D16" s="455">
        <v>0.44</v>
      </c>
      <c r="E16" s="455">
        <v>0.44</v>
      </c>
      <c r="F16" s="455">
        <v>0.56999999999999995</v>
      </c>
      <c r="G16" s="455">
        <v>0.56999999999999995</v>
      </c>
      <c r="H16" s="455">
        <v>0.73</v>
      </c>
      <c r="I16" s="455">
        <v>0.89</v>
      </c>
      <c r="J16" s="455">
        <v>0.56999999999999995</v>
      </c>
      <c r="K16" s="455">
        <v>0.97</v>
      </c>
      <c r="L16" s="455">
        <v>0.66</v>
      </c>
      <c r="M16" s="455">
        <v>0.95</v>
      </c>
      <c r="N16" s="455">
        <v>0</v>
      </c>
      <c r="O16" s="455">
        <v>0</v>
      </c>
      <c r="P16" s="455">
        <v>0</v>
      </c>
    </row>
    <row r="17" spans="2:20">
      <c r="B17" s="417">
        <f t="shared" si="0"/>
        <v>2011</v>
      </c>
      <c r="C17" s="455">
        <v>0.59</v>
      </c>
      <c r="D17" s="455">
        <v>0.44</v>
      </c>
      <c r="E17" s="455">
        <v>0.44</v>
      </c>
      <c r="F17" s="455">
        <v>0.56999999999999995</v>
      </c>
      <c r="G17" s="455">
        <v>0.56999999999999995</v>
      </c>
      <c r="H17" s="455">
        <v>0.73</v>
      </c>
      <c r="I17" s="455">
        <v>0.89</v>
      </c>
      <c r="J17" s="455">
        <v>0.56999999999999995</v>
      </c>
      <c r="K17" s="455">
        <v>0.97</v>
      </c>
      <c r="L17" s="455">
        <v>0.66</v>
      </c>
      <c r="M17" s="455">
        <v>0.95</v>
      </c>
      <c r="N17" s="455">
        <v>0</v>
      </c>
      <c r="O17" s="455">
        <v>0</v>
      </c>
      <c r="P17" s="455">
        <v>0</v>
      </c>
    </row>
    <row r="18" spans="2:20">
      <c r="B18" s="417">
        <f t="shared" si="0"/>
        <v>2012</v>
      </c>
      <c r="C18" s="455">
        <v>0.59</v>
      </c>
      <c r="D18" s="455">
        <v>0.44</v>
      </c>
      <c r="E18" s="455">
        <v>0.44</v>
      </c>
      <c r="F18" s="455">
        <v>0.56999999999999995</v>
      </c>
      <c r="G18" s="455">
        <v>0.56999999999999995</v>
      </c>
      <c r="H18" s="455">
        <v>0.73</v>
      </c>
      <c r="I18" s="455">
        <v>0.89</v>
      </c>
      <c r="J18" s="455">
        <v>0.56999999999999995</v>
      </c>
      <c r="K18" s="455">
        <v>0.97</v>
      </c>
      <c r="L18" s="455">
        <v>0.66</v>
      </c>
      <c r="M18" s="455">
        <v>0.95</v>
      </c>
      <c r="N18" s="455">
        <v>0</v>
      </c>
      <c r="O18" s="455">
        <v>0</v>
      </c>
      <c r="P18" s="455">
        <v>0</v>
      </c>
      <c r="S18" s="418"/>
      <c r="T18" s="419"/>
    </row>
    <row r="19" spans="2:20">
      <c r="B19" s="417">
        <f t="shared" si="0"/>
        <v>2013</v>
      </c>
      <c r="C19" s="455">
        <v>0.59</v>
      </c>
      <c r="D19" s="455">
        <v>0.44</v>
      </c>
      <c r="E19" s="455">
        <v>0.44</v>
      </c>
      <c r="F19" s="455">
        <v>0.56999999999999995</v>
      </c>
      <c r="G19" s="455">
        <v>0.56999999999999995</v>
      </c>
      <c r="H19" s="455">
        <v>0.73</v>
      </c>
      <c r="I19" s="455">
        <v>0.89</v>
      </c>
      <c r="J19" s="455">
        <v>0.56999999999999995</v>
      </c>
      <c r="K19" s="455">
        <v>0.97</v>
      </c>
      <c r="L19" s="455">
        <v>0.66</v>
      </c>
      <c r="M19" s="455">
        <v>0.95</v>
      </c>
      <c r="N19" s="455">
        <v>0</v>
      </c>
      <c r="O19" s="455">
        <v>0</v>
      </c>
      <c r="P19" s="455">
        <v>0</v>
      </c>
      <c r="S19" s="418"/>
      <c r="T19" s="420"/>
    </row>
    <row r="20" spans="2:20">
      <c r="B20" s="417">
        <f t="shared" si="0"/>
        <v>2014</v>
      </c>
      <c r="C20" s="455">
        <v>0.59</v>
      </c>
      <c r="D20" s="455">
        <v>0.44</v>
      </c>
      <c r="E20" s="455">
        <v>0.44</v>
      </c>
      <c r="F20" s="455">
        <v>0.56999999999999995</v>
      </c>
      <c r="G20" s="455">
        <v>0.56999999999999995</v>
      </c>
      <c r="H20" s="455">
        <v>0.73</v>
      </c>
      <c r="I20" s="455">
        <v>0.89</v>
      </c>
      <c r="J20" s="455">
        <v>0.56999999999999995</v>
      </c>
      <c r="K20" s="455">
        <v>0.97</v>
      </c>
      <c r="L20" s="455">
        <v>0.66</v>
      </c>
      <c r="M20" s="455">
        <v>0.95</v>
      </c>
      <c r="N20" s="455">
        <v>0</v>
      </c>
      <c r="O20" s="455">
        <v>0</v>
      </c>
      <c r="P20" s="455">
        <v>0</v>
      </c>
      <c r="S20" s="418"/>
      <c r="T20" s="420"/>
    </row>
    <row r="21" spans="2:20">
      <c r="B21" s="417">
        <f t="shared" si="0"/>
        <v>2015</v>
      </c>
      <c r="C21" s="455">
        <v>0.59</v>
      </c>
      <c r="D21" s="455">
        <v>0.44</v>
      </c>
      <c r="E21" s="455">
        <v>0.44</v>
      </c>
      <c r="F21" s="455">
        <v>0.56999999999999995</v>
      </c>
      <c r="G21" s="455">
        <v>0.56999999999999995</v>
      </c>
      <c r="H21" s="455">
        <v>0.73</v>
      </c>
      <c r="I21" s="455">
        <v>0.89</v>
      </c>
      <c r="J21" s="455">
        <v>0.56999999999999995</v>
      </c>
      <c r="K21" s="455">
        <v>0.97</v>
      </c>
      <c r="L21" s="455">
        <v>0.66</v>
      </c>
      <c r="M21" s="455">
        <v>0.95</v>
      </c>
      <c r="N21" s="455">
        <v>0</v>
      </c>
      <c r="O21" s="455">
        <v>0</v>
      </c>
      <c r="P21" s="455">
        <v>0</v>
      </c>
      <c r="S21" s="418"/>
      <c r="T21" s="420"/>
    </row>
    <row r="22" spans="2:20">
      <c r="B22" s="417">
        <f t="shared" si="0"/>
        <v>2016</v>
      </c>
      <c r="C22" s="455">
        <v>0.59</v>
      </c>
      <c r="D22" s="455">
        <v>0.44</v>
      </c>
      <c r="E22" s="455">
        <v>0.44</v>
      </c>
      <c r="F22" s="455">
        <v>0.56999999999999995</v>
      </c>
      <c r="G22" s="455">
        <v>0.56999999999999995</v>
      </c>
      <c r="H22" s="455">
        <v>0.73</v>
      </c>
      <c r="I22" s="455">
        <v>0.89</v>
      </c>
      <c r="J22" s="455">
        <v>0.56999999999999995</v>
      </c>
      <c r="K22" s="455">
        <v>0.97</v>
      </c>
      <c r="L22" s="455">
        <v>0.66</v>
      </c>
      <c r="M22" s="455">
        <v>0.95</v>
      </c>
      <c r="N22" s="455">
        <v>0</v>
      </c>
      <c r="O22" s="455">
        <v>0</v>
      </c>
      <c r="P22" s="455">
        <v>0</v>
      </c>
      <c r="S22" s="418"/>
      <c r="T22" s="420"/>
    </row>
    <row r="23" spans="2:20">
      <c r="B23" s="417">
        <f t="shared" si="0"/>
        <v>2017</v>
      </c>
      <c r="C23" s="455">
        <v>0.59</v>
      </c>
      <c r="D23" s="455">
        <v>0.44</v>
      </c>
      <c r="E23" s="455">
        <v>0.44</v>
      </c>
      <c r="F23" s="455">
        <v>0.56999999999999995</v>
      </c>
      <c r="G23" s="455">
        <v>0.56999999999999995</v>
      </c>
      <c r="H23" s="455">
        <v>0.73</v>
      </c>
      <c r="I23" s="455">
        <v>0.89</v>
      </c>
      <c r="J23" s="455">
        <v>0.56999999999999995</v>
      </c>
      <c r="K23" s="455">
        <v>0.97</v>
      </c>
      <c r="L23" s="455">
        <v>0.66</v>
      </c>
      <c r="M23" s="455">
        <v>0.95</v>
      </c>
      <c r="N23" s="455">
        <v>0</v>
      </c>
      <c r="O23" s="455">
        <v>0</v>
      </c>
      <c r="P23" s="455">
        <v>0</v>
      </c>
      <c r="S23" s="418"/>
      <c r="T23" s="420"/>
    </row>
    <row r="24" spans="2:20">
      <c r="B24" s="417">
        <f t="shared" si="0"/>
        <v>2018</v>
      </c>
      <c r="C24" s="455">
        <v>0.59</v>
      </c>
      <c r="D24" s="455">
        <v>0.44</v>
      </c>
      <c r="E24" s="455">
        <v>0.44</v>
      </c>
      <c r="F24" s="455">
        <v>0.56999999999999995</v>
      </c>
      <c r="G24" s="455">
        <v>0.56999999999999995</v>
      </c>
      <c r="H24" s="455">
        <v>0.73</v>
      </c>
      <c r="I24" s="455">
        <v>0.89</v>
      </c>
      <c r="J24" s="455">
        <v>0.56999999999999995</v>
      </c>
      <c r="K24" s="455">
        <v>0.97</v>
      </c>
      <c r="L24" s="455">
        <v>0.66</v>
      </c>
      <c r="M24" s="455">
        <v>0.95</v>
      </c>
      <c r="N24" s="455">
        <v>0</v>
      </c>
      <c r="O24" s="455">
        <v>0</v>
      </c>
      <c r="P24" s="455">
        <v>0</v>
      </c>
      <c r="S24" s="418"/>
      <c r="T24" s="420"/>
    </row>
    <row r="25" spans="2:20">
      <c r="B25" s="417">
        <f t="shared" si="0"/>
        <v>2019</v>
      </c>
      <c r="C25" s="455">
        <v>0.59</v>
      </c>
      <c r="D25" s="455">
        <v>0.44</v>
      </c>
      <c r="E25" s="455">
        <v>0.44</v>
      </c>
      <c r="F25" s="455">
        <v>0.56999999999999995</v>
      </c>
      <c r="G25" s="455">
        <v>0.56999999999999995</v>
      </c>
      <c r="H25" s="455">
        <v>0.73</v>
      </c>
      <c r="I25" s="455">
        <v>0.89</v>
      </c>
      <c r="J25" s="455">
        <v>0.56999999999999995</v>
      </c>
      <c r="K25" s="455">
        <v>0.97</v>
      </c>
      <c r="L25" s="455">
        <v>0.66</v>
      </c>
      <c r="M25" s="455">
        <v>0.95</v>
      </c>
      <c r="N25" s="455">
        <v>0</v>
      </c>
      <c r="O25" s="455">
        <v>0</v>
      </c>
      <c r="P25" s="455">
        <v>0</v>
      </c>
      <c r="S25" s="418"/>
      <c r="T25" s="420"/>
    </row>
    <row r="26" spans="2:20">
      <c r="B26" s="417">
        <f t="shared" si="0"/>
        <v>2020</v>
      </c>
      <c r="C26" s="455">
        <v>0.59</v>
      </c>
      <c r="D26" s="455">
        <v>0.44</v>
      </c>
      <c r="E26" s="455">
        <v>0.44</v>
      </c>
      <c r="F26" s="455">
        <v>0.56999999999999995</v>
      </c>
      <c r="G26" s="455">
        <v>0.56999999999999995</v>
      </c>
      <c r="H26" s="455">
        <v>0.73</v>
      </c>
      <c r="I26" s="455">
        <v>0.89</v>
      </c>
      <c r="J26" s="455">
        <v>0.56999999999999995</v>
      </c>
      <c r="K26" s="455">
        <v>0.97</v>
      </c>
      <c r="L26" s="455">
        <v>0.66</v>
      </c>
      <c r="M26" s="455">
        <v>0.95</v>
      </c>
      <c r="N26" s="455">
        <v>0</v>
      </c>
      <c r="O26" s="455">
        <v>0</v>
      </c>
      <c r="P26" s="455">
        <v>0</v>
      </c>
      <c r="S26" s="418"/>
      <c r="T26" s="420"/>
    </row>
    <row r="27" spans="2:20">
      <c r="B27" s="417">
        <f t="shared" si="0"/>
        <v>2021</v>
      </c>
      <c r="C27" s="455">
        <v>0.59</v>
      </c>
      <c r="D27" s="455">
        <v>0.44</v>
      </c>
      <c r="E27" s="455">
        <v>0.44</v>
      </c>
      <c r="F27" s="455">
        <v>0.56999999999999995</v>
      </c>
      <c r="G27" s="455">
        <v>0.56999999999999995</v>
      </c>
      <c r="H27" s="455">
        <v>0.73</v>
      </c>
      <c r="I27" s="455">
        <v>0.89</v>
      </c>
      <c r="J27" s="455">
        <v>0.56999999999999995</v>
      </c>
      <c r="K27" s="455">
        <v>0.97</v>
      </c>
      <c r="L27" s="455">
        <v>0.66</v>
      </c>
      <c r="M27" s="455">
        <v>0.95</v>
      </c>
      <c r="N27" s="455">
        <v>0</v>
      </c>
      <c r="O27" s="455">
        <v>0</v>
      </c>
      <c r="P27" s="455">
        <v>0</v>
      </c>
      <c r="S27" s="421"/>
      <c r="T27" s="420"/>
    </row>
    <row r="28" spans="2:20">
      <c r="B28" s="417">
        <f t="shared" si="0"/>
        <v>2022</v>
      </c>
      <c r="C28" s="455">
        <v>0.59</v>
      </c>
      <c r="D28" s="455">
        <v>0.44</v>
      </c>
      <c r="E28" s="455">
        <v>0.44</v>
      </c>
      <c r="F28" s="455">
        <v>0.56999999999999995</v>
      </c>
      <c r="G28" s="455">
        <v>0.56999999999999995</v>
      </c>
      <c r="H28" s="455">
        <v>0.73</v>
      </c>
      <c r="I28" s="455">
        <v>0.89</v>
      </c>
      <c r="J28" s="455">
        <v>0.56999999999999995</v>
      </c>
      <c r="K28" s="455">
        <v>0.97</v>
      </c>
      <c r="L28" s="455">
        <v>0.66</v>
      </c>
      <c r="M28" s="455">
        <v>0.95</v>
      </c>
      <c r="N28" s="455">
        <v>0</v>
      </c>
      <c r="O28" s="455">
        <v>0</v>
      </c>
      <c r="P28" s="455">
        <v>0</v>
      </c>
    </row>
    <row r="29" spans="2:20">
      <c r="B29" s="417">
        <f t="shared" si="0"/>
        <v>2023</v>
      </c>
      <c r="C29" s="455">
        <v>0.59</v>
      </c>
      <c r="D29" s="455">
        <v>0.44</v>
      </c>
      <c r="E29" s="455">
        <v>0.44</v>
      </c>
      <c r="F29" s="455">
        <v>0.56999999999999995</v>
      </c>
      <c r="G29" s="455">
        <v>0.56999999999999995</v>
      </c>
      <c r="H29" s="455">
        <v>0.73</v>
      </c>
      <c r="I29" s="455">
        <v>0.89</v>
      </c>
      <c r="J29" s="455">
        <v>0.56999999999999995</v>
      </c>
      <c r="K29" s="455">
        <v>0.97</v>
      </c>
      <c r="L29" s="455">
        <v>0.66</v>
      </c>
      <c r="M29" s="455">
        <v>0.95</v>
      </c>
      <c r="N29" s="455">
        <v>0</v>
      </c>
      <c r="O29" s="455">
        <v>0</v>
      </c>
      <c r="P29" s="455">
        <v>0</v>
      </c>
    </row>
    <row r="30" spans="2:20">
      <c r="B30" s="417">
        <f t="shared" si="0"/>
        <v>2024</v>
      </c>
      <c r="C30" s="455">
        <v>0.59</v>
      </c>
      <c r="D30" s="455">
        <v>0.44</v>
      </c>
      <c r="E30" s="455">
        <v>0.44</v>
      </c>
      <c r="F30" s="455">
        <v>0.56999999999999995</v>
      </c>
      <c r="G30" s="455">
        <v>0.56999999999999995</v>
      </c>
      <c r="H30" s="455">
        <v>0.73</v>
      </c>
      <c r="I30" s="455">
        <v>0.89</v>
      </c>
      <c r="J30" s="455">
        <v>0.56999999999999995</v>
      </c>
      <c r="K30" s="455">
        <v>0.97</v>
      </c>
      <c r="L30" s="455">
        <v>0.66</v>
      </c>
      <c r="M30" s="455">
        <v>0.95</v>
      </c>
      <c r="N30" s="455">
        <v>0</v>
      </c>
      <c r="O30" s="455">
        <v>0</v>
      </c>
      <c r="P30" s="455">
        <v>0</v>
      </c>
    </row>
    <row r="31" spans="2:20">
      <c r="B31" s="417">
        <f t="shared" si="0"/>
        <v>2025</v>
      </c>
      <c r="C31" s="455">
        <v>0.59</v>
      </c>
      <c r="D31" s="455">
        <v>0.44</v>
      </c>
      <c r="E31" s="455">
        <v>0.44</v>
      </c>
      <c r="F31" s="455">
        <v>0.56999999999999995</v>
      </c>
      <c r="G31" s="455">
        <v>0.56999999999999995</v>
      </c>
      <c r="H31" s="455">
        <v>0.73</v>
      </c>
      <c r="I31" s="455">
        <v>0.89</v>
      </c>
      <c r="J31" s="455">
        <v>0.56999999999999995</v>
      </c>
      <c r="K31" s="455">
        <v>0.97</v>
      </c>
      <c r="L31" s="455">
        <v>0.66</v>
      </c>
      <c r="M31" s="455">
        <v>0.95</v>
      </c>
      <c r="N31" s="455">
        <v>0</v>
      </c>
      <c r="O31" s="455">
        <v>0</v>
      </c>
      <c r="P31" s="455">
        <v>0</v>
      </c>
    </row>
    <row r="32" spans="2:20">
      <c r="B32" s="417">
        <f t="shared" si="0"/>
        <v>2026</v>
      </c>
      <c r="C32" s="455">
        <v>0.59</v>
      </c>
      <c r="D32" s="455">
        <v>0.44</v>
      </c>
      <c r="E32" s="455">
        <v>0.44</v>
      </c>
      <c r="F32" s="455">
        <v>0.56999999999999995</v>
      </c>
      <c r="G32" s="455">
        <v>0.56999999999999995</v>
      </c>
      <c r="H32" s="455">
        <v>0.73</v>
      </c>
      <c r="I32" s="455">
        <v>0.89</v>
      </c>
      <c r="J32" s="455">
        <v>0.56999999999999995</v>
      </c>
      <c r="K32" s="455">
        <v>0.97</v>
      </c>
      <c r="L32" s="455">
        <v>0.66</v>
      </c>
      <c r="M32" s="455">
        <v>0.95</v>
      </c>
      <c r="N32" s="455">
        <v>0</v>
      </c>
      <c r="O32" s="455">
        <v>0</v>
      </c>
      <c r="P32" s="455">
        <v>0</v>
      </c>
    </row>
    <row r="33" spans="2:16">
      <c r="B33" s="417">
        <f t="shared" si="0"/>
        <v>2027</v>
      </c>
      <c r="C33" s="455">
        <v>0.59</v>
      </c>
      <c r="D33" s="455">
        <v>0.44</v>
      </c>
      <c r="E33" s="455">
        <v>0.44</v>
      </c>
      <c r="F33" s="455">
        <v>0.56999999999999995</v>
      </c>
      <c r="G33" s="455">
        <v>0.56999999999999995</v>
      </c>
      <c r="H33" s="455">
        <v>0.73</v>
      </c>
      <c r="I33" s="455">
        <v>0.89</v>
      </c>
      <c r="J33" s="455">
        <v>0.56999999999999995</v>
      </c>
      <c r="K33" s="455">
        <v>0.97</v>
      </c>
      <c r="L33" s="455">
        <v>0.66</v>
      </c>
      <c r="M33" s="455">
        <v>0.95</v>
      </c>
      <c r="N33" s="455">
        <v>0</v>
      </c>
      <c r="O33" s="455">
        <v>0</v>
      </c>
      <c r="P33" s="455">
        <v>0</v>
      </c>
    </row>
    <row r="34" spans="2:16">
      <c r="B34" s="417">
        <f t="shared" si="0"/>
        <v>2028</v>
      </c>
      <c r="C34" s="455">
        <v>0.59</v>
      </c>
      <c r="D34" s="455">
        <v>0.44</v>
      </c>
      <c r="E34" s="455">
        <v>0.44</v>
      </c>
      <c r="F34" s="455">
        <v>0.56999999999999995</v>
      </c>
      <c r="G34" s="455">
        <v>0.56999999999999995</v>
      </c>
      <c r="H34" s="455">
        <v>0.73</v>
      </c>
      <c r="I34" s="455">
        <v>0.89</v>
      </c>
      <c r="J34" s="455">
        <v>0.56999999999999995</v>
      </c>
      <c r="K34" s="455">
        <v>0.97</v>
      </c>
      <c r="L34" s="455">
        <v>0.66</v>
      </c>
      <c r="M34" s="455">
        <v>0.95</v>
      </c>
      <c r="N34" s="455">
        <v>0</v>
      </c>
      <c r="O34" s="455">
        <v>0</v>
      </c>
      <c r="P34" s="455">
        <v>0</v>
      </c>
    </row>
    <row r="35" spans="2:16">
      <c r="B35" s="417">
        <f t="shared" si="0"/>
        <v>2029</v>
      </c>
      <c r="C35" s="455">
        <v>0.59</v>
      </c>
      <c r="D35" s="455">
        <v>0.44</v>
      </c>
      <c r="E35" s="455">
        <v>0.44</v>
      </c>
      <c r="F35" s="455">
        <v>0.56999999999999995</v>
      </c>
      <c r="G35" s="455">
        <v>0.56999999999999995</v>
      </c>
      <c r="H35" s="455">
        <v>0.73</v>
      </c>
      <c r="I35" s="455">
        <v>0.89</v>
      </c>
      <c r="J35" s="455">
        <v>0.56999999999999995</v>
      </c>
      <c r="K35" s="455">
        <v>0.97</v>
      </c>
      <c r="L35" s="455">
        <v>0.66</v>
      </c>
      <c r="M35" s="455">
        <v>0.95</v>
      </c>
      <c r="N35" s="455">
        <v>0</v>
      </c>
      <c r="O35" s="455">
        <v>0</v>
      </c>
      <c r="P35" s="455">
        <v>0</v>
      </c>
    </row>
    <row r="36" spans="2:16">
      <c r="B36" s="417">
        <f t="shared" si="0"/>
        <v>2030</v>
      </c>
      <c r="C36" s="455">
        <v>0.59</v>
      </c>
      <c r="D36" s="455">
        <v>0.44</v>
      </c>
      <c r="E36" s="455">
        <v>0.44</v>
      </c>
      <c r="F36" s="455">
        <v>0.56999999999999995</v>
      </c>
      <c r="G36" s="455">
        <v>0.56999999999999995</v>
      </c>
      <c r="H36" s="455">
        <v>0.73</v>
      </c>
      <c r="I36" s="455">
        <v>0.89</v>
      </c>
      <c r="J36" s="455">
        <v>0.56999999999999995</v>
      </c>
      <c r="K36" s="455">
        <v>0.97</v>
      </c>
      <c r="L36" s="455">
        <v>0.66</v>
      </c>
      <c r="M36" s="455">
        <v>0.95</v>
      </c>
      <c r="N36" s="455">
        <v>0</v>
      </c>
      <c r="O36" s="455">
        <v>0</v>
      </c>
      <c r="P36" s="455">
        <v>0</v>
      </c>
    </row>
    <row r="37" spans="2:16">
      <c r="B37" s="417">
        <f t="shared" si="0"/>
        <v>2031</v>
      </c>
      <c r="C37" s="455">
        <v>0.59</v>
      </c>
      <c r="D37" s="455">
        <v>0.44</v>
      </c>
      <c r="E37" s="455">
        <v>0.44</v>
      </c>
      <c r="F37" s="455">
        <v>0.56999999999999995</v>
      </c>
      <c r="G37" s="455">
        <v>0.56999999999999995</v>
      </c>
      <c r="H37" s="455">
        <v>0.73</v>
      </c>
      <c r="I37" s="455">
        <v>0.89</v>
      </c>
      <c r="J37" s="455">
        <v>0.56999999999999995</v>
      </c>
      <c r="K37" s="455">
        <v>0.97</v>
      </c>
      <c r="L37" s="455">
        <v>0.66</v>
      </c>
      <c r="M37" s="455">
        <v>0.95</v>
      </c>
      <c r="N37" s="455">
        <v>0</v>
      </c>
      <c r="O37" s="455">
        <v>0</v>
      </c>
      <c r="P37" s="455">
        <v>0</v>
      </c>
    </row>
    <row r="38" spans="2:16">
      <c r="B38" s="417">
        <f t="shared" si="0"/>
        <v>2032</v>
      </c>
      <c r="C38" s="455">
        <v>0.59</v>
      </c>
      <c r="D38" s="455">
        <v>0.44</v>
      </c>
      <c r="E38" s="455">
        <v>0.44</v>
      </c>
      <c r="F38" s="455">
        <v>0.56999999999999995</v>
      </c>
      <c r="G38" s="455">
        <v>0.56999999999999995</v>
      </c>
      <c r="H38" s="455">
        <v>0.73</v>
      </c>
      <c r="I38" s="455">
        <v>0.89</v>
      </c>
      <c r="J38" s="455">
        <v>0.56999999999999995</v>
      </c>
      <c r="K38" s="455">
        <v>0.97</v>
      </c>
      <c r="L38" s="455">
        <v>0.66</v>
      </c>
      <c r="M38" s="455">
        <v>0.95</v>
      </c>
      <c r="N38" s="455">
        <v>0</v>
      </c>
      <c r="O38" s="455">
        <v>0</v>
      </c>
      <c r="P38" s="455">
        <v>0</v>
      </c>
    </row>
    <row r="39" spans="2:16">
      <c r="B39" s="417">
        <f t="shared" si="0"/>
        <v>2033</v>
      </c>
      <c r="C39" s="455">
        <v>0.59</v>
      </c>
      <c r="D39" s="455">
        <v>0.44</v>
      </c>
      <c r="E39" s="455">
        <v>0.44</v>
      </c>
      <c r="F39" s="455">
        <v>0.56999999999999995</v>
      </c>
      <c r="G39" s="455">
        <v>0.56999999999999995</v>
      </c>
      <c r="H39" s="455">
        <v>0.73</v>
      </c>
      <c r="I39" s="455">
        <v>0.89</v>
      </c>
      <c r="J39" s="455">
        <v>0.56999999999999995</v>
      </c>
      <c r="K39" s="455">
        <v>0.97</v>
      </c>
      <c r="L39" s="455">
        <v>0.66</v>
      </c>
      <c r="M39" s="455">
        <v>0.95</v>
      </c>
      <c r="N39" s="455">
        <v>0</v>
      </c>
      <c r="O39" s="455">
        <v>0</v>
      </c>
      <c r="P39" s="455">
        <v>0</v>
      </c>
    </row>
    <row r="40" spans="2:16">
      <c r="B40" s="417">
        <f t="shared" si="0"/>
        <v>2034</v>
      </c>
      <c r="C40" s="455">
        <v>0.59</v>
      </c>
      <c r="D40" s="455">
        <v>0.44</v>
      </c>
      <c r="E40" s="455">
        <v>0.44</v>
      </c>
      <c r="F40" s="455">
        <v>0.56999999999999995</v>
      </c>
      <c r="G40" s="455">
        <v>0.56999999999999995</v>
      </c>
      <c r="H40" s="455">
        <v>0.73</v>
      </c>
      <c r="I40" s="455">
        <v>0.89</v>
      </c>
      <c r="J40" s="455">
        <v>0.56999999999999995</v>
      </c>
      <c r="K40" s="455">
        <v>0.97</v>
      </c>
      <c r="L40" s="455">
        <v>0.66</v>
      </c>
      <c r="M40" s="455">
        <v>0.95</v>
      </c>
      <c r="N40" s="455">
        <v>0</v>
      </c>
      <c r="O40" s="455">
        <v>0</v>
      </c>
      <c r="P40" s="455">
        <v>0</v>
      </c>
    </row>
    <row r="41" spans="2:16">
      <c r="B41" s="417">
        <f t="shared" si="0"/>
        <v>2035</v>
      </c>
      <c r="C41" s="455">
        <v>0.59</v>
      </c>
      <c r="D41" s="455">
        <v>0.44</v>
      </c>
      <c r="E41" s="455">
        <v>0.44</v>
      </c>
      <c r="F41" s="455">
        <v>0.56999999999999995</v>
      </c>
      <c r="G41" s="455">
        <v>0.56999999999999995</v>
      </c>
      <c r="H41" s="455">
        <v>0.73</v>
      </c>
      <c r="I41" s="455">
        <v>0.89</v>
      </c>
      <c r="J41" s="455">
        <v>0.56999999999999995</v>
      </c>
      <c r="K41" s="455">
        <v>0.97</v>
      </c>
      <c r="L41" s="455">
        <v>0.66</v>
      </c>
      <c r="M41" s="455">
        <v>0.95</v>
      </c>
      <c r="N41" s="455">
        <v>0</v>
      </c>
      <c r="O41" s="455">
        <v>0</v>
      </c>
      <c r="P41" s="455">
        <v>0</v>
      </c>
    </row>
    <row r="42" spans="2:16">
      <c r="B42" s="417">
        <f t="shared" si="0"/>
        <v>2036</v>
      </c>
      <c r="C42" s="455">
        <v>0.59</v>
      </c>
      <c r="D42" s="455">
        <v>0.44</v>
      </c>
      <c r="E42" s="455">
        <v>0.44</v>
      </c>
      <c r="F42" s="455">
        <v>0.56999999999999995</v>
      </c>
      <c r="G42" s="455">
        <v>0.56999999999999995</v>
      </c>
      <c r="H42" s="455">
        <v>0.73</v>
      </c>
      <c r="I42" s="455">
        <v>0.89</v>
      </c>
      <c r="J42" s="455">
        <v>0.56999999999999995</v>
      </c>
      <c r="K42" s="455">
        <v>0.97</v>
      </c>
      <c r="L42" s="455">
        <v>0.66</v>
      </c>
      <c r="M42" s="455">
        <v>0.95</v>
      </c>
      <c r="N42" s="455">
        <v>0</v>
      </c>
      <c r="O42" s="455">
        <v>0</v>
      </c>
      <c r="P42" s="455">
        <v>0</v>
      </c>
    </row>
    <row r="43" spans="2:16">
      <c r="B43" s="417">
        <f t="shared" si="0"/>
        <v>2037</v>
      </c>
      <c r="C43" s="455">
        <v>0.59</v>
      </c>
      <c r="D43" s="455">
        <v>0.44</v>
      </c>
      <c r="E43" s="455">
        <v>0.44</v>
      </c>
      <c r="F43" s="455">
        <v>0.56999999999999995</v>
      </c>
      <c r="G43" s="455">
        <v>0.56999999999999995</v>
      </c>
      <c r="H43" s="455">
        <v>0.73</v>
      </c>
      <c r="I43" s="455">
        <v>0.89</v>
      </c>
      <c r="J43" s="455">
        <v>0.56999999999999995</v>
      </c>
      <c r="K43" s="455">
        <v>0.97</v>
      </c>
      <c r="L43" s="455">
        <v>0.66</v>
      </c>
      <c r="M43" s="455">
        <v>0.95</v>
      </c>
      <c r="N43" s="455">
        <v>0</v>
      </c>
      <c r="O43" s="455">
        <v>0</v>
      </c>
      <c r="P43" s="455">
        <v>0</v>
      </c>
    </row>
    <row r="44" spans="2:16">
      <c r="B44" s="417">
        <f t="shared" si="0"/>
        <v>2038</v>
      </c>
      <c r="C44" s="455">
        <v>0.59</v>
      </c>
      <c r="D44" s="455">
        <v>0.44</v>
      </c>
      <c r="E44" s="455">
        <v>0.44</v>
      </c>
      <c r="F44" s="455">
        <v>0.56999999999999995</v>
      </c>
      <c r="G44" s="455">
        <v>0.56999999999999995</v>
      </c>
      <c r="H44" s="455">
        <v>0.73</v>
      </c>
      <c r="I44" s="455">
        <v>0.89</v>
      </c>
      <c r="J44" s="455">
        <v>0.56999999999999995</v>
      </c>
      <c r="K44" s="455">
        <v>0.97</v>
      </c>
      <c r="L44" s="455">
        <v>0.66</v>
      </c>
      <c r="M44" s="455">
        <v>0.95</v>
      </c>
      <c r="N44" s="455">
        <v>0</v>
      </c>
      <c r="O44" s="455">
        <v>0</v>
      </c>
      <c r="P44" s="455">
        <v>0</v>
      </c>
    </row>
    <row r="45" spans="2:16">
      <c r="B45" s="417">
        <f t="shared" si="0"/>
        <v>2039</v>
      </c>
      <c r="C45" s="455">
        <v>0.59</v>
      </c>
      <c r="D45" s="455">
        <v>0.44</v>
      </c>
      <c r="E45" s="455">
        <v>0.44</v>
      </c>
      <c r="F45" s="455">
        <v>0.56999999999999995</v>
      </c>
      <c r="G45" s="455">
        <v>0.56999999999999995</v>
      </c>
      <c r="H45" s="455">
        <v>0.73</v>
      </c>
      <c r="I45" s="455">
        <v>0.89</v>
      </c>
      <c r="J45" s="455">
        <v>0.56999999999999995</v>
      </c>
      <c r="K45" s="455">
        <v>0.97</v>
      </c>
      <c r="L45" s="455">
        <v>0.66</v>
      </c>
      <c r="M45" s="455">
        <v>0.95</v>
      </c>
      <c r="N45" s="455">
        <v>0</v>
      </c>
      <c r="O45" s="455">
        <v>0</v>
      </c>
      <c r="P45" s="455">
        <v>0</v>
      </c>
    </row>
    <row r="46" spans="2:16">
      <c r="B46" s="417">
        <f t="shared" si="0"/>
        <v>2040</v>
      </c>
      <c r="C46" s="455">
        <v>0.59</v>
      </c>
      <c r="D46" s="455">
        <v>0.44</v>
      </c>
      <c r="E46" s="455">
        <v>0.44</v>
      </c>
      <c r="F46" s="455">
        <v>0.56999999999999995</v>
      </c>
      <c r="G46" s="455">
        <v>0.56999999999999995</v>
      </c>
      <c r="H46" s="455">
        <v>0.73</v>
      </c>
      <c r="I46" s="455">
        <v>0.89</v>
      </c>
      <c r="J46" s="455">
        <v>0.56999999999999995</v>
      </c>
      <c r="K46" s="455">
        <v>0.97</v>
      </c>
      <c r="L46" s="455">
        <v>0.66</v>
      </c>
      <c r="M46" s="455">
        <v>0.95</v>
      </c>
      <c r="N46" s="455">
        <v>0</v>
      </c>
      <c r="O46" s="455">
        <v>0</v>
      </c>
      <c r="P46" s="455">
        <v>0</v>
      </c>
    </row>
    <row r="47" spans="2:16">
      <c r="B47" s="417">
        <f t="shared" si="0"/>
        <v>2041</v>
      </c>
      <c r="C47" s="455">
        <v>0.59</v>
      </c>
      <c r="D47" s="455">
        <v>0.44</v>
      </c>
      <c r="E47" s="455">
        <v>0.44</v>
      </c>
      <c r="F47" s="455">
        <v>0.56999999999999995</v>
      </c>
      <c r="G47" s="455">
        <v>0.56999999999999995</v>
      </c>
      <c r="H47" s="455">
        <v>0.73</v>
      </c>
      <c r="I47" s="455">
        <v>0.89</v>
      </c>
      <c r="J47" s="455">
        <v>0.56999999999999995</v>
      </c>
      <c r="K47" s="455">
        <v>0.97</v>
      </c>
      <c r="L47" s="455">
        <v>0.66</v>
      </c>
      <c r="M47" s="455">
        <v>0.95</v>
      </c>
      <c r="N47" s="455">
        <v>0</v>
      </c>
      <c r="O47" s="455">
        <v>0</v>
      </c>
      <c r="P47" s="455">
        <v>0</v>
      </c>
    </row>
    <row r="48" spans="2:16">
      <c r="B48" s="417">
        <f t="shared" si="0"/>
        <v>2042</v>
      </c>
      <c r="C48" s="455">
        <v>0.59</v>
      </c>
      <c r="D48" s="455">
        <v>0.44</v>
      </c>
      <c r="E48" s="455">
        <v>0.44</v>
      </c>
      <c r="F48" s="455">
        <v>0.56999999999999995</v>
      </c>
      <c r="G48" s="455">
        <v>0.56999999999999995</v>
      </c>
      <c r="H48" s="455">
        <v>0.73</v>
      </c>
      <c r="I48" s="455">
        <v>0.89</v>
      </c>
      <c r="J48" s="455">
        <v>0.56999999999999995</v>
      </c>
      <c r="K48" s="455">
        <v>0.97</v>
      </c>
      <c r="L48" s="455">
        <v>0.66</v>
      </c>
      <c r="M48" s="455">
        <v>0.95</v>
      </c>
      <c r="N48" s="455">
        <v>0</v>
      </c>
      <c r="O48" s="455">
        <v>0</v>
      </c>
      <c r="P48" s="455">
        <v>0</v>
      </c>
    </row>
    <row r="49" spans="2:16">
      <c r="B49" s="417">
        <f t="shared" si="0"/>
        <v>2043</v>
      </c>
      <c r="C49" s="455">
        <v>0.59</v>
      </c>
      <c r="D49" s="455">
        <v>0.44</v>
      </c>
      <c r="E49" s="455">
        <v>0.44</v>
      </c>
      <c r="F49" s="455">
        <v>0.56999999999999995</v>
      </c>
      <c r="G49" s="455">
        <v>0.56999999999999995</v>
      </c>
      <c r="H49" s="455">
        <v>0.73</v>
      </c>
      <c r="I49" s="455">
        <v>0.89</v>
      </c>
      <c r="J49" s="455">
        <v>0.56999999999999995</v>
      </c>
      <c r="K49" s="455">
        <v>0.97</v>
      </c>
      <c r="L49" s="455">
        <v>0.66</v>
      </c>
      <c r="M49" s="455">
        <v>0.95</v>
      </c>
      <c r="N49" s="455">
        <v>0</v>
      </c>
      <c r="O49" s="455">
        <v>0</v>
      </c>
      <c r="P49" s="455">
        <v>0</v>
      </c>
    </row>
    <row r="50" spans="2:16">
      <c r="B50" s="417">
        <f t="shared" si="0"/>
        <v>2044</v>
      </c>
      <c r="C50" s="455">
        <v>0.59</v>
      </c>
      <c r="D50" s="455">
        <v>0.44</v>
      </c>
      <c r="E50" s="455">
        <v>0.44</v>
      </c>
      <c r="F50" s="455">
        <v>0.56999999999999995</v>
      </c>
      <c r="G50" s="455">
        <v>0.56999999999999995</v>
      </c>
      <c r="H50" s="455">
        <v>0.73</v>
      </c>
      <c r="I50" s="455">
        <v>0.89</v>
      </c>
      <c r="J50" s="455">
        <v>0.56999999999999995</v>
      </c>
      <c r="K50" s="455">
        <v>0.97</v>
      </c>
      <c r="L50" s="455">
        <v>0.66</v>
      </c>
      <c r="M50" s="455">
        <v>0.95</v>
      </c>
      <c r="N50" s="455">
        <v>0</v>
      </c>
      <c r="O50" s="455">
        <v>0</v>
      </c>
      <c r="P50" s="455">
        <v>0</v>
      </c>
    </row>
    <row r="51" spans="2:16">
      <c r="B51" s="417">
        <f t="shared" si="0"/>
        <v>2045</v>
      </c>
      <c r="C51" s="455">
        <v>0.59</v>
      </c>
      <c r="D51" s="455">
        <v>0.44</v>
      </c>
      <c r="E51" s="455">
        <v>0.44</v>
      </c>
      <c r="F51" s="455">
        <v>0.56999999999999995</v>
      </c>
      <c r="G51" s="455">
        <v>0.56999999999999995</v>
      </c>
      <c r="H51" s="455">
        <v>0.73</v>
      </c>
      <c r="I51" s="455">
        <v>0.89</v>
      </c>
      <c r="J51" s="455">
        <v>0.56999999999999995</v>
      </c>
      <c r="K51" s="455">
        <v>0.97</v>
      </c>
      <c r="L51" s="455">
        <v>0.66</v>
      </c>
      <c r="M51" s="455">
        <v>0.95</v>
      </c>
      <c r="N51" s="455">
        <v>0</v>
      </c>
      <c r="O51" s="455">
        <v>0</v>
      </c>
      <c r="P51" s="455">
        <v>0</v>
      </c>
    </row>
    <row r="52" spans="2:16">
      <c r="B52" s="417">
        <f t="shared" si="0"/>
        <v>2046</v>
      </c>
      <c r="C52" s="455">
        <v>0.59</v>
      </c>
      <c r="D52" s="455">
        <v>0.44</v>
      </c>
      <c r="E52" s="455">
        <v>0.44</v>
      </c>
      <c r="F52" s="455">
        <v>0.56999999999999995</v>
      </c>
      <c r="G52" s="455">
        <v>0.56999999999999995</v>
      </c>
      <c r="H52" s="455">
        <v>0.73</v>
      </c>
      <c r="I52" s="455">
        <v>0.89</v>
      </c>
      <c r="J52" s="455">
        <v>0.56999999999999995</v>
      </c>
      <c r="K52" s="455">
        <v>0.97</v>
      </c>
      <c r="L52" s="455">
        <v>0.66</v>
      </c>
      <c r="M52" s="455">
        <v>0.95</v>
      </c>
      <c r="N52" s="455">
        <v>0</v>
      </c>
      <c r="O52" s="455">
        <v>0</v>
      </c>
      <c r="P52" s="455">
        <v>0</v>
      </c>
    </row>
    <row r="53" spans="2:16">
      <c r="B53" s="417">
        <f t="shared" si="0"/>
        <v>2047</v>
      </c>
      <c r="C53" s="455">
        <v>0.59</v>
      </c>
      <c r="D53" s="455">
        <v>0.44</v>
      </c>
      <c r="E53" s="455">
        <v>0.44</v>
      </c>
      <c r="F53" s="455">
        <v>0.56999999999999995</v>
      </c>
      <c r="G53" s="455">
        <v>0.56999999999999995</v>
      </c>
      <c r="H53" s="455">
        <v>0.73</v>
      </c>
      <c r="I53" s="455">
        <v>0.89</v>
      </c>
      <c r="J53" s="455">
        <v>0.56999999999999995</v>
      </c>
      <c r="K53" s="455">
        <v>0.97</v>
      </c>
      <c r="L53" s="455">
        <v>0.66</v>
      </c>
      <c r="M53" s="455">
        <v>0.95</v>
      </c>
      <c r="N53" s="455">
        <v>0</v>
      </c>
      <c r="O53" s="455">
        <v>0</v>
      </c>
      <c r="P53" s="455">
        <v>0</v>
      </c>
    </row>
    <row r="54" spans="2:16">
      <c r="B54" s="417">
        <f t="shared" si="0"/>
        <v>2048</v>
      </c>
      <c r="C54" s="455">
        <v>0.59</v>
      </c>
      <c r="D54" s="455">
        <v>0.44</v>
      </c>
      <c r="E54" s="455">
        <v>0.44</v>
      </c>
      <c r="F54" s="455">
        <v>0.56999999999999995</v>
      </c>
      <c r="G54" s="455">
        <v>0.56999999999999995</v>
      </c>
      <c r="H54" s="455">
        <v>0.73</v>
      </c>
      <c r="I54" s="455">
        <v>0.89</v>
      </c>
      <c r="J54" s="455">
        <v>0.56999999999999995</v>
      </c>
      <c r="K54" s="455">
        <v>0.97</v>
      </c>
      <c r="L54" s="455">
        <v>0.66</v>
      </c>
      <c r="M54" s="455">
        <v>0.95</v>
      </c>
      <c r="N54" s="455">
        <v>0</v>
      </c>
      <c r="O54" s="455">
        <v>0</v>
      </c>
      <c r="P54" s="455">
        <v>0</v>
      </c>
    </row>
    <row r="55" spans="2:16">
      <c r="B55" s="417">
        <f t="shared" si="0"/>
        <v>2049</v>
      </c>
      <c r="C55" s="455">
        <v>0.59</v>
      </c>
      <c r="D55" s="455">
        <v>0.44</v>
      </c>
      <c r="E55" s="455">
        <v>0.44</v>
      </c>
      <c r="F55" s="455">
        <v>0.56999999999999995</v>
      </c>
      <c r="G55" s="455">
        <v>0.56999999999999995</v>
      </c>
      <c r="H55" s="455">
        <v>0.73</v>
      </c>
      <c r="I55" s="455">
        <v>0.89</v>
      </c>
      <c r="J55" s="455">
        <v>0.56999999999999995</v>
      </c>
      <c r="K55" s="455">
        <v>0.97</v>
      </c>
      <c r="L55" s="455">
        <v>0.66</v>
      </c>
      <c r="M55" s="455">
        <v>0.95</v>
      </c>
      <c r="N55" s="455">
        <v>0</v>
      </c>
      <c r="O55" s="455">
        <v>0</v>
      </c>
      <c r="P55" s="455">
        <v>0</v>
      </c>
    </row>
    <row r="56" spans="2:16">
      <c r="B56" s="417">
        <f t="shared" si="0"/>
        <v>2050</v>
      </c>
      <c r="C56" s="455">
        <v>0.59</v>
      </c>
      <c r="D56" s="455">
        <v>0.44</v>
      </c>
      <c r="E56" s="455">
        <v>0.44</v>
      </c>
      <c r="F56" s="455">
        <v>0.56999999999999995</v>
      </c>
      <c r="G56" s="455">
        <v>0.56999999999999995</v>
      </c>
      <c r="H56" s="455">
        <v>0.73</v>
      </c>
      <c r="I56" s="455">
        <v>0.89</v>
      </c>
      <c r="J56" s="455">
        <v>0.56999999999999995</v>
      </c>
      <c r="K56" s="455">
        <v>0.97</v>
      </c>
      <c r="L56" s="455">
        <v>0.66</v>
      </c>
      <c r="M56" s="455">
        <v>0.95</v>
      </c>
      <c r="N56" s="455">
        <v>0</v>
      </c>
      <c r="O56" s="455">
        <v>0</v>
      </c>
      <c r="P56" s="455">
        <v>0</v>
      </c>
    </row>
    <row r="57" spans="2:16">
      <c r="B57" s="417">
        <f t="shared" si="0"/>
        <v>2051</v>
      </c>
      <c r="C57" s="455">
        <v>0.59</v>
      </c>
      <c r="D57" s="455">
        <v>0.44</v>
      </c>
      <c r="E57" s="455">
        <v>0.44</v>
      </c>
      <c r="F57" s="455">
        <v>0.56999999999999995</v>
      </c>
      <c r="G57" s="455">
        <v>0.56999999999999995</v>
      </c>
      <c r="H57" s="455">
        <v>0.73</v>
      </c>
      <c r="I57" s="455">
        <v>0.89</v>
      </c>
      <c r="J57" s="455">
        <v>0.56999999999999995</v>
      </c>
      <c r="K57" s="455">
        <v>0.97</v>
      </c>
      <c r="L57" s="455">
        <v>0.66</v>
      </c>
      <c r="M57" s="455">
        <v>0.95</v>
      </c>
      <c r="N57" s="455">
        <v>0</v>
      </c>
      <c r="O57" s="455">
        <v>0</v>
      </c>
      <c r="P57" s="455">
        <v>0</v>
      </c>
    </row>
    <row r="58" spans="2:16">
      <c r="B58" s="417">
        <f t="shared" si="0"/>
        <v>2052</v>
      </c>
      <c r="C58" s="455">
        <v>0.59</v>
      </c>
      <c r="D58" s="455">
        <v>0.44</v>
      </c>
      <c r="E58" s="455">
        <v>0.44</v>
      </c>
      <c r="F58" s="455">
        <v>0.56999999999999995</v>
      </c>
      <c r="G58" s="455">
        <v>0.56999999999999995</v>
      </c>
      <c r="H58" s="455">
        <v>0.73</v>
      </c>
      <c r="I58" s="455">
        <v>0.89</v>
      </c>
      <c r="J58" s="455">
        <v>0.56999999999999995</v>
      </c>
      <c r="K58" s="455">
        <v>0.97</v>
      </c>
      <c r="L58" s="455">
        <v>0.66</v>
      </c>
      <c r="M58" s="455">
        <v>0.95</v>
      </c>
      <c r="N58" s="455">
        <v>0</v>
      </c>
      <c r="O58" s="455">
        <v>0</v>
      </c>
      <c r="P58" s="455">
        <v>0</v>
      </c>
    </row>
    <row r="59" spans="2:16">
      <c r="B59" s="417">
        <f t="shared" si="0"/>
        <v>2053</v>
      </c>
      <c r="C59" s="455">
        <v>0.59</v>
      </c>
      <c r="D59" s="455">
        <v>0.44</v>
      </c>
      <c r="E59" s="455">
        <v>0.44</v>
      </c>
      <c r="F59" s="455">
        <v>0.56999999999999995</v>
      </c>
      <c r="G59" s="455">
        <v>0.56999999999999995</v>
      </c>
      <c r="H59" s="455">
        <v>0.73</v>
      </c>
      <c r="I59" s="455">
        <v>0.89</v>
      </c>
      <c r="J59" s="455">
        <v>0.56999999999999995</v>
      </c>
      <c r="K59" s="455">
        <v>0.97</v>
      </c>
      <c r="L59" s="455">
        <v>0.66</v>
      </c>
      <c r="M59" s="455">
        <v>0.95</v>
      </c>
      <c r="N59" s="455">
        <v>0</v>
      </c>
      <c r="O59" s="455">
        <v>0</v>
      </c>
      <c r="P59" s="455">
        <v>0</v>
      </c>
    </row>
    <row r="60" spans="2:16">
      <c r="B60" s="417">
        <f t="shared" si="0"/>
        <v>2054</v>
      </c>
      <c r="C60" s="455">
        <v>0.59</v>
      </c>
      <c r="D60" s="455">
        <v>0.44</v>
      </c>
      <c r="E60" s="455">
        <v>0.44</v>
      </c>
      <c r="F60" s="455">
        <v>0.56999999999999995</v>
      </c>
      <c r="G60" s="455">
        <v>0.56999999999999995</v>
      </c>
      <c r="H60" s="455">
        <v>0.73</v>
      </c>
      <c r="I60" s="455">
        <v>0.89</v>
      </c>
      <c r="J60" s="455">
        <v>0.56999999999999995</v>
      </c>
      <c r="K60" s="455">
        <v>0.97</v>
      </c>
      <c r="L60" s="455">
        <v>0.66</v>
      </c>
      <c r="M60" s="455">
        <v>0.95</v>
      </c>
      <c r="N60" s="455">
        <v>0</v>
      </c>
      <c r="O60" s="455">
        <v>0</v>
      </c>
      <c r="P60" s="455">
        <v>0</v>
      </c>
    </row>
    <row r="61" spans="2:16">
      <c r="B61" s="417">
        <f t="shared" si="0"/>
        <v>2055</v>
      </c>
      <c r="C61" s="455">
        <v>0.59</v>
      </c>
      <c r="D61" s="455">
        <v>0.44</v>
      </c>
      <c r="E61" s="455">
        <v>0.44</v>
      </c>
      <c r="F61" s="455">
        <v>0.56999999999999995</v>
      </c>
      <c r="G61" s="455">
        <v>0.56999999999999995</v>
      </c>
      <c r="H61" s="455">
        <v>0.73</v>
      </c>
      <c r="I61" s="455">
        <v>0.89</v>
      </c>
      <c r="J61" s="455">
        <v>0.56999999999999995</v>
      </c>
      <c r="K61" s="455">
        <v>0.97</v>
      </c>
      <c r="L61" s="455">
        <v>0.66</v>
      </c>
      <c r="M61" s="455">
        <v>0.95</v>
      </c>
      <c r="N61" s="455">
        <v>0</v>
      </c>
      <c r="O61" s="455">
        <v>0</v>
      </c>
      <c r="P61" s="455">
        <v>0</v>
      </c>
    </row>
    <row r="62" spans="2:16">
      <c r="B62" s="417">
        <f t="shared" si="0"/>
        <v>2056</v>
      </c>
      <c r="C62" s="455">
        <v>0.59</v>
      </c>
      <c r="D62" s="455">
        <v>0.44</v>
      </c>
      <c r="E62" s="455">
        <v>0.44</v>
      </c>
      <c r="F62" s="455">
        <v>0.56999999999999995</v>
      </c>
      <c r="G62" s="455">
        <v>0.56999999999999995</v>
      </c>
      <c r="H62" s="455">
        <v>0.73</v>
      </c>
      <c r="I62" s="455">
        <v>0.89</v>
      </c>
      <c r="J62" s="455">
        <v>0.56999999999999995</v>
      </c>
      <c r="K62" s="455">
        <v>0.97</v>
      </c>
      <c r="L62" s="455">
        <v>0.66</v>
      </c>
      <c r="M62" s="455">
        <v>0.95</v>
      </c>
      <c r="N62" s="455">
        <v>0</v>
      </c>
      <c r="O62" s="455">
        <v>0</v>
      </c>
      <c r="P62" s="455">
        <v>0</v>
      </c>
    </row>
    <row r="63" spans="2:16">
      <c r="B63" s="417">
        <f t="shared" si="0"/>
        <v>2057</v>
      </c>
      <c r="C63" s="455">
        <v>0.59</v>
      </c>
      <c r="D63" s="455">
        <v>0.44</v>
      </c>
      <c r="E63" s="455">
        <v>0.44</v>
      </c>
      <c r="F63" s="455">
        <v>0.56999999999999995</v>
      </c>
      <c r="G63" s="455">
        <v>0.56999999999999995</v>
      </c>
      <c r="H63" s="455">
        <v>0.73</v>
      </c>
      <c r="I63" s="455">
        <v>0.89</v>
      </c>
      <c r="J63" s="455">
        <v>0.56999999999999995</v>
      </c>
      <c r="K63" s="455">
        <v>0.97</v>
      </c>
      <c r="L63" s="455">
        <v>0.66</v>
      </c>
      <c r="M63" s="455">
        <v>0.95</v>
      </c>
      <c r="N63" s="455">
        <v>0</v>
      </c>
      <c r="O63" s="455">
        <v>0</v>
      </c>
      <c r="P63" s="455">
        <v>0</v>
      </c>
    </row>
    <row r="64" spans="2:16">
      <c r="B64" s="417">
        <f t="shared" si="0"/>
        <v>2058</v>
      </c>
      <c r="C64" s="455">
        <v>0.59</v>
      </c>
      <c r="D64" s="455">
        <v>0.44</v>
      </c>
      <c r="E64" s="455">
        <v>0.44</v>
      </c>
      <c r="F64" s="455">
        <v>0.56999999999999995</v>
      </c>
      <c r="G64" s="455">
        <v>0.56999999999999995</v>
      </c>
      <c r="H64" s="455">
        <v>0.73</v>
      </c>
      <c r="I64" s="455">
        <v>0.89</v>
      </c>
      <c r="J64" s="455">
        <v>0.56999999999999995</v>
      </c>
      <c r="K64" s="455">
        <v>0.97</v>
      </c>
      <c r="L64" s="455">
        <v>0.66</v>
      </c>
      <c r="M64" s="455">
        <v>0.95</v>
      </c>
      <c r="N64" s="455">
        <v>0</v>
      </c>
      <c r="O64" s="455">
        <v>0</v>
      </c>
      <c r="P64" s="455">
        <v>0</v>
      </c>
    </row>
    <row r="65" spans="2:16">
      <c r="B65" s="417">
        <f t="shared" si="0"/>
        <v>2059</v>
      </c>
      <c r="C65" s="455">
        <v>0.59</v>
      </c>
      <c r="D65" s="455">
        <v>0.44</v>
      </c>
      <c r="E65" s="455">
        <v>0.44</v>
      </c>
      <c r="F65" s="455">
        <v>0.56999999999999995</v>
      </c>
      <c r="G65" s="455">
        <v>0.56999999999999995</v>
      </c>
      <c r="H65" s="455">
        <v>0.73</v>
      </c>
      <c r="I65" s="455">
        <v>0.89</v>
      </c>
      <c r="J65" s="455">
        <v>0.56999999999999995</v>
      </c>
      <c r="K65" s="455">
        <v>0.97</v>
      </c>
      <c r="L65" s="455">
        <v>0.66</v>
      </c>
      <c r="M65" s="455">
        <v>0.95</v>
      </c>
      <c r="N65" s="455">
        <v>0</v>
      </c>
      <c r="O65" s="455">
        <v>0</v>
      </c>
      <c r="P65" s="455">
        <v>0</v>
      </c>
    </row>
    <row r="66" spans="2:16">
      <c r="B66" s="417">
        <f t="shared" si="0"/>
        <v>2060</v>
      </c>
      <c r="C66" s="455">
        <v>0.59</v>
      </c>
      <c r="D66" s="455">
        <v>0.44</v>
      </c>
      <c r="E66" s="455">
        <v>0.44</v>
      </c>
      <c r="F66" s="455">
        <v>0.56999999999999995</v>
      </c>
      <c r="G66" s="455">
        <v>0.56999999999999995</v>
      </c>
      <c r="H66" s="455">
        <v>0.73</v>
      </c>
      <c r="I66" s="455">
        <v>0.89</v>
      </c>
      <c r="J66" s="455">
        <v>0.56999999999999995</v>
      </c>
      <c r="K66" s="455">
        <v>0.97</v>
      </c>
      <c r="L66" s="455">
        <v>0.66</v>
      </c>
      <c r="M66" s="455">
        <v>0.95</v>
      </c>
      <c r="N66" s="455">
        <v>0</v>
      </c>
      <c r="O66" s="455">
        <v>0</v>
      </c>
      <c r="P66" s="455">
        <v>0</v>
      </c>
    </row>
    <row r="67" spans="2:16">
      <c r="B67" s="417">
        <f t="shared" si="0"/>
        <v>2061</v>
      </c>
      <c r="C67" s="455">
        <v>0.59</v>
      </c>
      <c r="D67" s="455">
        <v>0.44</v>
      </c>
      <c r="E67" s="455">
        <v>0.44</v>
      </c>
      <c r="F67" s="455">
        <v>0.56999999999999995</v>
      </c>
      <c r="G67" s="455">
        <v>0.56999999999999995</v>
      </c>
      <c r="H67" s="455">
        <v>0.73</v>
      </c>
      <c r="I67" s="455">
        <v>0.89</v>
      </c>
      <c r="J67" s="455">
        <v>0.56999999999999995</v>
      </c>
      <c r="K67" s="455">
        <v>0.97</v>
      </c>
      <c r="L67" s="455">
        <v>0.66</v>
      </c>
      <c r="M67" s="455">
        <v>0.95</v>
      </c>
      <c r="N67" s="455">
        <v>0</v>
      </c>
      <c r="O67" s="455">
        <v>0</v>
      </c>
      <c r="P67" s="455">
        <v>0</v>
      </c>
    </row>
    <row r="68" spans="2:16">
      <c r="B68" s="417">
        <f t="shared" si="0"/>
        <v>2062</v>
      </c>
      <c r="C68" s="455">
        <v>0.59</v>
      </c>
      <c r="D68" s="455">
        <v>0.44</v>
      </c>
      <c r="E68" s="455">
        <v>0.44</v>
      </c>
      <c r="F68" s="455">
        <v>0.56999999999999995</v>
      </c>
      <c r="G68" s="455">
        <v>0.56999999999999995</v>
      </c>
      <c r="H68" s="455">
        <v>0.73</v>
      </c>
      <c r="I68" s="455">
        <v>0.89</v>
      </c>
      <c r="J68" s="455">
        <v>0.56999999999999995</v>
      </c>
      <c r="K68" s="455">
        <v>0.97</v>
      </c>
      <c r="L68" s="455">
        <v>0.66</v>
      </c>
      <c r="M68" s="455">
        <v>0.95</v>
      </c>
      <c r="N68" s="455">
        <v>0</v>
      </c>
      <c r="O68" s="455">
        <v>0</v>
      </c>
      <c r="P68" s="455">
        <v>0</v>
      </c>
    </row>
    <row r="69" spans="2:16">
      <c r="B69" s="417">
        <f t="shared" si="0"/>
        <v>2063</v>
      </c>
      <c r="C69" s="455">
        <v>0.59</v>
      </c>
      <c r="D69" s="455">
        <v>0.44</v>
      </c>
      <c r="E69" s="455">
        <v>0.44</v>
      </c>
      <c r="F69" s="455">
        <v>0.56999999999999995</v>
      </c>
      <c r="G69" s="455">
        <v>0.56999999999999995</v>
      </c>
      <c r="H69" s="455">
        <v>0.73</v>
      </c>
      <c r="I69" s="455">
        <v>0.89</v>
      </c>
      <c r="J69" s="455">
        <v>0.56999999999999995</v>
      </c>
      <c r="K69" s="455">
        <v>0.97</v>
      </c>
      <c r="L69" s="455">
        <v>0.66</v>
      </c>
      <c r="M69" s="455">
        <v>0.95</v>
      </c>
      <c r="N69" s="455">
        <v>0</v>
      </c>
      <c r="O69" s="455">
        <v>0</v>
      </c>
      <c r="P69" s="455">
        <v>0</v>
      </c>
    </row>
    <row r="70" spans="2:16">
      <c r="B70" s="417">
        <f t="shared" si="0"/>
        <v>2064</v>
      </c>
      <c r="C70" s="455">
        <v>0.59</v>
      </c>
      <c r="D70" s="455">
        <v>0.44</v>
      </c>
      <c r="E70" s="455">
        <v>0.44</v>
      </c>
      <c r="F70" s="455">
        <v>0.56999999999999995</v>
      </c>
      <c r="G70" s="455">
        <v>0.56999999999999995</v>
      </c>
      <c r="H70" s="455">
        <v>0.73</v>
      </c>
      <c r="I70" s="455">
        <v>0.89</v>
      </c>
      <c r="J70" s="455">
        <v>0.56999999999999995</v>
      </c>
      <c r="K70" s="455">
        <v>0.97</v>
      </c>
      <c r="L70" s="455">
        <v>0.66</v>
      </c>
      <c r="M70" s="455">
        <v>0.95</v>
      </c>
      <c r="N70" s="455">
        <v>0</v>
      </c>
      <c r="O70" s="455">
        <v>0</v>
      </c>
      <c r="P70" s="455">
        <v>0</v>
      </c>
    </row>
    <row r="71" spans="2:16">
      <c r="B71" s="417">
        <f t="shared" si="0"/>
        <v>2065</v>
      </c>
      <c r="C71" s="455">
        <v>0.59</v>
      </c>
      <c r="D71" s="455">
        <v>0.44</v>
      </c>
      <c r="E71" s="455">
        <v>0.44</v>
      </c>
      <c r="F71" s="455">
        <v>0.56999999999999995</v>
      </c>
      <c r="G71" s="455">
        <v>0.56999999999999995</v>
      </c>
      <c r="H71" s="455">
        <v>0.73</v>
      </c>
      <c r="I71" s="455">
        <v>0.89</v>
      </c>
      <c r="J71" s="455">
        <v>0.56999999999999995</v>
      </c>
      <c r="K71" s="455">
        <v>0.97</v>
      </c>
      <c r="L71" s="455">
        <v>0.66</v>
      </c>
      <c r="M71" s="455">
        <v>0.95</v>
      </c>
      <c r="N71" s="455">
        <v>0</v>
      </c>
      <c r="O71" s="455">
        <v>0</v>
      </c>
      <c r="P71" s="455">
        <v>0</v>
      </c>
    </row>
    <row r="72" spans="2:16">
      <c r="B72" s="417">
        <f t="shared" ref="B72:B86" si="1">B71+1</f>
        <v>2066</v>
      </c>
      <c r="C72" s="455">
        <v>0.59</v>
      </c>
      <c r="D72" s="455">
        <v>0.44</v>
      </c>
      <c r="E72" s="455">
        <v>0.44</v>
      </c>
      <c r="F72" s="455">
        <v>0.56999999999999995</v>
      </c>
      <c r="G72" s="455">
        <v>0.56999999999999995</v>
      </c>
      <c r="H72" s="455">
        <v>0.73</v>
      </c>
      <c r="I72" s="455">
        <v>0.89</v>
      </c>
      <c r="J72" s="455">
        <v>0.56999999999999995</v>
      </c>
      <c r="K72" s="455">
        <v>0.97</v>
      </c>
      <c r="L72" s="455">
        <v>0.66</v>
      </c>
      <c r="M72" s="455">
        <v>0.95</v>
      </c>
      <c r="N72" s="455">
        <v>0</v>
      </c>
      <c r="O72" s="455">
        <v>0</v>
      </c>
      <c r="P72" s="455">
        <v>0</v>
      </c>
    </row>
    <row r="73" spans="2:16">
      <c r="B73" s="417">
        <f t="shared" si="1"/>
        <v>2067</v>
      </c>
      <c r="C73" s="455">
        <v>0.59</v>
      </c>
      <c r="D73" s="455">
        <v>0.44</v>
      </c>
      <c r="E73" s="455">
        <v>0.44</v>
      </c>
      <c r="F73" s="455">
        <v>0.56999999999999995</v>
      </c>
      <c r="G73" s="455">
        <v>0.56999999999999995</v>
      </c>
      <c r="H73" s="455">
        <v>0.73</v>
      </c>
      <c r="I73" s="455">
        <v>0.89</v>
      </c>
      <c r="J73" s="455">
        <v>0.56999999999999995</v>
      </c>
      <c r="K73" s="455">
        <v>0.97</v>
      </c>
      <c r="L73" s="455">
        <v>0.66</v>
      </c>
      <c r="M73" s="455">
        <v>0.95</v>
      </c>
      <c r="N73" s="455">
        <v>0</v>
      </c>
      <c r="O73" s="455">
        <v>0</v>
      </c>
      <c r="P73" s="455">
        <v>0</v>
      </c>
    </row>
    <row r="74" spans="2:16">
      <c r="B74" s="417">
        <f t="shared" si="1"/>
        <v>2068</v>
      </c>
      <c r="C74" s="455">
        <v>0.59</v>
      </c>
      <c r="D74" s="455">
        <v>0.44</v>
      </c>
      <c r="E74" s="455">
        <v>0.44</v>
      </c>
      <c r="F74" s="455">
        <v>0.56999999999999995</v>
      </c>
      <c r="G74" s="455">
        <v>0.56999999999999995</v>
      </c>
      <c r="H74" s="455">
        <v>0.73</v>
      </c>
      <c r="I74" s="455">
        <v>0.89</v>
      </c>
      <c r="J74" s="455">
        <v>0.56999999999999995</v>
      </c>
      <c r="K74" s="455">
        <v>0.97</v>
      </c>
      <c r="L74" s="455">
        <v>0.66</v>
      </c>
      <c r="M74" s="455">
        <v>0.95</v>
      </c>
      <c r="N74" s="455">
        <v>0</v>
      </c>
      <c r="O74" s="455">
        <v>0</v>
      </c>
      <c r="P74" s="455">
        <v>0</v>
      </c>
    </row>
    <row r="75" spans="2:16">
      <c r="B75" s="417">
        <f t="shared" si="1"/>
        <v>2069</v>
      </c>
      <c r="C75" s="455">
        <v>0.59</v>
      </c>
      <c r="D75" s="455">
        <v>0.44</v>
      </c>
      <c r="E75" s="455">
        <v>0.44</v>
      </c>
      <c r="F75" s="455">
        <v>0.56999999999999995</v>
      </c>
      <c r="G75" s="455">
        <v>0.56999999999999995</v>
      </c>
      <c r="H75" s="455">
        <v>0.73</v>
      </c>
      <c r="I75" s="455">
        <v>0.89</v>
      </c>
      <c r="J75" s="455">
        <v>0.56999999999999995</v>
      </c>
      <c r="K75" s="455">
        <v>0.97</v>
      </c>
      <c r="L75" s="455">
        <v>0.66</v>
      </c>
      <c r="M75" s="455">
        <v>0.95</v>
      </c>
      <c r="N75" s="455">
        <v>0</v>
      </c>
      <c r="O75" s="455">
        <v>0</v>
      </c>
      <c r="P75" s="455">
        <v>0</v>
      </c>
    </row>
    <row r="76" spans="2:16">
      <c r="B76" s="417">
        <f t="shared" si="1"/>
        <v>2070</v>
      </c>
      <c r="C76" s="455">
        <v>0.59</v>
      </c>
      <c r="D76" s="455">
        <v>0.44</v>
      </c>
      <c r="E76" s="455">
        <v>0.44</v>
      </c>
      <c r="F76" s="455">
        <v>0.56999999999999995</v>
      </c>
      <c r="G76" s="455">
        <v>0.56999999999999995</v>
      </c>
      <c r="H76" s="455">
        <v>0.73</v>
      </c>
      <c r="I76" s="455">
        <v>0.89</v>
      </c>
      <c r="J76" s="455">
        <v>0.56999999999999995</v>
      </c>
      <c r="K76" s="455">
        <v>0.97</v>
      </c>
      <c r="L76" s="455">
        <v>0.66</v>
      </c>
      <c r="M76" s="455">
        <v>0.95</v>
      </c>
      <c r="N76" s="455">
        <v>0</v>
      </c>
      <c r="O76" s="455">
        <v>0</v>
      </c>
      <c r="P76" s="455">
        <v>0</v>
      </c>
    </row>
    <row r="77" spans="2:16">
      <c r="B77" s="417">
        <f t="shared" si="1"/>
        <v>2071</v>
      </c>
      <c r="C77" s="455">
        <v>0.59</v>
      </c>
      <c r="D77" s="455">
        <v>0.44</v>
      </c>
      <c r="E77" s="455">
        <v>0.44</v>
      </c>
      <c r="F77" s="455">
        <v>0.56999999999999995</v>
      </c>
      <c r="G77" s="455">
        <v>0.56999999999999995</v>
      </c>
      <c r="H77" s="455">
        <v>0.73</v>
      </c>
      <c r="I77" s="455">
        <v>0.89</v>
      </c>
      <c r="J77" s="455">
        <v>0.56999999999999995</v>
      </c>
      <c r="K77" s="455">
        <v>0.97</v>
      </c>
      <c r="L77" s="455">
        <v>0.66</v>
      </c>
      <c r="M77" s="455">
        <v>0.95</v>
      </c>
      <c r="N77" s="455">
        <v>0</v>
      </c>
      <c r="O77" s="455">
        <v>0</v>
      </c>
      <c r="P77" s="455">
        <v>0</v>
      </c>
    </row>
    <row r="78" spans="2:16">
      <c r="B78" s="417">
        <f t="shared" si="1"/>
        <v>2072</v>
      </c>
      <c r="C78" s="455">
        <v>0.59</v>
      </c>
      <c r="D78" s="455">
        <v>0.44</v>
      </c>
      <c r="E78" s="455">
        <v>0.44</v>
      </c>
      <c r="F78" s="455">
        <v>0.56999999999999995</v>
      </c>
      <c r="G78" s="455">
        <v>0.56999999999999995</v>
      </c>
      <c r="H78" s="455">
        <v>0.73</v>
      </c>
      <c r="I78" s="455">
        <v>0.89</v>
      </c>
      <c r="J78" s="455">
        <v>0.56999999999999995</v>
      </c>
      <c r="K78" s="455">
        <v>0.97</v>
      </c>
      <c r="L78" s="455">
        <v>0.66</v>
      </c>
      <c r="M78" s="455">
        <v>0.95</v>
      </c>
      <c r="N78" s="455">
        <v>0</v>
      </c>
      <c r="O78" s="455">
        <v>0</v>
      </c>
      <c r="P78" s="455">
        <v>0</v>
      </c>
    </row>
    <row r="79" spans="2:16">
      <c r="B79" s="417">
        <f t="shared" si="1"/>
        <v>2073</v>
      </c>
      <c r="C79" s="455">
        <v>0.59</v>
      </c>
      <c r="D79" s="455">
        <v>0.44</v>
      </c>
      <c r="E79" s="455">
        <v>0.44</v>
      </c>
      <c r="F79" s="455">
        <v>0.56999999999999995</v>
      </c>
      <c r="G79" s="455">
        <v>0.56999999999999995</v>
      </c>
      <c r="H79" s="455">
        <v>0.73</v>
      </c>
      <c r="I79" s="455">
        <v>0.89</v>
      </c>
      <c r="J79" s="455">
        <v>0.56999999999999995</v>
      </c>
      <c r="K79" s="455">
        <v>0.97</v>
      </c>
      <c r="L79" s="455">
        <v>0.66</v>
      </c>
      <c r="M79" s="455">
        <v>0.95</v>
      </c>
      <c r="N79" s="455">
        <v>0</v>
      </c>
      <c r="O79" s="455">
        <v>0</v>
      </c>
      <c r="P79" s="455">
        <v>0</v>
      </c>
    </row>
    <row r="80" spans="2:16">
      <c r="B80" s="417">
        <f t="shared" si="1"/>
        <v>2074</v>
      </c>
      <c r="C80" s="455">
        <v>0.59</v>
      </c>
      <c r="D80" s="455">
        <v>0.44</v>
      </c>
      <c r="E80" s="455">
        <v>0.44</v>
      </c>
      <c r="F80" s="455">
        <v>0.56999999999999995</v>
      </c>
      <c r="G80" s="455">
        <v>0.56999999999999995</v>
      </c>
      <c r="H80" s="455">
        <v>0.73</v>
      </c>
      <c r="I80" s="455">
        <v>0.89</v>
      </c>
      <c r="J80" s="455">
        <v>0.56999999999999995</v>
      </c>
      <c r="K80" s="455">
        <v>0.97</v>
      </c>
      <c r="L80" s="455">
        <v>0.66</v>
      </c>
      <c r="M80" s="455">
        <v>0.95</v>
      </c>
      <c r="N80" s="455">
        <v>0</v>
      </c>
      <c r="O80" s="455">
        <v>0</v>
      </c>
      <c r="P80" s="455">
        <v>0</v>
      </c>
    </row>
    <row r="81" spans="2:16">
      <c r="B81" s="417">
        <f t="shared" si="1"/>
        <v>2075</v>
      </c>
      <c r="C81" s="455">
        <v>0.59</v>
      </c>
      <c r="D81" s="455">
        <v>0.44</v>
      </c>
      <c r="E81" s="455">
        <v>0.44</v>
      </c>
      <c r="F81" s="455">
        <v>0.56999999999999995</v>
      </c>
      <c r="G81" s="455">
        <v>0.56999999999999995</v>
      </c>
      <c r="H81" s="455">
        <v>0.73</v>
      </c>
      <c r="I81" s="455">
        <v>0.89</v>
      </c>
      <c r="J81" s="455">
        <v>0.56999999999999995</v>
      </c>
      <c r="K81" s="455">
        <v>0.97</v>
      </c>
      <c r="L81" s="455">
        <v>0.66</v>
      </c>
      <c r="M81" s="455">
        <v>0.95</v>
      </c>
      <c r="N81" s="455">
        <v>0</v>
      </c>
      <c r="O81" s="455">
        <v>0</v>
      </c>
      <c r="P81" s="455">
        <v>0</v>
      </c>
    </row>
    <row r="82" spans="2:16">
      <c r="B82" s="417">
        <f t="shared" si="1"/>
        <v>2076</v>
      </c>
      <c r="C82" s="455">
        <v>0.59</v>
      </c>
      <c r="D82" s="455">
        <v>0.44</v>
      </c>
      <c r="E82" s="455">
        <v>0.44</v>
      </c>
      <c r="F82" s="455">
        <v>0.56999999999999995</v>
      </c>
      <c r="G82" s="455">
        <v>0.56999999999999995</v>
      </c>
      <c r="H82" s="455">
        <v>0.73</v>
      </c>
      <c r="I82" s="455">
        <v>0.89</v>
      </c>
      <c r="J82" s="455">
        <v>0.56999999999999995</v>
      </c>
      <c r="K82" s="455">
        <v>0.97</v>
      </c>
      <c r="L82" s="455">
        <v>0.66</v>
      </c>
      <c r="M82" s="455">
        <v>0.95</v>
      </c>
      <c r="N82" s="455">
        <v>0</v>
      </c>
      <c r="O82" s="455">
        <v>0</v>
      </c>
      <c r="P82" s="455">
        <v>0</v>
      </c>
    </row>
    <row r="83" spans="2:16">
      <c r="B83" s="417">
        <f t="shared" si="1"/>
        <v>2077</v>
      </c>
      <c r="C83" s="455">
        <v>0.59</v>
      </c>
      <c r="D83" s="455">
        <v>0.44</v>
      </c>
      <c r="E83" s="455">
        <v>0.44</v>
      </c>
      <c r="F83" s="455">
        <v>0.56999999999999995</v>
      </c>
      <c r="G83" s="455">
        <v>0.56999999999999995</v>
      </c>
      <c r="H83" s="455">
        <v>0.73</v>
      </c>
      <c r="I83" s="455">
        <v>0.89</v>
      </c>
      <c r="J83" s="455">
        <v>0.56999999999999995</v>
      </c>
      <c r="K83" s="455">
        <v>0.97</v>
      </c>
      <c r="L83" s="455">
        <v>0.66</v>
      </c>
      <c r="M83" s="455">
        <v>0.95</v>
      </c>
      <c r="N83" s="455">
        <v>0</v>
      </c>
      <c r="O83" s="455">
        <v>0</v>
      </c>
      <c r="P83" s="455">
        <v>0</v>
      </c>
    </row>
    <row r="84" spans="2:16">
      <c r="B84" s="417">
        <f t="shared" si="1"/>
        <v>2078</v>
      </c>
      <c r="C84" s="455">
        <v>0.59</v>
      </c>
      <c r="D84" s="455">
        <v>0.44</v>
      </c>
      <c r="E84" s="455">
        <v>0.44</v>
      </c>
      <c r="F84" s="455">
        <v>0.56999999999999995</v>
      </c>
      <c r="G84" s="455">
        <v>0.56999999999999995</v>
      </c>
      <c r="H84" s="455">
        <v>0.73</v>
      </c>
      <c r="I84" s="455">
        <v>0.89</v>
      </c>
      <c r="J84" s="455">
        <v>0.56999999999999995</v>
      </c>
      <c r="K84" s="455">
        <v>0.97</v>
      </c>
      <c r="L84" s="455">
        <v>0.66</v>
      </c>
      <c r="M84" s="455">
        <v>0.95</v>
      </c>
      <c r="N84" s="455">
        <v>0</v>
      </c>
      <c r="O84" s="455">
        <v>0</v>
      </c>
      <c r="P84" s="455">
        <v>0</v>
      </c>
    </row>
    <row r="85" spans="2:16">
      <c r="B85" s="417">
        <f t="shared" si="1"/>
        <v>2079</v>
      </c>
      <c r="C85" s="455">
        <v>0.59</v>
      </c>
      <c r="D85" s="455">
        <v>0.44</v>
      </c>
      <c r="E85" s="455">
        <v>0.44</v>
      </c>
      <c r="F85" s="455">
        <v>0.56999999999999995</v>
      </c>
      <c r="G85" s="455">
        <v>0.56999999999999995</v>
      </c>
      <c r="H85" s="455">
        <v>0.73</v>
      </c>
      <c r="I85" s="455">
        <v>0.89</v>
      </c>
      <c r="J85" s="455">
        <v>0.56999999999999995</v>
      </c>
      <c r="K85" s="455">
        <v>0.97</v>
      </c>
      <c r="L85" s="455">
        <v>0.66</v>
      </c>
      <c r="M85" s="455">
        <v>0.95</v>
      </c>
      <c r="N85" s="455">
        <v>0</v>
      </c>
      <c r="O85" s="455">
        <v>0</v>
      </c>
      <c r="P85" s="455">
        <v>0</v>
      </c>
    </row>
    <row r="86" spans="2:16">
      <c r="B86" s="417">
        <f t="shared" si="1"/>
        <v>2080</v>
      </c>
      <c r="C86" s="455">
        <v>0.59</v>
      </c>
      <c r="D86" s="455">
        <v>0.44</v>
      </c>
      <c r="E86" s="455">
        <v>0.44</v>
      </c>
      <c r="F86" s="455">
        <v>0.56999999999999995</v>
      </c>
      <c r="G86" s="455">
        <v>0.56999999999999995</v>
      </c>
      <c r="H86" s="455">
        <v>0.73</v>
      </c>
      <c r="I86" s="455">
        <v>0.89</v>
      </c>
      <c r="J86" s="455">
        <v>0.56999999999999995</v>
      </c>
      <c r="K86" s="455">
        <v>0.97</v>
      </c>
      <c r="L86" s="455">
        <v>0.66</v>
      </c>
      <c r="M86" s="455">
        <v>0.95</v>
      </c>
      <c r="N86" s="455">
        <v>0</v>
      </c>
      <c r="O86" s="455">
        <v>0</v>
      </c>
      <c r="P86" s="455">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07" t="str">
        <f>city</f>
        <v>Kutai Kertanegara</v>
      </c>
      <c r="J2" s="808"/>
      <c r="K2" s="808"/>
      <c r="L2" s="808"/>
      <c r="M2" s="808"/>
      <c r="N2" s="808"/>
      <c r="O2" s="808"/>
    </row>
    <row r="3" spans="2:16" ht="16.5" thickBot="1">
      <c r="C3" s="4"/>
      <c r="H3" s="5" t="s">
        <v>276</v>
      </c>
      <c r="I3" s="807" t="str">
        <f>province</f>
        <v>Kalimantan Timur</v>
      </c>
      <c r="J3" s="808"/>
      <c r="K3" s="808"/>
      <c r="L3" s="808"/>
      <c r="M3" s="808"/>
      <c r="N3" s="808"/>
      <c r="O3" s="808"/>
    </row>
    <row r="4" spans="2:16" ht="16.5" thickBot="1">
      <c r="D4" s="4"/>
      <c r="E4" s="4"/>
      <c r="H4" s="5" t="s">
        <v>30</v>
      </c>
      <c r="I4" s="807" t="str">
        <f>country</f>
        <v>Indonesia</v>
      </c>
      <c r="J4" s="808"/>
      <c r="K4" s="808"/>
      <c r="L4" s="808"/>
      <c r="M4" s="808"/>
      <c r="N4" s="808"/>
      <c r="O4" s="808"/>
      <c r="P4" s="576"/>
    </row>
    <row r="5" spans="2:16">
      <c r="C5" s="5"/>
      <c r="D5" s="5"/>
      <c r="E5" s="5"/>
      <c r="F5" s="89"/>
      <c r="G5" s="89"/>
      <c r="P5" s="576"/>
    </row>
    <row r="6" spans="2:16" s="153" customFormat="1">
      <c r="C6" s="89" t="s">
        <v>101</v>
      </c>
      <c r="D6" s="89"/>
      <c r="E6" s="89"/>
      <c r="F6" s="89"/>
      <c r="G6" s="89"/>
      <c r="P6"/>
    </row>
    <row r="7" spans="2:16" s="153" customFormat="1">
      <c r="C7" s="89" t="s">
        <v>96</v>
      </c>
      <c r="D7" s="89"/>
      <c r="E7" s="89"/>
      <c r="F7" s="89"/>
      <c r="G7" s="89"/>
      <c r="P7"/>
    </row>
    <row r="9" spans="2:16" ht="13.5" thickBot="1"/>
    <row r="10" spans="2:16" ht="13.5" thickBot="1">
      <c r="C10" s="789" t="s">
        <v>32</v>
      </c>
      <c r="D10" s="790"/>
      <c r="E10" s="790"/>
      <c r="F10" s="790"/>
      <c r="G10" s="790"/>
      <c r="H10" s="790"/>
      <c r="I10" s="790"/>
      <c r="J10" s="790"/>
      <c r="K10" s="790"/>
      <c r="L10" s="790"/>
      <c r="M10" s="790"/>
      <c r="N10" s="790"/>
      <c r="O10" s="790"/>
      <c r="P10" s="791"/>
    </row>
    <row r="11" spans="2:16" ht="13.5" customHeight="1" thickBot="1">
      <c r="C11" s="793" t="s">
        <v>228</v>
      </c>
      <c r="D11" s="793" t="s">
        <v>262</v>
      </c>
      <c r="E11" s="793" t="s">
        <v>267</v>
      </c>
      <c r="F11" s="793" t="s">
        <v>261</v>
      </c>
      <c r="G11" s="793" t="s">
        <v>2</v>
      </c>
      <c r="H11" s="793" t="s">
        <v>16</v>
      </c>
      <c r="I11" s="793" t="s">
        <v>229</v>
      </c>
      <c r="J11" s="809" t="s">
        <v>273</v>
      </c>
      <c r="K11" s="810"/>
      <c r="L11" s="810"/>
      <c r="M11" s="811"/>
      <c r="N11" s="793" t="s">
        <v>146</v>
      </c>
      <c r="O11" s="793" t="s">
        <v>210</v>
      </c>
      <c r="P11" s="792" t="s">
        <v>308</v>
      </c>
    </row>
    <row r="12" spans="2:16" s="1" customFormat="1">
      <c r="B12" s="400" t="s">
        <v>1</v>
      </c>
      <c r="C12" s="812"/>
      <c r="D12" s="812"/>
      <c r="E12" s="812"/>
      <c r="F12" s="812"/>
      <c r="G12" s="812"/>
      <c r="H12" s="812"/>
      <c r="I12" s="812"/>
      <c r="J12" s="404" t="s">
        <v>230</v>
      </c>
      <c r="K12" s="404" t="s">
        <v>231</v>
      </c>
      <c r="L12" s="404" t="s">
        <v>232</v>
      </c>
      <c r="M12" s="400" t="s">
        <v>233</v>
      </c>
      <c r="N12" s="812"/>
      <c r="O12" s="812"/>
      <c r="P12" s="812"/>
    </row>
    <row r="13" spans="2:16" s="3" customFormat="1" ht="13.5" thickBot="1">
      <c r="B13" s="48"/>
      <c r="C13" s="401" t="s">
        <v>15</v>
      </c>
      <c r="D13" s="402" t="s">
        <v>15</v>
      </c>
      <c r="E13" s="402" t="s">
        <v>15</v>
      </c>
      <c r="F13" s="403" t="s">
        <v>15</v>
      </c>
      <c r="G13" s="402" t="s">
        <v>15</v>
      </c>
      <c r="H13" s="403" t="s">
        <v>15</v>
      </c>
      <c r="I13" s="403" t="s">
        <v>15</v>
      </c>
      <c r="J13" s="403" t="s">
        <v>15</v>
      </c>
      <c r="K13" s="403" t="s">
        <v>15</v>
      </c>
      <c r="L13" s="403" t="s">
        <v>15</v>
      </c>
      <c r="M13" s="403" t="s">
        <v>15</v>
      </c>
      <c r="N13" s="403" t="s">
        <v>15</v>
      </c>
      <c r="O13" s="463" t="s">
        <v>15</v>
      </c>
      <c r="P13" s="463" t="s">
        <v>15</v>
      </c>
    </row>
    <row r="14" spans="2:16">
      <c r="B14" s="149">
        <f>year</f>
        <v>2000</v>
      </c>
      <c r="C14" s="598">
        <f>Activity!$C13*Activity!$D13*Activity!E13</f>
        <v>17.370889782523204</v>
      </c>
      <c r="D14" s="599">
        <f>Activity!$C13*Activity!$D13*Activity!F13</f>
        <v>3.3621921028080002</v>
      </c>
      <c r="E14" s="599">
        <f>Activity!$C13*Activity!$D13*Activity!G13</f>
        <v>0</v>
      </c>
      <c r="F14" s="599">
        <f>Activity!$C13*Activity!$D13*Activity!H13</f>
        <v>0</v>
      </c>
      <c r="G14" s="599">
        <f>Activity!$C13*Activity!$D13*Activity!I13</f>
        <v>0</v>
      </c>
      <c r="H14" s="599">
        <f>Activity!$C13*Activity!$D13*Activity!J13</f>
        <v>0.21193584461279999</v>
      </c>
      <c r="I14" s="599">
        <f>Activity!$C13*Activity!$D13*Activity!K13</f>
        <v>0</v>
      </c>
      <c r="J14" s="599">
        <f>Activity!$C13*Activity!$D13*Activity!L13</f>
        <v>2.8022628343248002</v>
      </c>
      <c r="K14" s="600">
        <f>Activity!$C13*Activity!$D13*Activity!M13</f>
        <v>0.46311906785760004</v>
      </c>
      <c r="L14" s="600">
        <f>Activity!$C13*Activity!$D13*Activity!N13</f>
        <v>0.3479934238704</v>
      </c>
      <c r="M14" s="599">
        <f>Activity!$C13*Activity!$D13*Activity!O13</f>
        <v>1.6248414753648002</v>
      </c>
      <c r="N14" s="447">
        <v>0</v>
      </c>
      <c r="O14" s="607">
        <f>Activity!C13*Activity!D13</f>
        <v>26.164919088000001</v>
      </c>
      <c r="P14" s="608">
        <f>Activity!X13</f>
        <v>0</v>
      </c>
    </row>
    <row r="15" spans="2:16">
      <c r="B15" s="49">
        <f>B14+1</f>
        <v>2001</v>
      </c>
      <c r="C15" s="601">
        <f>Activity!$C14*Activity!$D14*Activity!E14</f>
        <v>17.693873446550402</v>
      </c>
      <c r="D15" s="602">
        <f>Activity!$C14*Activity!$D14*Activity!F14</f>
        <v>3.4247066393760006</v>
      </c>
      <c r="E15" s="600">
        <f>Activity!$C14*Activity!$D14*Activity!G14</f>
        <v>0</v>
      </c>
      <c r="F15" s="602">
        <f>Activity!$C14*Activity!$D14*Activity!H14</f>
        <v>0</v>
      </c>
      <c r="G15" s="602">
        <f>Activity!$C14*Activity!$D14*Activity!I14</f>
        <v>0</v>
      </c>
      <c r="H15" s="602">
        <f>Activity!$C14*Activity!$D14*Activity!J14</f>
        <v>0.21587644964160002</v>
      </c>
      <c r="I15" s="602">
        <f>Activity!$C14*Activity!$D14*Activity!K14</f>
        <v>0</v>
      </c>
      <c r="J15" s="603">
        <f>Activity!$C14*Activity!$D14*Activity!L14</f>
        <v>2.8543663897056004</v>
      </c>
      <c r="K15" s="602">
        <f>Activity!$C14*Activity!$D14*Activity!M14</f>
        <v>0.47173001958720007</v>
      </c>
      <c r="L15" s="602">
        <f>Activity!$C14*Activity!$D14*Activity!N14</f>
        <v>0.35446380002880001</v>
      </c>
      <c r="M15" s="600">
        <f>Activity!$C14*Activity!$D14*Activity!O14</f>
        <v>1.6550527805856003</v>
      </c>
      <c r="N15" s="448">
        <v>0</v>
      </c>
      <c r="O15" s="602">
        <f>Activity!C14*Activity!D14</f>
        <v>26.651413536000003</v>
      </c>
      <c r="P15" s="609">
        <f>Activity!X14</f>
        <v>0</v>
      </c>
    </row>
    <row r="16" spans="2:16">
      <c r="B16" s="7">
        <f t="shared" ref="B16:B21" si="0">B15+1</f>
        <v>2002</v>
      </c>
      <c r="C16" s="601">
        <f>Activity!$C15*Activity!$D15*Activity!E15</f>
        <v>18.226640975479203</v>
      </c>
      <c r="D16" s="602">
        <f>Activity!$C15*Activity!$D15*Activity!F15</f>
        <v>3.5278255239480005</v>
      </c>
      <c r="E16" s="600">
        <f>Activity!$C15*Activity!$D15*Activity!G15</f>
        <v>0</v>
      </c>
      <c r="F16" s="602">
        <f>Activity!$C15*Activity!$D15*Activity!H15</f>
        <v>0</v>
      </c>
      <c r="G16" s="602">
        <f>Activity!$C15*Activity!$D15*Activity!I15</f>
        <v>0</v>
      </c>
      <c r="H16" s="602">
        <f>Activity!$C15*Activity!$D15*Activity!J15</f>
        <v>0.2223765505368</v>
      </c>
      <c r="I16" s="602">
        <f>Activity!$C15*Activity!$D15*Activity!K15</f>
        <v>0</v>
      </c>
      <c r="J16" s="603">
        <f>Activity!$C15*Activity!$D15*Activity!L15</f>
        <v>2.9403121682088003</v>
      </c>
      <c r="K16" s="602">
        <f>Activity!$C15*Activity!$D15*Activity!M15</f>
        <v>0.48593394376560006</v>
      </c>
      <c r="L16" s="602">
        <f>Activity!$C15*Activity!$D15*Activity!N15</f>
        <v>0.36513680520239999</v>
      </c>
      <c r="M16" s="600">
        <f>Activity!$C15*Activity!$D15*Activity!O15</f>
        <v>1.7048868874488003</v>
      </c>
      <c r="N16" s="448">
        <v>0</v>
      </c>
      <c r="O16" s="602">
        <f>Activity!C15*Activity!D15</f>
        <v>27.453895128000003</v>
      </c>
      <c r="P16" s="609">
        <f>Activity!X15</f>
        <v>0</v>
      </c>
    </row>
    <row r="17" spans="2:16">
      <c r="B17" s="7">
        <f t="shared" si="0"/>
        <v>2003</v>
      </c>
      <c r="C17" s="601">
        <f>Activity!$C16*Activity!$D16*Activity!E16</f>
        <v>19.664638568348401</v>
      </c>
      <c r="D17" s="602">
        <f>Activity!$C16*Activity!$D16*Activity!F16</f>
        <v>3.8061546257460002</v>
      </c>
      <c r="E17" s="600">
        <f>Activity!$C16*Activity!$D16*Activity!G16</f>
        <v>0</v>
      </c>
      <c r="F17" s="602">
        <f>Activity!$C16*Activity!$D16*Activity!H16</f>
        <v>0</v>
      </c>
      <c r="G17" s="602">
        <f>Activity!$C16*Activity!$D16*Activity!I16</f>
        <v>0</v>
      </c>
      <c r="H17" s="602">
        <f>Activity!$C16*Activity!$D16*Activity!J16</f>
        <v>0.23992103088359998</v>
      </c>
      <c r="I17" s="602">
        <f>Activity!$C16*Activity!$D16*Activity!K16</f>
        <v>0</v>
      </c>
      <c r="J17" s="603">
        <f>Activity!$C16*Activity!$D16*Activity!L16</f>
        <v>3.1722891861276001</v>
      </c>
      <c r="K17" s="602">
        <f>Activity!$C16*Activity!$D16*Activity!M16</f>
        <v>0.52427188230120003</v>
      </c>
      <c r="L17" s="602">
        <f>Activity!$C16*Activity!$D16*Activity!N16</f>
        <v>0.39394440873479997</v>
      </c>
      <c r="M17" s="600">
        <f>Activity!$C16*Activity!$D16*Activity!O16</f>
        <v>1.8393945701076</v>
      </c>
      <c r="N17" s="448">
        <v>0</v>
      </c>
      <c r="O17" s="602">
        <f>Activity!C16*Activity!D16</f>
        <v>29.619880355999999</v>
      </c>
      <c r="P17" s="609">
        <f>Activity!X16</f>
        <v>0</v>
      </c>
    </row>
    <row r="18" spans="2:16">
      <c r="B18" s="7">
        <f t="shared" si="0"/>
        <v>2004</v>
      </c>
      <c r="C18" s="601">
        <f>Activity!$C17*Activity!$D17*Activity!E17</f>
        <v>19.864191070350003</v>
      </c>
      <c r="D18" s="602">
        <f>Activity!$C17*Activity!$D17*Activity!F17</f>
        <v>3.8447786602500003</v>
      </c>
      <c r="E18" s="600">
        <f>Activity!$C17*Activity!$D17*Activity!G17</f>
        <v>0</v>
      </c>
      <c r="F18" s="602">
        <f>Activity!$C17*Activity!$D17*Activity!H17</f>
        <v>0</v>
      </c>
      <c r="G18" s="602">
        <f>Activity!$C17*Activity!$D17*Activity!I17</f>
        <v>0</v>
      </c>
      <c r="H18" s="602">
        <f>Activity!$C17*Activity!$D17*Activity!J17</f>
        <v>0.24235569764999998</v>
      </c>
      <c r="I18" s="602">
        <f>Activity!$C17*Activity!$D17*Activity!K17</f>
        <v>0</v>
      </c>
      <c r="J18" s="603">
        <f>Activity!$C17*Activity!$D17*Activity!L17</f>
        <v>3.2044808911500002</v>
      </c>
      <c r="K18" s="602">
        <f>Activity!$C17*Activity!$D17*Activity!M17</f>
        <v>0.52959208005000002</v>
      </c>
      <c r="L18" s="602">
        <f>Activity!$C17*Activity!$D17*Activity!N17</f>
        <v>0.39794207144999999</v>
      </c>
      <c r="M18" s="600">
        <f>Activity!$C17*Activity!$D17*Activity!O17</f>
        <v>1.85806034865</v>
      </c>
      <c r="N18" s="448">
        <v>0</v>
      </c>
      <c r="O18" s="602">
        <f>Activity!C17*Activity!D17</f>
        <v>29.9204565</v>
      </c>
      <c r="P18" s="609">
        <f>Activity!X17</f>
        <v>0</v>
      </c>
    </row>
    <row r="19" spans="2:16">
      <c r="B19" s="7">
        <f t="shared" si="0"/>
        <v>2005</v>
      </c>
      <c r="C19" s="601">
        <f>Activity!$C18*Activity!$D18*Activity!E18</f>
        <v>20.405020913244002</v>
      </c>
      <c r="D19" s="602">
        <f>Activity!$C18*Activity!$D18*Activity!F18</f>
        <v>3.9494580318600003</v>
      </c>
      <c r="E19" s="600">
        <f>Activity!$C18*Activity!$D18*Activity!G18</f>
        <v>0</v>
      </c>
      <c r="F19" s="602">
        <f>Activity!$C18*Activity!$D18*Activity!H18</f>
        <v>0</v>
      </c>
      <c r="G19" s="602">
        <f>Activity!$C18*Activity!$D18*Activity!I18</f>
        <v>0</v>
      </c>
      <c r="H19" s="602">
        <f>Activity!$C18*Activity!$D18*Activity!J18</f>
        <v>0.248954163876</v>
      </c>
      <c r="I19" s="602">
        <f>Activity!$C18*Activity!$D18*Activity!K18</f>
        <v>0</v>
      </c>
      <c r="J19" s="603">
        <f>Activity!$C18*Activity!$D18*Activity!L18</f>
        <v>3.2917272779160003</v>
      </c>
      <c r="K19" s="602">
        <f>Activity!$C18*Activity!$D18*Activity!M18</f>
        <v>0.54401095069200001</v>
      </c>
      <c r="L19" s="602">
        <f>Activity!$C18*Activity!$D18*Activity!N18</f>
        <v>0.40877659006799999</v>
      </c>
      <c r="M19" s="600">
        <f>Activity!$C18*Activity!$D18*Activity!O18</f>
        <v>1.9086485897160002</v>
      </c>
      <c r="N19" s="448">
        <v>0</v>
      </c>
      <c r="O19" s="602">
        <f>Activity!C18*Activity!D18</f>
        <v>30.735081960000002</v>
      </c>
      <c r="P19" s="609">
        <f>Activity!X18</f>
        <v>0</v>
      </c>
    </row>
    <row r="20" spans="2:16">
      <c r="B20" s="7">
        <f t="shared" si="0"/>
        <v>2006</v>
      </c>
      <c r="C20" s="601">
        <f>Activity!$C19*Activity!$D19*Activity!E19</f>
        <v>20.817303912662403</v>
      </c>
      <c r="D20" s="602">
        <f>Activity!$C19*Activity!$D19*Activity!F19</f>
        <v>4.0292567446560001</v>
      </c>
      <c r="E20" s="600">
        <f>Activity!$C19*Activity!$D19*Activity!G19</f>
        <v>0</v>
      </c>
      <c r="F20" s="602">
        <f>Activity!$C19*Activity!$D19*Activity!H19</f>
        <v>0</v>
      </c>
      <c r="G20" s="602">
        <f>Activity!$C19*Activity!$D19*Activity!I19</f>
        <v>0</v>
      </c>
      <c r="H20" s="602">
        <f>Activity!$C19*Activity!$D19*Activity!J19</f>
        <v>0.25398427728959999</v>
      </c>
      <c r="I20" s="602">
        <f>Activity!$C19*Activity!$D19*Activity!K19</f>
        <v>0</v>
      </c>
      <c r="J20" s="603">
        <f>Activity!$C19*Activity!$D19*Activity!L19</f>
        <v>3.3582365552736002</v>
      </c>
      <c r="K20" s="602">
        <f>Activity!$C19*Activity!$D19*Activity!M19</f>
        <v>0.55500268000320008</v>
      </c>
      <c r="L20" s="602">
        <f>Activity!$C19*Activity!$D19*Activity!N19</f>
        <v>0.4170359120928</v>
      </c>
      <c r="M20" s="600">
        <f>Activity!$C19*Activity!$D19*Activity!O19</f>
        <v>1.9472127925536002</v>
      </c>
      <c r="N20" s="448">
        <v>0</v>
      </c>
      <c r="O20" s="602">
        <f>Activity!C19*Activity!D19</f>
        <v>31.356083616000003</v>
      </c>
      <c r="P20" s="609">
        <f>Activity!X19</f>
        <v>0</v>
      </c>
    </row>
    <row r="21" spans="2:16">
      <c r="B21" s="7">
        <f t="shared" si="0"/>
        <v>2007</v>
      </c>
      <c r="C21" s="601">
        <f>Activity!$C20*Activity!$D20*Activity!E20</f>
        <v>21.2289321048552</v>
      </c>
      <c r="D21" s="602">
        <f>Activity!$C20*Activity!$D20*Activity!F20</f>
        <v>4.1089287173880003</v>
      </c>
      <c r="E21" s="600">
        <f>Activity!$C20*Activity!$D20*Activity!G20</f>
        <v>0</v>
      </c>
      <c r="F21" s="602">
        <f>Activity!$C20*Activity!$D20*Activity!H20</f>
        <v>0</v>
      </c>
      <c r="G21" s="602">
        <f>Activity!$C20*Activity!$D20*Activity!I20</f>
        <v>0</v>
      </c>
      <c r="H21" s="602">
        <f>Activity!$C20*Activity!$D20*Activity!J20</f>
        <v>0.25900640164079997</v>
      </c>
      <c r="I21" s="602">
        <f>Activity!$C20*Activity!$D20*Activity!K20</f>
        <v>0</v>
      </c>
      <c r="J21" s="603">
        <f>Activity!$C20*Activity!$D20*Activity!L20</f>
        <v>3.4246401994727997</v>
      </c>
      <c r="K21" s="602">
        <f>Activity!$C20*Activity!$D20*Activity!M20</f>
        <v>0.56597695173359996</v>
      </c>
      <c r="L21" s="602">
        <f>Activity!$C20*Activity!$D20*Activity!N20</f>
        <v>0.42528211627439994</v>
      </c>
      <c r="M21" s="600">
        <f>Activity!$C20*Activity!$D20*Activity!O20</f>
        <v>1.9857157459128001</v>
      </c>
      <c r="N21" s="448">
        <v>0</v>
      </c>
      <c r="O21" s="602">
        <f>Activity!C20*Activity!D20</f>
        <v>31.976098967999999</v>
      </c>
      <c r="P21" s="609">
        <f>Activity!X20</f>
        <v>0</v>
      </c>
    </row>
    <row r="22" spans="2:16">
      <c r="B22" s="7">
        <f t="shared" ref="B22:B85" si="1">B21+1</f>
        <v>2008</v>
      </c>
      <c r="C22" s="601">
        <f>Activity!$C21*Activity!$D21*Activity!E21</f>
        <v>21.637368111823204</v>
      </c>
      <c r="D22" s="602">
        <f>Activity!$C21*Activity!$D21*Activity!F21</f>
        <v>4.1879828323080002</v>
      </c>
      <c r="E22" s="600">
        <f>Activity!$C21*Activity!$D21*Activity!G21</f>
        <v>0</v>
      </c>
      <c r="F22" s="602">
        <f>Activity!$C21*Activity!$D21*Activity!H21</f>
        <v>0</v>
      </c>
      <c r="G22" s="602">
        <f>Activity!$C21*Activity!$D21*Activity!I21</f>
        <v>0</v>
      </c>
      <c r="H22" s="602">
        <f>Activity!$C21*Activity!$D21*Activity!J21</f>
        <v>0.26398957931280004</v>
      </c>
      <c r="I22" s="602">
        <f>Activity!$C21*Activity!$D21*Activity!K21</f>
        <v>0</v>
      </c>
      <c r="J22" s="603">
        <f>Activity!$C21*Activity!$D21*Activity!L21</f>
        <v>3.4905288820248002</v>
      </c>
      <c r="K22" s="602">
        <f>Activity!$C21*Activity!$D21*Activity!M21</f>
        <v>0.57686611775760011</v>
      </c>
      <c r="L22" s="602">
        <f>Activity!$C21*Activity!$D21*Activity!N21</f>
        <v>0.43346437097040003</v>
      </c>
      <c r="M22" s="600">
        <f>Activity!$C21*Activity!$D21*Activity!O21</f>
        <v>2.0239201080648002</v>
      </c>
      <c r="N22" s="448">
        <v>0</v>
      </c>
      <c r="O22" s="602">
        <f>Activity!C21*Activity!D21</f>
        <v>32.591306088000003</v>
      </c>
      <c r="P22" s="609">
        <f>Activity!X21</f>
        <v>0</v>
      </c>
    </row>
    <row r="23" spans="2:16">
      <c r="B23" s="7">
        <f t="shared" si="1"/>
        <v>2009</v>
      </c>
      <c r="C23" s="601">
        <f>Activity!$C22*Activity!$D22*Activity!E22</f>
        <v>22.039542524696405</v>
      </c>
      <c r="D23" s="602">
        <f>Activity!$C22*Activity!$D22*Activity!F22</f>
        <v>4.2658249953660006</v>
      </c>
      <c r="E23" s="600">
        <f>Activity!$C22*Activity!$D22*Activity!G22</f>
        <v>0</v>
      </c>
      <c r="F23" s="602">
        <f>Activity!$C22*Activity!$D22*Activity!H22</f>
        <v>0</v>
      </c>
      <c r="G23" s="602">
        <f>Activity!$C22*Activity!$D22*Activity!I22</f>
        <v>0</v>
      </c>
      <c r="H23" s="602">
        <f>Activity!$C22*Activity!$D22*Activity!J22</f>
        <v>0.26889636157560004</v>
      </c>
      <c r="I23" s="602">
        <f>Activity!$C22*Activity!$D22*Activity!K22</f>
        <v>0</v>
      </c>
      <c r="J23" s="603">
        <f>Activity!$C22*Activity!$D22*Activity!L22</f>
        <v>3.5554074474996002</v>
      </c>
      <c r="K23" s="602">
        <f>Activity!$C22*Activity!$D22*Activity!M22</f>
        <v>0.58758834566520013</v>
      </c>
      <c r="L23" s="602">
        <f>Activity!$C22*Activity!$D22*Activity!N22</f>
        <v>0.44152118629080001</v>
      </c>
      <c r="M23" s="600">
        <f>Activity!$C22*Activity!$D22*Activity!O22</f>
        <v>2.0615387720796003</v>
      </c>
      <c r="N23" s="448">
        <v>0</v>
      </c>
      <c r="O23" s="602">
        <f>Activity!C22*Activity!D22</f>
        <v>33.197081676000003</v>
      </c>
      <c r="P23" s="609">
        <f>Activity!X22</f>
        <v>0</v>
      </c>
    </row>
    <row r="24" spans="2:16">
      <c r="B24" s="7">
        <f t="shared" si="1"/>
        <v>2010</v>
      </c>
      <c r="C24" s="601">
        <f>Activity!$C23*Activity!$D23*Activity!E23</f>
        <v>25.647162008688007</v>
      </c>
      <c r="D24" s="602">
        <f>Activity!$C23*Activity!$D23*Activity!F23</f>
        <v>4.9640914567200012</v>
      </c>
      <c r="E24" s="600">
        <f>Activity!$C23*Activity!$D23*Activity!G23</f>
        <v>0</v>
      </c>
      <c r="F24" s="602">
        <f>Activity!$C23*Activity!$D23*Activity!H23</f>
        <v>0</v>
      </c>
      <c r="G24" s="602">
        <f>Activity!$C23*Activity!$D23*Activity!I23</f>
        <v>0</v>
      </c>
      <c r="H24" s="602">
        <f>Activity!$C23*Activity!$D23*Activity!J23</f>
        <v>0.31291160155200004</v>
      </c>
      <c r="I24" s="602">
        <f>Activity!$C23*Activity!$D23*Activity!K23</f>
        <v>0</v>
      </c>
      <c r="J24" s="603">
        <f>Activity!$C23*Activity!$D23*Activity!L23</f>
        <v>4.1373867316320005</v>
      </c>
      <c r="K24" s="602">
        <f>Activity!$C23*Activity!$D23*Activity!M23</f>
        <v>0.68376979598400012</v>
      </c>
      <c r="L24" s="602">
        <f>Activity!$C23*Activity!$D23*Activity!N23</f>
        <v>0.51379312353600004</v>
      </c>
      <c r="M24" s="600">
        <f>Activity!$C23*Activity!$D23*Activity!O23</f>
        <v>2.3989889452320003</v>
      </c>
      <c r="N24" s="448">
        <v>0</v>
      </c>
      <c r="O24" s="602">
        <f>Activity!C23*Activity!D23</f>
        <v>38.631061920000008</v>
      </c>
      <c r="P24" s="609">
        <f>Activity!X23</f>
        <v>0</v>
      </c>
    </row>
    <row r="25" spans="2:16">
      <c r="B25" s="7">
        <f t="shared" si="1"/>
        <v>2011</v>
      </c>
      <c r="C25" s="601">
        <f>Activity!$C24*Activity!$D24*Activity!E24</f>
        <v>0</v>
      </c>
      <c r="D25" s="602">
        <f>Activity!$C24*Activity!$D24*Activity!F24</f>
        <v>0</v>
      </c>
      <c r="E25" s="600">
        <f>Activity!$C24*Activity!$D24*Activity!G24</f>
        <v>0</v>
      </c>
      <c r="F25" s="602">
        <f>Activity!$C24*Activity!$D24*Activity!H24</f>
        <v>0</v>
      </c>
      <c r="G25" s="602">
        <f>Activity!$C24*Activity!$D24*Activity!I24</f>
        <v>0</v>
      </c>
      <c r="H25" s="602">
        <f>Activity!$C24*Activity!$D24*Activity!J24</f>
        <v>0</v>
      </c>
      <c r="I25" s="602">
        <f>Activity!$C24*Activity!$D24*Activity!K24</f>
        <v>0</v>
      </c>
      <c r="J25" s="603">
        <f>Activity!$C24*Activity!$D24*Activity!L24</f>
        <v>0</v>
      </c>
      <c r="K25" s="602">
        <f>Activity!$C24*Activity!$D24*Activity!M24</f>
        <v>0</v>
      </c>
      <c r="L25" s="602">
        <f>Activity!$C24*Activity!$D24*Activity!N24</f>
        <v>0</v>
      </c>
      <c r="M25" s="600">
        <f>Activity!$C24*Activity!$D24*Activity!O24</f>
        <v>0</v>
      </c>
      <c r="N25" s="448">
        <v>0</v>
      </c>
      <c r="O25" s="602">
        <f>Activity!C24*Activity!D24</f>
        <v>0</v>
      </c>
      <c r="P25" s="609">
        <f>Activity!X24</f>
        <v>0</v>
      </c>
    </row>
    <row r="26" spans="2:16">
      <c r="B26" s="7">
        <f t="shared" si="1"/>
        <v>2012</v>
      </c>
      <c r="C26" s="601">
        <f>Activity!$C25*Activity!$D25*Activity!E25</f>
        <v>0</v>
      </c>
      <c r="D26" s="602">
        <f>Activity!$C25*Activity!$D25*Activity!F25</f>
        <v>0</v>
      </c>
      <c r="E26" s="600">
        <f>Activity!$C25*Activity!$D25*Activity!G25</f>
        <v>0</v>
      </c>
      <c r="F26" s="602">
        <f>Activity!$C25*Activity!$D25*Activity!H25</f>
        <v>0</v>
      </c>
      <c r="G26" s="602">
        <f>Activity!$C25*Activity!$D25*Activity!I25</f>
        <v>0</v>
      </c>
      <c r="H26" s="602">
        <f>Activity!$C25*Activity!$D25*Activity!J25</f>
        <v>0</v>
      </c>
      <c r="I26" s="602">
        <f>Activity!$C25*Activity!$D25*Activity!K25</f>
        <v>0</v>
      </c>
      <c r="J26" s="603">
        <f>Activity!$C25*Activity!$D25*Activity!L25</f>
        <v>0</v>
      </c>
      <c r="K26" s="602">
        <f>Activity!$C25*Activity!$D25*Activity!M25</f>
        <v>0</v>
      </c>
      <c r="L26" s="602">
        <f>Activity!$C25*Activity!$D25*Activity!N25</f>
        <v>0</v>
      </c>
      <c r="M26" s="600">
        <f>Activity!$C25*Activity!$D25*Activity!O25</f>
        <v>0</v>
      </c>
      <c r="N26" s="448">
        <v>0</v>
      </c>
      <c r="O26" s="602">
        <f>Activity!C25*Activity!D25</f>
        <v>0</v>
      </c>
      <c r="P26" s="609">
        <f>Activity!X25</f>
        <v>0</v>
      </c>
    </row>
    <row r="27" spans="2:16">
      <c r="B27" s="7">
        <f t="shared" si="1"/>
        <v>2013</v>
      </c>
      <c r="C27" s="601">
        <f>Activity!$C26*Activity!$D26*Activity!E26</f>
        <v>0</v>
      </c>
      <c r="D27" s="602">
        <f>Activity!$C26*Activity!$D26*Activity!F26</f>
        <v>0</v>
      </c>
      <c r="E27" s="600">
        <f>Activity!$C26*Activity!$D26*Activity!G26</f>
        <v>0</v>
      </c>
      <c r="F27" s="602">
        <f>Activity!$C26*Activity!$D26*Activity!H26</f>
        <v>0</v>
      </c>
      <c r="G27" s="602">
        <f>Activity!$C26*Activity!$D26*Activity!I26</f>
        <v>0</v>
      </c>
      <c r="H27" s="602">
        <f>Activity!$C26*Activity!$D26*Activity!J26</f>
        <v>0</v>
      </c>
      <c r="I27" s="602">
        <f>Activity!$C26*Activity!$D26*Activity!K26</f>
        <v>0</v>
      </c>
      <c r="J27" s="603">
        <f>Activity!$C26*Activity!$D26*Activity!L26</f>
        <v>0</v>
      </c>
      <c r="K27" s="602">
        <f>Activity!$C26*Activity!$D26*Activity!M26</f>
        <v>0</v>
      </c>
      <c r="L27" s="602">
        <f>Activity!$C26*Activity!$D26*Activity!N26</f>
        <v>0</v>
      </c>
      <c r="M27" s="600">
        <f>Activity!$C26*Activity!$D26*Activity!O26</f>
        <v>0</v>
      </c>
      <c r="N27" s="448">
        <v>0</v>
      </c>
      <c r="O27" s="602">
        <f>Activity!C26*Activity!D26</f>
        <v>0</v>
      </c>
      <c r="P27" s="609">
        <f>Activity!X26</f>
        <v>0</v>
      </c>
    </row>
    <row r="28" spans="2:16">
      <c r="B28" s="7">
        <f t="shared" si="1"/>
        <v>2014</v>
      </c>
      <c r="C28" s="601">
        <f>Activity!$C27*Activity!$D27*Activity!E27</f>
        <v>0</v>
      </c>
      <c r="D28" s="602">
        <f>Activity!$C27*Activity!$D27*Activity!F27</f>
        <v>0</v>
      </c>
      <c r="E28" s="600">
        <f>Activity!$C27*Activity!$D27*Activity!G27</f>
        <v>0</v>
      </c>
      <c r="F28" s="602">
        <f>Activity!$C27*Activity!$D27*Activity!H27</f>
        <v>0</v>
      </c>
      <c r="G28" s="602">
        <f>Activity!$C27*Activity!$D27*Activity!I27</f>
        <v>0</v>
      </c>
      <c r="H28" s="602">
        <f>Activity!$C27*Activity!$D27*Activity!J27</f>
        <v>0</v>
      </c>
      <c r="I28" s="602">
        <f>Activity!$C27*Activity!$D27*Activity!K27</f>
        <v>0</v>
      </c>
      <c r="J28" s="603">
        <f>Activity!$C27*Activity!$D27*Activity!L27</f>
        <v>0</v>
      </c>
      <c r="K28" s="602">
        <f>Activity!$C27*Activity!$D27*Activity!M27</f>
        <v>0</v>
      </c>
      <c r="L28" s="602">
        <f>Activity!$C27*Activity!$D27*Activity!N27</f>
        <v>0</v>
      </c>
      <c r="M28" s="600">
        <f>Activity!$C27*Activity!$D27*Activity!O27</f>
        <v>0</v>
      </c>
      <c r="N28" s="448">
        <v>0</v>
      </c>
      <c r="O28" s="602">
        <f>Activity!C27*Activity!D27</f>
        <v>0</v>
      </c>
      <c r="P28" s="609">
        <f>Activity!X27</f>
        <v>0</v>
      </c>
    </row>
    <row r="29" spans="2:16">
      <c r="B29" s="7">
        <f t="shared" si="1"/>
        <v>2015</v>
      </c>
      <c r="C29" s="601">
        <f>Activity!$C28*Activity!$D28*Activity!E28</f>
        <v>0</v>
      </c>
      <c r="D29" s="602">
        <f>Activity!$C28*Activity!$D28*Activity!F28</f>
        <v>0</v>
      </c>
      <c r="E29" s="600">
        <f>Activity!$C28*Activity!$D28*Activity!G28</f>
        <v>0</v>
      </c>
      <c r="F29" s="602">
        <f>Activity!$C28*Activity!$D28*Activity!H28</f>
        <v>0</v>
      </c>
      <c r="G29" s="602">
        <f>Activity!$C28*Activity!$D28*Activity!I28</f>
        <v>0</v>
      </c>
      <c r="H29" s="602">
        <f>Activity!$C28*Activity!$D28*Activity!J28</f>
        <v>0</v>
      </c>
      <c r="I29" s="602">
        <f>Activity!$C28*Activity!$D28*Activity!K28</f>
        <v>0</v>
      </c>
      <c r="J29" s="603">
        <f>Activity!$C28*Activity!$D28*Activity!L28</f>
        <v>0</v>
      </c>
      <c r="K29" s="602">
        <f>Activity!$C28*Activity!$D28*Activity!M28</f>
        <v>0</v>
      </c>
      <c r="L29" s="602">
        <f>Activity!$C28*Activity!$D28*Activity!N28</f>
        <v>0</v>
      </c>
      <c r="M29" s="600">
        <f>Activity!$C28*Activity!$D28*Activity!O28</f>
        <v>0</v>
      </c>
      <c r="N29" s="448">
        <v>0</v>
      </c>
      <c r="O29" s="602">
        <f>Activity!C28*Activity!D28</f>
        <v>0</v>
      </c>
      <c r="P29" s="609">
        <f>Activity!X28</f>
        <v>0</v>
      </c>
    </row>
    <row r="30" spans="2:16">
      <c r="B30" s="7">
        <f t="shared" si="1"/>
        <v>2016</v>
      </c>
      <c r="C30" s="601">
        <f>Activity!$C29*Activity!$D29*Activity!E29</f>
        <v>0</v>
      </c>
      <c r="D30" s="602">
        <f>Activity!$C29*Activity!$D29*Activity!F29</f>
        <v>0</v>
      </c>
      <c r="E30" s="600">
        <f>Activity!$C29*Activity!$D29*Activity!G29</f>
        <v>0</v>
      </c>
      <c r="F30" s="602">
        <f>Activity!$C29*Activity!$D29*Activity!H29</f>
        <v>0</v>
      </c>
      <c r="G30" s="602">
        <f>Activity!$C29*Activity!$D29*Activity!I29</f>
        <v>0</v>
      </c>
      <c r="H30" s="602">
        <f>Activity!$C29*Activity!$D29*Activity!J29</f>
        <v>0</v>
      </c>
      <c r="I30" s="602">
        <f>Activity!$C29*Activity!$D29*Activity!K29</f>
        <v>0</v>
      </c>
      <c r="J30" s="603">
        <f>Activity!$C29*Activity!$D29*Activity!L29</f>
        <v>0</v>
      </c>
      <c r="K30" s="602">
        <f>Activity!$C29*Activity!$D29*Activity!M29</f>
        <v>0</v>
      </c>
      <c r="L30" s="602">
        <f>Activity!$C29*Activity!$D29*Activity!N29</f>
        <v>0</v>
      </c>
      <c r="M30" s="600">
        <f>Activity!$C29*Activity!$D29*Activity!O29</f>
        <v>0</v>
      </c>
      <c r="N30" s="448">
        <v>0</v>
      </c>
      <c r="O30" s="602">
        <f>Activity!C29*Activity!D29</f>
        <v>0</v>
      </c>
      <c r="P30" s="609">
        <f>Activity!X29</f>
        <v>0</v>
      </c>
    </row>
    <row r="31" spans="2:16">
      <c r="B31" s="7">
        <f t="shared" si="1"/>
        <v>2017</v>
      </c>
      <c r="C31" s="601">
        <f>Activity!$C30*Activity!$D30*Activity!E30</f>
        <v>0</v>
      </c>
      <c r="D31" s="602">
        <f>Activity!$C30*Activity!$D30*Activity!F30</f>
        <v>0</v>
      </c>
      <c r="E31" s="600">
        <f>Activity!$C30*Activity!$D30*Activity!G30</f>
        <v>0</v>
      </c>
      <c r="F31" s="602">
        <f>Activity!$C30*Activity!$D30*Activity!H30</f>
        <v>0</v>
      </c>
      <c r="G31" s="602">
        <f>Activity!$C30*Activity!$D30*Activity!I30</f>
        <v>0</v>
      </c>
      <c r="H31" s="602">
        <f>Activity!$C30*Activity!$D30*Activity!J30</f>
        <v>0</v>
      </c>
      <c r="I31" s="602">
        <f>Activity!$C30*Activity!$D30*Activity!K30</f>
        <v>0</v>
      </c>
      <c r="J31" s="603">
        <f>Activity!$C30*Activity!$D30*Activity!L30</f>
        <v>0</v>
      </c>
      <c r="K31" s="602">
        <f>Activity!$C30*Activity!$D30*Activity!M30</f>
        <v>0</v>
      </c>
      <c r="L31" s="602">
        <f>Activity!$C30*Activity!$D30*Activity!N30</f>
        <v>0</v>
      </c>
      <c r="M31" s="600">
        <f>Activity!$C30*Activity!$D30*Activity!O30</f>
        <v>0</v>
      </c>
      <c r="N31" s="448">
        <v>0</v>
      </c>
      <c r="O31" s="602">
        <f>Activity!C30*Activity!D30</f>
        <v>0</v>
      </c>
      <c r="P31" s="609">
        <f>Activity!X30</f>
        <v>0</v>
      </c>
    </row>
    <row r="32" spans="2:16">
      <c r="B32" s="7">
        <f t="shared" si="1"/>
        <v>2018</v>
      </c>
      <c r="C32" s="601">
        <f>Activity!$C31*Activity!$D31*Activity!E31</f>
        <v>0</v>
      </c>
      <c r="D32" s="602">
        <f>Activity!$C31*Activity!$D31*Activity!F31</f>
        <v>0</v>
      </c>
      <c r="E32" s="600">
        <f>Activity!$C31*Activity!$D31*Activity!G31</f>
        <v>0</v>
      </c>
      <c r="F32" s="602">
        <f>Activity!$C31*Activity!$D31*Activity!H31</f>
        <v>0</v>
      </c>
      <c r="G32" s="602">
        <f>Activity!$C31*Activity!$D31*Activity!I31</f>
        <v>0</v>
      </c>
      <c r="H32" s="602">
        <f>Activity!$C31*Activity!$D31*Activity!J31</f>
        <v>0</v>
      </c>
      <c r="I32" s="602">
        <f>Activity!$C31*Activity!$D31*Activity!K31</f>
        <v>0</v>
      </c>
      <c r="J32" s="603">
        <f>Activity!$C31*Activity!$D31*Activity!L31</f>
        <v>0</v>
      </c>
      <c r="K32" s="602">
        <f>Activity!$C31*Activity!$D31*Activity!M31</f>
        <v>0</v>
      </c>
      <c r="L32" s="602">
        <f>Activity!$C31*Activity!$D31*Activity!N31</f>
        <v>0</v>
      </c>
      <c r="M32" s="600">
        <f>Activity!$C31*Activity!$D31*Activity!O31</f>
        <v>0</v>
      </c>
      <c r="N32" s="448">
        <v>0</v>
      </c>
      <c r="O32" s="602">
        <f>Activity!C31*Activity!D31</f>
        <v>0</v>
      </c>
      <c r="P32" s="609">
        <f>Activity!X31</f>
        <v>0</v>
      </c>
    </row>
    <row r="33" spans="2:16">
      <c r="B33" s="7">
        <f t="shared" si="1"/>
        <v>2019</v>
      </c>
      <c r="C33" s="601">
        <f>Activity!$C32*Activity!$D32*Activity!E32</f>
        <v>0</v>
      </c>
      <c r="D33" s="602">
        <f>Activity!$C32*Activity!$D32*Activity!F32</f>
        <v>0</v>
      </c>
      <c r="E33" s="600">
        <f>Activity!$C32*Activity!$D32*Activity!G32</f>
        <v>0</v>
      </c>
      <c r="F33" s="602">
        <f>Activity!$C32*Activity!$D32*Activity!H32</f>
        <v>0</v>
      </c>
      <c r="G33" s="602">
        <f>Activity!$C32*Activity!$D32*Activity!I32</f>
        <v>0</v>
      </c>
      <c r="H33" s="602">
        <f>Activity!$C32*Activity!$D32*Activity!J32</f>
        <v>0</v>
      </c>
      <c r="I33" s="602">
        <f>Activity!$C32*Activity!$D32*Activity!K32</f>
        <v>0</v>
      </c>
      <c r="J33" s="603">
        <f>Activity!$C32*Activity!$D32*Activity!L32</f>
        <v>0</v>
      </c>
      <c r="K33" s="602">
        <f>Activity!$C32*Activity!$D32*Activity!M32</f>
        <v>0</v>
      </c>
      <c r="L33" s="602">
        <f>Activity!$C32*Activity!$D32*Activity!N32</f>
        <v>0</v>
      </c>
      <c r="M33" s="600">
        <f>Activity!$C32*Activity!$D32*Activity!O32</f>
        <v>0</v>
      </c>
      <c r="N33" s="448">
        <v>0</v>
      </c>
      <c r="O33" s="602">
        <f>Activity!C32*Activity!D32</f>
        <v>0</v>
      </c>
      <c r="P33" s="609">
        <f>Activity!X32</f>
        <v>0</v>
      </c>
    </row>
    <row r="34" spans="2:16">
      <c r="B34" s="7">
        <f t="shared" si="1"/>
        <v>2020</v>
      </c>
      <c r="C34" s="601">
        <f>Activity!$C33*Activity!$D33*Activity!E33</f>
        <v>0</v>
      </c>
      <c r="D34" s="602">
        <f>Activity!$C33*Activity!$D33*Activity!F33</f>
        <v>0</v>
      </c>
      <c r="E34" s="600">
        <f>Activity!$C33*Activity!$D33*Activity!G33</f>
        <v>0</v>
      </c>
      <c r="F34" s="602">
        <f>Activity!$C33*Activity!$D33*Activity!H33</f>
        <v>0</v>
      </c>
      <c r="G34" s="602">
        <f>Activity!$C33*Activity!$D33*Activity!I33</f>
        <v>0</v>
      </c>
      <c r="H34" s="602">
        <f>Activity!$C33*Activity!$D33*Activity!J33</f>
        <v>0</v>
      </c>
      <c r="I34" s="602">
        <f>Activity!$C33*Activity!$D33*Activity!K33</f>
        <v>0</v>
      </c>
      <c r="J34" s="603">
        <f>Activity!$C33*Activity!$D33*Activity!L33</f>
        <v>0</v>
      </c>
      <c r="K34" s="602">
        <f>Activity!$C33*Activity!$D33*Activity!M33</f>
        <v>0</v>
      </c>
      <c r="L34" s="602">
        <f>Activity!$C33*Activity!$D33*Activity!N33</f>
        <v>0</v>
      </c>
      <c r="M34" s="600">
        <f>Activity!$C33*Activity!$D33*Activity!O33</f>
        <v>0</v>
      </c>
      <c r="N34" s="448">
        <v>0</v>
      </c>
      <c r="O34" s="602">
        <f>Activity!C33*Activity!D33</f>
        <v>0</v>
      </c>
      <c r="P34" s="609">
        <f>Activity!X33</f>
        <v>0</v>
      </c>
    </row>
    <row r="35" spans="2:16">
      <c r="B35" s="7">
        <f t="shared" si="1"/>
        <v>2021</v>
      </c>
      <c r="C35" s="601">
        <f>Activity!$C34*Activity!$D34*Activity!E34</f>
        <v>0</v>
      </c>
      <c r="D35" s="602">
        <f>Activity!$C34*Activity!$D34*Activity!F34</f>
        <v>0</v>
      </c>
      <c r="E35" s="600">
        <f>Activity!$C34*Activity!$D34*Activity!G34</f>
        <v>0</v>
      </c>
      <c r="F35" s="602">
        <f>Activity!$C34*Activity!$D34*Activity!H34</f>
        <v>0</v>
      </c>
      <c r="G35" s="602">
        <f>Activity!$C34*Activity!$D34*Activity!I34</f>
        <v>0</v>
      </c>
      <c r="H35" s="602">
        <f>Activity!$C34*Activity!$D34*Activity!J34</f>
        <v>0</v>
      </c>
      <c r="I35" s="602">
        <f>Activity!$C34*Activity!$D34*Activity!K34</f>
        <v>0</v>
      </c>
      <c r="J35" s="603">
        <f>Activity!$C34*Activity!$D34*Activity!L34</f>
        <v>0</v>
      </c>
      <c r="K35" s="602">
        <f>Activity!$C34*Activity!$D34*Activity!M34</f>
        <v>0</v>
      </c>
      <c r="L35" s="602">
        <f>Activity!$C34*Activity!$D34*Activity!N34</f>
        <v>0</v>
      </c>
      <c r="M35" s="600">
        <f>Activity!$C34*Activity!$D34*Activity!O34</f>
        <v>0</v>
      </c>
      <c r="N35" s="448">
        <v>0</v>
      </c>
      <c r="O35" s="602">
        <f>Activity!C34*Activity!D34</f>
        <v>0</v>
      </c>
      <c r="P35" s="609">
        <f>Activity!X34</f>
        <v>0</v>
      </c>
    </row>
    <row r="36" spans="2:16">
      <c r="B36" s="7">
        <f t="shared" si="1"/>
        <v>2022</v>
      </c>
      <c r="C36" s="601">
        <f>Activity!$C35*Activity!$D35*Activity!E35</f>
        <v>0</v>
      </c>
      <c r="D36" s="602">
        <f>Activity!$C35*Activity!$D35*Activity!F35</f>
        <v>0</v>
      </c>
      <c r="E36" s="600">
        <f>Activity!$C35*Activity!$D35*Activity!G35</f>
        <v>0</v>
      </c>
      <c r="F36" s="602">
        <f>Activity!$C35*Activity!$D35*Activity!H35</f>
        <v>0</v>
      </c>
      <c r="G36" s="602">
        <f>Activity!$C35*Activity!$D35*Activity!I35</f>
        <v>0</v>
      </c>
      <c r="H36" s="602">
        <f>Activity!$C35*Activity!$D35*Activity!J35</f>
        <v>0</v>
      </c>
      <c r="I36" s="602">
        <f>Activity!$C35*Activity!$D35*Activity!K35</f>
        <v>0</v>
      </c>
      <c r="J36" s="603">
        <f>Activity!$C35*Activity!$D35*Activity!L35</f>
        <v>0</v>
      </c>
      <c r="K36" s="602">
        <f>Activity!$C35*Activity!$D35*Activity!M35</f>
        <v>0</v>
      </c>
      <c r="L36" s="602">
        <f>Activity!$C35*Activity!$D35*Activity!N35</f>
        <v>0</v>
      </c>
      <c r="M36" s="600">
        <f>Activity!$C35*Activity!$D35*Activity!O35</f>
        <v>0</v>
      </c>
      <c r="N36" s="448">
        <v>0</v>
      </c>
      <c r="O36" s="602">
        <f>Activity!C35*Activity!D35</f>
        <v>0</v>
      </c>
      <c r="P36" s="609">
        <f>Activity!X35</f>
        <v>0</v>
      </c>
    </row>
    <row r="37" spans="2:16">
      <c r="B37" s="7">
        <f t="shared" si="1"/>
        <v>2023</v>
      </c>
      <c r="C37" s="601">
        <f>Activity!$C36*Activity!$D36*Activity!E36</f>
        <v>0</v>
      </c>
      <c r="D37" s="602">
        <f>Activity!$C36*Activity!$D36*Activity!F36</f>
        <v>0</v>
      </c>
      <c r="E37" s="600">
        <f>Activity!$C36*Activity!$D36*Activity!G36</f>
        <v>0</v>
      </c>
      <c r="F37" s="602">
        <f>Activity!$C36*Activity!$D36*Activity!H36</f>
        <v>0</v>
      </c>
      <c r="G37" s="602">
        <f>Activity!$C36*Activity!$D36*Activity!I36</f>
        <v>0</v>
      </c>
      <c r="H37" s="602">
        <f>Activity!$C36*Activity!$D36*Activity!J36</f>
        <v>0</v>
      </c>
      <c r="I37" s="602">
        <f>Activity!$C36*Activity!$D36*Activity!K36</f>
        <v>0</v>
      </c>
      <c r="J37" s="603">
        <f>Activity!$C36*Activity!$D36*Activity!L36</f>
        <v>0</v>
      </c>
      <c r="K37" s="602">
        <f>Activity!$C36*Activity!$D36*Activity!M36</f>
        <v>0</v>
      </c>
      <c r="L37" s="602">
        <f>Activity!$C36*Activity!$D36*Activity!N36</f>
        <v>0</v>
      </c>
      <c r="M37" s="600">
        <f>Activity!$C36*Activity!$D36*Activity!O36</f>
        <v>0</v>
      </c>
      <c r="N37" s="448">
        <v>0</v>
      </c>
      <c r="O37" s="602">
        <f>Activity!C36*Activity!D36</f>
        <v>0</v>
      </c>
      <c r="P37" s="609">
        <f>Activity!X36</f>
        <v>0</v>
      </c>
    </row>
    <row r="38" spans="2:16">
      <c r="B38" s="7">
        <f t="shared" si="1"/>
        <v>2024</v>
      </c>
      <c r="C38" s="601">
        <f>Activity!$C37*Activity!$D37*Activity!E37</f>
        <v>0</v>
      </c>
      <c r="D38" s="602">
        <f>Activity!$C37*Activity!$D37*Activity!F37</f>
        <v>0</v>
      </c>
      <c r="E38" s="600">
        <f>Activity!$C37*Activity!$D37*Activity!G37</f>
        <v>0</v>
      </c>
      <c r="F38" s="602">
        <f>Activity!$C37*Activity!$D37*Activity!H37</f>
        <v>0</v>
      </c>
      <c r="G38" s="602">
        <f>Activity!$C37*Activity!$D37*Activity!I37</f>
        <v>0</v>
      </c>
      <c r="H38" s="602">
        <f>Activity!$C37*Activity!$D37*Activity!J37</f>
        <v>0</v>
      </c>
      <c r="I38" s="602">
        <f>Activity!$C37*Activity!$D37*Activity!K37</f>
        <v>0</v>
      </c>
      <c r="J38" s="603">
        <f>Activity!$C37*Activity!$D37*Activity!L37</f>
        <v>0</v>
      </c>
      <c r="K38" s="602">
        <f>Activity!$C37*Activity!$D37*Activity!M37</f>
        <v>0</v>
      </c>
      <c r="L38" s="602">
        <f>Activity!$C37*Activity!$D37*Activity!N37</f>
        <v>0</v>
      </c>
      <c r="M38" s="600">
        <f>Activity!$C37*Activity!$D37*Activity!O37</f>
        <v>0</v>
      </c>
      <c r="N38" s="448">
        <v>0</v>
      </c>
      <c r="O38" s="602">
        <f>Activity!C37*Activity!D37</f>
        <v>0</v>
      </c>
      <c r="P38" s="609">
        <f>Activity!X37</f>
        <v>0</v>
      </c>
    </row>
    <row r="39" spans="2:16">
      <c r="B39" s="7">
        <f t="shared" si="1"/>
        <v>2025</v>
      </c>
      <c r="C39" s="601">
        <f>Activity!$C38*Activity!$D38*Activity!E38</f>
        <v>0</v>
      </c>
      <c r="D39" s="602">
        <f>Activity!$C38*Activity!$D38*Activity!F38</f>
        <v>0</v>
      </c>
      <c r="E39" s="600">
        <f>Activity!$C38*Activity!$D38*Activity!G38</f>
        <v>0</v>
      </c>
      <c r="F39" s="602">
        <f>Activity!$C38*Activity!$D38*Activity!H38</f>
        <v>0</v>
      </c>
      <c r="G39" s="602">
        <f>Activity!$C38*Activity!$D38*Activity!I38</f>
        <v>0</v>
      </c>
      <c r="H39" s="602">
        <f>Activity!$C38*Activity!$D38*Activity!J38</f>
        <v>0</v>
      </c>
      <c r="I39" s="602">
        <f>Activity!$C38*Activity!$D38*Activity!K38</f>
        <v>0</v>
      </c>
      <c r="J39" s="603">
        <f>Activity!$C38*Activity!$D38*Activity!L38</f>
        <v>0</v>
      </c>
      <c r="K39" s="602">
        <f>Activity!$C38*Activity!$D38*Activity!M38</f>
        <v>0</v>
      </c>
      <c r="L39" s="602">
        <f>Activity!$C38*Activity!$D38*Activity!N38</f>
        <v>0</v>
      </c>
      <c r="M39" s="600">
        <f>Activity!$C38*Activity!$D38*Activity!O38</f>
        <v>0</v>
      </c>
      <c r="N39" s="448">
        <v>0</v>
      </c>
      <c r="O39" s="602">
        <f>Activity!C38*Activity!D38</f>
        <v>0</v>
      </c>
      <c r="P39" s="609">
        <f>Activity!X38</f>
        <v>0</v>
      </c>
    </row>
    <row r="40" spans="2:16">
      <c r="B40" s="7">
        <f t="shared" si="1"/>
        <v>2026</v>
      </c>
      <c r="C40" s="601">
        <f>Activity!$C39*Activity!$D39*Activity!E39</f>
        <v>0</v>
      </c>
      <c r="D40" s="602">
        <f>Activity!$C39*Activity!$D39*Activity!F39</f>
        <v>0</v>
      </c>
      <c r="E40" s="600">
        <f>Activity!$C39*Activity!$D39*Activity!G39</f>
        <v>0</v>
      </c>
      <c r="F40" s="602">
        <f>Activity!$C39*Activity!$D39*Activity!H39</f>
        <v>0</v>
      </c>
      <c r="G40" s="602">
        <f>Activity!$C39*Activity!$D39*Activity!I39</f>
        <v>0</v>
      </c>
      <c r="H40" s="602">
        <f>Activity!$C39*Activity!$D39*Activity!J39</f>
        <v>0</v>
      </c>
      <c r="I40" s="602">
        <f>Activity!$C39*Activity!$D39*Activity!K39</f>
        <v>0</v>
      </c>
      <c r="J40" s="603">
        <f>Activity!$C39*Activity!$D39*Activity!L39</f>
        <v>0</v>
      </c>
      <c r="K40" s="602">
        <f>Activity!$C39*Activity!$D39*Activity!M39</f>
        <v>0</v>
      </c>
      <c r="L40" s="602">
        <f>Activity!$C39*Activity!$D39*Activity!N39</f>
        <v>0</v>
      </c>
      <c r="M40" s="600">
        <f>Activity!$C39*Activity!$D39*Activity!O39</f>
        <v>0</v>
      </c>
      <c r="N40" s="448">
        <v>0</v>
      </c>
      <c r="O40" s="602">
        <f>Activity!C39*Activity!D39</f>
        <v>0</v>
      </c>
      <c r="P40" s="609">
        <f>Activity!X39</f>
        <v>0</v>
      </c>
    </row>
    <row r="41" spans="2:16">
      <c r="B41" s="7">
        <f t="shared" si="1"/>
        <v>2027</v>
      </c>
      <c r="C41" s="601">
        <f>Activity!$C40*Activity!$D40*Activity!E40</f>
        <v>0</v>
      </c>
      <c r="D41" s="602">
        <f>Activity!$C40*Activity!$D40*Activity!F40</f>
        <v>0</v>
      </c>
      <c r="E41" s="600">
        <f>Activity!$C40*Activity!$D40*Activity!G40</f>
        <v>0</v>
      </c>
      <c r="F41" s="602">
        <f>Activity!$C40*Activity!$D40*Activity!H40</f>
        <v>0</v>
      </c>
      <c r="G41" s="602">
        <f>Activity!$C40*Activity!$D40*Activity!I40</f>
        <v>0</v>
      </c>
      <c r="H41" s="602">
        <f>Activity!$C40*Activity!$D40*Activity!J40</f>
        <v>0</v>
      </c>
      <c r="I41" s="602">
        <f>Activity!$C40*Activity!$D40*Activity!K40</f>
        <v>0</v>
      </c>
      <c r="J41" s="603">
        <f>Activity!$C40*Activity!$D40*Activity!L40</f>
        <v>0</v>
      </c>
      <c r="K41" s="602">
        <f>Activity!$C40*Activity!$D40*Activity!M40</f>
        <v>0</v>
      </c>
      <c r="L41" s="602">
        <f>Activity!$C40*Activity!$D40*Activity!N40</f>
        <v>0</v>
      </c>
      <c r="M41" s="600">
        <f>Activity!$C40*Activity!$D40*Activity!O40</f>
        <v>0</v>
      </c>
      <c r="N41" s="448">
        <v>0</v>
      </c>
      <c r="O41" s="602">
        <f>Activity!C40*Activity!D40</f>
        <v>0</v>
      </c>
      <c r="P41" s="609">
        <f>Activity!X40</f>
        <v>0</v>
      </c>
    </row>
    <row r="42" spans="2:16">
      <c r="B42" s="7">
        <f t="shared" si="1"/>
        <v>2028</v>
      </c>
      <c r="C42" s="601">
        <f>Activity!$C41*Activity!$D41*Activity!E41</f>
        <v>0</v>
      </c>
      <c r="D42" s="602">
        <f>Activity!$C41*Activity!$D41*Activity!F41</f>
        <v>0</v>
      </c>
      <c r="E42" s="600">
        <f>Activity!$C41*Activity!$D41*Activity!G41</f>
        <v>0</v>
      </c>
      <c r="F42" s="602">
        <f>Activity!$C41*Activity!$D41*Activity!H41</f>
        <v>0</v>
      </c>
      <c r="G42" s="602">
        <f>Activity!$C41*Activity!$D41*Activity!I41</f>
        <v>0</v>
      </c>
      <c r="H42" s="602">
        <f>Activity!$C41*Activity!$D41*Activity!J41</f>
        <v>0</v>
      </c>
      <c r="I42" s="602">
        <f>Activity!$C41*Activity!$D41*Activity!K41</f>
        <v>0</v>
      </c>
      <c r="J42" s="603">
        <f>Activity!$C41*Activity!$D41*Activity!L41</f>
        <v>0</v>
      </c>
      <c r="K42" s="602">
        <f>Activity!$C41*Activity!$D41*Activity!M41</f>
        <v>0</v>
      </c>
      <c r="L42" s="602">
        <f>Activity!$C41*Activity!$D41*Activity!N41</f>
        <v>0</v>
      </c>
      <c r="M42" s="600">
        <f>Activity!$C41*Activity!$D41*Activity!O41</f>
        <v>0</v>
      </c>
      <c r="N42" s="448">
        <v>0</v>
      </c>
      <c r="O42" s="602">
        <f>Activity!C41*Activity!D41</f>
        <v>0</v>
      </c>
      <c r="P42" s="609">
        <f>Activity!X41</f>
        <v>0</v>
      </c>
    </row>
    <row r="43" spans="2:16">
      <c r="B43" s="7">
        <f t="shared" si="1"/>
        <v>2029</v>
      </c>
      <c r="C43" s="601">
        <f>Activity!$C42*Activity!$D42*Activity!E42</f>
        <v>0</v>
      </c>
      <c r="D43" s="602">
        <f>Activity!$C42*Activity!$D42*Activity!F42</f>
        <v>0</v>
      </c>
      <c r="E43" s="600">
        <f>Activity!$C42*Activity!$D42*Activity!G42</f>
        <v>0</v>
      </c>
      <c r="F43" s="602">
        <f>Activity!$C42*Activity!$D42*Activity!H42</f>
        <v>0</v>
      </c>
      <c r="G43" s="602">
        <f>Activity!$C42*Activity!$D42*Activity!I42</f>
        <v>0</v>
      </c>
      <c r="H43" s="602">
        <f>Activity!$C42*Activity!$D42*Activity!J42</f>
        <v>0</v>
      </c>
      <c r="I43" s="602">
        <f>Activity!$C42*Activity!$D42*Activity!K42</f>
        <v>0</v>
      </c>
      <c r="J43" s="603">
        <f>Activity!$C42*Activity!$D42*Activity!L42</f>
        <v>0</v>
      </c>
      <c r="K43" s="602">
        <f>Activity!$C42*Activity!$D42*Activity!M42</f>
        <v>0</v>
      </c>
      <c r="L43" s="602">
        <f>Activity!$C42*Activity!$D42*Activity!N42</f>
        <v>0</v>
      </c>
      <c r="M43" s="600">
        <f>Activity!$C42*Activity!$D42*Activity!O42</f>
        <v>0</v>
      </c>
      <c r="N43" s="448">
        <v>0</v>
      </c>
      <c r="O43" s="602">
        <f>Activity!C42*Activity!D42</f>
        <v>0</v>
      </c>
      <c r="P43" s="609">
        <f>Activity!X42</f>
        <v>0</v>
      </c>
    </row>
    <row r="44" spans="2:16">
      <c r="B44" s="7">
        <f t="shared" si="1"/>
        <v>2030</v>
      </c>
      <c r="C44" s="601">
        <f>Activity!$C43*Activity!$D43*Activity!E43</f>
        <v>0</v>
      </c>
      <c r="D44" s="602">
        <f>Activity!$C43*Activity!$D43*Activity!F43</f>
        <v>0</v>
      </c>
      <c r="E44" s="600">
        <f>Activity!$C43*Activity!$D43*Activity!G43</f>
        <v>0</v>
      </c>
      <c r="F44" s="602">
        <f>Activity!$C43*Activity!$D43*Activity!H43</f>
        <v>0</v>
      </c>
      <c r="G44" s="602">
        <f>Activity!$C43*Activity!$D43*Activity!I43</f>
        <v>0</v>
      </c>
      <c r="H44" s="602">
        <f>Activity!$C43*Activity!$D43*Activity!J43</f>
        <v>0</v>
      </c>
      <c r="I44" s="602">
        <f>Activity!$C43*Activity!$D43*Activity!K43</f>
        <v>0</v>
      </c>
      <c r="J44" s="603">
        <f>Activity!$C43*Activity!$D43*Activity!L43</f>
        <v>0</v>
      </c>
      <c r="K44" s="602">
        <f>Activity!$C43*Activity!$D43*Activity!M43</f>
        <v>0</v>
      </c>
      <c r="L44" s="602">
        <f>Activity!$C43*Activity!$D43*Activity!N43</f>
        <v>0</v>
      </c>
      <c r="M44" s="600">
        <f>Activity!$C43*Activity!$D43*Activity!O43</f>
        <v>0</v>
      </c>
      <c r="N44" s="448">
        <v>0</v>
      </c>
      <c r="O44" s="602">
        <f>Activity!C43*Activity!D43</f>
        <v>0</v>
      </c>
      <c r="P44" s="609">
        <f>Activity!X43</f>
        <v>0</v>
      </c>
    </row>
    <row r="45" spans="2:16">
      <c r="B45" s="7">
        <f t="shared" si="1"/>
        <v>2031</v>
      </c>
      <c r="C45" s="601">
        <f>Activity!$C44*Activity!$D44*Activity!E44</f>
        <v>0</v>
      </c>
      <c r="D45" s="602">
        <f>Activity!$C44*Activity!$D44*Activity!F44</f>
        <v>0</v>
      </c>
      <c r="E45" s="600">
        <f>Activity!$C44*Activity!$D44*Activity!G44</f>
        <v>0</v>
      </c>
      <c r="F45" s="602">
        <f>Activity!$C44*Activity!$D44*Activity!H44</f>
        <v>0</v>
      </c>
      <c r="G45" s="602">
        <f>Activity!$C44*Activity!$D44*Activity!I44</f>
        <v>0</v>
      </c>
      <c r="H45" s="602">
        <f>Activity!$C44*Activity!$D44*Activity!J44</f>
        <v>0</v>
      </c>
      <c r="I45" s="602">
        <f>Activity!$C44*Activity!$D44*Activity!K44</f>
        <v>0</v>
      </c>
      <c r="J45" s="603">
        <f>Activity!$C44*Activity!$D44*Activity!L44</f>
        <v>0</v>
      </c>
      <c r="K45" s="602">
        <f>Activity!$C44*Activity!$D44*Activity!M44</f>
        <v>0</v>
      </c>
      <c r="L45" s="602">
        <f>Activity!$C44*Activity!$D44*Activity!N44</f>
        <v>0</v>
      </c>
      <c r="M45" s="600">
        <f>Activity!$C44*Activity!$D44*Activity!O44</f>
        <v>0</v>
      </c>
      <c r="N45" s="448">
        <v>0</v>
      </c>
      <c r="O45" s="602">
        <f>Activity!C44*Activity!D44</f>
        <v>0</v>
      </c>
      <c r="P45" s="609">
        <f>Activity!X44</f>
        <v>0</v>
      </c>
    </row>
    <row r="46" spans="2:16">
      <c r="B46" s="7">
        <f t="shared" si="1"/>
        <v>2032</v>
      </c>
      <c r="C46" s="601">
        <f>Activity!$C45*Activity!$D45*Activity!E45</f>
        <v>0</v>
      </c>
      <c r="D46" s="602">
        <f>Activity!$C45*Activity!$D45*Activity!F45</f>
        <v>0</v>
      </c>
      <c r="E46" s="600">
        <f>Activity!$C45*Activity!$D45*Activity!G45</f>
        <v>0</v>
      </c>
      <c r="F46" s="602">
        <f>Activity!$C45*Activity!$D45*Activity!H45</f>
        <v>0</v>
      </c>
      <c r="G46" s="602">
        <f>Activity!$C45*Activity!$D45*Activity!I45</f>
        <v>0</v>
      </c>
      <c r="H46" s="602">
        <f>Activity!$C45*Activity!$D45*Activity!J45</f>
        <v>0</v>
      </c>
      <c r="I46" s="602">
        <f>Activity!$C45*Activity!$D45*Activity!K45</f>
        <v>0</v>
      </c>
      <c r="J46" s="603">
        <f>Activity!$C45*Activity!$D45*Activity!L45</f>
        <v>0</v>
      </c>
      <c r="K46" s="602">
        <f>Activity!$C45*Activity!$D45*Activity!M45</f>
        <v>0</v>
      </c>
      <c r="L46" s="602">
        <f>Activity!$C45*Activity!$D45*Activity!N45</f>
        <v>0</v>
      </c>
      <c r="M46" s="600">
        <f>Activity!$C45*Activity!$D45*Activity!O45</f>
        <v>0</v>
      </c>
      <c r="N46" s="448">
        <v>0</v>
      </c>
      <c r="O46" s="602">
        <f>Activity!C45*Activity!D45</f>
        <v>0</v>
      </c>
      <c r="P46" s="609">
        <f>Activity!X45</f>
        <v>0</v>
      </c>
    </row>
    <row r="47" spans="2:16">
      <c r="B47" s="7">
        <f t="shared" si="1"/>
        <v>2033</v>
      </c>
      <c r="C47" s="601">
        <f>Activity!$C46*Activity!$D46*Activity!E46</f>
        <v>0</v>
      </c>
      <c r="D47" s="602">
        <f>Activity!$C46*Activity!$D46*Activity!F46</f>
        <v>0</v>
      </c>
      <c r="E47" s="600">
        <f>Activity!$C46*Activity!$D46*Activity!G46</f>
        <v>0</v>
      </c>
      <c r="F47" s="602">
        <f>Activity!$C46*Activity!$D46*Activity!H46</f>
        <v>0</v>
      </c>
      <c r="G47" s="602">
        <f>Activity!$C46*Activity!$D46*Activity!I46</f>
        <v>0</v>
      </c>
      <c r="H47" s="602">
        <f>Activity!$C46*Activity!$D46*Activity!J46</f>
        <v>0</v>
      </c>
      <c r="I47" s="602">
        <f>Activity!$C46*Activity!$D46*Activity!K46</f>
        <v>0</v>
      </c>
      <c r="J47" s="603">
        <f>Activity!$C46*Activity!$D46*Activity!L46</f>
        <v>0</v>
      </c>
      <c r="K47" s="602">
        <f>Activity!$C46*Activity!$D46*Activity!M46</f>
        <v>0</v>
      </c>
      <c r="L47" s="602">
        <f>Activity!$C46*Activity!$D46*Activity!N46</f>
        <v>0</v>
      </c>
      <c r="M47" s="600">
        <f>Activity!$C46*Activity!$D46*Activity!O46</f>
        <v>0</v>
      </c>
      <c r="N47" s="448">
        <v>0</v>
      </c>
      <c r="O47" s="602">
        <f>Activity!C46*Activity!D46</f>
        <v>0</v>
      </c>
      <c r="P47" s="609">
        <f>Activity!X46</f>
        <v>0</v>
      </c>
    </row>
    <row r="48" spans="2:16">
      <c r="B48" s="7">
        <f t="shared" si="1"/>
        <v>2034</v>
      </c>
      <c r="C48" s="601">
        <f>Activity!$C47*Activity!$D47*Activity!E47</f>
        <v>0</v>
      </c>
      <c r="D48" s="602">
        <f>Activity!$C47*Activity!$D47*Activity!F47</f>
        <v>0</v>
      </c>
      <c r="E48" s="600">
        <f>Activity!$C47*Activity!$D47*Activity!G47</f>
        <v>0</v>
      </c>
      <c r="F48" s="602">
        <f>Activity!$C47*Activity!$D47*Activity!H47</f>
        <v>0</v>
      </c>
      <c r="G48" s="602">
        <f>Activity!$C47*Activity!$D47*Activity!I47</f>
        <v>0</v>
      </c>
      <c r="H48" s="602">
        <f>Activity!$C47*Activity!$D47*Activity!J47</f>
        <v>0</v>
      </c>
      <c r="I48" s="602">
        <f>Activity!$C47*Activity!$D47*Activity!K47</f>
        <v>0</v>
      </c>
      <c r="J48" s="603">
        <f>Activity!$C47*Activity!$D47*Activity!L47</f>
        <v>0</v>
      </c>
      <c r="K48" s="602">
        <f>Activity!$C47*Activity!$D47*Activity!M47</f>
        <v>0</v>
      </c>
      <c r="L48" s="602">
        <f>Activity!$C47*Activity!$D47*Activity!N47</f>
        <v>0</v>
      </c>
      <c r="M48" s="600">
        <f>Activity!$C47*Activity!$D47*Activity!O47</f>
        <v>0</v>
      </c>
      <c r="N48" s="448">
        <v>0</v>
      </c>
      <c r="O48" s="602">
        <f>Activity!C47*Activity!D47</f>
        <v>0</v>
      </c>
      <c r="P48" s="609">
        <f>Activity!X47</f>
        <v>0</v>
      </c>
    </row>
    <row r="49" spans="2:16">
      <c r="B49" s="7">
        <f t="shared" si="1"/>
        <v>2035</v>
      </c>
      <c r="C49" s="601">
        <f>Activity!$C48*Activity!$D48*Activity!E48</f>
        <v>0</v>
      </c>
      <c r="D49" s="602">
        <f>Activity!$C48*Activity!$D48*Activity!F48</f>
        <v>0</v>
      </c>
      <c r="E49" s="600">
        <f>Activity!$C48*Activity!$D48*Activity!G48</f>
        <v>0</v>
      </c>
      <c r="F49" s="602">
        <f>Activity!$C48*Activity!$D48*Activity!H48</f>
        <v>0</v>
      </c>
      <c r="G49" s="602">
        <f>Activity!$C48*Activity!$D48*Activity!I48</f>
        <v>0</v>
      </c>
      <c r="H49" s="602">
        <f>Activity!$C48*Activity!$D48*Activity!J48</f>
        <v>0</v>
      </c>
      <c r="I49" s="602">
        <f>Activity!$C48*Activity!$D48*Activity!K48</f>
        <v>0</v>
      </c>
      <c r="J49" s="603">
        <f>Activity!$C48*Activity!$D48*Activity!L48</f>
        <v>0</v>
      </c>
      <c r="K49" s="602">
        <f>Activity!$C48*Activity!$D48*Activity!M48</f>
        <v>0</v>
      </c>
      <c r="L49" s="602">
        <f>Activity!$C48*Activity!$D48*Activity!N48</f>
        <v>0</v>
      </c>
      <c r="M49" s="600">
        <f>Activity!$C48*Activity!$D48*Activity!O48</f>
        <v>0</v>
      </c>
      <c r="N49" s="448">
        <v>0</v>
      </c>
      <c r="O49" s="602">
        <f>Activity!C48*Activity!D48</f>
        <v>0</v>
      </c>
      <c r="P49" s="609">
        <f>Activity!X48</f>
        <v>0</v>
      </c>
    </row>
    <row r="50" spans="2:16">
      <c r="B50" s="7">
        <f t="shared" si="1"/>
        <v>2036</v>
      </c>
      <c r="C50" s="601">
        <f>Activity!$C49*Activity!$D49*Activity!E49</f>
        <v>0</v>
      </c>
      <c r="D50" s="602">
        <f>Activity!$C49*Activity!$D49*Activity!F49</f>
        <v>0</v>
      </c>
      <c r="E50" s="600">
        <f>Activity!$C49*Activity!$D49*Activity!G49</f>
        <v>0</v>
      </c>
      <c r="F50" s="602">
        <f>Activity!$C49*Activity!$D49*Activity!H49</f>
        <v>0</v>
      </c>
      <c r="G50" s="602">
        <f>Activity!$C49*Activity!$D49*Activity!I49</f>
        <v>0</v>
      </c>
      <c r="H50" s="602">
        <f>Activity!$C49*Activity!$D49*Activity!J49</f>
        <v>0</v>
      </c>
      <c r="I50" s="602">
        <f>Activity!$C49*Activity!$D49*Activity!K49</f>
        <v>0</v>
      </c>
      <c r="J50" s="603">
        <f>Activity!$C49*Activity!$D49*Activity!L49</f>
        <v>0</v>
      </c>
      <c r="K50" s="602">
        <f>Activity!$C49*Activity!$D49*Activity!M49</f>
        <v>0</v>
      </c>
      <c r="L50" s="602">
        <f>Activity!$C49*Activity!$D49*Activity!N49</f>
        <v>0</v>
      </c>
      <c r="M50" s="600">
        <f>Activity!$C49*Activity!$D49*Activity!O49</f>
        <v>0</v>
      </c>
      <c r="N50" s="448">
        <v>0</v>
      </c>
      <c r="O50" s="602">
        <f>Activity!C49*Activity!D49</f>
        <v>0</v>
      </c>
      <c r="P50" s="609">
        <f>Activity!X49</f>
        <v>0</v>
      </c>
    </row>
    <row r="51" spans="2:16">
      <c r="B51" s="7">
        <f t="shared" si="1"/>
        <v>2037</v>
      </c>
      <c r="C51" s="601">
        <f>Activity!$C50*Activity!$D50*Activity!E50</f>
        <v>0</v>
      </c>
      <c r="D51" s="602">
        <f>Activity!$C50*Activity!$D50*Activity!F50</f>
        <v>0</v>
      </c>
      <c r="E51" s="600">
        <f>Activity!$C50*Activity!$D50*Activity!G50</f>
        <v>0</v>
      </c>
      <c r="F51" s="602">
        <f>Activity!$C50*Activity!$D50*Activity!H50</f>
        <v>0</v>
      </c>
      <c r="G51" s="602">
        <f>Activity!$C50*Activity!$D50*Activity!I50</f>
        <v>0</v>
      </c>
      <c r="H51" s="602">
        <f>Activity!$C50*Activity!$D50*Activity!J50</f>
        <v>0</v>
      </c>
      <c r="I51" s="602">
        <f>Activity!$C50*Activity!$D50*Activity!K50</f>
        <v>0</v>
      </c>
      <c r="J51" s="603">
        <f>Activity!$C50*Activity!$D50*Activity!L50</f>
        <v>0</v>
      </c>
      <c r="K51" s="602">
        <f>Activity!$C50*Activity!$D50*Activity!M50</f>
        <v>0</v>
      </c>
      <c r="L51" s="602">
        <f>Activity!$C50*Activity!$D50*Activity!N50</f>
        <v>0</v>
      </c>
      <c r="M51" s="600">
        <f>Activity!$C50*Activity!$D50*Activity!O50</f>
        <v>0</v>
      </c>
      <c r="N51" s="448">
        <v>0</v>
      </c>
      <c r="O51" s="602">
        <f>Activity!C50*Activity!D50</f>
        <v>0</v>
      </c>
      <c r="P51" s="609">
        <f>Activity!X50</f>
        <v>0</v>
      </c>
    </row>
    <row r="52" spans="2:16">
      <c r="B52" s="7">
        <f t="shared" si="1"/>
        <v>2038</v>
      </c>
      <c r="C52" s="601">
        <f>Activity!$C51*Activity!$D51*Activity!E51</f>
        <v>0</v>
      </c>
      <c r="D52" s="602">
        <f>Activity!$C51*Activity!$D51*Activity!F51</f>
        <v>0</v>
      </c>
      <c r="E52" s="600">
        <f>Activity!$C51*Activity!$D51*Activity!G51</f>
        <v>0</v>
      </c>
      <c r="F52" s="602">
        <f>Activity!$C51*Activity!$D51*Activity!H51</f>
        <v>0</v>
      </c>
      <c r="G52" s="602">
        <f>Activity!$C51*Activity!$D51*Activity!I51</f>
        <v>0</v>
      </c>
      <c r="H52" s="602">
        <f>Activity!$C51*Activity!$D51*Activity!J51</f>
        <v>0</v>
      </c>
      <c r="I52" s="602">
        <f>Activity!$C51*Activity!$D51*Activity!K51</f>
        <v>0</v>
      </c>
      <c r="J52" s="603">
        <f>Activity!$C51*Activity!$D51*Activity!L51</f>
        <v>0</v>
      </c>
      <c r="K52" s="602">
        <f>Activity!$C51*Activity!$D51*Activity!M51</f>
        <v>0</v>
      </c>
      <c r="L52" s="602">
        <f>Activity!$C51*Activity!$D51*Activity!N51</f>
        <v>0</v>
      </c>
      <c r="M52" s="600">
        <f>Activity!$C51*Activity!$D51*Activity!O51</f>
        <v>0</v>
      </c>
      <c r="N52" s="448">
        <v>0</v>
      </c>
      <c r="O52" s="602">
        <f>Activity!C51*Activity!D51</f>
        <v>0</v>
      </c>
      <c r="P52" s="609">
        <f>Activity!X51</f>
        <v>0</v>
      </c>
    </row>
    <row r="53" spans="2:16">
      <c r="B53" s="7">
        <f t="shared" si="1"/>
        <v>2039</v>
      </c>
      <c r="C53" s="601">
        <f>Activity!$C52*Activity!$D52*Activity!E52</f>
        <v>0</v>
      </c>
      <c r="D53" s="602">
        <f>Activity!$C52*Activity!$D52*Activity!F52</f>
        <v>0</v>
      </c>
      <c r="E53" s="600">
        <f>Activity!$C52*Activity!$D52*Activity!G52</f>
        <v>0</v>
      </c>
      <c r="F53" s="602">
        <f>Activity!$C52*Activity!$D52*Activity!H52</f>
        <v>0</v>
      </c>
      <c r="G53" s="602">
        <f>Activity!$C52*Activity!$D52*Activity!I52</f>
        <v>0</v>
      </c>
      <c r="H53" s="602">
        <f>Activity!$C52*Activity!$D52*Activity!J52</f>
        <v>0</v>
      </c>
      <c r="I53" s="602">
        <f>Activity!$C52*Activity!$D52*Activity!K52</f>
        <v>0</v>
      </c>
      <c r="J53" s="603">
        <f>Activity!$C52*Activity!$D52*Activity!L52</f>
        <v>0</v>
      </c>
      <c r="K53" s="602">
        <f>Activity!$C52*Activity!$D52*Activity!M52</f>
        <v>0</v>
      </c>
      <c r="L53" s="602">
        <f>Activity!$C52*Activity!$D52*Activity!N52</f>
        <v>0</v>
      </c>
      <c r="M53" s="600">
        <f>Activity!$C52*Activity!$D52*Activity!O52</f>
        <v>0</v>
      </c>
      <c r="N53" s="448">
        <v>0</v>
      </c>
      <c r="O53" s="602">
        <f>Activity!C52*Activity!D52</f>
        <v>0</v>
      </c>
      <c r="P53" s="609">
        <f>Activity!X52</f>
        <v>0</v>
      </c>
    </row>
    <row r="54" spans="2:16">
      <c r="B54" s="7">
        <f t="shared" si="1"/>
        <v>2040</v>
      </c>
      <c r="C54" s="601">
        <f>Activity!$C53*Activity!$D53*Activity!E53</f>
        <v>0</v>
      </c>
      <c r="D54" s="602">
        <f>Activity!$C53*Activity!$D53*Activity!F53</f>
        <v>0</v>
      </c>
      <c r="E54" s="600">
        <f>Activity!$C53*Activity!$D53*Activity!G53</f>
        <v>0</v>
      </c>
      <c r="F54" s="602">
        <f>Activity!$C53*Activity!$D53*Activity!H53</f>
        <v>0</v>
      </c>
      <c r="G54" s="602">
        <f>Activity!$C53*Activity!$D53*Activity!I53</f>
        <v>0</v>
      </c>
      <c r="H54" s="602">
        <f>Activity!$C53*Activity!$D53*Activity!J53</f>
        <v>0</v>
      </c>
      <c r="I54" s="602">
        <f>Activity!$C53*Activity!$D53*Activity!K53</f>
        <v>0</v>
      </c>
      <c r="J54" s="603">
        <f>Activity!$C53*Activity!$D53*Activity!L53</f>
        <v>0</v>
      </c>
      <c r="K54" s="602">
        <f>Activity!$C53*Activity!$D53*Activity!M53</f>
        <v>0</v>
      </c>
      <c r="L54" s="602">
        <f>Activity!$C53*Activity!$D53*Activity!N53</f>
        <v>0</v>
      </c>
      <c r="M54" s="600">
        <f>Activity!$C53*Activity!$D53*Activity!O53</f>
        <v>0</v>
      </c>
      <c r="N54" s="448">
        <v>0</v>
      </c>
      <c r="O54" s="602">
        <f>Activity!C53*Activity!D53</f>
        <v>0</v>
      </c>
      <c r="P54" s="609">
        <f>Activity!X53</f>
        <v>0</v>
      </c>
    </row>
    <row r="55" spans="2:16">
      <c r="B55" s="7">
        <f t="shared" si="1"/>
        <v>2041</v>
      </c>
      <c r="C55" s="601">
        <f>Activity!$C54*Activity!$D54*Activity!E54</f>
        <v>0</v>
      </c>
      <c r="D55" s="602">
        <f>Activity!$C54*Activity!$D54*Activity!F54</f>
        <v>0</v>
      </c>
      <c r="E55" s="600">
        <f>Activity!$C54*Activity!$D54*Activity!G54</f>
        <v>0</v>
      </c>
      <c r="F55" s="602">
        <f>Activity!$C54*Activity!$D54*Activity!H54</f>
        <v>0</v>
      </c>
      <c r="G55" s="602">
        <f>Activity!$C54*Activity!$D54*Activity!I54</f>
        <v>0</v>
      </c>
      <c r="H55" s="602">
        <f>Activity!$C54*Activity!$D54*Activity!J54</f>
        <v>0</v>
      </c>
      <c r="I55" s="602">
        <f>Activity!$C54*Activity!$D54*Activity!K54</f>
        <v>0</v>
      </c>
      <c r="J55" s="603">
        <f>Activity!$C54*Activity!$D54*Activity!L54</f>
        <v>0</v>
      </c>
      <c r="K55" s="602">
        <f>Activity!$C54*Activity!$D54*Activity!M54</f>
        <v>0</v>
      </c>
      <c r="L55" s="602">
        <f>Activity!$C54*Activity!$D54*Activity!N54</f>
        <v>0</v>
      </c>
      <c r="M55" s="600">
        <f>Activity!$C54*Activity!$D54*Activity!O54</f>
        <v>0</v>
      </c>
      <c r="N55" s="448">
        <v>0</v>
      </c>
      <c r="O55" s="602">
        <f>Activity!C54*Activity!D54</f>
        <v>0</v>
      </c>
      <c r="P55" s="609">
        <f>Activity!X54</f>
        <v>0</v>
      </c>
    </row>
    <row r="56" spans="2:16">
      <c r="B56" s="7">
        <f t="shared" si="1"/>
        <v>2042</v>
      </c>
      <c r="C56" s="601">
        <f>Activity!$C55*Activity!$D55*Activity!E55</f>
        <v>0</v>
      </c>
      <c r="D56" s="602">
        <f>Activity!$C55*Activity!$D55*Activity!F55</f>
        <v>0</v>
      </c>
      <c r="E56" s="600">
        <f>Activity!$C55*Activity!$D55*Activity!G55</f>
        <v>0</v>
      </c>
      <c r="F56" s="602">
        <f>Activity!$C55*Activity!$D55*Activity!H55</f>
        <v>0</v>
      </c>
      <c r="G56" s="602">
        <f>Activity!$C55*Activity!$D55*Activity!I55</f>
        <v>0</v>
      </c>
      <c r="H56" s="602">
        <f>Activity!$C55*Activity!$D55*Activity!J55</f>
        <v>0</v>
      </c>
      <c r="I56" s="602">
        <f>Activity!$C55*Activity!$D55*Activity!K55</f>
        <v>0</v>
      </c>
      <c r="J56" s="603">
        <f>Activity!$C55*Activity!$D55*Activity!L55</f>
        <v>0</v>
      </c>
      <c r="K56" s="602">
        <f>Activity!$C55*Activity!$D55*Activity!M55</f>
        <v>0</v>
      </c>
      <c r="L56" s="602">
        <f>Activity!$C55*Activity!$D55*Activity!N55</f>
        <v>0</v>
      </c>
      <c r="M56" s="600">
        <f>Activity!$C55*Activity!$D55*Activity!O55</f>
        <v>0</v>
      </c>
      <c r="N56" s="448">
        <v>0</v>
      </c>
      <c r="O56" s="602">
        <f>Activity!C55*Activity!D55</f>
        <v>0</v>
      </c>
      <c r="P56" s="609">
        <f>Activity!X55</f>
        <v>0</v>
      </c>
    </row>
    <row r="57" spans="2:16">
      <c r="B57" s="7">
        <f t="shared" si="1"/>
        <v>2043</v>
      </c>
      <c r="C57" s="601">
        <f>Activity!$C56*Activity!$D56*Activity!E56</f>
        <v>0</v>
      </c>
      <c r="D57" s="602">
        <f>Activity!$C56*Activity!$D56*Activity!F56</f>
        <v>0</v>
      </c>
      <c r="E57" s="600">
        <f>Activity!$C56*Activity!$D56*Activity!G56</f>
        <v>0</v>
      </c>
      <c r="F57" s="602">
        <f>Activity!$C56*Activity!$D56*Activity!H56</f>
        <v>0</v>
      </c>
      <c r="G57" s="602">
        <f>Activity!$C56*Activity!$D56*Activity!I56</f>
        <v>0</v>
      </c>
      <c r="H57" s="602">
        <f>Activity!$C56*Activity!$D56*Activity!J56</f>
        <v>0</v>
      </c>
      <c r="I57" s="602">
        <f>Activity!$C56*Activity!$D56*Activity!K56</f>
        <v>0</v>
      </c>
      <c r="J57" s="603">
        <f>Activity!$C56*Activity!$D56*Activity!L56</f>
        <v>0</v>
      </c>
      <c r="K57" s="602">
        <f>Activity!$C56*Activity!$D56*Activity!M56</f>
        <v>0</v>
      </c>
      <c r="L57" s="602">
        <f>Activity!$C56*Activity!$D56*Activity!N56</f>
        <v>0</v>
      </c>
      <c r="M57" s="600">
        <f>Activity!$C56*Activity!$D56*Activity!O56</f>
        <v>0</v>
      </c>
      <c r="N57" s="448">
        <v>0</v>
      </c>
      <c r="O57" s="602">
        <f>Activity!C56*Activity!D56</f>
        <v>0</v>
      </c>
      <c r="P57" s="609">
        <f>Activity!X56</f>
        <v>0</v>
      </c>
    </row>
    <row r="58" spans="2:16">
      <c r="B58" s="7">
        <f t="shared" si="1"/>
        <v>2044</v>
      </c>
      <c r="C58" s="601">
        <f>Activity!$C57*Activity!$D57*Activity!E57</f>
        <v>0</v>
      </c>
      <c r="D58" s="602">
        <f>Activity!$C57*Activity!$D57*Activity!F57</f>
        <v>0</v>
      </c>
      <c r="E58" s="600">
        <f>Activity!$C57*Activity!$D57*Activity!G57</f>
        <v>0</v>
      </c>
      <c r="F58" s="602">
        <f>Activity!$C57*Activity!$D57*Activity!H57</f>
        <v>0</v>
      </c>
      <c r="G58" s="602">
        <f>Activity!$C57*Activity!$D57*Activity!I57</f>
        <v>0</v>
      </c>
      <c r="H58" s="602">
        <f>Activity!$C57*Activity!$D57*Activity!J57</f>
        <v>0</v>
      </c>
      <c r="I58" s="602">
        <f>Activity!$C57*Activity!$D57*Activity!K57</f>
        <v>0</v>
      </c>
      <c r="J58" s="603">
        <f>Activity!$C57*Activity!$D57*Activity!L57</f>
        <v>0</v>
      </c>
      <c r="K58" s="602">
        <f>Activity!$C57*Activity!$D57*Activity!M57</f>
        <v>0</v>
      </c>
      <c r="L58" s="602">
        <f>Activity!$C57*Activity!$D57*Activity!N57</f>
        <v>0</v>
      </c>
      <c r="M58" s="600">
        <f>Activity!$C57*Activity!$D57*Activity!O57</f>
        <v>0</v>
      </c>
      <c r="N58" s="448">
        <v>0</v>
      </c>
      <c r="O58" s="602">
        <f>Activity!C57*Activity!D57</f>
        <v>0</v>
      </c>
      <c r="P58" s="609">
        <f>Activity!X57</f>
        <v>0</v>
      </c>
    </row>
    <row r="59" spans="2:16">
      <c r="B59" s="7">
        <f t="shared" si="1"/>
        <v>2045</v>
      </c>
      <c r="C59" s="601">
        <f>Activity!$C58*Activity!$D58*Activity!E58</f>
        <v>0</v>
      </c>
      <c r="D59" s="602">
        <f>Activity!$C58*Activity!$D58*Activity!F58</f>
        <v>0</v>
      </c>
      <c r="E59" s="600">
        <f>Activity!$C58*Activity!$D58*Activity!G58</f>
        <v>0</v>
      </c>
      <c r="F59" s="602">
        <f>Activity!$C58*Activity!$D58*Activity!H58</f>
        <v>0</v>
      </c>
      <c r="G59" s="602">
        <f>Activity!$C58*Activity!$D58*Activity!I58</f>
        <v>0</v>
      </c>
      <c r="H59" s="602">
        <f>Activity!$C58*Activity!$D58*Activity!J58</f>
        <v>0</v>
      </c>
      <c r="I59" s="602">
        <f>Activity!$C58*Activity!$D58*Activity!K58</f>
        <v>0</v>
      </c>
      <c r="J59" s="603">
        <f>Activity!$C58*Activity!$D58*Activity!L58</f>
        <v>0</v>
      </c>
      <c r="K59" s="602">
        <f>Activity!$C58*Activity!$D58*Activity!M58</f>
        <v>0</v>
      </c>
      <c r="L59" s="602">
        <f>Activity!$C58*Activity!$D58*Activity!N58</f>
        <v>0</v>
      </c>
      <c r="M59" s="600">
        <f>Activity!$C58*Activity!$D58*Activity!O58</f>
        <v>0</v>
      </c>
      <c r="N59" s="448">
        <v>0</v>
      </c>
      <c r="O59" s="602">
        <f>Activity!C58*Activity!D58</f>
        <v>0</v>
      </c>
      <c r="P59" s="609">
        <f>Activity!X58</f>
        <v>0</v>
      </c>
    </row>
    <row r="60" spans="2:16">
      <c r="B60" s="7">
        <f t="shared" si="1"/>
        <v>2046</v>
      </c>
      <c r="C60" s="601">
        <f>Activity!$C59*Activity!$D59*Activity!E59</f>
        <v>0</v>
      </c>
      <c r="D60" s="602">
        <f>Activity!$C59*Activity!$D59*Activity!F59</f>
        <v>0</v>
      </c>
      <c r="E60" s="600">
        <f>Activity!$C59*Activity!$D59*Activity!G59</f>
        <v>0</v>
      </c>
      <c r="F60" s="602">
        <f>Activity!$C59*Activity!$D59*Activity!H59</f>
        <v>0</v>
      </c>
      <c r="G60" s="602">
        <f>Activity!$C59*Activity!$D59*Activity!I59</f>
        <v>0</v>
      </c>
      <c r="H60" s="602">
        <f>Activity!$C59*Activity!$D59*Activity!J59</f>
        <v>0</v>
      </c>
      <c r="I60" s="602">
        <f>Activity!$C59*Activity!$D59*Activity!K59</f>
        <v>0</v>
      </c>
      <c r="J60" s="603">
        <f>Activity!$C59*Activity!$D59*Activity!L59</f>
        <v>0</v>
      </c>
      <c r="K60" s="602">
        <f>Activity!$C59*Activity!$D59*Activity!M59</f>
        <v>0</v>
      </c>
      <c r="L60" s="602">
        <f>Activity!$C59*Activity!$D59*Activity!N59</f>
        <v>0</v>
      </c>
      <c r="M60" s="600">
        <f>Activity!$C59*Activity!$D59*Activity!O59</f>
        <v>0</v>
      </c>
      <c r="N60" s="448">
        <v>0</v>
      </c>
      <c r="O60" s="602">
        <f>Activity!C59*Activity!D59</f>
        <v>0</v>
      </c>
      <c r="P60" s="609">
        <f>Activity!X59</f>
        <v>0</v>
      </c>
    </row>
    <row r="61" spans="2:16">
      <c r="B61" s="7">
        <f t="shared" si="1"/>
        <v>2047</v>
      </c>
      <c r="C61" s="601">
        <f>Activity!$C60*Activity!$D60*Activity!E60</f>
        <v>0</v>
      </c>
      <c r="D61" s="602">
        <f>Activity!$C60*Activity!$D60*Activity!F60</f>
        <v>0</v>
      </c>
      <c r="E61" s="600">
        <f>Activity!$C60*Activity!$D60*Activity!G60</f>
        <v>0</v>
      </c>
      <c r="F61" s="602">
        <f>Activity!$C60*Activity!$D60*Activity!H60</f>
        <v>0</v>
      </c>
      <c r="G61" s="602">
        <f>Activity!$C60*Activity!$D60*Activity!I60</f>
        <v>0</v>
      </c>
      <c r="H61" s="602">
        <f>Activity!$C60*Activity!$D60*Activity!J60</f>
        <v>0</v>
      </c>
      <c r="I61" s="602">
        <f>Activity!$C60*Activity!$D60*Activity!K60</f>
        <v>0</v>
      </c>
      <c r="J61" s="603">
        <f>Activity!$C60*Activity!$D60*Activity!L60</f>
        <v>0</v>
      </c>
      <c r="K61" s="602">
        <f>Activity!$C60*Activity!$D60*Activity!M60</f>
        <v>0</v>
      </c>
      <c r="L61" s="602">
        <f>Activity!$C60*Activity!$D60*Activity!N60</f>
        <v>0</v>
      </c>
      <c r="M61" s="600">
        <f>Activity!$C60*Activity!$D60*Activity!O60</f>
        <v>0</v>
      </c>
      <c r="N61" s="448">
        <v>0</v>
      </c>
      <c r="O61" s="602">
        <f>Activity!C60*Activity!D60</f>
        <v>0</v>
      </c>
      <c r="P61" s="609">
        <f>Activity!X60</f>
        <v>0</v>
      </c>
    </row>
    <row r="62" spans="2:16">
      <c r="B62" s="7">
        <f t="shared" si="1"/>
        <v>2048</v>
      </c>
      <c r="C62" s="601">
        <f>Activity!$C61*Activity!$D61*Activity!E61</f>
        <v>0</v>
      </c>
      <c r="D62" s="602">
        <f>Activity!$C61*Activity!$D61*Activity!F61</f>
        <v>0</v>
      </c>
      <c r="E62" s="600">
        <f>Activity!$C61*Activity!$D61*Activity!G61</f>
        <v>0</v>
      </c>
      <c r="F62" s="602">
        <f>Activity!$C61*Activity!$D61*Activity!H61</f>
        <v>0</v>
      </c>
      <c r="G62" s="602">
        <f>Activity!$C61*Activity!$D61*Activity!I61</f>
        <v>0</v>
      </c>
      <c r="H62" s="602">
        <f>Activity!$C61*Activity!$D61*Activity!J61</f>
        <v>0</v>
      </c>
      <c r="I62" s="602">
        <f>Activity!$C61*Activity!$D61*Activity!K61</f>
        <v>0</v>
      </c>
      <c r="J62" s="603">
        <f>Activity!$C61*Activity!$D61*Activity!L61</f>
        <v>0</v>
      </c>
      <c r="K62" s="602">
        <f>Activity!$C61*Activity!$D61*Activity!M61</f>
        <v>0</v>
      </c>
      <c r="L62" s="602">
        <f>Activity!$C61*Activity!$D61*Activity!N61</f>
        <v>0</v>
      </c>
      <c r="M62" s="600">
        <f>Activity!$C61*Activity!$D61*Activity!O61</f>
        <v>0</v>
      </c>
      <c r="N62" s="448">
        <v>0</v>
      </c>
      <c r="O62" s="602">
        <f>Activity!C61*Activity!D61</f>
        <v>0</v>
      </c>
      <c r="P62" s="609">
        <f>Activity!X61</f>
        <v>0</v>
      </c>
    </row>
    <row r="63" spans="2:16">
      <c r="B63" s="7">
        <f t="shared" si="1"/>
        <v>2049</v>
      </c>
      <c r="C63" s="601">
        <f>Activity!$C62*Activity!$D62*Activity!E62</f>
        <v>0</v>
      </c>
      <c r="D63" s="602">
        <f>Activity!$C62*Activity!$D62*Activity!F62</f>
        <v>0</v>
      </c>
      <c r="E63" s="600">
        <f>Activity!$C62*Activity!$D62*Activity!G62</f>
        <v>0</v>
      </c>
      <c r="F63" s="602">
        <f>Activity!$C62*Activity!$D62*Activity!H62</f>
        <v>0</v>
      </c>
      <c r="G63" s="602">
        <f>Activity!$C62*Activity!$D62*Activity!I62</f>
        <v>0</v>
      </c>
      <c r="H63" s="602">
        <f>Activity!$C62*Activity!$D62*Activity!J62</f>
        <v>0</v>
      </c>
      <c r="I63" s="602">
        <f>Activity!$C62*Activity!$D62*Activity!K62</f>
        <v>0</v>
      </c>
      <c r="J63" s="603">
        <f>Activity!$C62*Activity!$D62*Activity!L62</f>
        <v>0</v>
      </c>
      <c r="K63" s="602">
        <f>Activity!$C62*Activity!$D62*Activity!M62</f>
        <v>0</v>
      </c>
      <c r="L63" s="602">
        <f>Activity!$C62*Activity!$D62*Activity!N62</f>
        <v>0</v>
      </c>
      <c r="M63" s="600">
        <f>Activity!$C62*Activity!$D62*Activity!O62</f>
        <v>0</v>
      </c>
      <c r="N63" s="448">
        <v>0</v>
      </c>
      <c r="O63" s="602">
        <f>Activity!C62*Activity!D62</f>
        <v>0</v>
      </c>
      <c r="P63" s="609">
        <f>Activity!X62</f>
        <v>0</v>
      </c>
    </row>
    <row r="64" spans="2:16">
      <c r="B64" s="7">
        <f t="shared" si="1"/>
        <v>2050</v>
      </c>
      <c r="C64" s="601">
        <f>Activity!$C63*Activity!$D63*Activity!E63</f>
        <v>0</v>
      </c>
      <c r="D64" s="602">
        <f>Activity!$C63*Activity!$D63*Activity!F63</f>
        <v>0</v>
      </c>
      <c r="E64" s="600">
        <f>Activity!$C63*Activity!$D63*Activity!G63</f>
        <v>0</v>
      </c>
      <c r="F64" s="602">
        <f>Activity!$C63*Activity!$D63*Activity!H63</f>
        <v>0</v>
      </c>
      <c r="G64" s="602">
        <f>Activity!$C63*Activity!$D63*Activity!I63</f>
        <v>0</v>
      </c>
      <c r="H64" s="602">
        <f>Activity!$C63*Activity!$D63*Activity!J63</f>
        <v>0</v>
      </c>
      <c r="I64" s="602">
        <f>Activity!$C63*Activity!$D63*Activity!K63</f>
        <v>0</v>
      </c>
      <c r="J64" s="603">
        <f>Activity!$C63*Activity!$D63*Activity!L63</f>
        <v>0</v>
      </c>
      <c r="K64" s="602">
        <f>Activity!$C63*Activity!$D63*Activity!M63</f>
        <v>0</v>
      </c>
      <c r="L64" s="602">
        <f>Activity!$C63*Activity!$D63*Activity!N63</f>
        <v>0</v>
      </c>
      <c r="M64" s="600">
        <f>Activity!$C63*Activity!$D63*Activity!O63</f>
        <v>0</v>
      </c>
      <c r="N64" s="448">
        <v>0</v>
      </c>
      <c r="O64" s="602">
        <f>Activity!C63*Activity!D63</f>
        <v>0</v>
      </c>
      <c r="P64" s="609">
        <f>Activity!X63</f>
        <v>0</v>
      </c>
    </row>
    <row r="65" spans="2:16">
      <c r="B65" s="7">
        <f t="shared" si="1"/>
        <v>2051</v>
      </c>
      <c r="C65" s="601">
        <f>Activity!$C64*Activity!$D64*Activity!E64</f>
        <v>0</v>
      </c>
      <c r="D65" s="602">
        <f>Activity!$C64*Activity!$D64*Activity!F64</f>
        <v>0</v>
      </c>
      <c r="E65" s="600">
        <f>Activity!$C64*Activity!$D64*Activity!G64</f>
        <v>0</v>
      </c>
      <c r="F65" s="602">
        <f>Activity!$C64*Activity!$D64*Activity!H64</f>
        <v>0</v>
      </c>
      <c r="G65" s="602">
        <f>Activity!$C64*Activity!$D64*Activity!I64</f>
        <v>0</v>
      </c>
      <c r="H65" s="602">
        <f>Activity!$C64*Activity!$D64*Activity!J64</f>
        <v>0</v>
      </c>
      <c r="I65" s="602">
        <f>Activity!$C64*Activity!$D64*Activity!K64</f>
        <v>0</v>
      </c>
      <c r="J65" s="603">
        <f>Activity!$C64*Activity!$D64*Activity!L64</f>
        <v>0</v>
      </c>
      <c r="K65" s="602">
        <f>Activity!$C64*Activity!$D64*Activity!M64</f>
        <v>0</v>
      </c>
      <c r="L65" s="602">
        <f>Activity!$C64*Activity!$D64*Activity!N64</f>
        <v>0</v>
      </c>
      <c r="M65" s="600">
        <f>Activity!$C64*Activity!$D64*Activity!O64</f>
        <v>0</v>
      </c>
      <c r="N65" s="448">
        <v>0</v>
      </c>
      <c r="O65" s="602">
        <f>Activity!C64*Activity!D64</f>
        <v>0</v>
      </c>
      <c r="P65" s="609">
        <f>Activity!X64</f>
        <v>0</v>
      </c>
    </row>
    <row r="66" spans="2:16">
      <c r="B66" s="7">
        <f t="shared" si="1"/>
        <v>2052</v>
      </c>
      <c r="C66" s="601">
        <f>Activity!$C65*Activity!$D65*Activity!E65</f>
        <v>0</v>
      </c>
      <c r="D66" s="602">
        <f>Activity!$C65*Activity!$D65*Activity!F65</f>
        <v>0</v>
      </c>
      <c r="E66" s="600">
        <f>Activity!$C65*Activity!$D65*Activity!G65</f>
        <v>0</v>
      </c>
      <c r="F66" s="602">
        <f>Activity!$C65*Activity!$D65*Activity!H65</f>
        <v>0</v>
      </c>
      <c r="G66" s="602">
        <f>Activity!$C65*Activity!$D65*Activity!I65</f>
        <v>0</v>
      </c>
      <c r="H66" s="602">
        <f>Activity!$C65*Activity!$D65*Activity!J65</f>
        <v>0</v>
      </c>
      <c r="I66" s="602">
        <f>Activity!$C65*Activity!$D65*Activity!K65</f>
        <v>0</v>
      </c>
      <c r="J66" s="603">
        <f>Activity!$C65*Activity!$D65*Activity!L65</f>
        <v>0</v>
      </c>
      <c r="K66" s="602">
        <f>Activity!$C65*Activity!$D65*Activity!M65</f>
        <v>0</v>
      </c>
      <c r="L66" s="602">
        <f>Activity!$C65*Activity!$D65*Activity!N65</f>
        <v>0</v>
      </c>
      <c r="M66" s="600">
        <f>Activity!$C65*Activity!$D65*Activity!O65</f>
        <v>0</v>
      </c>
      <c r="N66" s="448">
        <v>0</v>
      </c>
      <c r="O66" s="602">
        <f>Activity!C65*Activity!D65</f>
        <v>0</v>
      </c>
      <c r="P66" s="609">
        <f>Activity!X65</f>
        <v>0</v>
      </c>
    </row>
    <row r="67" spans="2:16">
      <c r="B67" s="7">
        <f t="shared" si="1"/>
        <v>2053</v>
      </c>
      <c r="C67" s="601">
        <f>Activity!$C66*Activity!$D66*Activity!E66</f>
        <v>0</v>
      </c>
      <c r="D67" s="602">
        <f>Activity!$C66*Activity!$D66*Activity!F66</f>
        <v>0</v>
      </c>
      <c r="E67" s="600">
        <f>Activity!$C66*Activity!$D66*Activity!G66</f>
        <v>0</v>
      </c>
      <c r="F67" s="602">
        <f>Activity!$C66*Activity!$D66*Activity!H66</f>
        <v>0</v>
      </c>
      <c r="G67" s="602">
        <f>Activity!$C66*Activity!$D66*Activity!I66</f>
        <v>0</v>
      </c>
      <c r="H67" s="602">
        <f>Activity!$C66*Activity!$D66*Activity!J66</f>
        <v>0</v>
      </c>
      <c r="I67" s="602">
        <f>Activity!$C66*Activity!$D66*Activity!K66</f>
        <v>0</v>
      </c>
      <c r="J67" s="603">
        <f>Activity!$C66*Activity!$D66*Activity!L66</f>
        <v>0</v>
      </c>
      <c r="K67" s="602">
        <f>Activity!$C66*Activity!$D66*Activity!M66</f>
        <v>0</v>
      </c>
      <c r="L67" s="602">
        <f>Activity!$C66*Activity!$D66*Activity!N66</f>
        <v>0</v>
      </c>
      <c r="M67" s="600">
        <f>Activity!$C66*Activity!$D66*Activity!O66</f>
        <v>0</v>
      </c>
      <c r="N67" s="448">
        <v>0</v>
      </c>
      <c r="O67" s="602">
        <f>Activity!C66*Activity!D66</f>
        <v>0</v>
      </c>
      <c r="P67" s="609">
        <f>Activity!X66</f>
        <v>0</v>
      </c>
    </row>
    <row r="68" spans="2:16">
      <c r="B68" s="7">
        <f t="shared" si="1"/>
        <v>2054</v>
      </c>
      <c r="C68" s="601">
        <f>Activity!$C67*Activity!$D67*Activity!E67</f>
        <v>0</v>
      </c>
      <c r="D68" s="602">
        <f>Activity!$C67*Activity!$D67*Activity!F67</f>
        <v>0</v>
      </c>
      <c r="E68" s="600">
        <f>Activity!$C67*Activity!$D67*Activity!G67</f>
        <v>0</v>
      </c>
      <c r="F68" s="602">
        <f>Activity!$C67*Activity!$D67*Activity!H67</f>
        <v>0</v>
      </c>
      <c r="G68" s="602">
        <f>Activity!$C67*Activity!$D67*Activity!I67</f>
        <v>0</v>
      </c>
      <c r="H68" s="602">
        <f>Activity!$C67*Activity!$D67*Activity!J67</f>
        <v>0</v>
      </c>
      <c r="I68" s="602">
        <f>Activity!$C67*Activity!$D67*Activity!K67</f>
        <v>0</v>
      </c>
      <c r="J68" s="603">
        <f>Activity!$C67*Activity!$D67*Activity!L67</f>
        <v>0</v>
      </c>
      <c r="K68" s="602">
        <f>Activity!$C67*Activity!$D67*Activity!M67</f>
        <v>0</v>
      </c>
      <c r="L68" s="602">
        <f>Activity!$C67*Activity!$D67*Activity!N67</f>
        <v>0</v>
      </c>
      <c r="M68" s="600">
        <f>Activity!$C67*Activity!$D67*Activity!O67</f>
        <v>0</v>
      </c>
      <c r="N68" s="448">
        <v>0</v>
      </c>
      <c r="O68" s="602">
        <f>Activity!C67*Activity!D67</f>
        <v>0</v>
      </c>
      <c r="P68" s="609">
        <f>Activity!X67</f>
        <v>0</v>
      </c>
    </row>
    <row r="69" spans="2:16">
      <c r="B69" s="7">
        <f t="shared" si="1"/>
        <v>2055</v>
      </c>
      <c r="C69" s="601">
        <f>Activity!$C68*Activity!$D68*Activity!E68</f>
        <v>0</v>
      </c>
      <c r="D69" s="602">
        <f>Activity!$C68*Activity!$D68*Activity!F68</f>
        <v>0</v>
      </c>
      <c r="E69" s="600">
        <f>Activity!$C68*Activity!$D68*Activity!G68</f>
        <v>0</v>
      </c>
      <c r="F69" s="602">
        <f>Activity!$C68*Activity!$D68*Activity!H68</f>
        <v>0</v>
      </c>
      <c r="G69" s="602">
        <f>Activity!$C68*Activity!$D68*Activity!I68</f>
        <v>0</v>
      </c>
      <c r="H69" s="602">
        <f>Activity!$C68*Activity!$D68*Activity!J68</f>
        <v>0</v>
      </c>
      <c r="I69" s="602">
        <f>Activity!$C68*Activity!$D68*Activity!K68</f>
        <v>0</v>
      </c>
      <c r="J69" s="603">
        <f>Activity!$C68*Activity!$D68*Activity!L68</f>
        <v>0</v>
      </c>
      <c r="K69" s="602">
        <f>Activity!$C68*Activity!$D68*Activity!M68</f>
        <v>0</v>
      </c>
      <c r="L69" s="602">
        <f>Activity!$C68*Activity!$D68*Activity!N68</f>
        <v>0</v>
      </c>
      <c r="M69" s="600">
        <f>Activity!$C68*Activity!$D68*Activity!O68</f>
        <v>0</v>
      </c>
      <c r="N69" s="448">
        <v>0</v>
      </c>
      <c r="O69" s="602">
        <f>Activity!C68*Activity!D68</f>
        <v>0</v>
      </c>
      <c r="P69" s="609">
        <f>Activity!X68</f>
        <v>0</v>
      </c>
    </row>
    <row r="70" spans="2:16">
      <c r="B70" s="7">
        <f t="shared" si="1"/>
        <v>2056</v>
      </c>
      <c r="C70" s="601">
        <f>Activity!$C69*Activity!$D69*Activity!E69</f>
        <v>0</v>
      </c>
      <c r="D70" s="602">
        <f>Activity!$C69*Activity!$D69*Activity!F69</f>
        <v>0</v>
      </c>
      <c r="E70" s="600">
        <f>Activity!$C69*Activity!$D69*Activity!G69</f>
        <v>0</v>
      </c>
      <c r="F70" s="602">
        <f>Activity!$C69*Activity!$D69*Activity!H69</f>
        <v>0</v>
      </c>
      <c r="G70" s="602">
        <f>Activity!$C69*Activity!$D69*Activity!I69</f>
        <v>0</v>
      </c>
      <c r="H70" s="602">
        <f>Activity!$C69*Activity!$D69*Activity!J69</f>
        <v>0</v>
      </c>
      <c r="I70" s="602">
        <f>Activity!$C69*Activity!$D69*Activity!K69</f>
        <v>0</v>
      </c>
      <c r="J70" s="603">
        <f>Activity!$C69*Activity!$D69*Activity!L69</f>
        <v>0</v>
      </c>
      <c r="K70" s="602">
        <f>Activity!$C69*Activity!$D69*Activity!M69</f>
        <v>0</v>
      </c>
      <c r="L70" s="602">
        <f>Activity!$C69*Activity!$D69*Activity!N69</f>
        <v>0</v>
      </c>
      <c r="M70" s="600">
        <f>Activity!$C69*Activity!$D69*Activity!O69</f>
        <v>0</v>
      </c>
      <c r="N70" s="448">
        <v>0</v>
      </c>
      <c r="O70" s="602">
        <f>Activity!C69*Activity!D69</f>
        <v>0</v>
      </c>
      <c r="P70" s="609">
        <f>Activity!X69</f>
        <v>0</v>
      </c>
    </row>
    <row r="71" spans="2:16">
      <c r="B71" s="7">
        <f t="shared" si="1"/>
        <v>2057</v>
      </c>
      <c r="C71" s="601">
        <f>Activity!$C70*Activity!$D70*Activity!E70</f>
        <v>0</v>
      </c>
      <c r="D71" s="602">
        <f>Activity!$C70*Activity!$D70*Activity!F70</f>
        <v>0</v>
      </c>
      <c r="E71" s="600">
        <f>Activity!$C70*Activity!$D70*Activity!G70</f>
        <v>0</v>
      </c>
      <c r="F71" s="602">
        <f>Activity!$C70*Activity!$D70*Activity!H70</f>
        <v>0</v>
      </c>
      <c r="G71" s="602">
        <f>Activity!$C70*Activity!$D70*Activity!I70</f>
        <v>0</v>
      </c>
      <c r="H71" s="602">
        <f>Activity!$C70*Activity!$D70*Activity!J70</f>
        <v>0</v>
      </c>
      <c r="I71" s="602">
        <f>Activity!$C70*Activity!$D70*Activity!K70</f>
        <v>0</v>
      </c>
      <c r="J71" s="603">
        <f>Activity!$C70*Activity!$D70*Activity!L70</f>
        <v>0</v>
      </c>
      <c r="K71" s="602">
        <f>Activity!$C70*Activity!$D70*Activity!M70</f>
        <v>0</v>
      </c>
      <c r="L71" s="602">
        <f>Activity!$C70*Activity!$D70*Activity!N70</f>
        <v>0</v>
      </c>
      <c r="M71" s="600">
        <f>Activity!$C70*Activity!$D70*Activity!O70</f>
        <v>0</v>
      </c>
      <c r="N71" s="448">
        <v>0</v>
      </c>
      <c r="O71" s="602">
        <f>Activity!C70*Activity!D70</f>
        <v>0</v>
      </c>
      <c r="P71" s="609">
        <f>Activity!X70</f>
        <v>0</v>
      </c>
    </row>
    <row r="72" spans="2:16">
      <c r="B72" s="7">
        <f t="shared" si="1"/>
        <v>2058</v>
      </c>
      <c r="C72" s="601">
        <f>Activity!$C71*Activity!$D71*Activity!E71</f>
        <v>0</v>
      </c>
      <c r="D72" s="602">
        <f>Activity!$C71*Activity!$D71*Activity!F71</f>
        <v>0</v>
      </c>
      <c r="E72" s="600">
        <f>Activity!$C71*Activity!$D71*Activity!G71</f>
        <v>0</v>
      </c>
      <c r="F72" s="602">
        <f>Activity!$C71*Activity!$D71*Activity!H71</f>
        <v>0</v>
      </c>
      <c r="G72" s="602">
        <f>Activity!$C71*Activity!$D71*Activity!I71</f>
        <v>0</v>
      </c>
      <c r="H72" s="602">
        <f>Activity!$C71*Activity!$D71*Activity!J71</f>
        <v>0</v>
      </c>
      <c r="I72" s="602">
        <f>Activity!$C71*Activity!$D71*Activity!K71</f>
        <v>0</v>
      </c>
      <c r="J72" s="603">
        <f>Activity!$C71*Activity!$D71*Activity!L71</f>
        <v>0</v>
      </c>
      <c r="K72" s="602">
        <f>Activity!$C71*Activity!$D71*Activity!M71</f>
        <v>0</v>
      </c>
      <c r="L72" s="602">
        <f>Activity!$C71*Activity!$D71*Activity!N71</f>
        <v>0</v>
      </c>
      <c r="M72" s="600">
        <f>Activity!$C71*Activity!$D71*Activity!O71</f>
        <v>0</v>
      </c>
      <c r="N72" s="448">
        <v>0</v>
      </c>
      <c r="O72" s="602">
        <f>Activity!C71*Activity!D71</f>
        <v>0</v>
      </c>
      <c r="P72" s="609">
        <f>Activity!X71</f>
        <v>0</v>
      </c>
    </row>
    <row r="73" spans="2:16">
      <c r="B73" s="7">
        <f t="shared" si="1"/>
        <v>2059</v>
      </c>
      <c r="C73" s="601">
        <f>Activity!$C72*Activity!$D72*Activity!E72</f>
        <v>0</v>
      </c>
      <c r="D73" s="602">
        <f>Activity!$C72*Activity!$D72*Activity!F72</f>
        <v>0</v>
      </c>
      <c r="E73" s="600">
        <f>Activity!$C72*Activity!$D72*Activity!G72</f>
        <v>0</v>
      </c>
      <c r="F73" s="602">
        <f>Activity!$C72*Activity!$D72*Activity!H72</f>
        <v>0</v>
      </c>
      <c r="G73" s="602">
        <f>Activity!$C72*Activity!$D72*Activity!I72</f>
        <v>0</v>
      </c>
      <c r="H73" s="602">
        <f>Activity!$C72*Activity!$D72*Activity!J72</f>
        <v>0</v>
      </c>
      <c r="I73" s="602">
        <f>Activity!$C72*Activity!$D72*Activity!K72</f>
        <v>0</v>
      </c>
      <c r="J73" s="603">
        <f>Activity!$C72*Activity!$D72*Activity!L72</f>
        <v>0</v>
      </c>
      <c r="K73" s="602">
        <f>Activity!$C72*Activity!$D72*Activity!M72</f>
        <v>0</v>
      </c>
      <c r="L73" s="602">
        <f>Activity!$C72*Activity!$D72*Activity!N72</f>
        <v>0</v>
      </c>
      <c r="M73" s="600">
        <f>Activity!$C72*Activity!$D72*Activity!O72</f>
        <v>0</v>
      </c>
      <c r="N73" s="448">
        <v>0</v>
      </c>
      <c r="O73" s="602">
        <f>Activity!C72*Activity!D72</f>
        <v>0</v>
      </c>
      <c r="P73" s="609">
        <f>Activity!X72</f>
        <v>0</v>
      </c>
    </row>
    <row r="74" spans="2:16">
      <c r="B74" s="7">
        <f t="shared" si="1"/>
        <v>2060</v>
      </c>
      <c r="C74" s="601">
        <f>Activity!$C73*Activity!$D73*Activity!E73</f>
        <v>0</v>
      </c>
      <c r="D74" s="602">
        <f>Activity!$C73*Activity!$D73*Activity!F73</f>
        <v>0</v>
      </c>
      <c r="E74" s="600">
        <f>Activity!$C73*Activity!$D73*Activity!G73</f>
        <v>0</v>
      </c>
      <c r="F74" s="602">
        <f>Activity!$C73*Activity!$D73*Activity!H73</f>
        <v>0</v>
      </c>
      <c r="G74" s="602">
        <f>Activity!$C73*Activity!$D73*Activity!I73</f>
        <v>0</v>
      </c>
      <c r="H74" s="602">
        <f>Activity!$C73*Activity!$D73*Activity!J73</f>
        <v>0</v>
      </c>
      <c r="I74" s="602">
        <f>Activity!$C73*Activity!$D73*Activity!K73</f>
        <v>0</v>
      </c>
      <c r="J74" s="603">
        <f>Activity!$C73*Activity!$D73*Activity!L73</f>
        <v>0</v>
      </c>
      <c r="K74" s="602">
        <f>Activity!$C73*Activity!$D73*Activity!M73</f>
        <v>0</v>
      </c>
      <c r="L74" s="602">
        <f>Activity!$C73*Activity!$D73*Activity!N73</f>
        <v>0</v>
      </c>
      <c r="M74" s="600">
        <f>Activity!$C73*Activity!$D73*Activity!O73</f>
        <v>0</v>
      </c>
      <c r="N74" s="448">
        <v>0</v>
      </c>
      <c r="O74" s="602">
        <f>Activity!C73*Activity!D73</f>
        <v>0</v>
      </c>
      <c r="P74" s="609">
        <f>Activity!X73</f>
        <v>0</v>
      </c>
    </row>
    <row r="75" spans="2:16">
      <c r="B75" s="7">
        <f t="shared" si="1"/>
        <v>2061</v>
      </c>
      <c r="C75" s="601">
        <f>Activity!$C74*Activity!$D74*Activity!E74</f>
        <v>0</v>
      </c>
      <c r="D75" s="602">
        <f>Activity!$C74*Activity!$D74*Activity!F74</f>
        <v>0</v>
      </c>
      <c r="E75" s="600">
        <f>Activity!$C74*Activity!$D74*Activity!G74</f>
        <v>0</v>
      </c>
      <c r="F75" s="602">
        <f>Activity!$C74*Activity!$D74*Activity!H74</f>
        <v>0</v>
      </c>
      <c r="G75" s="602">
        <f>Activity!$C74*Activity!$D74*Activity!I74</f>
        <v>0</v>
      </c>
      <c r="H75" s="602">
        <f>Activity!$C74*Activity!$D74*Activity!J74</f>
        <v>0</v>
      </c>
      <c r="I75" s="602">
        <f>Activity!$C74*Activity!$D74*Activity!K74</f>
        <v>0</v>
      </c>
      <c r="J75" s="603">
        <f>Activity!$C74*Activity!$D74*Activity!L74</f>
        <v>0</v>
      </c>
      <c r="K75" s="602">
        <f>Activity!$C74*Activity!$D74*Activity!M74</f>
        <v>0</v>
      </c>
      <c r="L75" s="602">
        <f>Activity!$C74*Activity!$D74*Activity!N74</f>
        <v>0</v>
      </c>
      <c r="M75" s="600">
        <f>Activity!$C74*Activity!$D74*Activity!O74</f>
        <v>0</v>
      </c>
      <c r="N75" s="448">
        <v>0</v>
      </c>
      <c r="O75" s="602">
        <f>Activity!C74*Activity!D74</f>
        <v>0</v>
      </c>
      <c r="P75" s="609">
        <f>Activity!X74</f>
        <v>0</v>
      </c>
    </row>
    <row r="76" spans="2:16">
      <c r="B76" s="7">
        <f t="shared" si="1"/>
        <v>2062</v>
      </c>
      <c r="C76" s="601">
        <f>Activity!$C75*Activity!$D75*Activity!E75</f>
        <v>0</v>
      </c>
      <c r="D76" s="602">
        <f>Activity!$C75*Activity!$D75*Activity!F75</f>
        <v>0</v>
      </c>
      <c r="E76" s="600">
        <f>Activity!$C75*Activity!$D75*Activity!G75</f>
        <v>0</v>
      </c>
      <c r="F76" s="602">
        <f>Activity!$C75*Activity!$D75*Activity!H75</f>
        <v>0</v>
      </c>
      <c r="G76" s="602">
        <f>Activity!$C75*Activity!$D75*Activity!I75</f>
        <v>0</v>
      </c>
      <c r="H76" s="602">
        <f>Activity!$C75*Activity!$D75*Activity!J75</f>
        <v>0</v>
      </c>
      <c r="I76" s="602">
        <f>Activity!$C75*Activity!$D75*Activity!K75</f>
        <v>0</v>
      </c>
      <c r="J76" s="603">
        <f>Activity!$C75*Activity!$D75*Activity!L75</f>
        <v>0</v>
      </c>
      <c r="K76" s="602">
        <f>Activity!$C75*Activity!$D75*Activity!M75</f>
        <v>0</v>
      </c>
      <c r="L76" s="602">
        <f>Activity!$C75*Activity!$D75*Activity!N75</f>
        <v>0</v>
      </c>
      <c r="M76" s="600">
        <f>Activity!$C75*Activity!$D75*Activity!O75</f>
        <v>0</v>
      </c>
      <c r="N76" s="448">
        <v>0</v>
      </c>
      <c r="O76" s="602">
        <f>Activity!C75*Activity!D75</f>
        <v>0</v>
      </c>
      <c r="P76" s="609">
        <f>Activity!X75</f>
        <v>0</v>
      </c>
    </row>
    <row r="77" spans="2:16">
      <c r="B77" s="7">
        <f t="shared" si="1"/>
        <v>2063</v>
      </c>
      <c r="C77" s="601">
        <f>Activity!$C76*Activity!$D76*Activity!E76</f>
        <v>0</v>
      </c>
      <c r="D77" s="602">
        <f>Activity!$C76*Activity!$D76*Activity!F76</f>
        <v>0</v>
      </c>
      <c r="E77" s="600">
        <f>Activity!$C76*Activity!$D76*Activity!G76</f>
        <v>0</v>
      </c>
      <c r="F77" s="602">
        <f>Activity!$C76*Activity!$D76*Activity!H76</f>
        <v>0</v>
      </c>
      <c r="G77" s="602">
        <f>Activity!$C76*Activity!$D76*Activity!I76</f>
        <v>0</v>
      </c>
      <c r="H77" s="602">
        <f>Activity!$C76*Activity!$D76*Activity!J76</f>
        <v>0</v>
      </c>
      <c r="I77" s="602">
        <f>Activity!$C76*Activity!$D76*Activity!K76</f>
        <v>0</v>
      </c>
      <c r="J77" s="603">
        <f>Activity!$C76*Activity!$D76*Activity!L76</f>
        <v>0</v>
      </c>
      <c r="K77" s="602">
        <f>Activity!$C76*Activity!$D76*Activity!M76</f>
        <v>0</v>
      </c>
      <c r="L77" s="602">
        <f>Activity!$C76*Activity!$D76*Activity!N76</f>
        <v>0</v>
      </c>
      <c r="M77" s="600">
        <f>Activity!$C76*Activity!$D76*Activity!O76</f>
        <v>0</v>
      </c>
      <c r="N77" s="448">
        <v>0</v>
      </c>
      <c r="O77" s="602">
        <f>Activity!C76*Activity!D76</f>
        <v>0</v>
      </c>
      <c r="P77" s="609">
        <f>Activity!X76</f>
        <v>0</v>
      </c>
    </row>
    <row r="78" spans="2:16">
      <c r="B78" s="7">
        <f t="shared" si="1"/>
        <v>2064</v>
      </c>
      <c r="C78" s="601">
        <f>Activity!$C77*Activity!$D77*Activity!E77</f>
        <v>0</v>
      </c>
      <c r="D78" s="602">
        <f>Activity!$C77*Activity!$D77*Activity!F77</f>
        <v>0</v>
      </c>
      <c r="E78" s="600">
        <f>Activity!$C77*Activity!$D77*Activity!G77</f>
        <v>0</v>
      </c>
      <c r="F78" s="602">
        <f>Activity!$C77*Activity!$D77*Activity!H77</f>
        <v>0</v>
      </c>
      <c r="G78" s="602">
        <f>Activity!$C77*Activity!$D77*Activity!I77</f>
        <v>0</v>
      </c>
      <c r="H78" s="602">
        <f>Activity!$C77*Activity!$D77*Activity!J77</f>
        <v>0</v>
      </c>
      <c r="I78" s="602">
        <f>Activity!$C77*Activity!$D77*Activity!K77</f>
        <v>0</v>
      </c>
      <c r="J78" s="603">
        <f>Activity!$C77*Activity!$D77*Activity!L77</f>
        <v>0</v>
      </c>
      <c r="K78" s="602">
        <f>Activity!$C77*Activity!$D77*Activity!M77</f>
        <v>0</v>
      </c>
      <c r="L78" s="602">
        <f>Activity!$C77*Activity!$D77*Activity!N77</f>
        <v>0</v>
      </c>
      <c r="M78" s="600">
        <f>Activity!$C77*Activity!$D77*Activity!O77</f>
        <v>0</v>
      </c>
      <c r="N78" s="448">
        <v>0</v>
      </c>
      <c r="O78" s="602">
        <f>Activity!C77*Activity!D77</f>
        <v>0</v>
      </c>
      <c r="P78" s="609">
        <f>Activity!X77</f>
        <v>0</v>
      </c>
    </row>
    <row r="79" spans="2:16">
      <c r="B79" s="7">
        <f t="shared" si="1"/>
        <v>2065</v>
      </c>
      <c r="C79" s="601">
        <f>Activity!$C78*Activity!$D78*Activity!E78</f>
        <v>0</v>
      </c>
      <c r="D79" s="602">
        <f>Activity!$C78*Activity!$D78*Activity!F78</f>
        <v>0</v>
      </c>
      <c r="E79" s="600">
        <f>Activity!$C78*Activity!$D78*Activity!G78</f>
        <v>0</v>
      </c>
      <c r="F79" s="602">
        <f>Activity!$C78*Activity!$D78*Activity!H78</f>
        <v>0</v>
      </c>
      <c r="G79" s="602">
        <f>Activity!$C78*Activity!$D78*Activity!I78</f>
        <v>0</v>
      </c>
      <c r="H79" s="602">
        <f>Activity!$C78*Activity!$D78*Activity!J78</f>
        <v>0</v>
      </c>
      <c r="I79" s="602">
        <f>Activity!$C78*Activity!$D78*Activity!K78</f>
        <v>0</v>
      </c>
      <c r="J79" s="603">
        <f>Activity!$C78*Activity!$D78*Activity!L78</f>
        <v>0</v>
      </c>
      <c r="K79" s="602">
        <f>Activity!$C78*Activity!$D78*Activity!M78</f>
        <v>0</v>
      </c>
      <c r="L79" s="602">
        <f>Activity!$C78*Activity!$D78*Activity!N78</f>
        <v>0</v>
      </c>
      <c r="M79" s="600">
        <f>Activity!$C78*Activity!$D78*Activity!O78</f>
        <v>0</v>
      </c>
      <c r="N79" s="448">
        <v>0</v>
      </c>
      <c r="O79" s="602">
        <f>Activity!C78*Activity!D78</f>
        <v>0</v>
      </c>
      <c r="P79" s="609">
        <f>Activity!X78</f>
        <v>0</v>
      </c>
    </row>
    <row r="80" spans="2:16">
      <c r="B80" s="7">
        <f t="shared" si="1"/>
        <v>2066</v>
      </c>
      <c r="C80" s="601">
        <f>Activity!$C79*Activity!$D79*Activity!E79</f>
        <v>0</v>
      </c>
      <c r="D80" s="602">
        <f>Activity!$C79*Activity!$D79*Activity!F79</f>
        <v>0</v>
      </c>
      <c r="E80" s="600">
        <f>Activity!$C79*Activity!$D79*Activity!G79</f>
        <v>0</v>
      </c>
      <c r="F80" s="602">
        <f>Activity!$C79*Activity!$D79*Activity!H79</f>
        <v>0</v>
      </c>
      <c r="G80" s="602">
        <f>Activity!$C79*Activity!$D79*Activity!I79</f>
        <v>0</v>
      </c>
      <c r="H80" s="602">
        <f>Activity!$C79*Activity!$D79*Activity!J79</f>
        <v>0</v>
      </c>
      <c r="I80" s="602">
        <f>Activity!$C79*Activity!$D79*Activity!K79</f>
        <v>0</v>
      </c>
      <c r="J80" s="603">
        <f>Activity!$C79*Activity!$D79*Activity!L79</f>
        <v>0</v>
      </c>
      <c r="K80" s="602">
        <f>Activity!$C79*Activity!$D79*Activity!M79</f>
        <v>0</v>
      </c>
      <c r="L80" s="602">
        <f>Activity!$C79*Activity!$D79*Activity!N79</f>
        <v>0</v>
      </c>
      <c r="M80" s="600">
        <f>Activity!$C79*Activity!$D79*Activity!O79</f>
        <v>0</v>
      </c>
      <c r="N80" s="448">
        <v>0</v>
      </c>
      <c r="O80" s="602">
        <f>Activity!C79*Activity!D79</f>
        <v>0</v>
      </c>
      <c r="P80" s="609">
        <f>Activity!X79</f>
        <v>0</v>
      </c>
    </row>
    <row r="81" spans="2:16">
      <c r="B81" s="7">
        <f t="shared" si="1"/>
        <v>2067</v>
      </c>
      <c r="C81" s="601">
        <f>Activity!$C80*Activity!$D80*Activity!E80</f>
        <v>0</v>
      </c>
      <c r="D81" s="602">
        <f>Activity!$C80*Activity!$D80*Activity!F80</f>
        <v>0</v>
      </c>
      <c r="E81" s="600">
        <f>Activity!$C80*Activity!$D80*Activity!G80</f>
        <v>0</v>
      </c>
      <c r="F81" s="602">
        <f>Activity!$C80*Activity!$D80*Activity!H80</f>
        <v>0</v>
      </c>
      <c r="G81" s="602">
        <f>Activity!$C80*Activity!$D80*Activity!I80</f>
        <v>0</v>
      </c>
      <c r="H81" s="602">
        <f>Activity!$C80*Activity!$D80*Activity!J80</f>
        <v>0</v>
      </c>
      <c r="I81" s="602">
        <f>Activity!$C80*Activity!$D80*Activity!K80</f>
        <v>0</v>
      </c>
      <c r="J81" s="603">
        <f>Activity!$C80*Activity!$D80*Activity!L80</f>
        <v>0</v>
      </c>
      <c r="K81" s="602">
        <f>Activity!$C80*Activity!$D80*Activity!M80</f>
        <v>0</v>
      </c>
      <c r="L81" s="602">
        <f>Activity!$C80*Activity!$D80*Activity!N80</f>
        <v>0</v>
      </c>
      <c r="M81" s="600">
        <f>Activity!$C80*Activity!$D80*Activity!O80</f>
        <v>0</v>
      </c>
      <c r="N81" s="448">
        <v>0</v>
      </c>
      <c r="O81" s="602">
        <f>Activity!C80*Activity!D80</f>
        <v>0</v>
      </c>
      <c r="P81" s="609">
        <f>Activity!X80</f>
        <v>0</v>
      </c>
    </row>
    <row r="82" spans="2:16">
      <c r="B82" s="7">
        <f t="shared" si="1"/>
        <v>2068</v>
      </c>
      <c r="C82" s="601">
        <f>Activity!$C81*Activity!$D81*Activity!E81</f>
        <v>0</v>
      </c>
      <c r="D82" s="602">
        <f>Activity!$C81*Activity!$D81*Activity!F81</f>
        <v>0</v>
      </c>
      <c r="E82" s="600">
        <f>Activity!$C81*Activity!$D81*Activity!G81</f>
        <v>0</v>
      </c>
      <c r="F82" s="602">
        <f>Activity!$C81*Activity!$D81*Activity!H81</f>
        <v>0</v>
      </c>
      <c r="G82" s="602">
        <f>Activity!$C81*Activity!$D81*Activity!I81</f>
        <v>0</v>
      </c>
      <c r="H82" s="602">
        <f>Activity!$C81*Activity!$D81*Activity!J81</f>
        <v>0</v>
      </c>
      <c r="I82" s="602">
        <f>Activity!$C81*Activity!$D81*Activity!K81</f>
        <v>0</v>
      </c>
      <c r="J82" s="603">
        <f>Activity!$C81*Activity!$D81*Activity!L81</f>
        <v>0</v>
      </c>
      <c r="K82" s="602">
        <f>Activity!$C81*Activity!$D81*Activity!M81</f>
        <v>0</v>
      </c>
      <c r="L82" s="602">
        <f>Activity!$C81*Activity!$D81*Activity!N81</f>
        <v>0</v>
      </c>
      <c r="M82" s="600">
        <f>Activity!$C81*Activity!$D81*Activity!O81</f>
        <v>0</v>
      </c>
      <c r="N82" s="448">
        <v>0</v>
      </c>
      <c r="O82" s="602">
        <f>Activity!C81*Activity!D81</f>
        <v>0</v>
      </c>
      <c r="P82" s="609">
        <f>Activity!X81</f>
        <v>0</v>
      </c>
    </row>
    <row r="83" spans="2:16">
      <c r="B83" s="7">
        <f t="shared" si="1"/>
        <v>2069</v>
      </c>
      <c r="C83" s="601">
        <f>Activity!$C82*Activity!$D82*Activity!E82</f>
        <v>0</v>
      </c>
      <c r="D83" s="602">
        <f>Activity!$C82*Activity!$D82*Activity!F82</f>
        <v>0</v>
      </c>
      <c r="E83" s="600">
        <f>Activity!$C82*Activity!$D82*Activity!G82</f>
        <v>0</v>
      </c>
      <c r="F83" s="602">
        <f>Activity!$C82*Activity!$D82*Activity!H82</f>
        <v>0</v>
      </c>
      <c r="G83" s="602">
        <f>Activity!$C82*Activity!$D82*Activity!I82</f>
        <v>0</v>
      </c>
      <c r="H83" s="602">
        <f>Activity!$C82*Activity!$D82*Activity!J82</f>
        <v>0</v>
      </c>
      <c r="I83" s="602">
        <f>Activity!$C82*Activity!$D82*Activity!K82</f>
        <v>0</v>
      </c>
      <c r="J83" s="603">
        <f>Activity!$C82*Activity!$D82*Activity!L82</f>
        <v>0</v>
      </c>
      <c r="K83" s="602">
        <f>Activity!$C82*Activity!$D82*Activity!M82</f>
        <v>0</v>
      </c>
      <c r="L83" s="602">
        <f>Activity!$C82*Activity!$D82*Activity!N82</f>
        <v>0</v>
      </c>
      <c r="M83" s="600">
        <f>Activity!$C82*Activity!$D82*Activity!O82</f>
        <v>0</v>
      </c>
      <c r="N83" s="448">
        <v>0</v>
      </c>
      <c r="O83" s="602">
        <f>Activity!C82*Activity!D82</f>
        <v>0</v>
      </c>
      <c r="P83" s="609">
        <f>Activity!X82</f>
        <v>0</v>
      </c>
    </row>
    <row r="84" spans="2:16">
      <c r="B84" s="7">
        <f t="shared" si="1"/>
        <v>2070</v>
      </c>
      <c r="C84" s="601">
        <f>Activity!$C83*Activity!$D83*Activity!E83</f>
        <v>0</v>
      </c>
      <c r="D84" s="602">
        <f>Activity!$C83*Activity!$D83*Activity!F83</f>
        <v>0</v>
      </c>
      <c r="E84" s="600">
        <f>Activity!$C83*Activity!$D83*Activity!G83</f>
        <v>0</v>
      </c>
      <c r="F84" s="602">
        <f>Activity!$C83*Activity!$D83*Activity!H83</f>
        <v>0</v>
      </c>
      <c r="G84" s="602">
        <f>Activity!$C83*Activity!$D83*Activity!I83</f>
        <v>0</v>
      </c>
      <c r="H84" s="602">
        <f>Activity!$C83*Activity!$D83*Activity!J83</f>
        <v>0</v>
      </c>
      <c r="I84" s="602">
        <f>Activity!$C83*Activity!$D83*Activity!K83</f>
        <v>0</v>
      </c>
      <c r="J84" s="603">
        <f>Activity!$C83*Activity!$D83*Activity!L83</f>
        <v>0</v>
      </c>
      <c r="K84" s="602">
        <f>Activity!$C83*Activity!$D83*Activity!M83</f>
        <v>0</v>
      </c>
      <c r="L84" s="602">
        <f>Activity!$C83*Activity!$D83*Activity!N83</f>
        <v>0</v>
      </c>
      <c r="M84" s="600">
        <f>Activity!$C83*Activity!$D83*Activity!O83</f>
        <v>0</v>
      </c>
      <c r="N84" s="448">
        <v>0</v>
      </c>
      <c r="O84" s="602">
        <f>Activity!C83*Activity!D83</f>
        <v>0</v>
      </c>
      <c r="P84" s="609">
        <f>Activity!X83</f>
        <v>0</v>
      </c>
    </row>
    <row r="85" spans="2:16">
      <c r="B85" s="7">
        <f t="shared" si="1"/>
        <v>2071</v>
      </c>
      <c r="C85" s="601">
        <f>Activity!$C84*Activity!$D84*Activity!E84</f>
        <v>0</v>
      </c>
      <c r="D85" s="602">
        <f>Activity!$C84*Activity!$D84*Activity!F84</f>
        <v>0</v>
      </c>
      <c r="E85" s="600">
        <f>Activity!$C84*Activity!$D84*Activity!G84</f>
        <v>0</v>
      </c>
      <c r="F85" s="602">
        <f>Activity!$C84*Activity!$D84*Activity!H84</f>
        <v>0</v>
      </c>
      <c r="G85" s="602">
        <f>Activity!$C84*Activity!$D84*Activity!I84</f>
        <v>0</v>
      </c>
      <c r="H85" s="602">
        <f>Activity!$C84*Activity!$D84*Activity!J84</f>
        <v>0</v>
      </c>
      <c r="I85" s="602">
        <f>Activity!$C84*Activity!$D84*Activity!K84</f>
        <v>0</v>
      </c>
      <c r="J85" s="603">
        <f>Activity!$C84*Activity!$D84*Activity!L84</f>
        <v>0</v>
      </c>
      <c r="K85" s="602">
        <f>Activity!$C84*Activity!$D84*Activity!M84</f>
        <v>0</v>
      </c>
      <c r="L85" s="602">
        <f>Activity!$C84*Activity!$D84*Activity!N84</f>
        <v>0</v>
      </c>
      <c r="M85" s="600">
        <f>Activity!$C84*Activity!$D84*Activity!O84</f>
        <v>0</v>
      </c>
      <c r="N85" s="448">
        <v>0</v>
      </c>
      <c r="O85" s="602">
        <f>Activity!C84*Activity!D84</f>
        <v>0</v>
      </c>
      <c r="P85" s="609">
        <f>Activity!X84</f>
        <v>0</v>
      </c>
    </row>
    <row r="86" spans="2:16">
      <c r="B86" s="7">
        <f t="shared" ref="B86:B94" si="2">B85+1</f>
        <v>2072</v>
      </c>
      <c r="C86" s="601">
        <f>Activity!$C85*Activity!$D85*Activity!E85</f>
        <v>0</v>
      </c>
      <c r="D86" s="602">
        <f>Activity!$C85*Activity!$D85*Activity!F85</f>
        <v>0</v>
      </c>
      <c r="E86" s="600">
        <f>Activity!$C85*Activity!$D85*Activity!G85</f>
        <v>0</v>
      </c>
      <c r="F86" s="602">
        <f>Activity!$C85*Activity!$D85*Activity!H85</f>
        <v>0</v>
      </c>
      <c r="G86" s="602">
        <f>Activity!$C85*Activity!$D85*Activity!I85</f>
        <v>0</v>
      </c>
      <c r="H86" s="602">
        <f>Activity!$C85*Activity!$D85*Activity!J85</f>
        <v>0</v>
      </c>
      <c r="I86" s="602">
        <f>Activity!$C85*Activity!$D85*Activity!K85</f>
        <v>0</v>
      </c>
      <c r="J86" s="603">
        <f>Activity!$C85*Activity!$D85*Activity!L85</f>
        <v>0</v>
      </c>
      <c r="K86" s="602">
        <f>Activity!$C85*Activity!$D85*Activity!M85</f>
        <v>0</v>
      </c>
      <c r="L86" s="602">
        <f>Activity!$C85*Activity!$D85*Activity!N85</f>
        <v>0</v>
      </c>
      <c r="M86" s="600">
        <f>Activity!$C85*Activity!$D85*Activity!O85</f>
        <v>0</v>
      </c>
      <c r="N86" s="448">
        <v>0</v>
      </c>
      <c r="O86" s="602">
        <f>Activity!C85*Activity!D85</f>
        <v>0</v>
      </c>
      <c r="P86" s="609">
        <f>Activity!X85</f>
        <v>0</v>
      </c>
    </row>
    <row r="87" spans="2:16">
      <c r="B87" s="7">
        <f t="shared" si="2"/>
        <v>2073</v>
      </c>
      <c r="C87" s="601">
        <f>Activity!$C86*Activity!$D86*Activity!E86</f>
        <v>0</v>
      </c>
      <c r="D87" s="602">
        <f>Activity!$C86*Activity!$D86*Activity!F86</f>
        <v>0</v>
      </c>
      <c r="E87" s="600">
        <f>Activity!$C86*Activity!$D86*Activity!G86</f>
        <v>0</v>
      </c>
      <c r="F87" s="602">
        <f>Activity!$C86*Activity!$D86*Activity!H86</f>
        <v>0</v>
      </c>
      <c r="G87" s="602">
        <f>Activity!$C86*Activity!$D86*Activity!I86</f>
        <v>0</v>
      </c>
      <c r="H87" s="602">
        <f>Activity!$C86*Activity!$D86*Activity!J86</f>
        <v>0</v>
      </c>
      <c r="I87" s="602">
        <f>Activity!$C86*Activity!$D86*Activity!K86</f>
        <v>0</v>
      </c>
      <c r="J87" s="603">
        <f>Activity!$C86*Activity!$D86*Activity!L86</f>
        <v>0</v>
      </c>
      <c r="K87" s="602">
        <f>Activity!$C86*Activity!$D86*Activity!M86</f>
        <v>0</v>
      </c>
      <c r="L87" s="602">
        <f>Activity!$C86*Activity!$D86*Activity!N86</f>
        <v>0</v>
      </c>
      <c r="M87" s="600">
        <f>Activity!$C86*Activity!$D86*Activity!O86</f>
        <v>0</v>
      </c>
      <c r="N87" s="448">
        <v>0</v>
      </c>
      <c r="O87" s="602">
        <f>Activity!C86*Activity!D86</f>
        <v>0</v>
      </c>
      <c r="P87" s="609">
        <f>Activity!X86</f>
        <v>0</v>
      </c>
    </row>
    <row r="88" spans="2:16">
      <c r="B88" s="7">
        <f t="shared" si="2"/>
        <v>2074</v>
      </c>
      <c r="C88" s="601">
        <f>Activity!$C87*Activity!$D87*Activity!E87</f>
        <v>0</v>
      </c>
      <c r="D88" s="602">
        <f>Activity!$C87*Activity!$D87*Activity!F87</f>
        <v>0</v>
      </c>
      <c r="E88" s="600">
        <f>Activity!$C87*Activity!$D87*Activity!G87</f>
        <v>0</v>
      </c>
      <c r="F88" s="602">
        <f>Activity!$C87*Activity!$D87*Activity!H87</f>
        <v>0</v>
      </c>
      <c r="G88" s="602">
        <f>Activity!$C87*Activity!$D87*Activity!I87</f>
        <v>0</v>
      </c>
      <c r="H88" s="602">
        <f>Activity!$C87*Activity!$D87*Activity!J87</f>
        <v>0</v>
      </c>
      <c r="I88" s="602">
        <f>Activity!$C87*Activity!$D87*Activity!K87</f>
        <v>0</v>
      </c>
      <c r="J88" s="603">
        <f>Activity!$C87*Activity!$D87*Activity!L87</f>
        <v>0</v>
      </c>
      <c r="K88" s="602">
        <f>Activity!$C87*Activity!$D87*Activity!M87</f>
        <v>0</v>
      </c>
      <c r="L88" s="602">
        <f>Activity!$C87*Activity!$D87*Activity!N87</f>
        <v>0</v>
      </c>
      <c r="M88" s="600">
        <f>Activity!$C87*Activity!$D87*Activity!O87</f>
        <v>0</v>
      </c>
      <c r="N88" s="448">
        <v>0</v>
      </c>
      <c r="O88" s="602">
        <f>Activity!C87*Activity!D87</f>
        <v>0</v>
      </c>
      <c r="P88" s="609">
        <f>Activity!X87</f>
        <v>0</v>
      </c>
    </row>
    <row r="89" spans="2:16">
      <c r="B89" s="7">
        <f t="shared" si="2"/>
        <v>2075</v>
      </c>
      <c r="C89" s="601">
        <f>Activity!$C88*Activity!$D88*Activity!E88</f>
        <v>0</v>
      </c>
      <c r="D89" s="602">
        <f>Activity!$C88*Activity!$D88*Activity!F88</f>
        <v>0</v>
      </c>
      <c r="E89" s="600">
        <f>Activity!$C88*Activity!$D88*Activity!G88</f>
        <v>0</v>
      </c>
      <c r="F89" s="602">
        <f>Activity!$C88*Activity!$D88*Activity!H88</f>
        <v>0</v>
      </c>
      <c r="G89" s="602">
        <f>Activity!$C88*Activity!$D88*Activity!I88</f>
        <v>0</v>
      </c>
      <c r="H89" s="602">
        <f>Activity!$C88*Activity!$D88*Activity!J88</f>
        <v>0</v>
      </c>
      <c r="I89" s="602">
        <f>Activity!$C88*Activity!$D88*Activity!K88</f>
        <v>0</v>
      </c>
      <c r="J89" s="603">
        <f>Activity!$C88*Activity!$D88*Activity!L88</f>
        <v>0</v>
      </c>
      <c r="K89" s="602">
        <f>Activity!$C88*Activity!$D88*Activity!M88</f>
        <v>0</v>
      </c>
      <c r="L89" s="602">
        <f>Activity!$C88*Activity!$D88*Activity!N88</f>
        <v>0</v>
      </c>
      <c r="M89" s="600">
        <f>Activity!$C88*Activity!$D88*Activity!O88</f>
        <v>0</v>
      </c>
      <c r="N89" s="448">
        <v>0</v>
      </c>
      <c r="O89" s="602">
        <f>Activity!C88*Activity!D88</f>
        <v>0</v>
      </c>
      <c r="P89" s="609">
        <f>Activity!X88</f>
        <v>0</v>
      </c>
    </row>
    <row r="90" spans="2:16">
      <c r="B90" s="7">
        <f t="shared" si="2"/>
        <v>2076</v>
      </c>
      <c r="C90" s="601">
        <f>Activity!$C89*Activity!$D89*Activity!E89</f>
        <v>0</v>
      </c>
      <c r="D90" s="602">
        <f>Activity!$C89*Activity!$D89*Activity!F89</f>
        <v>0</v>
      </c>
      <c r="E90" s="600">
        <f>Activity!$C89*Activity!$D89*Activity!G89</f>
        <v>0</v>
      </c>
      <c r="F90" s="602">
        <f>Activity!$C89*Activity!$D89*Activity!H89</f>
        <v>0</v>
      </c>
      <c r="G90" s="602">
        <f>Activity!$C89*Activity!$D89*Activity!I89</f>
        <v>0</v>
      </c>
      <c r="H90" s="602">
        <f>Activity!$C89*Activity!$D89*Activity!J89</f>
        <v>0</v>
      </c>
      <c r="I90" s="602">
        <f>Activity!$C89*Activity!$D89*Activity!K89</f>
        <v>0</v>
      </c>
      <c r="J90" s="603">
        <f>Activity!$C89*Activity!$D89*Activity!L89</f>
        <v>0</v>
      </c>
      <c r="K90" s="602">
        <f>Activity!$C89*Activity!$D89*Activity!M89</f>
        <v>0</v>
      </c>
      <c r="L90" s="602">
        <f>Activity!$C89*Activity!$D89*Activity!N89</f>
        <v>0</v>
      </c>
      <c r="M90" s="600">
        <f>Activity!$C89*Activity!$D89*Activity!O89</f>
        <v>0</v>
      </c>
      <c r="N90" s="448">
        <v>0</v>
      </c>
      <c r="O90" s="602">
        <f>Activity!C89*Activity!D89</f>
        <v>0</v>
      </c>
      <c r="P90" s="609">
        <f>Activity!X89</f>
        <v>0</v>
      </c>
    </row>
    <row r="91" spans="2:16">
      <c r="B91" s="7">
        <f t="shared" si="2"/>
        <v>2077</v>
      </c>
      <c r="C91" s="601">
        <f>Activity!$C90*Activity!$D90*Activity!E90</f>
        <v>0</v>
      </c>
      <c r="D91" s="602">
        <f>Activity!$C90*Activity!$D90*Activity!F90</f>
        <v>0</v>
      </c>
      <c r="E91" s="600">
        <f>Activity!$C90*Activity!$D90*Activity!G90</f>
        <v>0</v>
      </c>
      <c r="F91" s="602">
        <f>Activity!$C90*Activity!$D90*Activity!H90</f>
        <v>0</v>
      </c>
      <c r="G91" s="602">
        <f>Activity!$C90*Activity!$D90*Activity!I90</f>
        <v>0</v>
      </c>
      <c r="H91" s="602">
        <f>Activity!$C90*Activity!$D90*Activity!J90</f>
        <v>0</v>
      </c>
      <c r="I91" s="602">
        <f>Activity!$C90*Activity!$D90*Activity!K90</f>
        <v>0</v>
      </c>
      <c r="J91" s="603">
        <f>Activity!$C90*Activity!$D90*Activity!L90</f>
        <v>0</v>
      </c>
      <c r="K91" s="602">
        <f>Activity!$C90*Activity!$D90*Activity!M90</f>
        <v>0</v>
      </c>
      <c r="L91" s="602">
        <f>Activity!$C90*Activity!$D90*Activity!N90</f>
        <v>0</v>
      </c>
      <c r="M91" s="600">
        <f>Activity!$C90*Activity!$D90*Activity!O90</f>
        <v>0</v>
      </c>
      <c r="N91" s="448">
        <v>0</v>
      </c>
      <c r="O91" s="602">
        <f>Activity!C90*Activity!D90</f>
        <v>0</v>
      </c>
      <c r="P91" s="609">
        <f>Activity!X90</f>
        <v>0</v>
      </c>
    </row>
    <row r="92" spans="2:16">
      <c r="B92" s="7">
        <f t="shared" si="2"/>
        <v>2078</v>
      </c>
      <c r="C92" s="601">
        <f>Activity!$C91*Activity!$D91*Activity!E91</f>
        <v>0</v>
      </c>
      <c r="D92" s="602">
        <f>Activity!$C91*Activity!$D91*Activity!F91</f>
        <v>0</v>
      </c>
      <c r="E92" s="600">
        <f>Activity!$C91*Activity!$D91*Activity!G91</f>
        <v>0</v>
      </c>
      <c r="F92" s="602">
        <f>Activity!$C91*Activity!$D91*Activity!H91</f>
        <v>0</v>
      </c>
      <c r="G92" s="602">
        <f>Activity!$C91*Activity!$D91*Activity!I91</f>
        <v>0</v>
      </c>
      <c r="H92" s="602">
        <f>Activity!$C91*Activity!$D91*Activity!J91</f>
        <v>0</v>
      </c>
      <c r="I92" s="602">
        <f>Activity!$C91*Activity!$D91*Activity!K91</f>
        <v>0</v>
      </c>
      <c r="J92" s="603">
        <f>Activity!$C91*Activity!$D91*Activity!L91</f>
        <v>0</v>
      </c>
      <c r="K92" s="602">
        <f>Activity!$C91*Activity!$D91*Activity!M91</f>
        <v>0</v>
      </c>
      <c r="L92" s="602">
        <f>Activity!$C91*Activity!$D91*Activity!N91</f>
        <v>0</v>
      </c>
      <c r="M92" s="600">
        <f>Activity!$C91*Activity!$D91*Activity!O91</f>
        <v>0</v>
      </c>
      <c r="N92" s="448">
        <v>0</v>
      </c>
      <c r="O92" s="602">
        <f>Activity!C91*Activity!D91</f>
        <v>0</v>
      </c>
      <c r="P92" s="609">
        <f>Activity!X91</f>
        <v>0</v>
      </c>
    </row>
    <row r="93" spans="2:16">
      <c r="B93" s="7">
        <f t="shared" si="2"/>
        <v>2079</v>
      </c>
      <c r="C93" s="601">
        <f>Activity!$C92*Activity!$D92*Activity!E92</f>
        <v>0</v>
      </c>
      <c r="D93" s="602">
        <f>Activity!$C92*Activity!$D92*Activity!F92</f>
        <v>0</v>
      </c>
      <c r="E93" s="600">
        <f>Activity!$C92*Activity!$D92*Activity!G92</f>
        <v>0</v>
      </c>
      <c r="F93" s="602">
        <f>Activity!$C92*Activity!$D92*Activity!H92</f>
        <v>0</v>
      </c>
      <c r="G93" s="602">
        <f>Activity!$C92*Activity!$D92*Activity!I92</f>
        <v>0</v>
      </c>
      <c r="H93" s="602">
        <f>Activity!$C92*Activity!$D92*Activity!J92</f>
        <v>0</v>
      </c>
      <c r="I93" s="602">
        <f>Activity!$C92*Activity!$D92*Activity!K92</f>
        <v>0</v>
      </c>
      <c r="J93" s="603">
        <f>Activity!$C92*Activity!$D92*Activity!L92</f>
        <v>0</v>
      </c>
      <c r="K93" s="602">
        <f>Activity!$C92*Activity!$D92*Activity!M92</f>
        <v>0</v>
      </c>
      <c r="L93" s="602">
        <f>Activity!$C92*Activity!$D92*Activity!N92</f>
        <v>0</v>
      </c>
      <c r="M93" s="600">
        <f>Activity!$C92*Activity!$D92*Activity!O92</f>
        <v>0</v>
      </c>
      <c r="N93" s="448">
        <v>0</v>
      </c>
      <c r="O93" s="602">
        <f>Activity!C92*Activity!D92</f>
        <v>0</v>
      </c>
      <c r="P93" s="609">
        <f>Activity!X92</f>
        <v>0</v>
      </c>
    </row>
    <row r="94" spans="2:16" ht="13.5" thickBot="1">
      <c r="B94" s="18">
        <f t="shared" si="2"/>
        <v>2080</v>
      </c>
      <c r="C94" s="604">
        <f>Activity!$C93*Activity!$D93*Activity!E93</f>
        <v>0</v>
      </c>
      <c r="D94" s="605">
        <f>Activity!$C93*Activity!$D93*Activity!F93</f>
        <v>0</v>
      </c>
      <c r="E94" s="605">
        <f>Activity!$C93*Activity!$D93*Activity!G93</f>
        <v>0</v>
      </c>
      <c r="F94" s="605">
        <f>Activity!$C93*Activity!$D93*Activity!H93</f>
        <v>0</v>
      </c>
      <c r="G94" s="605">
        <f>Activity!$C93*Activity!$D93*Activity!I93</f>
        <v>0</v>
      </c>
      <c r="H94" s="605">
        <f>Activity!$C93*Activity!$D93*Activity!J93</f>
        <v>0</v>
      </c>
      <c r="I94" s="605">
        <f>Activity!$C93*Activity!$D93*Activity!K93</f>
        <v>0</v>
      </c>
      <c r="J94" s="606">
        <f>Activity!$C93*Activity!$D93*Activity!L93</f>
        <v>0</v>
      </c>
      <c r="K94" s="605">
        <f>Activity!$C93*Activity!$D93*Activity!M93</f>
        <v>0</v>
      </c>
      <c r="L94" s="605">
        <f>Activity!$C93*Activity!$D93*Activity!N93</f>
        <v>0</v>
      </c>
      <c r="M94" s="605">
        <f>Activity!$C93*Activity!$D93*Activity!O93</f>
        <v>0</v>
      </c>
      <c r="N94" s="449">
        <v>0</v>
      </c>
      <c r="O94" s="605">
        <f>Activity!C93*Activity!D93</f>
        <v>0</v>
      </c>
      <c r="P94" s="61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D13"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42" customWidth="1"/>
    <col min="2" max="2" width="11.7109375" style="342" customWidth="1"/>
    <col min="3" max="3" width="12.7109375" style="342" customWidth="1"/>
    <col min="4" max="4" width="31.28515625" style="342" customWidth="1"/>
    <col min="5" max="5" width="10.42578125" style="344" customWidth="1"/>
    <col min="6" max="6" width="10.28515625" style="342" customWidth="1"/>
    <col min="7" max="7" width="38" style="342" customWidth="1"/>
    <col min="8" max="16384" width="8.85546875" style="342"/>
  </cols>
  <sheetData>
    <row r="2" spans="1:7" ht="15.75">
      <c r="C2" s="66" t="s">
        <v>197</v>
      </c>
      <c r="D2" s="66"/>
      <c r="E2" s="343"/>
    </row>
    <row r="4" spans="1:7">
      <c r="C4" s="342" t="s">
        <v>110</v>
      </c>
    </row>
    <row r="5" spans="1:7">
      <c r="C5" s="342" t="s">
        <v>111</v>
      </c>
    </row>
    <row r="6" spans="1:7" ht="13.5" thickBot="1"/>
    <row r="7" spans="1:7" ht="51.75" thickBot="1">
      <c r="A7" s="345"/>
      <c r="B7" s="346"/>
      <c r="C7" s="347" t="s">
        <v>108</v>
      </c>
      <c r="D7" s="348" t="s">
        <v>28</v>
      </c>
      <c r="E7" s="349" t="s">
        <v>203</v>
      </c>
      <c r="F7" s="350" t="s">
        <v>198</v>
      </c>
      <c r="G7" s="351" t="s">
        <v>199</v>
      </c>
    </row>
    <row r="8" spans="1:7" ht="13.5" thickBot="1">
      <c r="A8" s="352"/>
      <c r="B8" s="353"/>
      <c r="C8" s="354"/>
      <c r="D8" s="355"/>
      <c r="E8" s="356"/>
      <c r="F8" s="357"/>
      <c r="G8" s="358"/>
    </row>
    <row r="9" spans="1:7" ht="13.5" thickBot="1">
      <c r="A9" s="352"/>
      <c r="B9" s="359" t="s">
        <v>25</v>
      </c>
      <c r="C9" s="360">
        <v>0</v>
      </c>
      <c r="D9" s="361"/>
      <c r="E9" s="362"/>
      <c r="F9" s="363">
        <v>0</v>
      </c>
      <c r="G9" s="364"/>
    </row>
    <row r="10" spans="1:7">
      <c r="A10" s="352"/>
      <c r="B10" s="353"/>
      <c r="C10" s="354"/>
      <c r="D10" s="365"/>
      <c r="E10" s="366"/>
      <c r="F10" s="367"/>
      <c r="G10" s="368"/>
    </row>
    <row r="11" spans="1:7" ht="13.5" thickBot="1">
      <c r="A11" s="352"/>
      <c r="B11" s="75" t="s">
        <v>1</v>
      </c>
      <c r="C11" s="369" t="s">
        <v>15</v>
      </c>
      <c r="D11" s="370"/>
      <c r="E11" s="371"/>
      <c r="F11" s="372" t="s">
        <v>200</v>
      </c>
      <c r="G11" s="373"/>
    </row>
    <row r="12" spans="1:7">
      <c r="B12" s="374">
        <f>year</f>
        <v>2000</v>
      </c>
      <c r="C12" s="272">
        <v>0</v>
      </c>
      <c r="D12" s="59"/>
      <c r="E12" s="375">
        <f>IF(Results!L17&lt;=0,0,C12/Results!L17)</f>
        <v>0</v>
      </c>
      <c r="F12" s="376">
        <f t="shared" ref="F12:F43" si="0">ox</f>
        <v>0</v>
      </c>
      <c r="G12" s="377"/>
    </row>
    <row r="13" spans="1:7">
      <c r="B13" s="378">
        <f t="shared" ref="B13:B76" si="1">B12+1</f>
        <v>2001</v>
      </c>
      <c r="C13" s="273">
        <v>0</v>
      </c>
      <c r="D13" s="291"/>
      <c r="E13" s="375">
        <f>IF(Results!L18&lt;=0,0,C13/Results!L18)</f>
        <v>0</v>
      </c>
      <c r="F13" s="376">
        <f t="shared" si="0"/>
        <v>0</v>
      </c>
      <c r="G13" s="379"/>
    </row>
    <row r="14" spans="1:7">
      <c r="B14" s="378">
        <f t="shared" si="1"/>
        <v>2002</v>
      </c>
      <c r="C14" s="273">
        <v>0</v>
      </c>
      <c r="D14" s="291"/>
      <c r="E14" s="375">
        <f>IF(Results!L19&lt;=0,0,C14/Results!L19)</f>
        <v>0</v>
      </c>
      <c r="F14" s="376">
        <f t="shared" si="0"/>
        <v>0</v>
      </c>
      <c r="G14" s="379"/>
    </row>
    <row r="15" spans="1:7">
      <c r="B15" s="378">
        <f t="shared" si="1"/>
        <v>2003</v>
      </c>
      <c r="C15" s="273">
        <v>0</v>
      </c>
      <c r="D15" s="291"/>
      <c r="E15" s="375">
        <f>IF(Results!L20&lt;=0,0,C15/Results!L20)</f>
        <v>0</v>
      </c>
      <c r="F15" s="376">
        <f t="shared" si="0"/>
        <v>0</v>
      </c>
      <c r="G15" s="379"/>
    </row>
    <row r="16" spans="1:7">
      <c r="B16" s="378">
        <f t="shared" si="1"/>
        <v>2004</v>
      </c>
      <c r="C16" s="273">
        <v>0</v>
      </c>
      <c r="D16" s="291"/>
      <c r="E16" s="375">
        <f>IF(Results!L21&lt;=0,0,C16/Results!L21)</f>
        <v>0</v>
      </c>
      <c r="F16" s="376">
        <f t="shared" si="0"/>
        <v>0</v>
      </c>
      <c r="G16" s="379"/>
    </row>
    <row r="17" spans="2:7">
      <c r="B17" s="378">
        <f t="shared" si="1"/>
        <v>2005</v>
      </c>
      <c r="C17" s="273">
        <v>0</v>
      </c>
      <c r="D17" s="291"/>
      <c r="E17" s="375">
        <f>IF(Results!L22&lt;=0,0,C17/Results!L22)</f>
        <v>0</v>
      </c>
      <c r="F17" s="376">
        <f t="shared" si="0"/>
        <v>0</v>
      </c>
      <c r="G17" s="379"/>
    </row>
    <row r="18" spans="2:7">
      <c r="B18" s="378">
        <f t="shared" si="1"/>
        <v>2006</v>
      </c>
      <c r="C18" s="273">
        <v>0</v>
      </c>
      <c r="D18" s="291"/>
      <c r="E18" s="375">
        <f>IF(Results!L23&lt;=0,0,C18/Results!L23)</f>
        <v>0</v>
      </c>
      <c r="F18" s="376">
        <f t="shared" si="0"/>
        <v>0</v>
      </c>
      <c r="G18" s="379"/>
    </row>
    <row r="19" spans="2:7">
      <c r="B19" s="378">
        <f t="shared" si="1"/>
        <v>2007</v>
      </c>
      <c r="C19" s="273">
        <v>0</v>
      </c>
      <c r="D19" s="291"/>
      <c r="E19" s="375">
        <f>IF(Results!L24&lt;=0,0,C19/Results!L24)</f>
        <v>0</v>
      </c>
      <c r="F19" s="376">
        <f t="shared" si="0"/>
        <v>0</v>
      </c>
      <c r="G19" s="379"/>
    </row>
    <row r="20" spans="2:7">
      <c r="B20" s="378">
        <f t="shared" si="1"/>
        <v>2008</v>
      </c>
      <c r="C20" s="273">
        <v>0</v>
      </c>
      <c r="D20" s="291"/>
      <c r="E20" s="375">
        <f>IF(Results!L25&lt;=0,0,C20/Results!L25)</f>
        <v>0</v>
      </c>
      <c r="F20" s="376">
        <f t="shared" si="0"/>
        <v>0</v>
      </c>
      <c r="G20" s="379"/>
    </row>
    <row r="21" spans="2:7">
      <c r="B21" s="378">
        <f t="shared" si="1"/>
        <v>2009</v>
      </c>
      <c r="C21" s="273">
        <v>0</v>
      </c>
      <c r="D21" s="291"/>
      <c r="E21" s="375">
        <f>IF(Results!L26&lt;=0,0,C21/Results!L26)</f>
        <v>0</v>
      </c>
      <c r="F21" s="376">
        <f t="shared" si="0"/>
        <v>0</v>
      </c>
      <c r="G21" s="379"/>
    </row>
    <row r="22" spans="2:7">
      <c r="B22" s="378">
        <f t="shared" si="1"/>
        <v>2010</v>
      </c>
      <c r="C22" s="273">
        <v>0</v>
      </c>
      <c r="D22" s="291"/>
      <c r="E22" s="375">
        <f>IF(Results!L27&lt;=0,0,C22/Results!L27)</f>
        <v>0</v>
      </c>
      <c r="F22" s="376">
        <f t="shared" si="0"/>
        <v>0</v>
      </c>
      <c r="G22" s="379"/>
    </row>
    <row r="23" spans="2:7">
      <c r="B23" s="378">
        <f t="shared" si="1"/>
        <v>2011</v>
      </c>
      <c r="C23" s="273">
        <v>0</v>
      </c>
      <c r="D23" s="291"/>
      <c r="E23" s="375">
        <f>IF(Results!L28&lt;=0,0,C23/Results!L28)</f>
        <v>0</v>
      </c>
      <c r="F23" s="376">
        <f t="shared" si="0"/>
        <v>0</v>
      </c>
      <c r="G23" s="379"/>
    </row>
    <row r="24" spans="2:7">
      <c r="B24" s="378">
        <f t="shared" si="1"/>
        <v>2012</v>
      </c>
      <c r="C24" s="273">
        <v>0</v>
      </c>
      <c r="D24" s="291"/>
      <c r="E24" s="375">
        <f>IF(Results!L29&lt;=0,0,C24/Results!L29)</f>
        <v>0</v>
      </c>
      <c r="F24" s="376">
        <f t="shared" si="0"/>
        <v>0</v>
      </c>
      <c r="G24" s="379"/>
    </row>
    <row r="25" spans="2:7">
      <c r="B25" s="378">
        <f t="shared" si="1"/>
        <v>2013</v>
      </c>
      <c r="C25" s="273">
        <v>0</v>
      </c>
      <c r="D25" s="291"/>
      <c r="E25" s="375">
        <f>IF(Results!L30&lt;=0,0,C25/Results!L30)</f>
        <v>0</v>
      </c>
      <c r="F25" s="376">
        <f t="shared" si="0"/>
        <v>0</v>
      </c>
      <c r="G25" s="379"/>
    </row>
    <row r="26" spans="2:7">
      <c r="B26" s="378">
        <f t="shared" si="1"/>
        <v>2014</v>
      </c>
      <c r="C26" s="273">
        <v>0</v>
      </c>
      <c r="D26" s="291"/>
      <c r="E26" s="375">
        <f>IF(Results!L31&lt;=0,0,C26/Results!L31)</f>
        <v>0</v>
      </c>
      <c r="F26" s="376">
        <f t="shared" si="0"/>
        <v>0</v>
      </c>
      <c r="G26" s="379"/>
    </row>
    <row r="27" spans="2:7">
      <c r="B27" s="378">
        <f t="shared" si="1"/>
        <v>2015</v>
      </c>
      <c r="C27" s="273">
        <v>0</v>
      </c>
      <c r="D27" s="291"/>
      <c r="E27" s="375">
        <f>IF(Results!L32&lt;=0,0,C27/Results!L32)</f>
        <v>0</v>
      </c>
      <c r="F27" s="376">
        <f t="shared" si="0"/>
        <v>0</v>
      </c>
      <c r="G27" s="379"/>
    </row>
    <row r="28" spans="2:7">
      <c r="B28" s="378">
        <f t="shared" si="1"/>
        <v>2016</v>
      </c>
      <c r="C28" s="273">
        <v>0</v>
      </c>
      <c r="D28" s="291"/>
      <c r="E28" s="375">
        <f>IF(Results!L33&lt;=0,0,C28/Results!L33)</f>
        <v>0</v>
      </c>
      <c r="F28" s="376">
        <f t="shared" si="0"/>
        <v>0</v>
      </c>
      <c r="G28" s="379"/>
    </row>
    <row r="29" spans="2:7">
      <c r="B29" s="378">
        <f t="shared" si="1"/>
        <v>2017</v>
      </c>
      <c r="C29" s="273">
        <v>0</v>
      </c>
      <c r="D29" s="291"/>
      <c r="E29" s="375">
        <f>IF(Results!L34&lt;=0,0,C29/Results!L34)</f>
        <v>0</v>
      </c>
      <c r="F29" s="376">
        <f t="shared" si="0"/>
        <v>0</v>
      </c>
      <c r="G29" s="379"/>
    </row>
    <row r="30" spans="2:7">
      <c r="B30" s="378">
        <f t="shared" si="1"/>
        <v>2018</v>
      </c>
      <c r="C30" s="273">
        <v>0</v>
      </c>
      <c r="D30" s="291"/>
      <c r="E30" s="375">
        <f>IF(Results!L35&lt;=0,0,C30/Results!L35)</f>
        <v>0</v>
      </c>
      <c r="F30" s="376">
        <f t="shared" si="0"/>
        <v>0</v>
      </c>
      <c r="G30" s="379"/>
    </row>
    <row r="31" spans="2:7">
      <c r="B31" s="378">
        <f t="shared" si="1"/>
        <v>2019</v>
      </c>
      <c r="C31" s="273">
        <v>0</v>
      </c>
      <c r="D31" s="291"/>
      <c r="E31" s="375">
        <f>IF(Results!L36&lt;=0,0,C31/Results!L36)</f>
        <v>0</v>
      </c>
      <c r="F31" s="376">
        <f t="shared" si="0"/>
        <v>0</v>
      </c>
      <c r="G31" s="379"/>
    </row>
    <row r="32" spans="2:7">
      <c r="B32" s="378">
        <f t="shared" si="1"/>
        <v>2020</v>
      </c>
      <c r="C32" s="273">
        <v>0</v>
      </c>
      <c r="D32" s="291"/>
      <c r="E32" s="375">
        <f>IF(Results!L37&lt;=0,0,C32/Results!L37)</f>
        <v>0</v>
      </c>
      <c r="F32" s="376">
        <f t="shared" si="0"/>
        <v>0</v>
      </c>
      <c r="G32" s="379"/>
    </row>
    <row r="33" spans="2:7">
      <c r="B33" s="378">
        <f t="shared" si="1"/>
        <v>2021</v>
      </c>
      <c r="C33" s="273">
        <v>0</v>
      </c>
      <c r="D33" s="291"/>
      <c r="E33" s="375">
        <f>IF(Results!L38&lt;=0,0,C33/Results!L38)</f>
        <v>0</v>
      </c>
      <c r="F33" s="376">
        <f t="shared" si="0"/>
        <v>0</v>
      </c>
      <c r="G33" s="379"/>
    </row>
    <row r="34" spans="2:7">
      <c r="B34" s="378">
        <f t="shared" si="1"/>
        <v>2022</v>
      </c>
      <c r="C34" s="273">
        <v>0</v>
      </c>
      <c r="D34" s="291"/>
      <c r="E34" s="375">
        <f>IF(Results!L39&lt;=0,0,C34/Results!L39)</f>
        <v>0</v>
      </c>
      <c r="F34" s="376">
        <f t="shared" si="0"/>
        <v>0</v>
      </c>
      <c r="G34" s="379"/>
    </row>
    <row r="35" spans="2:7">
      <c r="B35" s="378">
        <f t="shared" si="1"/>
        <v>2023</v>
      </c>
      <c r="C35" s="273">
        <v>0</v>
      </c>
      <c r="D35" s="291"/>
      <c r="E35" s="375">
        <f>IF(Results!L40&lt;=0,0,C35/Results!L40)</f>
        <v>0</v>
      </c>
      <c r="F35" s="376">
        <f t="shared" si="0"/>
        <v>0</v>
      </c>
      <c r="G35" s="379"/>
    </row>
    <row r="36" spans="2:7">
      <c r="B36" s="378">
        <f t="shared" si="1"/>
        <v>2024</v>
      </c>
      <c r="C36" s="273">
        <v>0</v>
      </c>
      <c r="D36" s="291"/>
      <c r="E36" s="375">
        <f>IF(Results!L41&lt;=0,0,C36/Results!L41)</f>
        <v>0</v>
      </c>
      <c r="F36" s="376">
        <f t="shared" si="0"/>
        <v>0</v>
      </c>
      <c r="G36" s="379"/>
    </row>
    <row r="37" spans="2:7">
      <c r="B37" s="378">
        <f t="shared" si="1"/>
        <v>2025</v>
      </c>
      <c r="C37" s="273">
        <v>0</v>
      </c>
      <c r="D37" s="291"/>
      <c r="E37" s="375">
        <f>IF(Results!L42&lt;=0,0,C37/Results!L42)</f>
        <v>0</v>
      </c>
      <c r="F37" s="376">
        <f t="shared" si="0"/>
        <v>0</v>
      </c>
      <c r="G37" s="379"/>
    </row>
    <row r="38" spans="2:7">
      <c r="B38" s="378">
        <f t="shared" si="1"/>
        <v>2026</v>
      </c>
      <c r="C38" s="273">
        <v>0</v>
      </c>
      <c r="D38" s="291"/>
      <c r="E38" s="375">
        <f>IF(Results!L43&lt;=0,0,C38/Results!L43)</f>
        <v>0</v>
      </c>
      <c r="F38" s="376">
        <f t="shared" si="0"/>
        <v>0</v>
      </c>
      <c r="G38" s="379"/>
    </row>
    <row r="39" spans="2:7">
      <c r="B39" s="378">
        <f t="shared" si="1"/>
        <v>2027</v>
      </c>
      <c r="C39" s="273">
        <v>0</v>
      </c>
      <c r="D39" s="291"/>
      <c r="E39" s="375">
        <f>IF(Results!L44&lt;=0,0,C39/Results!L44)</f>
        <v>0</v>
      </c>
      <c r="F39" s="376">
        <f t="shared" si="0"/>
        <v>0</v>
      </c>
      <c r="G39" s="379"/>
    </row>
    <row r="40" spans="2:7">
      <c r="B40" s="378">
        <f t="shared" si="1"/>
        <v>2028</v>
      </c>
      <c r="C40" s="273">
        <v>0</v>
      </c>
      <c r="D40" s="291"/>
      <c r="E40" s="375">
        <f>IF(Results!L45&lt;=0,0,C40/Results!L45)</f>
        <v>0</v>
      </c>
      <c r="F40" s="376">
        <f t="shared" si="0"/>
        <v>0</v>
      </c>
      <c r="G40" s="379"/>
    </row>
    <row r="41" spans="2:7">
      <c r="B41" s="378">
        <f t="shared" si="1"/>
        <v>2029</v>
      </c>
      <c r="C41" s="273">
        <v>0</v>
      </c>
      <c r="D41" s="291"/>
      <c r="E41" s="375">
        <f>IF(Results!L46&lt;=0,0,C41/Results!L46)</f>
        <v>0</v>
      </c>
      <c r="F41" s="376">
        <f t="shared" si="0"/>
        <v>0</v>
      </c>
      <c r="G41" s="379"/>
    </row>
    <row r="42" spans="2:7">
      <c r="B42" s="378">
        <f t="shared" si="1"/>
        <v>2030</v>
      </c>
      <c r="C42" s="273">
        <v>0</v>
      </c>
      <c r="D42" s="291"/>
      <c r="E42" s="375">
        <f>IF(Results!L47&lt;=0,0,C42/Results!L47)</f>
        <v>0</v>
      </c>
      <c r="F42" s="376">
        <f t="shared" si="0"/>
        <v>0</v>
      </c>
      <c r="G42" s="379"/>
    </row>
    <row r="43" spans="2:7">
      <c r="B43" s="378">
        <f t="shared" si="1"/>
        <v>2031</v>
      </c>
      <c r="C43" s="273">
        <v>0</v>
      </c>
      <c r="D43" s="291"/>
      <c r="E43" s="375">
        <f>IF(Results!L48&lt;=0,0,C43/Results!L48)</f>
        <v>0</v>
      </c>
      <c r="F43" s="376">
        <f t="shared" si="0"/>
        <v>0</v>
      </c>
      <c r="G43" s="379"/>
    </row>
    <row r="44" spans="2:7">
      <c r="B44" s="378">
        <f t="shared" si="1"/>
        <v>2032</v>
      </c>
      <c r="C44" s="273">
        <v>0</v>
      </c>
      <c r="D44" s="291"/>
      <c r="E44" s="375">
        <f>IF(Results!L49&lt;=0,0,C44/Results!L49)</f>
        <v>0</v>
      </c>
      <c r="F44" s="376">
        <f t="shared" ref="F44:F75" si="2">ox</f>
        <v>0</v>
      </c>
      <c r="G44" s="379"/>
    </row>
    <row r="45" spans="2:7">
      <c r="B45" s="378">
        <f t="shared" si="1"/>
        <v>2033</v>
      </c>
      <c r="C45" s="273">
        <v>0</v>
      </c>
      <c r="D45" s="291"/>
      <c r="E45" s="375">
        <f>IF(Results!L50&lt;=0,0,C45/Results!L50)</f>
        <v>0</v>
      </c>
      <c r="F45" s="376">
        <f t="shared" si="2"/>
        <v>0</v>
      </c>
      <c r="G45" s="379"/>
    </row>
    <row r="46" spans="2:7">
      <c r="B46" s="378">
        <f t="shared" si="1"/>
        <v>2034</v>
      </c>
      <c r="C46" s="273">
        <v>0</v>
      </c>
      <c r="D46" s="291"/>
      <c r="E46" s="375">
        <f>IF(Results!L51&lt;=0,0,C46/Results!L51)</f>
        <v>0</v>
      </c>
      <c r="F46" s="376">
        <f t="shared" si="2"/>
        <v>0</v>
      </c>
      <c r="G46" s="379"/>
    </row>
    <row r="47" spans="2:7">
      <c r="B47" s="378">
        <f t="shared" si="1"/>
        <v>2035</v>
      </c>
      <c r="C47" s="273">
        <v>0</v>
      </c>
      <c r="D47" s="291"/>
      <c r="E47" s="375">
        <f>IF(Results!L52&lt;=0,0,C47/Results!L52)</f>
        <v>0</v>
      </c>
      <c r="F47" s="376">
        <f t="shared" si="2"/>
        <v>0</v>
      </c>
      <c r="G47" s="379"/>
    </row>
    <row r="48" spans="2:7">
      <c r="B48" s="378">
        <f t="shared" si="1"/>
        <v>2036</v>
      </c>
      <c r="C48" s="273">
        <v>0</v>
      </c>
      <c r="D48" s="291"/>
      <c r="E48" s="375">
        <f>IF(Results!L53&lt;=0,0,C48/Results!L53)</f>
        <v>0</v>
      </c>
      <c r="F48" s="376">
        <f t="shared" si="2"/>
        <v>0</v>
      </c>
      <c r="G48" s="379"/>
    </row>
    <row r="49" spans="2:7">
      <c r="B49" s="378">
        <f t="shared" si="1"/>
        <v>2037</v>
      </c>
      <c r="C49" s="273">
        <v>0</v>
      </c>
      <c r="D49" s="291"/>
      <c r="E49" s="375">
        <f>IF(Results!L54&lt;=0,0,C49/Results!L54)</f>
        <v>0</v>
      </c>
      <c r="F49" s="376">
        <f t="shared" si="2"/>
        <v>0</v>
      </c>
      <c r="G49" s="379"/>
    </row>
    <row r="50" spans="2:7">
      <c r="B50" s="378">
        <f t="shared" si="1"/>
        <v>2038</v>
      </c>
      <c r="C50" s="273">
        <v>0</v>
      </c>
      <c r="D50" s="291"/>
      <c r="E50" s="375">
        <f>IF(Results!L55&lt;=0,0,C50/Results!L55)</f>
        <v>0</v>
      </c>
      <c r="F50" s="376">
        <f t="shared" si="2"/>
        <v>0</v>
      </c>
      <c r="G50" s="379"/>
    </row>
    <row r="51" spans="2:7">
      <c r="B51" s="378">
        <f t="shared" si="1"/>
        <v>2039</v>
      </c>
      <c r="C51" s="273">
        <v>0</v>
      </c>
      <c r="D51" s="291"/>
      <c r="E51" s="375">
        <f>IF(Results!L56&lt;=0,0,C51/Results!L56)</f>
        <v>0</v>
      </c>
      <c r="F51" s="376">
        <f t="shared" si="2"/>
        <v>0</v>
      </c>
      <c r="G51" s="379"/>
    </row>
    <row r="52" spans="2:7">
      <c r="B52" s="378">
        <f t="shared" si="1"/>
        <v>2040</v>
      </c>
      <c r="C52" s="273">
        <v>0</v>
      </c>
      <c r="D52" s="291"/>
      <c r="E52" s="375">
        <f>IF(Results!L57&lt;=0,0,C52/Results!L57)</f>
        <v>0</v>
      </c>
      <c r="F52" s="376">
        <f t="shared" si="2"/>
        <v>0</v>
      </c>
      <c r="G52" s="379"/>
    </row>
    <row r="53" spans="2:7">
      <c r="B53" s="378">
        <f t="shared" si="1"/>
        <v>2041</v>
      </c>
      <c r="C53" s="273">
        <v>0</v>
      </c>
      <c r="D53" s="291"/>
      <c r="E53" s="375">
        <f>IF(Results!L58&lt;=0,0,C53/Results!L58)</f>
        <v>0</v>
      </c>
      <c r="F53" s="376">
        <f t="shared" si="2"/>
        <v>0</v>
      </c>
      <c r="G53" s="379"/>
    </row>
    <row r="54" spans="2:7">
      <c r="B54" s="378">
        <f t="shared" si="1"/>
        <v>2042</v>
      </c>
      <c r="C54" s="273">
        <v>0</v>
      </c>
      <c r="D54" s="291"/>
      <c r="E54" s="375">
        <f>IF(Results!L59&lt;=0,0,C54/Results!L59)</f>
        <v>0</v>
      </c>
      <c r="F54" s="376">
        <f t="shared" si="2"/>
        <v>0</v>
      </c>
      <c r="G54" s="379"/>
    </row>
    <row r="55" spans="2:7">
      <c r="B55" s="378">
        <f t="shared" si="1"/>
        <v>2043</v>
      </c>
      <c r="C55" s="273">
        <v>0</v>
      </c>
      <c r="D55" s="291"/>
      <c r="E55" s="375">
        <f>IF(Results!L60&lt;=0,0,C55/Results!L60)</f>
        <v>0</v>
      </c>
      <c r="F55" s="376">
        <f t="shared" si="2"/>
        <v>0</v>
      </c>
      <c r="G55" s="379"/>
    </row>
    <row r="56" spans="2:7">
      <c r="B56" s="378">
        <f t="shared" si="1"/>
        <v>2044</v>
      </c>
      <c r="C56" s="273">
        <v>0</v>
      </c>
      <c r="D56" s="291"/>
      <c r="E56" s="375">
        <f>IF(Results!L61&lt;=0,0,C56/Results!L61)</f>
        <v>0</v>
      </c>
      <c r="F56" s="376">
        <f t="shared" si="2"/>
        <v>0</v>
      </c>
      <c r="G56" s="379"/>
    </row>
    <row r="57" spans="2:7">
      <c r="B57" s="378">
        <f t="shared" si="1"/>
        <v>2045</v>
      </c>
      <c r="C57" s="273">
        <v>0</v>
      </c>
      <c r="D57" s="291"/>
      <c r="E57" s="375">
        <f>IF(Results!L62&lt;=0,0,C57/Results!L62)</f>
        <v>0</v>
      </c>
      <c r="F57" s="376">
        <f>ox</f>
        <v>0</v>
      </c>
      <c r="G57" s="379"/>
    </row>
    <row r="58" spans="2:7">
      <c r="B58" s="378">
        <f t="shared" si="1"/>
        <v>2046</v>
      </c>
      <c r="C58" s="273">
        <v>0</v>
      </c>
      <c r="D58" s="291"/>
      <c r="E58" s="375">
        <f>IF(Results!L63&lt;=0,0,C58/Results!L63)</f>
        <v>0</v>
      </c>
      <c r="F58" s="376">
        <f t="shared" si="2"/>
        <v>0</v>
      </c>
      <c r="G58" s="379"/>
    </row>
    <row r="59" spans="2:7">
      <c r="B59" s="378">
        <f t="shared" si="1"/>
        <v>2047</v>
      </c>
      <c r="C59" s="273">
        <v>0</v>
      </c>
      <c r="D59" s="291"/>
      <c r="E59" s="375">
        <f>IF(Results!L64&lt;=0,0,C59/Results!L64)</f>
        <v>0</v>
      </c>
      <c r="F59" s="376">
        <f t="shared" si="2"/>
        <v>0</v>
      </c>
      <c r="G59" s="379"/>
    </row>
    <row r="60" spans="2:7">
      <c r="B60" s="378">
        <f t="shared" si="1"/>
        <v>2048</v>
      </c>
      <c r="C60" s="273">
        <v>0</v>
      </c>
      <c r="D60" s="291"/>
      <c r="E60" s="375">
        <f>IF(Results!L65&lt;=0,0,C60/Results!L65)</f>
        <v>0</v>
      </c>
      <c r="F60" s="376">
        <f t="shared" si="2"/>
        <v>0</v>
      </c>
      <c r="G60" s="379"/>
    </row>
    <row r="61" spans="2:7">
      <c r="B61" s="378">
        <f t="shared" si="1"/>
        <v>2049</v>
      </c>
      <c r="C61" s="273">
        <v>0</v>
      </c>
      <c r="D61" s="291"/>
      <c r="E61" s="375">
        <f>IF(Results!L66&lt;=0,0,C61/Results!L66)</f>
        <v>0</v>
      </c>
      <c r="F61" s="376">
        <f>ox</f>
        <v>0</v>
      </c>
      <c r="G61" s="379"/>
    </row>
    <row r="62" spans="2:7">
      <c r="B62" s="378">
        <f t="shared" si="1"/>
        <v>2050</v>
      </c>
      <c r="C62" s="273">
        <v>0</v>
      </c>
      <c r="D62" s="291"/>
      <c r="E62" s="375">
        <f>IF(Results!L67&lt;=0,0,C62/Results!L67)</f>
        <v>0</v>
      </c>
      <c r="F62" s="376">
        <f t="shared" si="2"/>
        <v>0</v>
      </c>
      <c r="G62" s="379"/>
    </row>
    <row r="63" spans="2:7">
      <c r="B63" s="378">
        <f t="shared" si="1"/>
        <v>2051</v>
      </c>
      <c r="C63" s="273">
        <v>0</v>
      </c>
      <c r="D63" s="291"/>
      <c r="E63" s="375">
        <f>IF(Results!L68&lt;=0,0,C63/Results!L68)</f>
        <v>0</v>
      </c>
      <c r="F63" s="376">
        <f t="shared" si="2"/>
        <v>0</v>
      </c>
      <c r="G63" s="379"/>
    </row>
    <row r="64" spans="2:7">
      <c r="B64" s="378">
        <f t="shared" si="1"/>
        <v>2052</v>
      </c>
      <c r="C64" s="273">
        <v>0</v>
      </c>
      <c r="D64" s="291"/>
      <c r="E64" s="375">
        <f>IF(Results!L69&lt;=0,0,C64/Results!L69)</f>
        <v>0</v>
      </c>
      <c r="F64" s="376">
        <f t="shared" si="2"/>
        <v>0</v>
      </c>
      <c r="G64" s="379"/>
    </row>
    <row r="65" spans="2:7">
      <c r="B65" s="378">
        <f t="shared" si="1"/>
        <v>2053</v>
      </c>
      <c r="C65" s="273">
        <v>0</v>
      </c>
      <c r="D65" s="291"/>
      <c r="E65" s="375">
        <f>IF(Results!L70&lt;=0,0,C65/Results!L70)</f>
        <v>0</v>
      </c>
      <c r="F65" s="376">
        <f t="shared" si="2"/>
        <v>0</v>
      </c>
      <c r="G65" s="379"/>
    </row>
    <row r="66" spans="2:7">
      <c r="B66" s="378">
        <f t="shared" si="1"/>
        <v>2054</v>
      </c>
      <c r="C66" s="273">
        <v>0</v>
      </c>
      <c r="D66" s="291"/>
      <c r="E66" s="375">
        <f>IF(Results!L71&lt;=0,0,C66/Results!L71)</f>
        <v>0</v>
      </c>
      <c r="F66" s="376">
        <f t="shared" si="2"/>
        <v>0</v>
      </c>
      <c r="G66" s="379"/>
    </row>
    <row r="67" spans="2:7">
      <c r="B67" s="378">
        <f t="shared" si="1"/>
        <v>2055</v>
      </c>
      <c r="C67" s="273">
        <v>0</v>
      </c>
      <c r="D67" s="291"/>
      <c r="E67" s="375">
        <f>IF(Results!L72&lt;=0,0,C67/Results!L72)</f>
        <v>0</v>
      </c>
      <c r="F67" s="376">
        <f t="shared" si="2"/>
        <v>0</v>
      </c>
      <c r="G67" s="379"/>
    </row>
    <row r="68" spans="2:7">
      <c r="B68" s="378">
        <f t="shared" si="1"/>
        <v>2056</v>
      </c>
      <c r="C68" s="273">
        <v>0</v>
      </c>
      <c r="D68" s="291"/>
      <c r="E68" s="375">
        <f>IF(Results!L73&lt;=0,0,C68/Results!L73)</f>
        <v>0</v>
      </c>
      <c r="F68" s="376">
        <f t="shared" si="2"/>
        <v>0</v>
      </c>
      <c r="G68" s="379"/>
    </row>
    <row r="69" spans="2:7">
      <c r="B69" s="378">
        <f t="shared" si="1"/>
        <v>2057</v>
      </c>
      <c r="C69" s="273">
        <v>0</v>
      </c>
      <c r="D69" s="291"/>
      <c r="E69" s="375">
        <f>IF(Results!L74&lt;=0,0,C69/Results!L74)</f>
        <v>0</v>
      </c>
      <c r="F69" s="376">
        <f t="shared" si="2"/>
        <v>0</v>
      </c>
      <c r="G69" s="379"/>
    </row>
    <row r="70" spans="2:7">
      <c r="B70" s="378">
        <f t="shared" si="1"/>
        <v>2058</v>
      </c>
      <c r="C70" s="273">
        <v>0</v>
      </c>
      <c r="D70" s="291"/>
      <c r="E70" s="375">
        <f>IF(Results!L75&lt;=0,0,C70/Results!L75)</f>
        <v>0</v>
      </c>
      <c r="F70" s="376">
        <f t="shared" si="2"/>
        <v>0</v>
      </c>
      <c r="G70" s="379"/>
    </row>
    <row r="71" spans="2:7">
      <c r="B71" s="378">
        <f t="shared" si="1"/>
        <v>2059</v>
      </c>
      <c r="C71" s="273">
        <v>0</v>
      </c>
      <c r="D71" s="291"/>
      <c r="E71" s="375">
        <f>IF(Results!L76&lt;=0,0,C71/Results!L76)</f>
        <v>0</v>
      </c>
      <c r="F71" s="376">
        <f t="shared" si="2"/>
        <v>0</v>
      </c>
      <c r="G71" s="379"/>
    </row>
    <row r="72" spans="2:7">
      <c r="B72" s="378">
        <f t="shared" si="1"/>
        <v>2060</v>
      </c>
      <c r="C72" s="273">
        <v>0</v>
      </c>
      <c r="D72" s="291"/>
      <c r="E72" s="375">
        <f>IF(Results!L77&lt;=0,0,C72/Results!L77)</f>
        <v>0</v>
      </c>
      <c r="F72" s="376">
        <f t="shared" si="2"/>
        <v>0</v>
      </c>
      <c r="G72" s="379"/>
    </row>
    <row r="73" spans="2:7">
      <c r="B73" s="378">
        <f t="shared" si="1"/>
        <v>2061</v>
      </c>
      <c r="C73" s="273">
        <v>0</v>
      </c>
      <c r="D73" s="291"/>
      <c r="E73" s="375">
        <f>IF(Results!L78&lt;=0,0,C73/Results!L78)</f>
        <v>0</v>
      </c>
      <c r="F73" s="376">
        <f t="shared" si="2"/>
        <v>0</v>
      </c>
      <c r="G73" s="379"/>
    </row>
    <row r="74" spans="2:7">
      <c r="B74" s="378">
        <f t="shared" si="1"/>
        <v>2062</v>
      </c>
      <c r="C74" s="273">
        <v>0</v>
      </c>
      <c r="D74" s="291"/>
      <c r="E74" s="375">
        <f>IF(Results!L79&lt;=0,0,C74/Results!L79)</f>
        <v>0</v>
      </c>
      <c r="F74" s="376">
        <f t="shared" si="2"/>
        <v>0</v>
      </c>
      <c r="G74" s="379"/>
    </row>
    <row r="75" spans="2:7">
      <c r="B75" s="378">
        <f t="shared" si="1"/>
        <v>2063</v>
      </c>
      <c r="C75" s="273">
        <v>0</v>
      </c>
      <c r="D75" s="291"/>
      <c r="E75" s="375">
        <f>IF(Results!L80&lt;=0,0,C75/Results!L80)</f>
        <v>0</v>
      </c>
      <c r="F75" s="376">
        <f t="shared" si="2"/>
        <v>0</v>
      </c>
      <c r="G75" s="379"/>
    </row>
    <row r="76" spans="2:7">
      <c r="B76" s="378">
        <f t="shared" si="1"/>
        <v>2064</v>
      </c>
      <c r="C76" s="273">
        <v>0</v>
      </c>
      <c r="D76" s="291"/>
      <c r="E76" s="375">
        <f>IF(Results!L81&lt;=0,0,C76/Results!L81)</f>
        <v>0</v>
      </c>
      <c r="F76" s="376">
        <f t="shared" ref="F76:F92" si="3">ox</f>
        <v>0</v>
      </c>
      <c r="G76" s="379"/>
    </row>
    <row r="77" spans="2:7">
      <c r="B77" s="378">
        <f t="shared" ref="B77:B92" si="4">B76+1</f>
        <v>2065</v>
      </c>
      <c r="C77" s="273">
        <v>0</v>
      </c>
      <c r="D77" s="291"/>
      <c r="E77" s="375">
        <f>IF(Results!L82&lt;=0,0,C77/Results!L82)</f>
        <v>0</v>
      </c>
      <c r="F77" s="376">
        <f t="shared" si="3"/>
        <v>0</v>
      </c>
      <c r="G77" s="379"/>
    </row>
    <row r="78" spans="2:7">
      <c r="B78" s="378">
        <f t="shared" si="4"/>
        <v>2066</v>
      </c>
      <c r="C78" s="273">
        <v>0</v>
      </c>
      <c r="D78" s="291"/>
      <c r="E78" s="375">
        <f>IF(Results!L83&lt;=0,0,C78/Results!L83)</f>
        <v>0</v>
      </c>
      <c r="F78" s="376">
        <f t="shared" si="3"/>
        <v>0</v>
      </c>
      <c r="G78" s="379"/>
    </row>
    <row r="79" spans="2:7">
      <c r="B79" s="378">
        <f t="shared" si="4"/>
        <v>2067</v>
      </c>
      <c r="C79" s="273">
        <v>0</v>
      </c>
      <c r="D79" s="291"/>
      <c r="E79" s="375">
        <f>IF(Results!L84&lt;=0,0,C79/Results!L84)</f>
        <v>0</v>
      </c>
      <c r="F79" s="376">
        <f t="shared" si="3"/>
        <v>0</v>
      </c>
      <c r="G79" s="379"/>
    </row>
    <row r="80" spans="2:7">
      <c r="B80" s="378">
        <f t="shared" si="4"/>
        <v>2068</v>
      </c>
      <c r="C80" s="273">
        <v>0</v>
      </c>
      <c r="D80" s="291"/>
      <c r="E80" s="375">
        <f>IF(Results!L85&lt;=0,0,C80/Results!L85)</f>
        <v>0</v>
      </c>
      <c r="F80" s="376">
        <f t="shared" si="3"/>
        <v>0</v>
      </c>
      <c r="G80" s="379"/>
    </row>
    <row r="81" spans="2:7">
      <c r="B81" s="378">
        <f t="shared" si="4"/>
        <v>2069</v>
      </c>
      <c r="C81" s="273">
        <v>0</v>
      </c>
      <c r="D81" s="291"/>
      <c r="E81" s="375">
        <f>IF(Results!L86&lt;=0,0,C81/Results!L86)</f>
        <v>0</v>
      </c>
      <c r="F81" s="376">
        <f t="shared" si="3"/>
        <v>0</v>
      </c>
      <c r="G81" s="379"/>
    </row>
    <row r="82" spans="2:7">
      <c r="B82" s="378">
        <f t="shared" si="4"/>
        <v>2070</v>
      </c>
      <c r="C82" s="273">
        <v>0</v>
      </c>
      <c r="D82" s="291"/>
      <c r="E82" s="375">
        <f>IF(Results!L87&lt;=0,0,C82/Results!L87)</f>
        <v>0</v>
      </c>
      <c r="F82" s="376">
        <f t="shared" si="3"/>
        <v>0</v>
      </c>
      <c r="G82" s="379"/>
    </row>
    <row r="83" spans="2:7">
      <c r="B83" s="378">
        <f t="shared" si="4"/>
        <v>2071</v>
      </c>
      <c r="C83" s="273">
        <v>0</v>
      </c>
      <c r="D83" s="291"/>
      <c r="E83" s="375">
        <f>IF(Results!L88&lt;=0,0,C83/Results!L88)</f>
        <v>0</v>
      </c>
      <c r="F83" s="376">
        <f t="shared" si="3"/>
        <v>0</v>
      </c>
      <c r="G83" s="379"/>
    </row>
    <row r="84" spans="2:7">
      <c r="B84" s="378">
        <f t="shared" si="4"/>
        <v>2072</v>
      </c>
      <c r="C84" s="273">
        <v>0</v>
      </c>
      <c r="D84" s="291"/>
      <c r="E84" s="375">
        <f>IF(Results!L89&lt;=0,0,C84/Results!L89)</f>
        <v>0</v>
      </c>
      <c r="F84" s="376">
        <f t="shared" si="3"/>
        <v>0</v>
      </c>
      <c r="G84" s="379"/>
    </row>
    <row r="85" spans="2:7">
      <c r="B85" s="378">
        <f t="shared" si="4"/>
        <v>2073</v>
      </c>
      <c r="C85" s="273">
        <v>0</v>
      </c>
      <c r="D85" s="291"/>
      <c r="E85" s="375">
        <f>IF(Results!L90&lt;=0,0,C85/Results!L90)</f>
        <v>0</v>
      </c>
      <c r="F85" s="376">
        <f t="shared" si="3"/>
        <v>0</v>
      </c>
      <c r="G85" s="379"/>
    </row>
    <row r="86" spans="2:7">
      <c r="B86" s="378">
        <f t="shared" si="4"/>
        <v>2074</v>
      </c>
      <c r="C86" s="273">
        <v>0</v>
      </c>
      <c r="D86" s="291"/>
      <c r="E86" s="375">
        <f>IF(Results!L91&lt;=0,0,C86/Results!L91)</f>
        <v>0</v>
      </c>
      <c r="F86" s="376">
        <f t="shared" si="3"/>
        <v>0</v>
      </c>
      <c r="G86" s="379"/>
    </row>
    <row r="87" spans="2:7">
      <c r="B87" s="378">
        <f t="shared" si="4"/>
        <v>2075</v>
      </c>
      <c r="C87" s="273">
        <v>0</v>
      </c>
      <c r="D87" s="291"/>
      <c r="E87" s="375">
        <f>IF(Results!L92&lt;=0,0,C87/Results!L92)</f>
        <v>0</v>
      </c>
      <c r="F87" s="376">
        <f t="shared" si="3"/>
        <v>0</v>
      </c>
      <c r="G87" s="379"/>
    </row>
    <row r="88" spans="2:7">
      <c r="B88" s="378">
        <f t="shared" si="4"/>
        <v>2076</v>
      </c>
      <c r="C88" s="273">
        <v>0</v>
      </c>
      <c r="D88" s="291"/>
      <c r="E88" s="375">
        <f>IF(Results!L93&lt;=0,0,C88/Results!L93)</f>
        <v>0</v>
      </c>
      <c r="F88" s="376">
        <f t="shared" si="3"/>
        <v>0</v>
      </c>
      <c r="G88" s="379"/>
    </row>
    <row r="89" spans="2:7">
      <c r="B89" s="378">
        <f t="shared" si="4"/>
        <v>2077</v>
      </c>
      <c r="C89" s="273">
        <v>0</v>
      </c>
      <c r="D89" s="291"/>
      <c r="E89" s="375">
        <f>IF(Results!L94&lt;=0,0,C89/Results!L94)</f>
        <v>0</v>
      </c>
      <c r="F89" s="376">
        <f t="shared" si="3"/>
        <v>0</v>
      </c>
      <c r="G89" s="379"/>
    </row>
    <row r="90" spans="2:7">
      <c r="B90" s="378">
        <f t="shared" si="4"/>
        <v>2078</v>
      </c>
      <c r="C90" s="273">
        <v>0</v>
      </c>
      <c r="D90" s="291"/>
      <c r="E90" s="375">
        <f>IF(Results!L95&lt;=0,0,C90/Results!L95)</f>
        <v>0</v>
      </c>
      <c r="F90" s="376">
        <f t="shared" si="3"/>
        <v>0</v>
      </c>
      <c r="G90" s="379"/>
    </row>
    <row r="91" spans="2:7">
      <c r="B91" s="378">
        <f t="shared" si="4"/>
        <v>2079</v>
      </c>
      <c r="C91" s="273">
        <v>0</v>
      </c>
      <c r="D91" s="291"/>
      <c r="E91" s="375">
        <f>IF(Results!L96&lt;=0,0,C91/Results!L96)</f>
        <v>0</v>
      </c>
      <c r="F91" s="376">
        <f t="shared" si="3"/>
        <v>0</v>
      </c>
      <c r="G91" s="379"/>
    </row>
    <row r="92" spans="2:7" ht="13.5" thickBot="1">
      <c r="B92" s="380">
        <f t="shared" si="4"/>
        <v>2080</v>
      </c>
      <c r="C92" s="321">
        <v>0</v>
      </c>
      <c r="D92" s="292"/>
      <c r="E92" s="381">
        <f>IF(Results!L97&lt;=0,0,C92/Results!L97)</f>
        <v>0</v>
      </c>
      <c r="F92" s="382">
        <f t="shared" si="3"/>
        <v>0</v>
      </c>
      <c r="G92" s="383"/>
    </row>
    <row r="93" spans="2:7">
      <c r="F93" s="67"/>
    </row>
    <row r="94" spans="2:7">
      <c r="F94" s="67"/>
    </row>
    <row r="95" spans="2:7">
      <c r="F95" s="67"/>
    </row>
    <row r="96" spans="2:7">
      <c r="F96" s="67"/>
    </row>
    <row r="97" spans="6:6">
      <c r="F97" s="67"/>
    </row>
    <row r="98" spans="6:6">
      <c r="F98" s="67"/>
    </row>
    <row r="99" spans="6:6">
      <c r="F99" s="67"/>
    </row>
    <row r="100" spans="6:6">
      <c r="F100" s="67"/>
    </row>
    <row r="101" spans="6:6">
      <c r="F101" s="67"/>
    </row>
    <row r="102" spans="6:6">
      <c r="F102" s="67"/>
    </row>
    <row r="103" spans="6:6">
      <c r="F103" s="67"/>
    </row>
    <row r="104" spans="6:6">
      <c r="F104" s="67"/>
    </row>
    <row r="105" spans="6:6">
      <c r="F105" s="67"/>
    </row>
    <row r="106" spans="6:6">
      <c r="F106" s="67"/>
    </row>
    <row r="107" spans="6:6">
      <c r="F107" s="67"/>
    </row>
    <row r="108" spans="6:6">
      <c r="F108" s="67"/>
    </row>
    <row r="109" spans="6:6">
      <c r="F109" s="67"/>
    </row>
    <row r="110" spans="6:6">
      <c r="F110" s="67"/>
    </row>
    <row r="111" spans="6:6">
      <c r="F111" s="67"/>
    </row>
    <row r="112" spans="6:6">
      <c r="F112" s="67"/>
    </row>
    <row r="113" spans="6:6">
      <c r="F113" s="67"/>
    </row>
    <row r="114" spans="6:6">
      <c r="F114" s="67"/>
    </row>
    <row r="115" spans="6:6">
      <c r="F115" s="67"/>
    </row>
    <row r="116" spans="6:6">
      <c r="F116" s="67"/>
    </row>
    <row r="117" spans="6:6">
      <c r="F117" s="6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9" zoomScale="70" zoomScaleNormal="70" workbookViewId="0">
      <selection activeCell="O17" sqref="O17"/>
    </sheetView>
  </sheetViews>
  <sheetFormatPr defaultColWidth="8.85546875" defaultRowHeight="12.75"/>
  <cols>
    <col min="1" max="1" width="8.85546875" style="695"/>
    <col min="2" max="2" width="7" style="691" customWidth="1"/>
    <col min="3" max="3" width="8.85546875" style="691"/>
    <col min="4" max="4" width="13" style="691" bestFit="1" customWidth="1"/>
    <col min="5" max="5" width="12" style="691" customWidth="1"/>
    <col min="6" max="6" width="9.140625" style="691" bestFit="1" customWidth="1"/>
    <col min="7" max="10" width="8.85546875" style="691"/>
    <col min="11" max="11" width="11.42578125" style="691" bestFit="1" customWidth="1"/>
    <col min="12" max="12" width="8.85546875" style="691"/>
    <col min="13" max="13" width="10.7109375" style="691" bestFit="1" customWidth="1"/>
    <col min="14" max="14" width="3" style="691" customWidth="1"/>
    <col min="15" max="15" width="17.140625" style="692" customWidth="1"/>
    <col min="16" max="16" width="4.7109375" style="691" customWidth="1"/>
    <col min="17" max="17" width="2" style="694" customWidth="1"/>
    <col min="18" max="20" width="8.85546875" style="695"/>
    <col min="21" max="21" width="10.7109375" style="695" customWidth="1"/>
    <col min="22" max="27" width="8.85546875" style="695"/>
    <col min="28" max="28" width="8.85546875" style="691"/>
    <col min="29" max="30" width="8.85546875" style="695"/>
    <col min="31" max="31" width="2.7109375" style="695" customWidth="1"/>
    <col min="32" max="32" width="11.7109375" style="695" bestFit="1" customWidth="1"/>
    <col min="33" max="16384" width="8.85546875" style="695"/>
  </cols>
  <sheetData>
    <row r="1" spans="1:32">
      <c r="A1" s="690"/>
      <c r="P1" s="693"/>
    </row>
    <row r="2" spans="1:32">
      <c r="A2" s="690"/>
      <c r="B2" s="696" t="s">
        <v>94</v>
      </c>
      <c r="D2" s="696"/>
      <c r="E2" s="696"/>
    </row>
    <row r="3" spans="1:32">
      <c r="A3" s="690"/>
      <c r="B3" s="696"/>
      <c r="D3" s="696"/>
      <c r="E3" s="696"/>
      <c r="I3" s="696"/>
      <c r="J3" s="697"/>
      <c r="K3" s="697"/>
      <c r="L3" s="697"/>
      <c r="M3" s="697"/>
      <c r="N3" s="697"/>
      <c r="O3" s="698"/>
      <c r="AB3" s="697"/>
    </row>
    <row r="4" spans="1:32" ht="13.5" thickBot="1">
      <c r="A4" s="690"/>
      <c r="B4" s="696" t="s">
        <v>265</v>
      </c>
      <c r="D4" s="696"/>
      <c r="E4" s="696" t="s">
        <v>276</v>
      </c>
      <c r="H4" s="696" t="s">
        <v>30</v>
      </c>
      <c r="I4" s="696"/>
      <c r="J4" s="697"/>
      <c r="K4" s="697"/>
      <c r="L4" s="697"/>
      <c r="M4" s="697"/>
      <c r="N4" s="697"/>
      <c r="O4" s="698"/>
      <c r="AB4" s="697"/>
    </row>
    <row r="5" spans="1:32" ht="13.5" thickBot="1">
      <c r="A5" s="690"/>
      <c r="B5" s="699" t="str">
        <f>city</f>
        <v>Kutai Kertanegara</v>
      </c>
      <c r="C5" s="700"/>
      <c r="D5" s="700"/>
      <c r="E5" s="699" t="str">
        <f>province</f>
        <v>Kalimantan Timur</v>
      </c>
      <c r="F5" s="700"/>
      <c r="G5" s="700"/>
      <c r="H5" s="699" t="str">
        <f>country</f>
        <v>Indonesia</v>
      </c>
      <c r="I5" s="700"/>
      <c r="J5" s="701"/>
      <c r="K5" s="697"/>
      <c r="L5" s="697"/>
      <c r="M5" s="697"/>
      <c r="N5" s="697"/>
      <c r="O5" s="698"/>
      <c r="AB5" s="697"/>
    </row>
    <row r="6" spans="1:32">
      <c r="A6" s="690"/>
      <c r="C6" s="696"/>
      <c r="D6" s="696"/>
      <c r="E6" s="696"/>
    </row>
    <row r="7" spans="1:32">
      <c r="A7" s="690"/>
      <c r="B7" s="691" t="s">
        <v>35</v>
      </c>
      <c r="P7" s="693"/>
    </row>
    <row r="8" spans="1:32">
      <c r="A8" s="690"/>
      <c r="B8" s="691" t="s">
        <v>37</v>
      </c>
      <c r="P8" s="693"/>
    </row>
    <row r="9" spans="1:32">
      <c r="B9" s="702"/>
      <c r="P9" s="693"/>
    </row>
    <row r="10" spans="1:32">
      <c r="P10" s="703"/>
    </row>
    <row r="11" spans="1:32" ht="13.5" thickBot="1">
      <c r="A11" s="704"/>
      <c r="P11" s="704"/>
      <c r="Q11" s="705"/>
    </row>
    <row r="12" spans="1:32" ht="13.5" thickBot="1">
      <c r="A12" s="706"/>
      <c r="B12" s="707"/>
      <c r="C12" s="813" t="s">
        <v>91</v>
      </c>
      <c r="D12" s="814"/>
      <c r="E12" s="814"/>
      <c r="F12" s="814"/>
      <c r="G12" s="814"/>
      <c r="H12" s="814"/>
      <c r="I12" s="814"/>
      <c r="J12" s="814"/>
      <c r="K12" s="814"/>
      <c r="L12" s="814"/>
      <c r="M12" s="815"/>
      <c r="N12" s="708"/>
      <c r="O12" s="709"/>
      <c r="P12" s="706"/>
      <c r="Q12" s="705"/>
      <c r="S12" s="707"/>
      <c r="T12" s="813" t="s">
        <v>91</v>
      </c>
      <c r="U12" s="814"/>
      <c r="V12" s="814"/>
      <c r="W12" s="814"/>
      <c r="X12" s="814"/>
      <c r="Y12" s="814"/>
      <c r="Z12" s="814"/>
      <c r="AA12" s="814"/>
      <c r="AB12" s="814"/>
      <c r="AC12" s="814"/>
      <c r="AD12" s="815"/>
      <c r="AE12" s="708"/>
      <c r="AF12" s="710"/>
    </row>
    <row r="13" spans="1:32" ht="39" thickBot="1">
      <c r="A13" s="706"/>
      <c r="B13" s="405" t="s">
        <v>1</v>
      </c>
      <c r="C13" s="406" t="s">
        <v>228</v>
      </c>
      <c r="D13" s="407" t="s">
        <v>268</v>
      </c>
      <c r="E13" s="407" t="s">
        <v>267</v>
      </c>
      <c r="F13" s="407" t="s">
        <v>272</v>
      </c>
      <c r="G13" s="407" t="s">
        <v>2</v>
      </c>
      <c r="H13" s="407" t="s">
        <v>3</v>
      </c>
      <c r="I13" s="408" t="s">
        <v>146</v>
      </c>
      <c r="J13" s="408" t="s">
        <v>95</v>
      </c>
      <c r="K13" s="408" t="s">
        <v>308</v>
      </c>
      <c r="L13" s="409" t="s">
        <v>27</v>
      </c>
      <c r="M13" s="408" t="s">
        <v>5</v>
      </c>
      <c r="N13" s="410"/>
      <c r="O13" s="636" t="s">
        <v>4</v>
      </c>
      <c r="P13" s="706"/>
      <c r="Q13" s="705"/>
      <c r="S13" s="405" t="s">
        <v>1</v>
      </c>
      <c r="T13" s="406" t="s">
        <v>228</v>
      </c>
      <c r="U13" s="407" t="s">
        <v>268</v>
      </c>
      <c r="V13" s="407" t="s">
        <v>267</v>
      </c>
      <c r="W13" s="407" t="s">
        <v>272</v>
      </c>
      <c r="X13" s="407" t="s">
        <v>2</v>
      </c>
      <c r="Y13" s="407" t="s">
        <v>3</v>
      </c>
      <c r="Z13" s="408" t="s">
        <v>146</v>
      </c>
      <c r="AA13" s="408" t="s">
        <v>95</v>
      </c>
      <c r="AB13" s="408" t="s">
        <v>308</v>
      </c>
      <c r="AC13" s="409" t="s">
        <v>27</v>
      </c>
      <c r="AD13" s="408" t="s">
        <v>5</v>
      </c>
      <c r="AE13" s="410"/>
      <c r="AF13" s="411" t="s">
        <v>4</v>
      </c>
    </row>
    <row r="14" spans="1:32" ht="26.25" thickBot="1">
      <c r="A14" s="706"/>
      <c r="B14" s="711"/>
      <c r="C14" s="712" t="s">
        <v>81</v>
      </c>
      <c r="D14" s="713" t="s">
        <v>87</v>
      </c>
      <c r="E14" s="713" t="s">
        <v>88</v>
      </c>
      <c r="F14" s="713" t="s">
        <v>275</v>
      </c>
      <c r="G14" s="713" t="s">
        <v>89</v>
      </c>
      <c r="H14" s="713" t="s">
        <v>82</v>
      </c>
      <c r="I14" s="714" t="s">
        <v>92</v>
      </c>
      <c r="J14" s="715" t="s">
        <v>93</v>
      </c>
      <c r="K14" s="715" t="s">
        <v>316</v>
      </c>
      <c r="L14" s="716" t="s">
        <v>194</v>
      </c>
      <c r="M14" s="715" t="s">
        <v>162</v>
      </c>
      <c r="N14" s="717"/>
      <c r="O14" s="718" t="s">
        <v>163</v>
      </c>
      <c r="P14" s="706"/>
      <c r="Q14" s="705"/>
      <c r="S14" s="711"/>
      <c r="T14" s="712" t="s">
        <v>81</v>
      </c>
      <c r="U14" s="713" t="s">
        <v>87</v>
      </c>
      <c r="V14" s="713" t="s">
        <v>88</v>
      </c>
      <c r="W14" s="713" t="s">
        <v>275</v>
      </c>
      <c r="X14" s="713" t="s">
        <v>89</v>
      </c>
      <c r="Y14" s="713" t="s">
        <v>82</v>
      </c>
      <c r="Z14" s="714" t="s">
        <v>92</v>
      </c>
      <c r="AA14" s="715" t="s">
        <v>93</v>
      </c>
      <c r="AB14" s="715" t="s">
        <v>316</v>
      </c>
      <c r="AC14" s="716" t="s">
        <v>194</v>
      </c>
      <c r="AD14" s="715" t="s">
        <v>162</v>
      </c>
      <c r="AE14" s="717"/>
      <c r="AF14" s="719" t="s">
        <v>163</v>
      </c>
    </row>
    <row r="15" spans="1:32" ht="13.5" thickBot="1">
      <c r="B15" s="720"/>
      <c r="C15" s="721" t="s">
        <v>15</v>
      </c>
      <c r="D15" s="722" t="s">
        <v>15</v>
      </c>
      <c r="E15" s="722" t="s">
        <v>15</v>
      </c>
      <c r="F15" s="722" t="s">
        <v>15</v>
      </c>
      <c r="G15" s="722" t="s">
        <v>15</v>
      </c>
      <c r="H15" s="722" t="s">
        <v>15</v>
      </c>
      <c r="I15" s="723" t="s">
        <v>15</v>
      </c>
      <c r="J15" s="723" t="s">
        <v>15</v>
      </c>
      <c r="K15" s="723" t="s">
        <v>15</v>
      </c>
      <c r="L15" s="724" t="s">
        <v>15</v>
      </c>
      <c r="M15" s="723" t="s">
        <v>15</v>
      </c>
      <c r="N15" s="717"/>
      <c r="O15" s="718" t="s">
        <v>15</v>
      </c>
      <c r="P15" s="695"/>
      <c r="Q15" s="705"/>
      <c r="S15" s="720"/>
      <c r="T15" s="721" t="s">
        <v>15</v>
      </c>
      <c r="U15" s="722" t="s">
        <v>15</v>
      </c>
      <c r="V15" s="722" t="s">
        <v>15</v>
      </c>
      <c r="W15" s="722" t="s">
        <v>15</v>
      </c>
      <c r="X15" s="722" t="s">
        <v>15</v>
      </c>
      <c r="Y15" s="722" t="s">
        <v>15</v>
      </c>
      <c r="Z15" s="723" t="s">
        <v>15</v>
      </c>
      <c r="AA15" s="723" t="s">
        <v>15</v>
      </c>
      <c r="AB15" s="723" t="s">
        <v>15</v>
      </c>
      <c r="AC15" s="724" t="s">
        <v>15</v>
      </c>
      <c r="AD15" s="723" t="s">
        <v>15</v>
      </c>
      <c r="AE15" s="717"/>
      <c r="AF15" s="719" t="s">
        <v>15</v>
      </c>
    </row>
    <row r="16" spans="1:32" ht="13.5" thickBot="1">
      <c r="B16" s="725"/>
      <c r="C16" s="726"/>
      <c r="D16" s="727"/>
      <c r="E16" s="727"/>
      <c r="F16" s="727"/>
      <c r="G16" s="727"/>
      <c r="H16" s="727"/>
      <c r="I16" s="728"/>
      <c r="J16" s="728"/>
      <c r="K16" s="729"/>
      <c r="L16" s="730"/>
      <c r="M16" s="729"/>
      <c r="N16" s="731"/>
      <c r="O16" s="732"/>
      <c r="P16" s="695"/>
      <c r="Q16" s="705"/>
      <c r="S16" s="725"/>
      <c r="T16" s="726"/>
      <c r="U16" s="727"/>
      <c r="V16" s="727"/>
      <c r="W16" s="727"/>
      <c r="X16" s="727"/>
      <c r="Y16" s="727"/>
      <c r="Z16" s="728"/>
      <c r="AA16" s="728"/>
      <c r="AB16" s="729"/>
      <c r="AC16" s="730"/>
      <c r="AD16" s="729"/>
      <c r="AE16" s="731"/>
      <c r="AF16" s="733"/>
    </row>
    <row r="17" spans="2:32">
      <c r="B17" s="734">
        <f>year</f>
        <v>2000</v>
      </c>
      <c r="C17" s="735">
        <f>IF(Select2=1,Food!$K19,"")</f>
        <v>0</v>
      </c>
      <c r="D17" s="736">
        <f>IF(Select2=1,Paper!$K19,"")</f>
        <v>0</v>
      </c>
      <c r="E17" s="736">
        <f>IF(Select2=1,Nappies!$K19,"")</f>
        <v>0</v>
      </c>
      <c r="F17" s="736">
        <f>IF(Select2=1,Garden!$K19,"")</f>
        <v>0</v>
      </c>
      <c r="G17" s="736">
        <f>IF(Select2=1,Wood!$K19,"")</f>
        <v>0</v>
      </c>
      <c r="H17" s="736">
        <f>IF(Select2=1,Textiles!$K19,"")</f>
        <v>0</v>
      </c>
      <c r="I17" s="737">
        <f>Sludge!K19</f>
        <v>0</v>
      </c>
      <c r="J17" s="738" t="str">
        <f>IF(Select2=2,MSW!$K19,"")</f>
        <v/>
      </c>
      <c r="K17" s="737">
        <f>Industry!$K19</f>
        <v>0</v>
      </c>
      <c r="L17" s="739">
        <f>SUM(C17:K17)</f>
        <v>0</v>
      </c>
      <c r="M17" s="740">
        <f>Recovery_OX!C12</f>
        <v>0</v>
      </c>
      <c r="N17" s="703"/>
      <c r="O17" s="741">
        <f>(L17-M17)*(1-Recovery_OX!F12)</f>
        <v>0</v>
      </c>
      <c r="P17" s="695"/>
      <c r="Q17" s="705"/>
      <c r="S17" s="734">
        <f>year</f>
        <v>2000</v>
      </c>
      <c r="T17" s="735">
        <f>IF(Select2=1,Food!$W19,"")</f>
        <v>0</v>
      </c>
      <c r="U17" s="736">
        <f>IF(Select2=1,Paper!$W19,"")</f>
        <v>0</v>
      </c>
      <c r="V17" s="736">
        <f>IF(Select2=1,Nappies!$W19,"")</f>
        <v>0</v>
      </c>
      <c r="W17" s="736">
        <f>IF(Select2=1,Garden!$W19,"")</f>
        <v>0</v>
      </c>
      <c r="X17" s="736">
        <f>IF(Select2=1,Wood!$W19,"")</f>
        <v>0</v>
      </c>
      <c r="Y17" s="736">
        <f>IF(Select2=1,Textiles!$W19,"")</f>
        <v>0</v>
      </c>
      <c r="Z17" s="737">
        <f>Sludge!W19</f>
        <v>0</v>
      </c>
      <c r="AA17" s="738" t="str">
        <f>IF(Select2=2,MSW!$W19,"")</f>
        <v/>
      </c>
      <c r="AB17" s="737">
        <f>Industry!$W19</f>
        <v>0</v>
      </c>
      <c r="AC17" s="739">
        <f t="shared" ref="AC17:AC48" si="0">SUM(T17:AA17)</f>
        <v>0</v>
      </c>
      <c r="AD17" s="740">
        <f>Recovery_OX!R12</f>
        <v>0</v>
      </c>
      <c r="AE17" s="703"/>
      <c r="AF17" s="742">
        <f>(AC17-AD17)*(1-Recovery_OX!U12)</f>
        <v>0</v>
      </c>
    </row>
    <row r="18" spans="2:32">
      <c r="B18" s="743">
        <f t="shared" ref="B18:B81" si="1">B17+1</f>
        <v>2001</v>
      </c>
      <c r="C18" s="744">
        <f>IF(Select2=1,Food!$K20,"")</f>
        <v>0.34238832401198521</v>
      </c>
      <c r="D18" s="745">
        <f>IF(Select2=1,Paper!$K20,"")</f>
        <v>1.1734997650091339E-2</v>
      </c>
      <c r="E18" s="736">
        <f>IF(Select2=1,Nappies!$K20,"")</f>
        <v>3.7004275899759811E-2</v>
      </c>
      <c r="F18" s="745">
        <f>IF(Select2=1,Garden!$K20,"")</f>
        <v>0</v>
      </c>
      <c r="G18" s="736">
        <f>IF(Select2=1,Wood!$K20,"")</f>
        <v>0</v>
      </c>
      <c r="H18" s="745">
        <f>IF(Select2=1,Textiles!$K20,"")</f>
        <v>8.367652961498303E-4</v>
      </c>
      <c r="I18" s="746">
        <f>Sludge!K20</f>
        <v>0</v>
      </c>
      <c r="J18" s="746" t="str">
        <f>IF(Select2=2,MSW!$K20,"")</f>
        <v/>
      </c>
      <c r="K18" s="746">
        <f>Industry!$K20</f>
        <v>0</v>
      </c>
      <c r="L18" s="747">
        <f>SUM(C18:K18)</f>
        <v>0.39196436285798619</v>
      </c>
      <c r="M18" s="748">
        <f>Recovery_OX!C13</f>
        <v>0</v>
      </c>
      <c r="N18" s="703"/>
      <c r="O18" s="749">
        <f>(L18-M18)*(1-Recovery_OX!F13)</f>
        <v>0.39196436285798619</v>
      </c>
      <c r="P18" s="695"/>
      <c r="Q18" s="705"/>
      <c r="S18" s="743">
        <f t="shared" ref="S18:S81" si="2">S17+1</f>
        <v>2001</v>
      </c>
      <c r="T18" s="744">
        <f>IF(Select2=1,Food!$W20,"")</f>
        <v>0.22907336575288931</v>
      </c>
      <c r="U18" s="745">
        <f>IF(Select2=1,Paper!$W20,"")</f>
        <v>2.4245862913411853E-2</v>
      </c>
      <c r="V18" s="736">
        <f>IF(Select2=1,Nappies!$W20,"")</f>
        <v>0</v>
      </c>
      <c r="W18" s="745">
        <f>IF(Select2=1,Garden!$W20,"")</f>
        <v>0</v>
      </c>
      <c r="X18" s="736">
        <f>IF(Select2=1,Wood!$W20,"")</f>
        <v>0</v>
      </c>
      <c r="Y18" s="745">
        <f>IF(Select2=1,Textiles!$W20,"")</f>
        <v>9.1700306427378682E-4</v>
      </c>
      <c r="Z18" s="738">
        <f>Sludge!W20</f>
        <v>0</v>
      </c>
      <c r="AA18" s="738" t="str">
        <f>IF(Select2=2,MSW!$W20,"")</f>
        <v/>
      </c>
      <c r="AB18" s="746">
        <f>Industry!$W20</f>
        <v>0</v>
      </c>
      <c r="AC18" s="747">
        <f t="shared" si="0"/>
        <v>0.25423623173057497</v>
      </c>
      <c r="AD18" s="748">
        <f>Recovery_OX!R13</f>
        <v>0</v>
      </c>
      <c r="AE18" s="703"/>
      <c r="AF18" s="750">
        <f>(AC18-AD18)*(1-Recovery_OX!U13)</f>
        <v>0.25423623173057497</v>
      </c>
    </row>
    <row r="19" spans="2:32">
      <c r="B19" s="743">
        <f t="shared" si="1"/>
        <v>2002</v>
      </c>
      <c r="C19" s="744">
        <f>IF(Select2=1,Food!$K21,"")</f>
        <v>0.57826423949727079</v>
      </c>
      <c r="D19" s="745">
        <f>IF(Select2=1,Paper!$K21,"")</f>
        <v>2.2894830280135094E-2</v>
      </c>
      <c r="E19" s="736">
        <f>IF(Select2=1,Nappies!$K21,"")</f>
        <v>6.8911516336411072E-2</v>
      </c>
      <c r="F19" s="745">
        <f>IF(Select2=1,Garden!$K21,"")</f>
        <v>0</v>
      </c>
      <c r="G19" s="736">
        <f>IF(Select2=1,Wood!$K21,"")</f>
        <v>0</v>
      </c>
      <c r="H19" s="745">
        <f>IF(Select2=1,Textiles!$K21,"")</f>
        <v>1.6325183873818869E-3</v>
      </c>
      <c r="I19" s="746">
        <f>Sludge!K21</f>
        <v>0</v>
      </c>
      <c r="J19" s="746" t="str">
        <f>IF(Select2=2,MSW!$K21,"")</f>
        <v/>
      </c>
      <c r="K19" s="746">
        <f>Industry!$K21</f>
        <v>0</v>
      </c>
      <c r="L19" s="747">
        <f t="shared" ref="L19:L82" si="3">SUM(C19:K19)</f>
        <v>0.67170310450119886</v>
      </c>
      <c r="M19" s="748">
        <f>Recovery_OX!C14</f>
        <v>0</v>
      </c>
      <c r="N19" s="703"/>
      <c r="O19" s="749">
        <f>(L19-M19)*(1-Recovery_OX!F14)</f>
        <v>0.67170310450119886</v>
      </c>
      <c r="P19" s="695"/>
      <c r="Q19" s="705"/>
      <c r="S19" s="743">
        <f t="shared" si="2"/>
        <v>2002</v>
      </c>
      <c r="T19" s="744">
        <f>IF(Select2=1,Food!$W21,"")</f>
        <v>0.38688508440941405</v>
      </c>
      <c r="U19" s="745">
        <f>IF(Select2=1,Paper!$W21,"")</f>
        <v>4.7303368347386555E-2</v>
      </c>
      <c r="V19" s="736">
        <f>IF(Select2=1,Nappies!$W21,"")</f>
        <v>0</v>
      </c>
      <c r="W19" s="745">
        <f>IF(Select2=1,Garden!$W21,"")</f>
        <v>0</v>
      </c>
      <c r="X19" s="736">
        <f>IF(Select2=1,Wood!$W21,"")</f>
        <v>0</v>
      </c>
      <c r="Y19" s="745">
        <f>IF(Select2=1,Textiles!$W21,"")</f>
        <v>1.7890612464459038E-3</v>
      </c>
      <c r="Z19" s="738">
        <f>Sludge!W21</f>
        <v>0</v>
      </c>
      <c r="AA19" s="738" t="str">
        <f>IF(Select2=2,MSW!$W21,"")</f>
        <v/>
      </c>
      <c r="AB19" s="746">
        <f>Industry!$W21</f>
        <v>0</v>
      </c>
      <c r="AC19" s="747">
        <f t="shared" si="0"/>
        <v>0.43597751400324652</v>
      </c>
      <c r="AD19" s="748">
        <f>Recovery_OX!R14</f>
        <v>0</v>
      </c>
      <c r="AE19" s="703"/>
      <c r="AF19" s="750">
        <f>(AC19-AD19)*(1-Recovery_OX!U14)</f>
        <v>0.43597751400324652</v>
      </c>
    </row>
    <row r="20" spans="2:32">
      <c r="B20" s="743">
        <f t="shared" si="1"/>
        <v>2003</v>
      </c>
      <c r="C20" s="744">
        <f>IF(Select2=1,Food!$K22,"")</f>
        <v>0.74687769003018212</v>
      </c>
      <c r="D20" s="745">
        <f>IF(Select2=1,Paper!$K22,"")</f>
        <v>3.3660103213826786E-2</v>
      </c>
      <c r="E20" s="736">
        <f>IF(Select2=1,Nappies!$K22,"")</f>
        <v>9.6965458612623748E-2</v>
      </c>
      <c r="F20" s="745">
        <f>IF(Select2=1,Garden!$K22,"")</f>
        <v>0</v>
      </c>
      <c r="G20" s="736">
        <f>IF(Select2=1,Wood!$K22,"")</f>
        <v>0</v>
      </c>
      <c r="H20" s="745">
        <f>IF(Select2=1,Textiles!$K22,"")</f>
        <v>2.4001373561359342E-3</v>
      </c>
      <c r="I20" s="746">
        <f>Sludge!K22</f>
        <v>0</v>
      </c>
      <c r="J20" s="746" t="str">
        <f>IF(Select2=2,MSW!$K22,"")</f>
        <v/>
      </c>
      <c r="K20" s="746">
        <f>Industry!$K22</f>
        <v>0</v>
      </c>
      <c r="L20" s="747">
        <f t="shared" si="3"/>
        <v>0.87990338921276867</v>
      </c>
      <c r="M20" s="748">
        <f>Recovery_OX!C15</f>
        <v>0</v>
      </c>
      <c r="N20" s="703"/>
      <c r="O20" s="749">
        <f>(L20-M20)*(1-Recovery_OX!F15)</f>
        <v>0.87990338921276867</v>
      </c>
      <c r="P20" s="695"/>
      <c r="Q20" s="705"/>
      <c r="S20" s="743">
        <f t="shared" si="2"/>
        <v>2003</v>
      </c>
      <c r="T20" s="744">
        <f>IF(Select2=1,Food!$W22,"")</f>
        <v>0.49969515390065711</v>
      </c>
      <c r="U20" s="745">
        <f>IF(Select2=1,Paper!$W22,"")</f>
        <v>6.9545667797162772E-2</v>
      </c>
      <c r="V20" s="736">
        <f>IF(Select2=1,Nappies!$W22,"")</f>
        <v>0</v>
      </c>
      <c r="W20" s="745">
        <f>IF(Select2=1,Garden!$W22,"")</f>
        <v>0</v>
      </c>
      <c r="X20" s="736">
        <f>IF(Select2=1,Wood!$W22,"")</f>
        <v>0</v>
      </c>
      <c r="Y20" s="745">
        <f>IF(Select2=1,Textiles!$W22,"")</f>
        <v>2.6302875135736266E-3</v>
      </c>
      <c r="Z20" s="738">
        <f>Sludge!W22</f>
        <v>0</v>
      </c>
      <c r="AA20" s="738" t="str">
        <f>IF(Select2=2,MSW!$W22,"")</f>
        <v/>
      </c>
      <c r="AB20" s="746">
        <f>Industry!$W22</f>
        <v>0</v>
      </c>
      <c r="AC20" s="747">
        <f t="shared" si="0"/>
        <v>0.5718711092113935</v>
      </c>
      <c r="AD20" s="748">
        <f>Recovery_OX!R15</f>
        <v>0</v>
      </c>
      <c r="AE20" s="703"/>
      <c r="AF20" s="750">
        <f>(AC20-AD20)*(1-Recovery_OX!U15)</f>
        <v>0.5718711092113935</v>
      </c>
    </row>
    <row r="21" spans="2:32">
      <c r="B21" s="743">
        <f t="shared" si="1"/>
        <v>2004</v>
      </c>
      <c r="C21" s="744">
        <f>IF(Select2=1,Food!$K23,"")</f>
        <v>0.88824626791759709</v>
      </c>
      <c r="D21" s="745">
        <f>IF(Select2=1,Paper!$K23,"")</f>
        <v>4.4669024144154273E-2</v>
      </c>
      <c r="E21" s="736">
        <f>IF(Select2=1,Nappies!$K23,"")</f>
        <v>0.12369687191269152</v>
      </c>
      <c r="F21" s="745">
        <f>IF(Select2=1,Garden!$K23,"")</f>
        <v>0</v>
      </c>
      <c r="G21" s="736">
        <f>IF(Select2=1,Wood!$K23,"")</f>
        <v>0</v>
      </c>
      <c r="H21" s="745">
        <f>IF(Select2=1,Textiles!$K23,"")</f>
        <v>3.185129672046952E-3</v>
      </c>
      <c r="I21" s="746">
        <f>Sludge!K23</f>
        <v>0</v>
      </c>
      <c r="J21" s="746" t="str">
        <f>IF(Select2=2,MSW!$K23,"")</f>
        <v/>
      </c>
      <c r="K21" s="746">
        <f>Industry!$K23</f>
        <v>0</v>
      </c>
      <c r="L21" s="747">
        <f t="shared" si="3"/>
        <v>1.0597972936464897</v>
      </c>
      <c r="M21" s="748">
        <f>Recovery_OX!C16</f>
        <v>0</v>
      </c>
      <c r="N21" s="703"/>
      <c r="O21" s="749">
        <f>(L21-M21)*(1-Recovery_OX!F16)</f>
        <v>1.0597972936464897</v>
      </c>
      <c r="P21" s="695"/>
      <c r="Q21" s="705"/>
      <c r="S21" s="743">
        <f t="shared" si="2"/>
        <v>2004</v>
      </c>
      <c r="T21" s="744">
        <f>IF(Select2=1,Food!$W23,"")</f>
        <v>0.59427716408403009</v>
      </c>
      <c r="U21" s="745">
        <f>IF(Select2=1,Paper!$W23,"")</f>
        <v>9.2291372198665858E-2</v>
      </c>
      <c r="V21" s="736">
        <f>IF(Select2=1,Nappies!$W23,"")</f>
        <v>0</v>
      </c>
      <c r="W21" s="745">
        <f>IF(Select2=1,Garden!$W23,"")</f>
        <v>0</v>
      </c>
      <c r="X21" s="736">
        <f>IF(Select2=1,Wood!$W23,"")</f>
        <v>0</v>
      </c>
      <c r="Y21" s="745">
        <f>IF(Select2=1,Textiles!$W23,"")</f>
        <v>3.4905530652569331E-3</v>
      </c>
      <c r="Z21" s="738">
        <f>Sludge!W23</f>
        <v>0</v>
      </c>
      <c r="AA21" s="738" t="str">
        <f>IF(Select2=2,MSW!$W23,"")</f>
        <v/>
      </c>
      <c r="AB21" s="746">
        <f>Industry!$W23</f>
        <v>0</v>
      </c>
      <c r="AC21" s="747">
        <f t="shared" si="0"/>
        <v>0.6900590893479529</v>
      </c>
      <c r="AD21" s="748">
        <f>Recovery_OX!R16</f>
        <v>0</v>
      </c>
      <c r="AE21" s="703"/>
      <c r="AF21" s="750">
        <f>(AC21-AD21)*(1-Recovery_OX!U16)</f>
        <v>0.6900590893479529</v>
      </c>
    </row>
    <row r="22" spans="2:32">
      <c r="B22" s="743">
        <f t="shared" si="1"/>
        <v>2005</v>
      </c>
      <c r="C22" s="744">
        <f>IF(Select2=1,Food!$K24,"")</f>
        <v>0.98694173226408632</v>
      </c>
      <c r="D22" s="745">
        <f>IF(Select2=1,Paper!$K24,"")</f>
        <v>5.5068482745173765E-2</v>
      </c>
      <c r="E22" s="736">
        <f>IF(Select2=1,Nappies!$K24,"")</f>
        <v>0.14667432081632042</v>
      </c>
      <c r="F22" s="745">
        <f>IF(Select2=1,Garden!$K24,"")</f>
        <v>0</v>
      </c>
      <c r="G22" s="736">
        <f>IF(Select2=1,Wood!$K24,"")</f>
        <v>0</v>
      </c>
      <c r="H22" s="745">
        <f>IF(Select2=1,Textiles!$K24,"")</f>
        <v>3.9266642096369327E-3</v>
      </c>
      <c r="I22" s="746">
        <f>Sludge!K24</f>
        <v>0</v>
      </c>
      <c r="J22" s="746" t="str">
        <f>IF(Select2=2,MSW!$K24,"")</f>
        <v/>
      </c>
      <c r="K22" s="746">
        <f>Industry!$K24</f>
        <v>0</v>
      </c>
      <c r="L22" s="747">
        <f t="shared" si="3"/>
        <v>1.1926112000352174</v>
      </c>
      <c r="M22" s="748">
        <f>Recovery_OX!C17</f>
        <v>0</v>
      </c>
      <c r="N22" s="703"/>
      <c r="O22" s="749">
        <f>(L22-M22)*(1-Recovery_OX!F17)</f>
        <v>1.1926112000352174</v>
      </c>
      <c r="P22" s="695"/>
      <c r="Q22" s="705"/>
      <c r="S22" s="743">
        <f t="shared" si="2"/>
        <v>2005</v>
      </c>
      <c r="T22" s="744">
        <f>IF(Select2=1,Food!$W24,"")</f>
        <v>0.66030891989122631</v>
      </c>
      <c r="U22" s="745">
        <f>IF(Select2=1,Paper!$W24,"")</f>
        <v>0.11377785691151607</v>
      </c>
      <c r="V22" s="736">
        <f>IF(Select2=1,Nappies!$W24,"")</f>
        <v>0</v>
      </c>
      <c r="W22" s="745">
        <f>IF(Select2=1,Garden!$W24,"")</f>
        <v>0</v>
      </c>
      <c r="X22" s="736">
        <f>IF(Select2=1,Wood!$W24,"")</f>
        <v>0</v>
      </c>
      <c r="Y22" s="745">
        <f>IF(Select2=1,Textiles!$W24,"")</f>
        <v>4.3031936543966379E-3</v>
      </c>
      <c r="Z22" s="738">
        <f>Sludge!W24</f>
        <v>0</v>
      </c>
      <c r="AA22" s="738" t="str">
        <f>IF(Select2=2,MSW!$W24,"")</f>
        <v/>
      </c>
      <c r="AB22" s="746">
        <f>Industry!$W24</f>
        <v>0</v>
      </c>
      <c r="AC22" s="747">
        <f t="shared" si="0"/>
        <v>0.77838997045713909</v>
      </c>
      <c r="AD22" s="748">
        <f>Recovery_OX!R17</f>
        <v>0</v>
      </c>
      <c r="AE22" s="703"/>
      <c r="AF22" s="750">
        <f>(AC22-AD22)*(1-Recovery_OX!U17)</f>
        <v>0.77838997045713909</v>
      </c>
    </row>
    <row r="23" spans="2:32">
      <c r="B23" s="743">
        <f t="shared" si="1"/>
        <v>2006</v>
      </c>
      <c r="C23" s="744">
        <f>IF(Select2=1,Food!$K25,"")</f>
        <v>1.0637592884358269</v>
      </c>
      <c r="D23" s="745">
        <f>IF(Select2=1,Paper!$K25,"")</f>
        <v>6.5130234172776025E-2</v>
      </c>
      <c r="E23" s="736">
        <f>IF(Select2=1,Nappies!$K25,"")</f>
        <v>0.16721168687210275</v>
      </c>
      <c r="F23" s="745">
        <f>IF(Select2=1,Garden!$K25,"")</f>
        <v>0</v>
      </c>
      <c r="G23" s="736">
        <f>IF(Select2=1,Wood!$K25,"")</f>
        <v>0</v>
      </c>
      <c r="H23" s="745">
        <f>IF(Select2=1,Textiles!$K25,"")</f>
        <v>4.6441185001401819E-3</v>
      </c>
      <c r="I23" s="746">
        <f>Sludge!K25</f>
        <v>0</v>
      </c>
      <c r="J23" s="746" t="str">
        <f>IF(Select2=2,MSW!$K25,"")</f>
        <v/>
      </c>
      <c r="K23" s="746">
        <f>Industry!$K25</f>
        <v>0</v>
      </c>
      <c r="L23" s="747">
        <f t="shared" si="3"/>
        <v>1.3007453279808459</v>
      </c>
      <c r="M23" s="748">
        <f>Recovery_OX!C18</f>
        <v>0</v>
      </c>
      <c r="N23" s="703"/>
      <c r="O23" s="749">
        <f>(L23-M23)*(1-Recovery_OX!F18)</f>
        <v>1.3007453279808459</v>
      </c>
      <c r="P23" s="695"/>
      <c r="Q23" s="705"/>
      <c r="S23" s="743">
        <f t="shared" si="2"/>
        <v>2006</v>
      </c>
      <c r="T23" s="744">
        <f>IF(Select2=1,Food!$W25,"")</f>
        <v>0.71170335979203403</v>
      </c>
      <c r="U23" s="745">
        <f>IF(Select2=1,Paper!$W25,"")</f>
        <v>0.13456659953052899</v>
      </c>
      <c r="V23" s="736">
        <f>IF(Select2=1,Nappies!$W25,"")</f>
        <v>0</v>
      </c>
      <c r="W23" s="745">
        <f>IF(Select2=1,Garden!$W25,"")</f>
        <v>0</v>
      </c>
      <c r="X23" s="736">
        <f>IF(Select2=1,Wood!$W25,"")</f>
        <v>0</v>
      </c>
      <c r="Y23" s="745">
        <f>IF(Select2=1,Textiles!$W25,"")</f>
        <v>5.089444931660473E-3</v>
      </c>
      <c r="Z23" s="738">
        <f>Sludge!W25</f>
        <v>0</v>
      </c>
      <c r="AA23" s="738" t="str">
        <f>IF(Select2=2,MSW!$W25,"")</f>
        <v/>
      </c>
      <c r="AB23" s="746">
        <f>Industry!$W25</f>
        <v>0</v>
      </c>
      <c r="AC23" s="747">
        <f t="shared" si="0"/>
        <v>0.85135940425422352</v>
      </c>
      <c r="AD23" s="748">
        <f>Recovery_OX!R18</f>
        <v>0</v>
      </c>
      <c r="AE23" s="703"/>
      <c r="AF23" s="750">
        <f>(AC23-AD23)*(1-Recovery_OX!U18)</f>
        <v>0.85135940425422352</v>
      </c>
    </row>
    <row r="24" spans="2:32">
      <c r="B24" s="743">
        <f t="shared" si="1"/>
        <v>2007</v>
      </c>
      <c r="C24" s="744">
        <f>IF(Select2=1,Food!$K26,"")</f>
        <v>1.1233779260674024</v>
      </c>
      <c r="D24" s="745">
        <f>IF(Select2=1,Paper!$K26,"")</f>
        <v>7.4790269010198529E-2</v>
      </c>
      <c r="E24" s="736">
        <f>IF(Select2=1,Nappies!$K26,"")</f>
        <v>0.18541660442551067</v>
      </c>
      <c r="F24" s="745">
        <f>IF(Select2=1,Garden!$K26,"")</f>
        <v>0</v>
      </c>
      <c r="G24" s="736">
        <f>IF(Select2=1,Wood!$K26,"")</f>
        <v>0</v>
      </c>
      <c r="H24" s="745">
        <f>IF(Select2=1,Textiles!$K26,"")</f>
        <v>5.3329283450650865E-3</v>
      </c>
      <c r="I24" s="746">
        <f>Sludge!K26</f>
        <v>0</v>
      </c>
      <c r="J24" s="746" t="str">
        <f>IF(Select2=2,MSW!$K26,"")</f>
        <v/>
      </c>
      <c r="K24" s="746">
        <f>Industry!$K26</f>
        <v>0</v>
      </c>
      <c r="L24" s="747">
        <f t="shared" si="3"/>
        <v>1.3889177278481768</v>
      </c>
      <c r="M24" s="748">
        <f>Recovery_OX!C19</f>
        <v>0</v>
      </c>
      <c r="N24" s="703"/>
      <c r="O24" s="749">
        <f>(L24-M24)*(1-Recovery_OX!F19)</f>
        <v>1.3889177278481768</v>
      </c>
      <c r="P24" s="695"/>
      <c r="Q24" s="705"/>
      <c r="S24" s="743">
        <f t="shared" si="2"/>
        <v>2007</v>
      </c>
      <c r="T24" s="744">
        <f>IF(Select2=1,Food!$W26,"")</f>
        <v>0.75159094072306121</v>
      </c>
      <c r="U24" s="745">
        <f>IF(Select2=1,Paper!$W26,"")</f>
        <v>0.15452534919462513</v>
      </c>
      <c r="V24" s="736">
        <f>IF(Select2=1,Nappies!$W26,"")</f>
        <v>0</v>
      </c>
      <c r="W24" s="745">
        <f>IF(Select2=1,Garden!$W26,"")</f>
        <v>0</v>
      </c>
      <c r="X24" s="736">
        <f>IF(Select2=1,Wood!$W26,"")</f>
        <v>0</v>
      </c>
      <c r="Y24" s="745">
        <f>IF(Select2=1,Textiles!$W26,"")</f>
        <v>5.8443050356877663E-3</v>
      </c>
      <c r="Z24" s="738">
        <f>Sludge!W26</f>
        <v>0</v>
      </c>
      <c r="AA24" s="738" t="str">
        <f>IF(Select2=2,MSW!$W26,"")</f>
        <v/>
      </c>
      <c r="AB24" s="746">
        <f>Industry!$W26</f>
        <v>0</v>
      </c>
      <c r="AC24" s="747">
        <f t="shared" si="0"/>
        <v>0.91196059495337412</v>
      </c>
      <c r="AD24" s="748">
        <f>Recovery_OX!R19</f>
        <v>0</v>
      </c>
      <c r="AE24" s="703"/>
      <c r="AF24" s="750">
        <f>(AC24-AD24)*(1-Recovery_OX!U19)</f>
        <v>0.91196059495337412</v>
      </c>
    </row>
    <row r="25" spans="2:32">
      <c r="B25" s="743">
        <f t="shared" si="1"/>
        <v>2008</v>
      </c>
      <c r="C25" s="744">
        <f>IF(Select2=1,Food!$K27,"")</f>
        <v>1.171454877276132</v>
      </c>
      <c r="D25" s="745">
        <f>IF(Select2=1,Paper!$K27,"")</f>
        <v>8.4075303423054651E-2</v>
      </c>
      <c r="E25" s="736">
        <f>IF(Select2=1,Nappies!$K27,"")</f>
        <v>0.20165232234018951</v>
      </c>
      <c r="F25" s="745">
        <f>IF(Select2=1,Garden!$K27,"")</f>
        <v>0</v>
      </c>
      <c r="G25" s="736">
        <f>IF(Select2=1,Wood!$K27,"")</f>
        <v>0</v>
      </c>
      <c r="H25" s="745">
        <f>IF(Select2=1,Textiles!$K27,"")</f>
        <v>5.9949987435346111E-3</v>
      </c>
      <c r="I25" s="746">
        <f>Sludge!K27</f>
        <v>0</v>
      </c>
      <c r="J25" s="746" t="str">
        <f>IF(Select2=2,MSW!$K27,"")</f>
        <v/>
      </c>
      <c r="K25" s="746">
        <f>Industry!$K27</f>
        <v>0</v>
      </c>
      <c r="L25" s="747">
        <f t="shared" si="3"/>
        <v>1.4631775017829107</v>
      </c>
      <c r="M25" s="748">
        <f>Recovery_OX!C20</f>
        <v>0</v>
      </c>
      <c r="N25" s="703"/>
      <c r="O25" s="749">
        <f>(L25-M25)*(1-Recovery_OX!F20)</f>
        <v>1.4631775017829107</v>
      </c>
      <c r="P25" s="695"/>
      <c r="Q25" s="705"/>
      <c r="S25" s="743">
        <f t="shared" si="2"/>
        <v>2008</v>
      </c>
      <c r="T25" s="744">
        <f>IF(Select2=1,Food!$W27,"")</f>
        <v>0.78375660834709993</v>
      </c>
      <c r="U25" s="745">
        <f>IF(Select2=1,Paper!$W27,"")</f>
        <v>0.17370930459308814</v>
      </c>
      <c r="V25" s="736">
        <f>IF(Select2=1,Nappies!$W27,"")</f>
        <v>0</v>
      </c>
      <c r="W25" s="745">
        <f>IF(Select2=1,Garden!$W27,"")</f>
        <v>0</v>
      </c>
      <c r="X25" s="736">
        <f>IF(Select2=1,Wood!$W27,"")</f>
        <v>0</v>
      </c>
      <c r="Y25" s="745">
        <f>IF(Select2=1,Textiles!$W27,"")</f>
        <v>6.5698616367502599E-3</v>
      </c>
      <c r="Z25" s="738">
        <f>Sludge!W27</f>
        <v>0</v>
      </c>
      <c r="AA25" s="738" t="str">
        <f>IF(Select2=2,MSW!$W27,"")</f>
        <v/>
      </c>
      <c r="AB25" s="746">
        <f>Industry!$W27</f>
        <v>0</v>
      </c>
      <c r="AC25" s="747">
        <f t="shared" si="0"/>
        <v>0.96403577457693834</v>
      </c>
      <c r="AD25" s="748">
        <f>Recovery_OX!R20</f>
        <v>0</v>
      </c>
      <c r="AE25" s="703"/>
      <c r="AF25" s="750">
        <f>(AC25-AD25)*(1-Recovery_OX!U20)</f>
        <v>0.96403577457693834</v>
      </c>
    </row>
    <row r="26" spans="2:32">
      <c r="B26" s="743">
        <f t="shared" si="1"/>
        <v>2009</v>
      </c>
      <c r="C26" s="744">
        <f>IF(Select2=1,Food!$K28,"")</f>
        <v>1.2117322852537822</v>
      </c>
      <c r="D26" s="745">
        <f>IF(Select2=1,Paper!$K28,"")</f>
        <v>9.3008533259753501E-2</v>
      </c>
      <c r="E26" s="736">
        <f>IF(Select2=1,Nappies!$K28,"")</f>
        <v>0.21621989566164757</v>
      </c>
      <c r="F26" s="745">
        <f>IF(Select2=1,Garden!$K28,"")</f>
        <v>0</v>
      </c>
      <c r="G26" s="736">
        <f>IF(Select2=1,Wood!$K28,"")</f>
        <v>0</v>
      </c>
      <c r="H26" s="745">
        <f>IF(Select2=1,Textiles!$K28,"")</f>
        <v>6.6319836780668849E-3</v>
      </c>
      <c r="I26" s="746">
        <f>Sludge!K28</f>
        <v>0</v>
      </c>
      <c r="J26" s="746" t="str">
        <f>IF(Select2=2,MSW!$K28,"")</f>
        <v/>
      </c>
      <c r="K26" s="746">
        <f>Industry!$K28</f>
        <v>0</v>
      </c>
      <c r="L26" s="747">
        <f t="shared" si="3"/>
        <v>1.5275926978532499</v>
      </c>
      <c r="M26" s="748">
        <f>Recovery_OX!C21</f>
        <v>0</v>
      </c>
      <c r="N26" s="703"/>
      <c r="O26" s="749">
        <f>(L26-M26)*(1-Recovery_OX!F21)</f>
        <v>1.5275926978532499</v>
      </c>
      <c r="P26" s="695"/>
      <c r="Q26" s="705"/>
      <c r="S26" s="743">
        <f t="shared" si="2"/>
        <v>2009</v>
      </c>
      <c r="T26" s="744">
        <f>IF(Select2=1,Food!$W28,"")</f>
        <v>0.81070402670859654</v>
      </c>
      <c r="U26" s="745">
        <f>IF(Select2=1,Paper!$W28,"")</f>
        <v>0.19216639103254857</v>
      </c>
      <c r="V26" s="736">
        <f>IF(Select2=1,Nappies!$W28,"")</f>
        <v>0</v>
      </c>
      <c r="W26" s="745">
        <f>IF(Select2=1,Garden!$W28,"")</f>
        <v>0</v>
      </c>
      <c r="X26" s="736">
        <f>IF(Select2=1,Wood!$W28,"")</f>
        <v>0</v>
      </c>
      <c r="Y26" s="745">
        <f>IF(Select2=1,Textiles!$W28,"")</f>
        <v>7.2679273184294638E-3</v>
      </c>
      <c r="Z26" s="738">
        <f>Sludge!W28</f>
        <v>0</v>
      </c>
      <c r="AA26" s="738" t="str">
        <f>IF(Select2=2,MSW!$W28,"")</f>
        <v/>
      </c>
      <c r="AB26" s="746">
        <f>Industry!$W28</f>
        <v>0</v>
      </c>
      <c r="AC26" s="747">
        <f t="shared" si="0"/>
        <v>1.0101383450595747</v>
      </c>
      <c r="AD26" s="748">
        <f>Recovery_OX!R21</f>
        <v>0</v>
      </c>
      <c r="AE26" s="703"/>
      <c r="AF26" s="750">
        <f>(AC26-AD26)*(1-Recovery_OX!U21)</f>
        <v>1.0101383450595747</v>
      </c>
    </row>
    <row r="27" spans="2:32">
      <c r="B27" s="743">
        <f t="shared" si="1"/>
        <v>2010</v>
      </c>
      <c r="C27" s="744">
        <f>IF(Select2=1,Food!$K29,"")</f>
        <v>1.2466580841192478</v>
      </c>
      <c r="D27" s="745">
        <f>IF(Select2=1,Paper!$K29,"")</f>
        <v>0.10160951263039399</v>
      </c>
      <c r="E27" s="736">
        <f>IF(Select2=1,Nappies!$K29,"")</f>
        <v>0.22936677534235961</v>
      </c>
      <c r="F27" s="745">
        <f>IF(Select2=1,Garden!$K29,"")</f>
        <v>0</v>
      </c>
      <c r="G27" s="736">
        <f>IF(Select2=1,Wood!$K29,"")</f>
        <v>0</v>
      </c>
      <c r="H27" s="745">
        <f>IF(Select2=1,Textiles!$K29,"")</f>
        <v>7.245277456629895E-3</v>
      </c>
      <c r="I27" s="746">
        <f>Sludge!K29</f>
        <v>0</v>
      </c>
      <c r="J27" s="746" t="str">
        <f>IF(Select2=2,MSW!$K29,"")</f>
        <v/>
      </c>
      <c r="K27" s="746">
        <f>Industry!$K29</f>
        <v>0</v>
      </c>
      <c r="L27" s="747">
        <f t="shared" si="3"/>
        <v>1.5848796495486313</v>
      </c>
      <c r="M27" s="748">
        <f>Recovery_OX!C22</f>
        <v>0</v>
      </c>
      <c r="N27" s="703"/>
      <c r="O27" s="749">
        <f>(L27-M27)*(1-Recovery_OX!F22)</f>
        <v>1.5848796495486313</v>
      </c>
      <c r="P27" s="695"/>
      <c r="Q27" s="705"/>
      <c r="S27" s="743">
        <f t="shared" si="2"/>
        <v>2010</v>
      </c>
      <c r="T27" s="744">
        <f>IF(Select2=1,Food!$W29,"")</f>
        <v>0.83407097510208383</v>
      </c>
      <c r="U27" s="745">
        <f>IF(Select2=1,Paper!$W29,"")</f>
        <v>0.20993700956692973</v>
      </c>
      <c r="V27" s="736">
        <f>IF(Select2=1,Nappies!$W29,"")</f>
        <v>0</v>
      </c>
      <c r="W27" s="745">
        <f>IF(Select2=1,Garden!$W29,"")</f>
        <v>0</v>
      </c>
      <c r="X27" s="736">
        <f>IF(Select2=1,Wood!$W29,"")</f>
        <v>0</v>
      </c>
      <c r="Y27" s="745">
        <f>IF(Select2=1,Textiles!$W29,"")</f>
        <v>7.9400300894574196E-3</v>
      </c>
      <c r="Z27" s="738">
        <f>Sludge!W29</f>
        <v>0</v>
      </c>
      <c r="AA27" s="738" t="str">
        <f>IF(Select2=2,MSW!$W29,"")</f>
        <v/>
      </c>
      <c r="AB27" s="746">
        <f>Industry!$W29</f>
        <v>0</v>
      </c>
      <c r="AC27" s="747">
        <f t="shared" si="0"/>
        <v>1.051948014758471</v>
      </c>
      <c r="AD27" s="748">
        <f>Recovery_OX!R22</f>
        <v>0</v>
      </c>
      <c r="AE27" s="703"/>
      <c r="AF27" s="750">
        <f>(AC27-AD27)*(1-Recovery_OX!U22)</f>
        <v>1.051948014758471</v>
      </c>
    </row>
    <row r="28" spans="2:32">
      <c r="B28" s="743">
        <f t="shared" si="1"/>
        <v>2011</v>
      </c>
      <c r="C28" s="744">
        <f>IF(Select2=1,Food!$K30,"")</f>
        <v>1.3411774066506892</v>
      </c>
      <c r="D28" s="745">
        <f>IF(Select2=1,Paper!$K30,"")</f>
        <v>0.11206615930948874</v>
      </c>
      <c r="E28" s="736">
        <f>IF(Select2=1,Nappies!$K30,"")</f>
        <v>0.24814345369414847</v>
      </c>
      <c r="F28" s="745">
        <f>IF(Select2=1,Garden!$K30,"")</f>
        <v>0</v>
      </c>
      <c r="G28" s="736">
        <f>IF(Select2=1,Wood!$K30,"")</f>
        <v>0</v>
      </c>
      <c r="H28" s="745">
        <f>IF(Select2=1,Textiles!$K30,"")</f>
        <v>7.9908897964072918E-3</v>
      </c>
      <c r="I28" s="746">
        <f>Sludge!K30</f>
        <v>0</v>
      </c>
      <c r="J28" s="746" t="str">
        <f>IF(Select2=2,MSW!$K30,"")</f>
        <v/>
      </c>
      <c r="K28" s="746">
        <f>Industry!$K30</f>
        <v>0</v>
      </c>
      <c r="L28" s="747">
        <f t="shared" si="3"/>
        <v>1.7093779094507338</v>
      </c>
      <c r="M28" s="748">
        <f>Recovery_OX!C23</f>
        <v>0</v>
      </c>
      <c r="N28" s="703"/>
      <c r="O28" s="749">
        <f>(L28-M28)*(1-Recovery_OX!F23)</f>
        <v>1.7093779094507338</v>
      </c>
      <c r="P28" s="695"/>
      <c r="Q28" s="705"/>
      <c r="S28" s="743">
        <f t="shared" si="2"/>
        <v>2011</v>
      </c>
      <c r="T28" s="744">
        <f>IF(Select2=1,Food!$W30,"")</f>
        <v>0.89730870204104995</v>
      </c>
      <c r="U28" s="745">
        <f>IF(Select2=1,Paper!$W30,"")</f>
        <v>0.23154165146588584</v>
      </c>
      <c r="V28" s="736">
        <f>IF(Select2=1,Nappies!$W30,"")</f>
        <v>0</v>
      </c>
      <c r="W28" s="745">
        <f>IF(Select2=1,Garden!$W30,"")</f>
        <v>0</v>
      </c>
      <c r="X28" s="736">
        <f>IF(Select2=1,Wood!$W30,"")</f>
        <v>0</v>
      </c>
      <c r="Y28" s="745">
        <f>IF(Select2=1,Textiles!$W30,"")</f>
        <v>8.7571395029121014E-3</v>
      </c>
      <c r="Z28" s="738">
        <f>Sludge!W30</f>
        <v>0</v>
      </c>
      <c r="AA28" s="738" t="str">
        <f>IF(Select2=2,MSW!$W30,"")</f>
        <v/>
      </c>
      <c r="AB28" s="746">
        <f>Industry!$W30</f>
        <v>0</v>
      </c>
      <c r="AC28" s="747">
        <f t="shared" si="0"/>
        <v>1.1376074930098479</v>
      </c>
      <c r="AD28" s="748">
        <f>Recovery_OX!R23</f>
        <v>0</v>
      </c>
      <c r="AE28" s="703"/>
      <c r="AF28" s="750">
        <f>(AC28-AD28)*(1-Recovery_OX!U23)</f>
        <v>1.1376074930098479</v>
      </c>
    </row>
    <row r="29" spans="2:32">
      <c r="B29" s="743">
        <f t="shared" si="1"/>
        <v>2012</v>
      </c>
      <c r="C29" s="744">
        <f>IF(Select2=1,Food!$K31,"")</f>
        <v>0.89901810096804935</v>
      </c>
      <c r="D29" s="745">
        <f>IF(Select2=1,Paper!$K31,"")</f>
        <v>0.10448979436076275</v>
      </c>
      <c r="E29" s="736">
        <f>IF(Select2=1,Nappies!$K31,"")</f>
        <v>0.20934990135046699</v>
      </c>
      <c r="F29" s="745">
        <f>IF(Select2=1,Garden!$K31,"")</f>
        <v>0</v>
      </c>
      <c r="G29" s="736">
        <f>IF(Select2=1,Wood!$K31,"")</f>
        <v>0</v>
      </c>
      <c r="H29" s="745">
        <f>IF(Select2=1,Textiles!$K31,"")</f>
        <v>7.4506562617196606E-3</v>
      </c>
      <c r="I29" s="746">
        <f>Sludge!K31</f>
        <v>0</v>
      </c>
      <c r="J29" s="746" t="str">
        <f>IF(Select2=2,MSW!$K31,"")</f>
        <v/>
      </c>
      <c r="K29" s="746">
        <f>Industry!$K31</f>
        <v>0</v>
      </c>
      <c r="L29" s="747">
        <f>SUM(C29:K29)</f>
        <v>1.2203084529409987</v>
      </c>
      <c r="M29" s="748">
        <f>Recovery_OX!C24</f>
        <v>0</v>
      </c>
      <c r="N29" s="703"/>
      <c r="O29" s="749">
        <f>(L29-M29)*(1-Recovery_OX!F24)</f>
        <v>1.2203084529409987</v>
      </c>
      <c r="P29" s="695"/>
      <c r="Q29" s="705"/>
      <c r="S29" s="743">
        <f t="shared" si="2"/>
        <v>2012</v>
      </c>
      <c r="T29" s="744">
        <f>IF(Select2=1,Food!$W31,"")</f>
        <v>0.60148401046033639</v>
      </c>
      <c r="U29" s="745">
        <f>IF(Select2=1,Paper!$W31,"")</f>
        <v>0.21588800487760901</v>
      </c>
      <c r="V29" s="736">
        <f>IF(Select2=1,Nappies!$W31,"")</f>
        <v>0</v>
      </c>
      <c r="W29" s="745">
        <f>IF(Select2=1,Garden!$W31,"")</f>
        <v>0</v>
      </c>
      <c r="X29" s="736">
        <f>IF(Select2=1,Wood!$W31,"")</f>
        <v>0</v>
      </c>
      <c r="Y29" s="745">
        <f>IF(Select2=1,Textiles!$W31,"")</f>
        <v>8.1651027525694916E-3</v>
      </c>
      <c r="Z29" s="738">
        <f>Sludge!W31</f>
        <v>0</v>
      </c>
      <c r="AA29" s="738" t="str">
        <f>IF(Select2=2,MSW!$W31,"")</f>
        <v/>
      </c>
      <c r="AB29" s="746">
        <f>Industry!$W31</f>
        <v>0</v>
      </c>
      <c r="AC29" s="747">
        <f t="shared" si="0"/>
        <v>0.82553711809051489</v>
      </c>
      <c r="AD29" s="748">
        <f>Recovery_OX!R24</f>
        <v>0</v>
      </c>
      <c r="AE29" s="703"/>
      <c r="AF29" s="750">
        <f>(AC29-AD29)*(1-Recovery_OX!U24)</f>
        <v>0.82553711809051489</v>
      </c>
    </row>
    <row r="30" spans="2:32">
      <c r="B30" s="743">
        <f t="shared" si="1"/>
        <v>2013</v>
      </c>
      <c r="C30" s="744">
        <f>IF(Select2=1,Food!$K32,"")</f>
        <v>0.60262985482777587</v>
      </c>
      <c r="D30" s="745">
        <f>IF(Select2=1,Paper!$K32,"")</f>
        <v>9.7425638505218598E-2</v>
      </c>
      <c r="E30" s="736">
        <f>IF(Select2=1,Nappies!$K32,"")</f>
        <v>0.17662114612731275</v>
      </c>
      <c r="F30" s="745">
        <f>IF(Select2=1,Garden!$K32,"")</f>
        <v>0</v>
      </c>
      <c r="G30" s="736">
        <f>IF(Select2=1,Wood!$K32,"")</f>
        <v>0</v>
      </c>
      <c r="H30" s="745">
        <f>IF(Select2=1,Textiles!$K32,"")</f>
        <v>6.9469458526709663E-3</v>
      </c>
      <c r="I30" s="746">
        <f>Sludge!K32</f>
        <v>0</v>
      </c>
      <c r="J30" s="746" t="str">
        <f>IF(Select2=2,MSW!$K32,"")</f>
        <v/>
      </c>
      <c r="K30" s="746">
        <f>Industry!$K32</f>
        <v>0</v>
      </c>
      <c r="L30" s="747">
        <f t="shared" si="3"/>
        <v>0.88362358531297813</v>
      </c>
      <c r="M30" s="748">
        <f>Recovery_OX!C25</f>
        <v>0</v>
      </c>
      <c r="N30" s="703"/>
      <c r="O30" s="749">
        <f>(L30-M30)*(1-Recovery_OX!F25)</f>
        <v>0.88362358531297813</v>
      </c>
      <c r="P30" s="695"/>
      <c r="Q30" s="705"/>
      <c r="S30" s="743">
        <f t="shared" si="2"/>
        <v>2013</v>
      </c>
      <c r="T30" s="744">
        <f>IF(Select2=1,Food!$W32,"")</f>
        <v>0.40318678958147364</v>
      </c>
      <c r="U30" s="745">
        <f>IF(Select2=1,Paper!$W32,"")</f>
        <v>0.20129264153970788</v>
      </c>
      <c r="V30" s="736">
        <f>IF(Select2=1,Nappies!$W32,"")</f>
        <v>0</v>
      </c>
      <c r="W30" s="745">
        <f>IF(Select2=1,Garden!$W32,"")</f>
        <v>0</v>
      </c>
      <c r="X30" s="736">
        <f>IF(Select2=1,Wood!$W32,"")</f>
        <v>0</v>
      </c>
      <c r="Y30" s="745">
        <f>IF(Select2=1,Textiles!$W32,"")</f>
        <v>7.6130913453928417E-3</v>
      </c>
      <c r="Z30" s="738">
        <f>Sludge!W32</f>
        <v>0</v>
      </c>
      <c r="AA30" s="738" t="str">
        <f>IF(Select2=2,MSW!$W32,"")</f>
        <v/>
      </c>
      <c r="AB30" s="746">
        <f>Industry!$W32</f>
        <v>0</v>
      </c>
      <c r="AC30" s="747">
        <f t="shared" si="0"/>
        <v>0.61209252246657431</v>
      </c>
      <c r="AD30" s="748">
        <f>Recovery_OX!R25</f>
        <v>0</v>
      </c>
      <c r="AE30" s="703"/>
      <c r="AF30" s="750">
        <f>(AC30-AD30)*(1-Recovery_OX!U25)</f>
        <v>0.61209252246657431</v>
      </c>
    </row>
    <row r="31" spans="2:32">
      <c r="B31" s="743">
        <f t="shared" si="1"/>
        <v>2014</v>
      </c>
      <c r="C31" s="744">
        <f>IF(Select2=1,Food!$K33,"")</f>
        <v>0.40395487203060543</v>
      </c>
      <c r="D31" s="745">
        <f>IF(Select2=1,Paper!$K33,"")</f>
        <v>9.0839063242656809E-2</v>
      </c>
      <c r="E31" s="736">
        <f>IF(Select2=1,Nappies!$K33,"")</f>
        <v>0.14900904685454239</v>
      </c>
      <c r="F31" s="745">
        <f>IF(Select2=1,Garden!$K33,"")</f>
        <v>0</v>
      </c>
      <c r="G31" s="736">
        <f>IF(Select2=1,Wood!$K33,"")</f>
        <v>0</v>
      </c>
      <c r="H31" s="745">
        <f>IF(Select2=1,Textiles!$K33,"")</f>
        <v>6.4772893802516676E-3</v>
      </c>
      <c r="I31" s="746">
        <f>Sludge!K33</f>
        <v>0</v>
      </c>
      <c r="J31" s="746" t="str">
        <f>IF(Select2=2,MSW!$K33,"")</f>
        <v/>
      </c>
      <c r="K31" s="746">
        <f>Industry!$K33</f>
        <v>0</v>
      </c>
      <c r="L31" s="747">
        <f t="shared" si="3"/>
        <v>0.65028027150805634</v>
      </c>
      <c r="M31" s="748">
        <f>Recovery_OX!C26</f>
        <v>0</v>
      </c>
      <c r="N31" s="703"/>
      <c r="O31" s="749">
        <f>(L31-M31)*(1-Recovery_OX!F26)</f>
        <v>0.65028027150805634</v>
      </c>
      <c r="P31" s="695"/>
      <c r="Q31" s="705"/>
      <c r="S31" s="743">
        <f t="shared" si="2"/>
        <v>2014</v>
      </c>
      <c r="T31" s="744">
        <f>IF(Select2=1,Food!$W33,"")</f>
        <v>0.27026418735321506</v>
      </c>
      <c r="U31" s="745">
        <f>IF(Select2=1,Paper!$W33,"")</f>
        <v>0.18768401496416701</v>
      </c>
      <c r="V31" s="736">
        <f>IF(Select2=1,Nappies!$W33,"")</f>
        <v>0</v>
      </c>
      <c r="W31" s="745">
        <f>IF(Select2=1,Garden!$W33,"")</f>
        <v>0</v>
      </c>
      <c r="X31" s="736">
        <f>IF(Select2=1,Wood!$W33,"")</f>
        <v>0</v>
      </c>
      <c r="Y31" s="745">
        <f>IF(Select2=1,Textiles!$W33,"")</f>
        <v>7.0983993208237461E-3</v>
      </c>
      <c r="Z31" s="738">
        <f>Sludge!W33</f>
        <v>0</v>
      </c>
      <c r="AA31" s="738" t="str">
        <f>IF(Select2=2,MSW!$W33,"")</f>
        <v/>
      </c>
      <c r="AB31" s="746">
        <f>Industry!$W33</f>
        <v>0</v>
      </c>
      <c r="AC31" s="747">
        <f t="shared" si="0"/>
        <v>0.46504660163820583</v>
      </c>
      <c r="AD31" s="748">
        <f>Recovery_OX!R26</f>
        <v>0</v>
      </c>
      <c r="AE31" s="703"/>
      <c r="AF31" s="750">
        <f>(AC31-AD31)*(1-Recovery_OX!U26)</f>
        <v>0.46504660163820583</v>
      </c>
    </row>
    <row r="32" spans="2:32">
      <c r="B32" s="743">
        <f t="shared" si="1"/>
        <v>2015</v>
      </c>
      <c r="C32" s="744">
        <f>IF(Select2=1,Food!$K34,"")</f>
        <v>0.27077904841587619</v>
      </c>
      <c r="D32" s="745">
        <f>IF(Select2=1,Paper!$K34,"")</f>
        <v>8.4697781173498812E-2</v>
      </c>
      <c r="E32" s="736">
        <f>IF(Select2=1,Nappies!$K34,"")</f>
        <v>0.12571369018573944</v>
      </c>
      <c r="F32" s="745">
        <f>IF(Select2=1,Garden!$K34,"")</f>
        <v>0</v>
      </c>
      <c r="G32" s="736">
        <f>IF(Select2=1,Wood!$K34,"")</f>
        <v>0</v>
      </c>
      <c r="H32" s="745">
        <f>IF(Select2=1,Textiles!$K34,"")</f>
        <v>6.0393845878890847E-3</v>
      </c>
      <c r="I32" s="746">
        <f>Sludge!K34</f>
        <v>0</v>
      </c>
      <c r="J32" s="746" t="str">
        <f>IF(Select2=2,MSW!$K34,"")</f>
        <v/>
      </c>
      <c r="K32" s="746">
        <f>Industry!$K34</f>
        <v>0</v>
      </c>
      <c r="L32" s="747">
        <f t="shared" si="3"/>
        <v>0.48722990436300351</v>
      </c>
      <c r="M32" s="748">
        <f>Recovery_OX!C27</f>
        <v>0</v>
      </c>
      <c r="N32" s="703"/>
      <c r="O32" s="749">
        <f>(L32-M32)*(1-Recovery_OX!F27)</f>
        <v>0.48722990436300351</v>
      </c>
      <c r="P32" s="695"/>
      <c r="Q32" s="705"/>
      <c r="S32" s="743">
        <f t="shared" si="2"/>
        <v>2015</v>
      </c>
      <c r="T32" s="744">
        <f>IF(Select2=1,Food!$W34,"")</f>
        <v>0.18116350250839178</v>
      </c>
      <c r="U32" s="745">
        <f>IF(Select2=1,Paper!$W34,"")</f>
        <v>0.17499541564772483</v>
      </c>
      <c r="V32" s="736">
        <f>IF(Select2=1,Nappies!$W34,"")</f>
        <v>0</v>
      </c>
      <c r="W32" s="745">
        <f>IF(Select2=1,Garden!$W34,"")</f>
        <v>0</v>
      </c>
      <c r="X32" s="736">
        <f>IF(Select2=1,Wood!$W34,"")</f>
        <v>0</v>
      </c>
      <c r="Y32" s="745">
        <f>IF(Select2=1,Textiles!$W34,"")</f>
        <v>6.6185036579606421E-3</v>
      </c>
      <c r="Z32" s="738">
        <f>Sludge!W34</f>
        <v>0</v>
      </c>
      <c r="AA32" s="738" t="str">
        <f>IF(Select2=2,MSW!$W34,"")</f>
        <v/>
      </c>
      <c r="AB32" s="746">
        <f>Industry!$W34</f>
        <v>0</v>
      </c>
      <c r="AC32" s="747">
        <f t="shared" si="0"/>
        <v>0.36277742181407724</v>
      </c>
      <c r="AD32" s="748">
        <f>Recovery_OX!R27</f>
        <v>0</v>
      </c>
      <c r="AE32" s="703"/>
      <c r="AF32" s="750">
        <f>(AC32-AD32)*(1-Recovery_OX!U27)</f>
        <v>0.36277742181407724</v>
      </c>
    </row>
    <row r="33" spans="2:32">
      <c r="B33" s="743">
        <f t="shared" si="1"/>
        <v>2016</v>
      </c>
      <c r="C33" s="744">
        <f>IF(Select2=1,Food!$K35,"")</f>
        <v>0.18150862419961672</v>
      </c>
      <c r="D33" s="745">
        <f>IF(Select2=1,Paper!$K35,"")</f>
        <v>7.8971687725916659E-2</v>
      </c>
      <c r="E33" s="736">
        <f>IF(Select2=1,Nappies!$K35,"")</f>
        <v>0.10606021737420648</v>
      </c>
      <c r="F33" s="745">
        <f>IF(Select2=1,Garden!$K35,"")</f>
        <v>0</v>
      </c>
      <c r="G33" s="736">
        <f>IF(Select2=1,Wood!$K35,"")</f>
        <v>0</v>
      </c>
      <c r="H33" s="745">
        <f>IF(Select2=1,Textiles!$K35,"")</f>
        <v>5.6310848657830145E-3</v>
      </c>
      <c r="I33" s="746">
        <f>Sludge!K35</f>
        <v>0</v>
      </c>
      <c r="J33" s="746" t="str">
        <f>IF(Select2=2,MSW!$K35,"")</f>
        <v/>
      </c>
      <c r="K33" s="746">
        <f>Industry!$K35</f>
        <v>0</v>
      </c>
      <c r="L33" s="747">
        <f t="shared" si="3"/>
        <v>0.37217161416552291</v>
      </c>
      <c r="M33" s="748">
        <f>Recovery_OX!C28</f>
        <v>0</v>
      </c>
      <c r="N33" s="703"/>
      <c r="O33" s="749">
        <f>(L33-M33)*(1-Recovery_OX!F28)</f>
        <v>0.37217161416552291</v>
      </c>
      <c r="P33" s="695"/>
      <c r="Q33" s="705"/>
      <c r="S33" s="743">
        <f t="shared" si="2"/>
        <v>2016</v>
      </c>
      <c r="T33" s="744">
        <f>IF(Select2=1,Food!$W35,"")</f>
        <v>0.12143752734140284</v>
      </c>
      <c r="U33" s="745">
        <f>IF(Select2=1,Paper!$W35,"")</f>
        <v>0.1631646440618113</v>
      </c>
      <c r="V33" s="736">
        <f>IF(Select2=1,Nappies!$W35,"")</f>
        <v>0</v>
      </c>
      <c r="W33" s="745">
        <f>IF(Select2=1,Garden!$W35,"")</f>
        <v>0</v>
      </c>
      <c r="X33" s="736">
        <f>IF(Select2=1,Wood!$W35,"")</f>
        <v>0</v>
      </c>
      <c r="Y33" s="745">
        <f>IF(Select2=1,Textiles!$W35,"")</f>
        <v>6.1710519077074139E-3</v>
      </c>
      <c r="Z33" s="738">
        <f>Sludge!W35</f>
        <v>0</v>
      </c>
      <c r="AA33" s="738" t="str">
        <f>IF(Select2=2,MSW!$W35,"")</f>
        <v/>
      </c>
      <c r="AB33" s="746">
        <f>Industry!$W35</f>
        <v>0</v>
      </c>
      <c r="AC33" s="747">
        <f t="shared" si="0"/>
        <v>0.29077322331092154</v>
      </c>
      <c r="AD33" s="748">
        <f>Recovery_OX!R28</f>
        <v>0</v>
      </c>
      <c r="AE33" s="703"/>
      <c r="AF33" s="750">
        <f>(AC33-AD33)*(1-Recovery_OX!U28)</f>
        <v>0.29077322331092154</v>
      </c>
    </row>
    <row r="34" spans="2:32">
      <c r="B34" s="743">
        <f t="shared" si="1"/>
        <v>2017</v>
      </c>
      <c r="C34" s="744">
        <f>IF(Select2=1,Food!$K36,"")</f>
        <v>0.12166886932935267</v>
      </c>
      <c r="D34" s="745">
        <f>IF(Select2=1,Paper!$K36,"")</f>
        <v>7.3632713583187126E-2</v>
      </c>
      <c r="E34" s="736">
        <f>IF(Select2=1,Nappies!$K36,"")</f>
        <v>8.9479273839182499E-2</v>
      </c>
      <c r="F34" s="745">
        <f>IF(Select2=1,Garden!$K36,"")</f>
        <v>0</v>
      </c>
      <c r="G34" s="736">
        <f>IF(Select2=1,Wood!$K36,"")</f>
        <v>0</v>
      </c>
      <c r="H34" s="745">
        <f>IF(Select2=1,Textiles!$K36,"")</f>
        <v>5.2503887282219991E-3</v>
      </c>
      <c r="I34" s="746">
        <f>Sludge!K36</f>
        <v>0</v>
      </c>
      <c r="J34" s="746" t="str">
        <f>IF(Select2=2,MSW!$K36,"")</f>
        <v/>
      </c>
      <c r="K34" s="746">
        <f>Industry!$K36</f>
        <v>0</v>
      </c>
      <c r="L34" s="747">
        <f t="shared" si="3"/>
        <v>0.29003124547994424</v>
      </c>
      <c r="M34" s="748">
        <f>Recovery_OX!C29</f>
        <v>0</v>
      </c>
      <c r="N34" s="703"/>
      <c r="O34" s="749">
        <f>(L34-M34)*(1-Recovery_OX!F29)</f>
        <v>0.29003124547994424</v>
      </c>
      <c r="P34" s="695"/>
      <c r="Q34" s="705"/>
      <c r="S34" s="743">
        <f t="shared" si="2"/>
        <v>2017</v>
      </c>
      <c r="T34" s="744">
        <f>IF(Select2=1,Food!$W36,"")</f>
        <v>8.1402008917943358E-2</v>
      </c>
      <c r="U34" s="745">
        <f>IF(Select2=1,Paper!$W36,"")</f>
        <v>0.15213370575038662</v>
      </c>
      <c r="V34" s="736">
        <f>IF(Select2=1,Nappies!$W36,"")</f>
        <v>0</v>
      </c>
      <c r="W34" s="745">
        <f>IF(Select2=1,Garden!$W36,"")</f>
        <v>0</v>
      </c>
      <c r="X34" s="736">
        <f>IF(Select2=1,Wood!$W36,"")</f>
        <v>0</v>
      </c>
      <c r="Y34" s="745">
        <f>IF(Select2=1,Textiles!$W36,"")</f>
        <v>5.7538506610652056E-3</v>
      </c>
      <c r="Z34" s="738">
        <f>Sludge!W36</f>
        <v>0</v>
      </c>
      <c r="AA34" s="738" t="str">
        <f>IF(Select2=2,MSW!$W36,"")</f>
        <v/>
      </c>
      <c r="AB34" s="746">
        <f>Industry!$W36</f>
        <v>0</v>
      </c>
      <c r="AC34" s="747">
        <f t="shared" si="0"/>
        <v>0.23928956532939519</v>
      </c>
      <c r="AD34" s="748">
        <f>Recovery_OX!R29</f>
        <v>0</v>
      </c>
      <c r="AE34" s="703"/>
      <c r="AF34" s="750">
        <f>(AC34-AD34)*(1-Recovery_OX!U29)</f>
        <v>0.23928956532939519</v>
      </c>
    </row>
    <row r="35" spans="2:32">
      <c r="B35" s="743">
        <f t="shared" si="1"/>
        <v>2018</v>
      </c>
      <c r="C35" s="744">
        <f>IF(Select2=1,Food!$K37,"")</f>
        <v>8.1557082089955865E-2</v>
      </c>
      <c r="D35" s="745">
        <f>IF(Select2=1,Paper!$K37,"")</f>
        <v>6.8654687087868455E-2</v>
      </c>
      <c r="E35" s="736">
        <f>IF(Select2=1,Nappies!$K37,"")</f>
        <v>7.549051515271149E-2</v>
      </c>
      <c r="F35" s="745">
        <f>IF(Select2=1,Garden!$K37,"")</f>
        <v>0</v>
      </c>
      <c r="G35" s="736">
        <f>IF(Select2=1,Wood!$K37,"")</f>
        <v>0</v>
      </c>
      <c r="H35" s="745">
        <f>IF(Select2=1,Textiles!$K37,"")</f>
        <v>4.8954300022980438E-3</v>
      </c>
      <c r="I35" s="746">
        <f>Sludge!K37</f>
        <v>0</v>
      </c>
      <c r="J35" s="746" t="str">
        <f>IF(Select2=2,MSW!$K37,"")</f>
        <v/>
      </c>
      <c r="K35" s="746">
        <f>Industry!$K37</f>
        <v>0</v>
      </c>
      <c r="L35" s="747">
        <f t="shared" si="3"/>
        <v>0.23059771433283385</v>
      </c>
      <c r="M35" s="748">
        <f>Recovery_OX!C30</f>
        <v>0</v>
      </c>
      <c r="N35" s="703"/>
      <c r="O35" s="749">
        <f>(L35-M35)*(1-Recovery_OX!F30)</f>
        <v>0.23059771433283385</v>
      </c>
      <c r="P35" s="695"/>
      <c r="Q35" s="705"/>
      <c r="S35" s="743">
        <f t="shared" si="2"/>
        <v>2018</v>
      </c>
      <c r="T35" s="744">
        <f>IF(Select2=1,Food!$W37,"")</f>
        <v>5.4565398365269316E-2</v>
      </c>
      <c r="U35" s="745">
        <f>IF(Select2=1,Paper!$W37,"")</f>
        <v>0.14184852704105053</v>
      </c>
      <c r="V35" s="736">
        <f>IF(Select2=1,Nappies!$W37,"")</f>
        <v>0</v>
      </c>
      <c r="W35" s="745">
        <f>IF(Select2=1,Garden!$W37,"")</f>
        <v>0</v>
      </c>
      <c r="X35" s="736">
        <f>IF(Select2=1,Wood!$W37,"")</f>
        <v>0</v>
      </c>
      <c r="Y35" s="745">
        <f>IF(Select2=1,Textiles!$W37,"")</f>
        <v>5.3648547970389527E-3</v>
      </c>
      <c r="Z35" s="738">
        <f>Sludge!W37</f>
        <v>0</v>
      </c>
      <c r="AA35" s="738" t="str">
        <f>IF(Select2=2,MSW!$W37,"")</f>
        <v/>
      </c>
      <c r="AB35" s="746">
        <f>Industry!$W37</f>
        <v>0</v>
      </c>
      <c r="AC35" s="747">
        <f t="shared" si="0"/>
        <v>0.20177878020335882</v>
      </c>
      <c r="AD35" s="748">
        <f>Recovery_OX!R30</f>
        <v>0</v>
      </c>
      <c r="AE35" s="703"/>
      <c r="AF35" s="750">
        <f>(AC35-AD35)*(1-Recovery_OX!U30)</f>
        <v>0.20177878020335882</v>
      </c>
    </row>
    <row r="36" spans="2:32">
      <c r="B36" s="743">
        <f t="shared" si="1"/>
        <v>2019</v>
      </c>
      <c r="C36" s="744">
        <f>IF(Select2=1,Food!$K38,"")</f>
        <v>5.4669347021071631E-2</v>
      </c>
      <c r="D36" s="745">
        <f>IF(Select2=1,Paper!$K38,"")</f>
        <v>6.4013205948305243E-2</v>
      </c>
      <c r="E36" s="736">
        <f>IF(Select2=1,Nappies!$K38,"")</f>
        <v>6.3688691621078874E-2</v>
      </c>
      <c r="F36" s="745">
        <f>IF(Select2=1,Garden!$K38,"")</f>
        <v>0</v>
      </c>
      <c r="G36" s="736">
        <f>IF(Select2=1,Wood!$K38,"")</f>
        <v>0</v>
      </c>
      <c r="H36" s="745">
        <f>IF(Select2=1,Textiles!$K38,"")</f>
        <v>4.5644686799248581E-3</v>
      </c>
      <c r="I36" s="746">
        <f>Sludge!K38</f>
        <v>0</v>
      </c>
      <c r="J36" s="746" t="str">
        <f>IF(Select2=2,MSW!$K38,"")</f>
        <v/>
      </c>
      <c r="K36" s="746">
        <f>Industry!$K38</f>
        <v>0</v>
      </c>
      <c r="L36" s="747">
        <f t="shared" si="3"/>
        <v>0.18693571327038061</v>
      </c>
      <c r="M36" s="748">
        <f>Recovery_OX!C31</f>
        <v>0</v>
      </c>
      <c r="N36" s="703"/>
      <c r="O36" s="749">
        <f>(L36-M36)*(1-Recovery_OX!F31)</f>
        <v>0.18693571327038061</v>
      </c>
      <c r="P36" s="695"/>
      <c r="Q36" s="705"/>
      <c r="S36" s="743">
        <f t="shared" si="2"/>
        <v>2019</v>
      </c>
      <c r="T36" s="744">
        <f>IF(Select2=1,Food!$W38,"")</f>
        <v>3.6576280344160328E-2</v>
      </c>
      <c r="U36" s="745">
        <f>IF(Select2=1,Paper!$W38,"")</f>
        <v>0.13225868997583728</v>
      </c>
      <c r="V36" s="736">
        <f>IF(Select2=1,Nappies!$W38,"")</f>
        <v>0</v>
      </c>
      <c r="W36" s="745">
        <f>IF(Select2=1,Garden!$W38,"")</f>
        <v>0</v>
      </c>
      <c r="X36" s="736">
        <f>IF(Select2=1,Wood!$W38,"")</f>
        <v>0</v>
      </c>
      <c r="Y36" s="745">
        <f>IF(Select2=1,Textiles!$W38,"")</f>
        <v>5.0021574574518994E-3</v>
      </c>
      <c r="Z36" s="738">
        <f>Sludge!W38</f>
        <v>0</v>
      </c>
      <c r="AA36" s="738" t="str">
        <f>IF(Select2=2,MSW!$W38,"")</f>
        <v/>
      </c>
      <c r="AB36" s="746">
        <f>Industry!$W38</f>
        <v>0</v>
      </c>
      <c r="AC36" s="747">
        <f t="shared" si="0"/>
        <v>0.1738371277774495</v>
      </c>
      <c r="AD36" s="748">
        <f>Recovery_OX!R31</f>
        <v>0</v>
      </c>
      <c r="AE36" s="703"/>
      <c r="AF36" s="750">
        <f>(AC36-AD36)*(1-Recovery_OX!U31)</f>
        <v>0.1738371277774495</v>
      </c>
    </row>
    <row r="37" spans="2:32">
      <c r="B37" s="743">
        <f t="shared" si="1"/>
        <v>2020</v>
      </c>
      <c r="C37" s="744">
        <f>IF(Select2=1,Food!$K39,"")</f>
        <v>3.6645959211903077E-2</v>
      </c>
      <c r="D37" s="745">
        <f>IF(Select2=1,Paper!$K39,"")</f>
        <v>5.9685517618566497E-2</v>
      </c>
      <c r="E37" s="736">
        <f>IF(Select2=1,Nappies!$K39,"")</f>
        <v>5.3731908335761143E-2</v>
      </c>
      <c r="F37" s="745">
        <f>IF(Select2=1,Garden!$K39,"")</f>
        <v>0</v>
      </c>
      <c r="G37" s="736">
        <f>IF(Select2=1,Wood!$K39,"")</f>
        <v>0</v>
      </c>
      <c r="H37" s="745">
        <f>IF(Select2=1,Textiles!$K39,"")</f>
        <v>4.2558823883161994E-3</v>
      </c>
      <c r="I37" s="746">
        <f>Sludge!K39</f>
        <v>0</v>
      </c>
      <c r="J37" s="746" t="str">
        <f>IF(Select2=2,MSW!$K39,"")</f>
        <v/>
      </c>
      <c r="K37" s="746">
        <f>Industry!$K39</f>
        <v>0</v>
      </c>
      <c r="L37" s="747">
        <f t="shared" si="3"/>
        <v>0.15431926755454692</v>
      </c>
      <c r="M37" s="748">
        <f>Recovery_OX!C32</f>
        <v>0</v>
      </c>
      <c r="N37" s="703"/>
      <c r="O37" s="749">
        <f>(L37-M37)*(1-Recovery_OX!F32)</f>
        <v>0.15431926755454692</v>
      </c>
      <c r="P37" s="695"/>
      <c r="Q37" s="705"/>
      <c r="S37" s="743">
        <f t="shared" si="2"/>
        <v>2020</v>
      </c>
      <c r="T37" s="744">
        <f>IF(Select2=1,Food!$W39,"")</f>
        <v>2.451781392411E-2</v>
      </c>
      <c r="U37" s="745">
        <f>IF(Select2=1,Paper!$W39,"")</f>
        <v>0.12331718516232749</v>
      </c>
      <c r="V37" s="736">
        <f>IF(Select2=1,Nappies!$W39,"")</f>
        <v>0</v>
      </c>
      <c r="W37" s="745">
        <f>IF(Select2=1,Garden!$W39,"")</f>
        <v>0</v>
      </c>
      <c r="X37" s="736">
        <f>IF(Select2=1,Wood!$W39,"")</f>
        <v>0</v>
      </c>
      <c r="Y37" s="745">
        <f>IF(Select2=1,Textiles!$W39,"")</f>
        <v>4.663980699524603E-3</v>
      </c>
      <c r="Z37" s="738">
        <f>Sludge!W39</f>
        <v>0</v>
      </c>
      <c r="AA37" s="738" t="str">
        <f>IF(Select2=2,MSW!$W39,"")</f>
        <v/>
      </c>
      <c r="AB37" s="746">
        <f>Industry!$W39</f>
        <v>0</v>
      </c>
      <c r="AC37" s="747">
        <f t="shared" si="0"/>
        <v>0.15249897978596211</v>
      </c>
      <c r="AD37" s="748">
        <f>Recovery_OX!R32</f>
        <v>0</v>
      </c>
      <c r="AE37" s="703"/>
      <c r="AF37" s="750">
        <f>(AC37-AD37)*(1-Recovery_OX!U32)</f>
        <v>0.15249897978596211</v>
      </c>
    </row>
    <row r="38" spans="2:32">
      <c r="B38" s="743">
        <f t="shared" si="1"/>
        <v>2021</v>
      </c>
      <c r="C38" s="744">
        <f>IF(Select2=1,Food!$K40,"")</f>
        <v>2.4564521065943035E-2</v>
      </c>
      <c r="D38" s="745">
        <f>IF(Select2=1,Paper!$K40,"")</f>
        <v>5.5650407765438989E-2</v>
      </c>
      <c r="E38" s="736">
        <f>IF(Select2=1,Nappies!$K40,"")</f>
        <v>4.5331720591463627E-2</v>
      </c>
      <c r="F38" s="745">
        <f>IF(Select2=1,Garden!$K40,"")</f>
        <v>0</v>
      </c>
      <c r="G38" s="736">
        <f>IF(Select2=1,Wood!$K40,"")</f>
        <v>0</v>
      </c>
      <c r="H38" s="745">
        <f>IF(Select2=1,Textiles!$K40,"")</f>
        <v>3.9681584371125912E-3</v>
      </c>
      <c r="I38" s="746">
        <f>Sludge!K40</f>
        <v>0</v>
      </c>
      <c r="J38" s="746" t="str">
        <f>IF(Select2=2,MSW!$K40,"")</f>
        <v/>
      </c>
      <c r="K38" s="746">
        <f>Industry!$K40</f>
        <v>0</v>
      </c>
      <c r="L38" s="747">
        <f t="shared" si="3"/>
        <v>0.12951480785995825</v>
      </c>
      <c r="M38" s="748">
        <f>Recovery_OX!C33</f>
        <v>0</v>
      </c>
      <c r="N38" s="703"/>
      <c r="O38" s="749">
        <f>(L38-M38)*(1-Recovery_OX!F33)</f>
        <v>0.12951480785995825</v>
      </c>
      <c r="P38" s="695"/>
      <c r="Q38" s="705"/>
      <c r="S38" s="743">
        <f t="shared" si="2"/>
        <v>2021</v>
      </c>
      <c r="T38" s="744">
        <f>IF(Select2=1,Food!$W40,"")</f>
        <v>1.6434782158302658E-2</v>
      </c>
      <c r="U38" s="745">
        <f>IF(Select2=1,Paper!$W40,"")</f>
        <v>0.11498018133355166</v>
      </c>
      <c r="V38" s="736">
        <f>IF(Select2=1,Nappies!$W40,"")</f>
        <v>0</v>
      </c>
      <c r="W38" s="745">
        <f>IF(Select2=1,Garden!$W40,"")</f>
        <v>0</v>
      </c>
      <c r="X38" s="736">
        <f>IF(Select2=1,Wood!$W40,"")</f>
        <v>0</v>
      </c>
      <c r="Y38" s="745">
        <f>IF(Select2=1,Textiles!$W40,"")</f>
        <v>4.3486667803973615E-3</v>
      </c>
      <c r="Z38" s="738">
        <f>Sludge!W40</f>
        <v>0</v>
      </c>
      <c r="AA38" s="738" t="str">
        <f>IF(Select2=2,MSW!$W40,"")</f>
        <v/>
      </c>
      <c r="AB38" s="746">
        <f>Industry!$W40</f>
        <v>0</v>
      </c>
      <c r="AC38" s="747">
        <f t="shared" si="0"/>
        <v>0.13576363027225169</v>
      </c>
      <c r="AD38" s="748">
        <f>Recovery_OX!R33</f>
        <v>0</v>
      </c>
      <c r="AE38" s="703"/>
      <c r="AF38" s="750">
        <f>(AC38-AD38)*(1-Recovery_OX!U33)</f>
        <v>0.13576363027225169</v>
      </c>
    </row>
    <row r="39" spans="2:32">
      <c r="B39" s="743">
        <f t="shared" si="1"/>
        <v>2022</v>
      </c>
      <c r="C39" s="744">
        <f>IF(Select2=1,Food!$K41,"")</f>
        <v>1.6466090891766365E-2</v>
      </c>
      <c r="D39" s="745">
        <f>IF(Select2=1,Paper!$K41,"")</f>
        <v>5.1888096275741299E-2</v>
      </c>
      <c r="E39" s="736">
        <f>IF(Select2=1,Nappies!$K41,"")</f>
        <v>3.8244777738795671E-2</v>
      </c>
      <c r="F39" s="745">
        <f>IF(Select2=1,Garden!$K41,"")</f>
        <v>0</v>
      </c>
      <c r="G39" s="736">
        <f>IF(Select2=1,Wood!$K41,"")</f>
        <v>0</v>
      </c>
      <c r="H39" s="745">
        <f>IF(Select2=1,Textiles!$K41,"")</f>
        <v>3.6998864031714267E-3</v>
      </c>
      <c r="I39" s="746">
        <f>Sludge!K41</f>
        <v>0</v>
      </c>
      <c r="J39" s="746" t="str">
        <f>IF(Select2=2,MSW!$K41,"")</f>
        <v/>
      </c>
      <c r="K39" s="746">
        <f>Industry!$K41</f>
        <v>0</v>
      </c>
      <c r="L39" s="747">
        <f t="shared" si="3"/>
        <v>0.11029885130947475</v>
      </c>
      <c r="M39" s="748">
        <f>Recovery_OX!C34</f>
        <v>0</v>
      </c>
      <c r="N39" s="703"/>
      <c r="O39" s="749">
        <f>(L39-M39)*(1-Recovery_OX!F34)</f>
        <v>0.11029885130947475</v>
      </c>
      <c r="P39" s="695"/>
      <c r="Q39" s="705"/>
      <c r="S39" s="743">
        <f t="shared" si="2"/>
        <v>2022</v>
      </c>
      <c r="T39" s="744">
        <f>IF(Select2=1,Food!$W41,"")</f>
        <v>1.1016563932939139E-2</v>
      </c>
      <c r="U39" s="745">
        <f>IF(Select2=1,Paper!$W41,"")</f>
        <v>0.10720681048706883</v>
      </c>
      <c r="V39" s="736">
        <f>IF(Select2=1,Nappies!$W41,"")</f>
        <v>0</v>
      </c>
      <c r="W39" s="745">
        <f>IF(Select2=1,Garden!$W41,"")</f>
        <v>0</v>
      </c>
      <c r="X39" s="736">
        <f>IF(Select2=1,Wood!$W41,"")</f>
        <v>0</v>
      </c>
      <c r="Y39" s="745">
        <f>IF(Select2=1,Textiles!$W41,"")</f>
        <v>4.0546700308727972E-3</v>
      </c>
      <c r="Z39" s="738">
        <f>Sludge!W41</f>
        <v>0</v>
      </c>
      <c r="AA39" s="738" t="str">
        <f>IF(Select2=2,MSW!$W41,"")</f>
        <v/>
      </c>
      <c r="AB39" s="746">
        <f>Industry!$W41</f>
        <v>0</v>
      </c>
      <c r="AC39" s="747">
        <f t="shared" si="0"/>
        <v>0.12227804445088077</v>
      </c>
      <c r="AD39" s="748">
        <f>Recovery_OX!R34</f>
        <v>0</v>
      </c>
      <c r="AE39" s="703"/>
      <c r="AF39" s="750">
        <f>(AC39-AD39)*(1-Recovery_OX!U34)</f>
        <v>0.12227804445088077</v>
      </c>
    </row>
    <row r="40" spans="2:32">
      <c r="B40" s="743">
        <f t="shared" si="1"/>
        <v>2023</v>
      </c>
      <c r="C40" s="744">
        <f>IF(Select2=1,Food!$K42,"")</f>
        <v>1.103755080459585E-2</v>
      </c>
      <c r="D40" s="745">
        <f>IF(Select2=1,Paper!$K42,"")</f>
        <v>4.8380140294186053E-2</v>
      </c>
      <c r="E40" s="736">
        <f>IF(Select2=1,Nappies!$K42,"")</f>
        <v>3.2265773396770503E-2</v>
      </c>
      <c r="F40" s="745">
        <f>IF(Select2=1,Garden!$K42,"")</f>
        <v>0</v>
      </c>
      <c r="G40" s="736">
        <f>IF(Select2=1,Wood!$K42,"")</f>
        <v>0</v>
      </c>
      <c r="H40" s="745">
        <f>IF(Select2=1,Textiles!$K42,"")</f>
        <v>3.4497512166710856E-3</v>
      </c>
      <c r="I40" s="746">
        <f>Sludge!K42</f>
        <v>0</v>
      </c>
      <c r="J40" s="746" t="str">
        <f>IF(Select2=2,MSW!$K42,"")</f>
        <v/>
      </c>
      <c r="K40" s="746">
        <f>Industry!$K42</f>
        <v>0</v>
      </c>
      <c r="L40" s="747">
        <f t="shared" si="3"/>
        <v>9.5133215712223482E-2</v>
      </c>
      <c r="M40" s="748">
        <f>Recovery_OX!C35</f>
        <v>0</v>
      </c>
      <c r="N40" s="703"/>
      <c r="O40" s="749">
        <f>(L40-M40)*(1-Recovery_OX!F35)</f>
        <v>9.5133215712223482E-2</v>
      </c>
      <c r="P40" s="695"/>
      <c r="Q40" s="705"/>
      <c r="S40" s="743">
        <f t="shared" si="2"/>
        <v>2023</v>
      </c>
      <c r="T40" s="744">
        <f>IF(Select2=1,Food!$W42,"")</f>
        <v>7.3846236426823282E-3</v>
      </c>
      <c r="U40" s="745">
        <f>IF(Select2=1,Paper!$W42,"")</f>
        <v>9.9958967549971189E-2</v>
      </c>
      <c r="V40" s="736">
        <f>IF(Select2=1,Nappies!$W42,"")</f>
        <v>0</v>
      </c>
      <c r="W40" s="745">
        <f>IF(Select2=1,Garden!$W42,"")</f>
        <v>0</v>
      </c>
      <c r="X40" s="736">
        <f>IF(Select2=1,Wood!$W42,"")</f>
        <v>0</v>
      </c>
      <c r="Y40" s="745">
        <f>IF(Select2=1,Textiles!$W42,"")</f>
        <v>3.7805492785436567E-3</v>
      </c>
      <c r="Z40" s="738">
        <f>Sludge!W42</f>
        <v>0</v>
      </c>
      <c r="AA40" s="738" t="str">
        <f>IF(Select2=2,MSW!$W42,"")</f>
        <v/>
      </c>
      <c r="AB40" s="746">
        <f>Industry!$W42</f>
        <v>0</v>
      </c>
      <c r="AC40" s="747">
        <f t="shared" si="0"/>
        <v>0.11112414047119717</v>
      </c>
      <c r="AD40" s="748">
        <f>Recovery_OX!R35</f>
        <v>0</v>
      </c>
      <c r="AE40" s="703"/>
      <c r="AF40" s="750">
        <f>(AC40-AD40)*(1-Recovery_OX!U35)</f>
        <v>0.11112414047119717</v>
      </c>
    </row>
    <row r="41" spans="2:32">
      <c r="B41" s="743">
        <f t="shared" si="1"/>
        <v>2024</v>
      </c>
      <c r="C41" s="744">
        <f>IF(Select2=1,Food!$K43,"")</f>
        <v>7.3986915634573986E-3</v>
      </c>
      <c r="D41" s="745">
        <f>IF(Select2=1,Paper!$K43,"")</f>
        <v>4.5109343816481809E-2</v>
      </c>
      <c r="E41" s="736">
        <f>IF(Select2=1,Nappies!$K43,"")</f>
        <v>2.7221497795126868E-2</v>
      </c>
      <c r="F41" s="745">
        <f>IF(Select2=1,Garden!$K43,"")</f>
        <v>0</v>
      </c>
      <c r="G41" s="736">
        <f>IF(Select2=1,Wood!$K43,"")</f>
        <v>0</v>
      </c>
      <c r="H41" s="745">
        <f>IF(Select2=1,Textiles!$K43,"")</f>
        <v>3.2165267146371458E-3</v>
      </c>
      <c r="I41" s="746">
        <f>Sludge!K43</f>
        <v>0</v>
      </c>
      <c r="J41" s="746" t="str">
        <f>IF(Select2=2,MSW!$K43,"")</f>
        <v/>
      </c>
      <c r="K41" s="746">
        <f>Industry!$K43</f>
        <v>0</v>
      </c>
      <c r="L41" s="747">
        <f t="shared" si="3"/>
        <v>8.294605988970323E-2</v>
      </c>
      <c r="M41" s="748">
        <f>Recovery_OX!C36</f>
        <v>0</v>
      </c>
      <c r="N41" s="703"/>
      <c r="O41" s="749">
        <f>(L41-M41)*(1-Recovery_OX!F36)</f>
        <v>8.294605988970323E-2</v>
      </c>
      <c r="P41" s="695"/>
      <c r="Q41" s="705"/>
      <c r="S41" s="743">
        <f t="shared" si="2"/>
        <v>2024</v>
      </c>
      <c r="T41" s="744">
        <f>IF(Select2=1,Food!$W43,"")</f>
        <v>4.9500612601186883E-3</v>
      </c>
      <c r="U41" s="745">
        <f>IF(Select2=1,Paper!$W43,"")</f>
        <v>9.3201123587772355E-2</v>
      </c>
      <c r="V41" s="736">
        <f>IF(Select2=1,Nappies!$W43,"")</f>
        <v>0</v>
      </c>
      <c r="W41" s="745">
        <f>IF(Select2=1,Garden!$W43,"")</f>
        <v>0</v>
      </c>
      <c r="X41" s="736">
        <f>IF(Select2=1,Wood!$W43,"")</f>
        <v>0</v>
      </c>
      <c r="Y41" s="745">
        <f>IF(Select2=1,Textiles!$W43,"")</f>
        <v>3.5249607831639969E-3</v>
      </c>
      <c r="Z41" s="738">
        <f>Sludge!W43</f>
        <v>0</v>
      </c>
      <c r="AA41" s="738" t="str">
        <f>IF(Select2=2,MSW!$W43,"")</f>
        <v/>
      </c>
      <c r="AB41" s="746">
        <f>Industry!$W43</f>
        <v>0</v>
      </c>
      <c r="AC41" s="747">
        <f t="shared" si="0"/>
        <v>0.10167614563105504</v>
      </c>
      <c r="AD41" s="748">
        <f>Recovery_OX!R36</f>
        <v>0</v>
      </c>
      <c r="AE41" s="703"/>
      <c r="AF41" s="750">
        <f>(AC41-AD41)*(1-Recovery_OX!U36)</f>
        <v>0.10167614563105504</v>
      </c>
    </row>
    <row r="42" spans="2:32">
      <c r="B42" s="743">
        <f t="shared" si="1"/>
        <v>2025</v>
      </c>
      <c r="C42" s="744">
        <f>IF(Select2=1,Food!$K44,"")</f>
        <v>4.9594912694202594E-3</v>
      </c>
      <c r="D42" s="745">
        <f>IF(Select2=1,Paper!$K44,"")</f>
        <v>4.2059673394500244E-2</v>
      </c>
      <c r="E42" s="736">
        <f>IF(Select2=1,Nappies!$K44,"")</f>
        <v>2.296581994480457E-2</v>
      </c>
      <c r="F42" s="745">
        <f>IF(Select2=1,Garden!$K44,"")</f>
        <v>0</v>
      </c>
      <c r="G42" s="736">
        <f>IF(Select2=1,Wood!$K44,"")</f>
        <v>0</v>
      </c>
      <c r="H42" s="745">
        <f>IF(Select2=1,Textiles!$K44,"")</f>
        <v>2.9990696302900589E-3</v>
      </c>
      <c r="I42" s="746">
        <f>Sludge!K44</f>
        <v>0</v>
      </c>
      <c r="J42" s="746" t="str">
        <f>IF(Select2=2,MSW!$K44,"")</f>
        <v/>
      </c>
      <c r="K42" s="746">
        <f>Industry!$K44</f>
        <v>0</v>
      </c>
      <c r="L42" s="747">
        <f t="shared" si="3"/>
        <v>7.2984054239015134E-2</v>
      </c>
      <c r="M42" s="748">
        <f>Recovery_OX!C37</f>
        <v>0</v>
      </c>
      <c r="N42" s="703"/>
      <c r="O42" s="749">
        <f>(L42-M42)*(1-Recovery_OX!F37)</f>
        <v>7.2984054239015134E-2</v>
      </c>
      <c r="P42" s="695"/>
      <c r="Q42" s="705"/>
      <c r="S42" s="743">
        <f t="shared" si="2"/>
        <v>2025</v>
      </c>
      <c r="T42" s="744">
        <f>IF(Select2=1,Food!$W44,"")</f>
        <v>3.3181252917619938E-3</v>
      </c>
      <c r="U42" s="745">
        <f>IF(Select2=1,Paper!$W44,"")</f>
        <v>8.6900151641529449E-2</v>
      </c>
      <c r="V42" s="736">
        <f>IF(Select2=1,Nappies!$W44,"")</f>
        <v>0</v>
      </c>
      <c r="W42" s="745">
        <f>IF(Select2=1,Garden!$W44,"")</f>
        <v>0</v>
      </c>
      <c r="X42" s="736">
        <f>IF(Select2=1,Wood!$W44,"")</f>
        <v>0</v>
      </c>
      <c r="Y42" s="745">
        <f>IF(Select2=1,Textiles!$W44,"")</f>
        <v>3.2866516496329419E-3</v>
      </c>
      <c r="Z42" s="738">
        <f>Sludge!W44</f>
        <v>0</v>
      </c>
      <c r="AA42" s="738" t="str">
        <f>IF(Select2=2,MSW!$W44,"")</f>
        <v/>
      </c>
      <c r="AB42" s="746">
        <f>Industry!$W44</f>
        <v>0</v>
      </c>
      <c r="AC42" s="747">
        <f t="shared" si="0"/>
        <v>9.350492858292439E-2</v>
      </c>
      <c r="AD42" s="748">
        <f>Recovery_OX!R37</f>
        <v>0</v>
      </c>
      <c r="AE42" s="703"/>
      <c r="AF42" s="750">
        <f>(AC42-AD42)*(1-Recovery_OX!U37)</f>
        <v>9.350492858292439E-2</v>
      </c>
    </row>
    <row r="43" spans="2:32">
      <c r="B43" s="743">
        <f t="shared" si="1"/>
        <v>2026</v>
      </c>
      <c r="C43" s="744">
        <f>IF(Select2=1,Food!$K45,"")</f>
        <v>3.3244464160311392E-3</v>
      </c>
      <c r="D43" s="745">
        <f>IF(Select2=1,Paper!$K45,"")</f>
        <v>3.9216179540294674E-2</v>
      </c>
      <c r="E43" s="736">
        <f>IF(Select2=1,Nappies!$K45,"")</f>
        <v>1.937545427171912E-2</v>
      </c>
      <c r="F43" s="745">
        <f>IF(Select2=1,Garden!$K45,"")</f>
        <v>0</v>
      </c>
      <c r="G43" s="736">
        <f>IF(Select2=1,Wood!$K45,"")</f>
        <v>0</v>
      </c>
      <c r="H43" s="745">
        <f>IF(Select2=1,Textiles!$K45,"")</f>
        <v>2.7963139887500679E-3</v>
      </c>
      <c r="I43" s="746">
        <f>Sludge!K45</f>
        <v>0</v>
      </c>
      <c r="J43" s="746" t="str">
        <f>IF(Select2=2,MSW!$K45,"")</f>
        <v/>
      </c>
      <c r="K43" s="746">
        <f>Industry!$K45</f>
        <v>0</v>
      </c>
      <c r="L43" s="747">
        <f t="shared" si="3"/>
        <v>6.4712394216795005E-2</v>
      </c>
      <c r="M43" s="748">
        <f>Recovery_OX!C38</f>
        <v>0</v>
      </c>
      <c r="N43" s="703"/>
      <c r="O43" s="749">
        <f>(L43-M43)*(1-Recovery_OX!F38)</f>
        <v>6.4712394216795005E-2</v>
      </c>
      <c r="P43" s="695"/>
      <c r="Q43" s="705"/>
      <c r="S43" s="743">
        <f t="shared" si="2"/>
        <v>2026</v>
      </c>
      <c r="T43" s="744">
        <f>IF(Select2=1,Food!$W45,"")</f>
        <v>2.2242058983259188E-3</v>
      </c>
      <c r="U43" s="745">
        <f>IF(Select2=1,Paper!$W45,"")</f>
        <v>8.1025164339451811E-2</v>
      </c>
      <c r="V43" s="736">
        <f>IF(Select2=1,Nappies!$W45,"")</f>
        <v>0</v>
      </c>
      <c r="W43" s="745">
        <f>IF(Select2=1,Garden!$W45,"")</f>
        <v>0</v>
      </c>
      <c r="X43" s="736">
        <f>IF(Select2=1,Wood!$W45,"")</f>
        <v>0</v>
      </c>
      <c r="Y43" s="745">
        <f>IF(Select2=1,Textiles!$W45,"")</f>
        <v>3.0644536863014453E-3</v>
      </c>
      <c r="Z43" s="738">
        <f>Sludge!W45</f>
        <v>0</v>
      </c>
      <c r="AA43" s="738" t="str">
        <f>IF(Select2=2,MSW!$W45,"")</f>
        <v/>
      </c>
      <c r="AB43" s="746">
        <f>Industry!$W45</f>
        <v>0</v>
      </c>
      <c r="AC43" s="747">
        <f t="shared" si="0"/>
        <v>8.6313823924079172E-2</v>
      </c>
      <c r="AD43" s="748">
        <f>Recovery_OX!R38</f>
        <v>0</v>
      </c>
      <c r="AE43" s="703"/>
      <c r="AF43" s="750">
        <f>(AC43-AD43)*(1-Recovery_OX!U38)</f>
        <v>8.6313823924079172E-2</v>
      </c>
    </row>
    <row r="44" spans="2:32">
      <c r="B44" s="743">
        <f t="shared" si="1"/>
        <v>2027</v>
      </c>
      <c r="C44" s="744">
        <f>IF(Select2=1,Food!$K46,"")</f>
        <v>2.2284430746370098E-3</v>
      </c>
      <c r="D44" s="745">
        <f>IF(Select2=1,Paper!$K46,"")</f>
        <v>3.6564923443692839E-2</v>
      </c>
      <c r="E44" s="736">
        <f>IF(Select2=1,Nappies!$K46,"")</f>
        <v>1.6346389074621531E-2</v>
      </c>
      <c r="F44" s="745">
        <f>IF(Select2=1,Garden!$K46,"")</f>
        <v>0</v>
      </c>
      <c r="G44" s="736">
        <f>IF(Select2=1,Wood!$K46,"")</f>
        <v>0</v>
      </c>
      <c r="H44" s="745">
        <f>IF(Select2=1,Textiles!$K46,"")</f>
        <v>2.6072658816271147E-3</v>
      </c>
      <c r="I44" s="746">
        <f>Sludge!K46</f>
        <v>0</v>
      </c>
      <c r="J44" s="746" t="str">
        <f>IF(Select2=2,MSW!$K46,"")</f>
        <v/>
      </c>
      <c r="K44" s="746">
        <f>Industry!$K46</f>
        <v>0</v>
      </c>
      <c r="L44" s="747">
        <f t="shared" si="3"/>
        <v>5.7747021474578497E-2</v>
      </c>
      <c r="M44" s="748">
        <f>Recovery_OX!C39</f>
        <v>0</v>
      </c>
      <c r="N44" s="703"/>
      <c r="O44" s="749">
        <f>(L44-M44)*(1-Recovery_OX!F39)</f>
        <v>5.7747021474578497E-2</v>
      </c>
      <c r="P44" s="695"/>
      <c r="Q44" s="705"/>
      <c r="S44" s="743">
        <f t="shared" si="2"/>
        <v>2027</v>
      </c>
      <c r="T44" s="744">
        <f>IF(Select2=1,Food!$W46,"")</f>
        <v>1.4909298001585707E-3</v>
      </c>
      <c r="U44" s="745">
        <f>IF(Select2=1,Paper!$W46,"")</f>
        <v>7.5547362486968694E-2</v>
      </c>
      <c r="V44" s="736">
        <f>IF(Select2=1,Nappies!$W46,"")</f>
        <v>0</v>
      </c>
      <c r="W44" s="745">
        <f>IF(Select2=1,Garden!$W46,"")</f>
        <v>0</v>
      </c>
      <c r="X44" s="736">
        <f>IF(Select2=1,Wood!$W46,"")</f>
        <v>0</v>
      </c>
      <c r="Y44" s="745">
        <f>IF(Select2=1,Textiles!$W46,"")</f>
        <v>2.8572776784954691E-3</v>
      </c>
      <c r="Z44" s="738">
        <f>Sludge!W46</f>
        <v>0</v>
      </c>
      <c r="AA44" s="738" t="str">
        <f>IF(Select2=2,MSW!$W46,"")</f>
        <v/>
      </c>
      <c r="AB44" s="746">
        <f>Industry!$W46</f>
        <v>0</v>
      </c>
      <c r="AC44" s="747">
        <f t="shared" si="0"/>
        <v>7.9895569965622734E-2</v>
      </c>
      <c r="AD44" s="748">
        <f>Recovery_OX!R39</f>
        <v>0</v>
      </c>
      <c r="AE44" s="703"/>
      <c r="AF44" s="750">
        <f>(AC44-AD44)*(1-Recovery_OX!U39)</f>
        <v>7.9895569965622734E-2</v>
      </c>
    </row>
    <row r="45" spans="2:32">
      <c r="B45" s="743">
        <f t="shared" si="1"/>
        <v>2028</v>
      </c>
      <c r="C45" s="744">
        <f>IF(Select2=1,Food!$K47,"")</f>
        <v>1.4937700643784821E-3</v>
      </c>
      <c r="D45" s="745">
        <f>IF(Select2=1,Paper!$K47,"")</f>
        <v>3.4092908644233332E-2</v>
      </c>
      <c r="E45" s="736">
        <f>IF(Select2=1,Nappies!$K47,"")</f>
        <v>1.3790873340653704E-2</v>
      </c>
      <c r="F45" s="745">
        <f>IF(Select2=1,Garden!$K47,"")</f>
        <v>0</v>
      </c>
      <c r="G45" s="736">
        <f>IF(Select2=1,Wood!$K47,"")</f>
        <v>0</v>
      </c>
      <c r="H45" s="745">
        <f>IF(Select2=1,Textiles!$K47,"")</f>
        <v>2.4309985948807555E-3</v>
      </c>
      <c r="I45" s="746">
        <f>Sludge!K47</f>
        <v>0</v>
      </c>
      <c r="J45" s="746" t="str">
        <f>IF(Select2=2,MSW!$K47,"")</f>
        <v/>
      </c>
      <c r="K45" s="746">
        <f>Industry!$K47</f>
        <v>0</v>
      </c>
      <c r="L45" s="747">
        <f t="shared" si="3"/>
        <v>5.1808550644146266E-2</v>
      </c>
      <c r="M45" s="748">
        <f>Recovery_OX!C40</f>
        <v>0</v>
      </c>
      <c r="N45" s="703"/>
      <c r="O45" s="749">
        <f>(L45-M45)*(1-Recovery_OX!F40)</f>
        <v>5.1808550644146266E-2</v>
      </c>
      <c r="P45" s="695"/>
      <c r="Q45" s="705"/>
      <c r="S45" s="743">
        <f t="shared" si="2"/>
        <v>2028</v>
      </c>
      <c r="T45" s="744">
        <f>IF(Select2=1,Food!$W47,"")</f>
        <v>9.9940013227819958E-4</v>
      </c>
      <c r="U45" s="745">
        <f>IF(Select2=1,Paper!$W47,"")</f>
        <v>7.0439893893044073E-2</v>
      </c>
      <c r="V45" s="736">
        <f>IF(Select2=1,Nappies!$W47,"")</f>
        <v>0</v>
      </c>
      <c r="W45" s="745">
        <f>IF(Select2=1,Garden!$W47,"")</f>
        <v>0</v>
      </c>
      <c r="X45" s="736">
        <f>IF(Select2=1,Wood!$W47,"")</f>
        <v>0</v>
      </c>
      <c r="Y45" s="745">
        <f>IF(Select2=1,Textiles!$W47,"")</f>
        <v>2.6641080491843902E-3</v>
      </c>
      <c r="Z45" s="738">
        <f>Sludge!W47</f>
        <v>0</v>
      </c>
      <c r="AA45" s="738" t="str">
        <f>IF(Select2=2,MSW!$W47,"")</f>
        <v/>
      </c>
      <c r="AB45" s="746">
        <f>Industry!$W47</f>
        <v>0</v>
      </c>
      <c r="AC45" s="747">
        <f t="shared" si="0"/>
        <v>7.4103402074506663E-2</v>
      </c>
      <c r="AD45" s="748">
        <f>Recovery_OX!R40</f>
        <v>0</v>
      </c>
      <c r="AE45" s="703"/>
      <c r="AF45" s="750">
        <f>(AC45-AD45)*(1-Recovery_OX!U40)</f>
        <v>7.4103402074506663E-2</v>
      </c>
    </row>
    <row r="46" spans="2:32">
      <c r="B46" s="743">
        <f t="shared" si="1"/>
        <v>2029</v>
      </c>
      <c r="C46" s="744">
        <f>IF(Select2=1,Food!$K48,"")</f>
        <v>1.0013040183208441E-3</v>
      </c>
      <c r="D46" s="745">
        <f>IF(Select2=1,Paper!$K48,"")</f>
        <v>3.1788017322501236E-2</v>
      </c>
      <c r="E46" s="736">
        <f>IF(Select2=1,Nappies!$K48,"")</f>
        <v>1.1634874627646565E-2</v>
      </c>
      <c r="F46" s="745">
        <f>IF(Select2=1,Garden!$K48,"")</f>
        <v>0</v>
      </c>
      <c r="G46" s="736">
        <f>IF(Select2=1,Wood!$K48,"")</f>
        <v>0</v>
      </c>
      <c r="H46" s="745">
        <f>IF(Select2=1,Textiles!$K48,"")</f>
        <v>2.2666480660668603E-3</v>
      </c>
      <c r="I46" s="746">
        <f>Sludge!K48</f>
        <v>0</v>
      </c>
      <c r="J46" s="746" t="str">
        <f>IF(Select2=2,MSW!$K48,"")</f>
        <v/>
      </c>
      <c r="K46" s="746">
        <f>Industry!$K48</f>
        <v>0</v>
      </c>
      <c r="L46" s="747">
        <f t="shared" si="3"/>
        <v>4.6690844034535509E-2</v>
      </c>
      <c r="M46" s="748">
        <f>Recovery_OX!C41</f>
        <v>0</v>
      </c>
      <c r="N46" s="703"/>
      <c r="O46" s="749">
        <f>(L46-M46)*(1-Recovery_OX!F41)</f>
        <v>4.6690844034535509E-2</v>
      </c>
      <c r="P46" s="695"/>
      <c r="Q46" s="705"/>
      <c r="S46" s="743">
        <f t="shared" si="2"/>
        <v>2029</v>
      </c>
      <c r="T46" s="744">
        <f>IF(Select2=1,Food!$W48,"")</f>
        <v>6.699179426767469E-4</v>
      </c>
      <c r="U46" s="745">
        <f>IF(Select2=1,Paper!$W48,"")</f>
        <v>6.5677721740705047E-2</v>
      </c>
      <c r="V46" s="736">
        <f>IF(Select2=1,Nappies!$W48,"")</f>
        <v>0</v>
      </c>
      <c r="W46" s="745">
        <f>IF(Select2=1,Garden!$W48,"")</f>
        <v>0</v>
      </c>
      <c r="X46" s="736">
        <f>IF(Select2=1,Wood!$W48,"")</f>
        <v>0</v>
      </c>
      <c r="Y46" s="745">
        <f>IF(Select2=1,Textiles!$W48,"")</f>
        <v>2.4839978806212178E-3</v>
      </c>
      <c r="Z46" s="738">
        <f>Sludge!W48</f>
        <v>0</v>
      </c>
      <c r="AA46" s="738" t="str">
        <f>IF(Select2=2,MSW!$W48,"")</f>
        <v/>
      </c>
      <c r="AB46" s="746">
        <f>Industry!$W48</f>
        <v>0</v>
      </c>
      <c r="AC46" s="747">
        <f t="shared" si="0"/>
        <v>6.8831637564003012E-2</v>
      </c>
      <c r="AD46" s="748">
        <f>Recovery_OX!R41</f>
        <v>0</v>
      </c>
      <c r="AE46" s="703"/>
      <c r="AF46" s="750">
        <f>(AC46-AD46)*(1-Recovery_OX!U41)</f>
        <v>6.8831637564003012E-2</v>
      </c>
    </row>
    <row r="47" spans="2:32">
      <c r="B47" s="743">
        <f t="shared" si="1"/>
        <v>2030</v>
      </c>
      <c r="C47" s="744">
        <f>IF(Select2=1,Food!$K49,"")</f>
        <v>6.7119415565649893E-4</v>
      </c>
      <c r="D47" s="745">
        <f>IF(Select2=1,Paper!$K49,"")</f>
        <v>2.9638950898563388E-2</v>
      </c>
      <c r="E47" s="736">
        <f>IF(Select2=1,Nappies!$K49,"")</f>
        <v>9.8159343688553561E-3</v>
      </c>
      <c r="F47" s="745">
        <f>IF(Select2=1,Garden!$K49,"")</f>
        <v>0</v>
      </c>
      <c r="G47" s="736">
        <f>IF(Select2=1,Wood!$K49,"")</f>
        <v>0</v>
      </c>
      <c r="H47" s="745">
        <f>IF(Select2=1,Textiles!$K49,"")</f>
        <v>2.1134086487025099E-3</v>
      </c>
      <c r="I47" s="746">
        <f>Sludge!K49</f>
        <v>0</v>
      </c>
      <c r="J47" s="746" t="str">
        <f>IF(Select2=2,MSW!$K49,"")</f>
        <v/>
      </c>
      <c r="K47" s="746">
        <f>Industry!$K49</f>
        <v>0</v>
      </c>
      <c r="L47" s="747">
        <f t="shared" si="3"/>
        <v>4.2239488071777756E-2</v>
      </c>
      <c r="M47" s="748">
        <f>Recovery_OX!C42</f>
        <v>0</v>
      </c>
      <c r="N47" s="703"/>
      <c r="O47" s="749">
        <f>(L47-M47)*(1-Recovery_OX!F42)</f>
        <v>4.2239488071777756E-2</v>
      </c>
      <c r="P47" s="695"/>
      <c r="Q47" s="705"/>
      <c r="S47" s="743">
        <f t="shared" si="2"/>
        <v>2030</v>
      </c>
      <c r="T47" s="744">
        <f>IF(Select2=1,Food!$W49,"")</f>
        <v>4.4905942617517775E-4</v>
      </c>
      <c r="U47" s="745">
        <f>IF(Select2=1,Paper!$W49,"")</f>
        <v>6.1237501856535911E-2</v>
      </c>
      <c r="V47" s="736">
        <f>IF(Select2=1,Nappies!$W49,"")</f>
        <v>0</v>
      </c>
      <c r="W47" s="745">
        <f>IF(Select2=1,Garden!$W49,"")</f>
        <v>0</v>
      </c>
      <c r="X47" s="736">
        <f>IF(Select2=1,Wood!$W49,"")</f>
        <v>0</v>
      </c>
      <c r="Y47" s="745">
        <f>IF(Select2=1,Textiles!$W49,"")</f>
        <v>2.3160642725506969E-3</v>
      </c>
      <c r="Z47" s="738">
        <f>Sludge!W49</f>
        <v>0</v>
      </c>
      <c r="AA47" s="738" t="str">
        <f>IF(Select2=2,MSW!$W49,"")</f>
        <v/>
      </c>
      <c r="AB47" s="746">
        <f>Industry!$W49</f>
        <v>0</v>
      </c>
      <c r="AC47" s="747">
        <f t="shared" si="0"/>
        <v>6.4002625555261788E-2</v>
      </c>
      <c r="AD47" s="748">
        <f>Recovery_OX!R42</f>
        <v>0</v>
      </c>
      <c r="AE47" s="703"/>
      <c r="AF47" s="750">
        <f>(AC47-AD47)*(1-Recovery_OX!U42)</f>
        <v>6.4002625555261788E-2</v>
      </c>
    </row>
    <row r="48" spans="2:32">
      <c r="B48" s="743">
        <f t="shared" si="1"/>
        <v>2031</v>
      </c>
      <c r="C48" s="744">
        <f>IF(Select2=1,Food!$K50,"")</f>
        <v>4.4991489731851641E-4</v>
      </c>
      <c r="D48" s="745">
        <f>IF(Select2=1,Paper!$K50,"")</f>
        <v>2.7635174646316353E-2</v>
      </c>
      <c r="E48" s="736">
        <f>IF(Select2=1,Nappies!$K50,"")</f>
        <v>8.2813584690224935E-3</v>
      </c>
      <c r="F48" s="745">
        <f>IF(Select2=1,Garden!$K50,"")</f>
        <v>0</v>
      </c>
      <c r="G48" s="736">
        <f>IF(Select2=1,Wood!$K50,"")</f>
        <v>0</v>
      </c>
      <c r="H48" s="745">
        <f>IF(Select2=1,Textiles!$K50,"")</f>
        <v>1.9705291629860018E-3</v>
      </c>
      <c r="I48" s="746">
        <f>Sludge!K50</f>
        <v>0</v>
      </c>
      <c r="J48" s="746" t="str">
        <f>IF(Select2=2,MSW!$K50,"")</f>
        <v/>
      </c>
      <c r="K48" s="746">
        <f>Industry!$K50</f>
        <v>0</v>
      </c>
      <c r="L48" s="747">
        <f t="shared" si="3"/>
        <v>3.8336977175643369E-2</v>
      </c>
      <c r="M48" s="748">
        <f>Recovery_OX!C43</f>
        <v>0</v>
      </c>
      <c r="N48" s="703"/>
      <c r="O48" s="749">
        <f>(L48-M48)*(1-Recovery_OX!F43)</f>
        <v>3.8336977175643369E-2</v>
      </c>
      <c r="P48" s="695"/>
      <c r="Q48" s="705"/>
      <c r="S48" s="743">
        <f t="shared" si="2"/>
        <v>2031</v>
      </c>
      <c r="T48" s="744">
        <f>IF(Select2=1,Food!$W50,"")</f>
        <v>3.0101353522648291E-4</v>
      </c>
      <c r="U48" s="745">
        <f>IF(Select2=1,Paper!$W50,"")</f>
        <v>5.7097468277513122E-2</v>
      </c>
      <c r="V48" s="736">
        <f>IF(Select2=1,Nappies!$W50,"")</f>
        <v>0</v>
      </c>
      <c r="W48" s="745">
        <f>IF(Select2=1,Garden!$W50,"")</f>
        <v>0</v>
      </c>
      <c r="X48" s="736">
        <f>IF(Select2=1,Wood!$W50,"")</f>
        <v>0</v>
      </c>
      <c r="Y48" s="745">
        <f>IF(Select2=1,Textiles!$W50,"")</f>
        <v>2.1594840142312357E-3</v>
      </c>
      <c r="Z48" s="738">
        <f>Sludge!W50</f>
        <v>0</v>
      </c>
      <c r="AA48" s="738" t="str">
        <f>IF(Select2=2,MSW!$W50,"")</f>
        <v/>
      </c>
      <c r="AB48" s="746">
        <f>Industry!$W50</f>
        <v>0</v>
      </c>
      <c r="AC48" s="747">
        <f t="shared" si="0"/>
        <v>5.9557965826970843E-2</v>
      </c>
      <c r="AD48" s="748">
        <f>Recovery_OX!R43</f>
        <v>0</v>
      </c>
      <c r="AE48" s="703"/>
      <c r="AF48" s="750">
        <f>(AC48-AD48)*(1-Recovery_OX!U43)</f>
        <v>5.9557965826970843E-2</v>
      </c>
    </row>
    <row r="49" spans="2:32">
      <c r="B49" s="743">
        <f t="shared" si="1"/>
        <v>2032</v>
      </c>
      <c r="C49" s="744">
        <f>IF(Select2=1,Food!$K51,"")</f>
        <v>3.0158697468266786E-4</v>
      </c>
      <c r="D49" s="745">
        <f>IF(Select2=1,Paper!$K51,"")</f>
        <v>2.5766866052246918E-2</v>
      </c>
      <c r="E49" s="736">
        <f>IF(Select2=1,Nappies!$K51,"")</f>
        <v>6.9866907739367708E-3</v>
      </c>
      <c r="F49" s="745">
        <f>IF(Select2=1,Garden!$K51,"")</f>
        <v>0</v>
      </c>
      <c r="G49" s="736">
        <f>IF(Select2=1,Wood!$K51,"")</f>
        <v>0</v>
      </c>
      <c r="H49" s="745">
        <f>IF(Select2=1,Textiles!$K51,"")</f>
        <v>1.8373092135125892E-3</v>
      </c>
      <c r="I49" s="746">
        <f>Sludge!K51</f>
        <v>0</v>
      </c>
      <c r="J49" s="746" t="str">
        <f>IF(Select2=2,MSW!$K51,"")</f>
        <v/>
      </c>
      <c r="K49" s="746">
        <f>Industry!$K51</f>
        <v>0</v>
      </c>
      <c r="L49" s="747">
        <f t="shared" si="3"/>
        <v>3.4892453014378946E-2</v>
      </c>
      <c r="M49" s="748">
        <f>Recovery_OX!C44</f>
        <v>0</v>
      </c>
      <c r="N49" s="703"/>
      <c r="O49" s="749">
        <f>(L49-M49)*(1-Recovery_OX!F44)</f>
        <v>3.4892453014378946E-2</v>
      </c>
      <c r="P49" s="695"/>
      <c r="Q49" s="705"/>
      <c r="S49" s="743">
        <f t="shared" si="2"/>
        <v>2032</v>
      </c>
      <c r="T49" s="744">
        <f>IF(Select2=1,Food!$W51,"")</f>
        <v>2.0177540679036657E-4</v>
      </c>
      <c r="U49" s="745">
        <f>IF(Select2=1,Paper!$W51,"")</f>
        <v>5.3237326554229164E-2</v>
      </c>
      <c r="V49" s="736">
        <f>IF(Select2=1,Nappies!$W51,"")</f>
        <v>0</v>
      </c>
      <c r="W49" s="745">
        <f>IF(Select2=1,Garden!$W51,"")</f>
        <v>0</v>
      </c>
      <c r="X49" s="736">
        <f>IF(Select2=1,Wood!$W51,"")</f>
        <v>0</v>
      </c>
      <c r="Y49" s="745">
        <f>IF(Select2=1,Textiles!$W51,"")</f>
        <v>2.0134895490548929E-3</v>
      </c>
      <c r="Z49" s="738">
        <f>Sludge!W51</f>
        <v>0</v>
      </c>
      <c r="AA49" s="738" t="str">
        <f>IF(Select2=2,MSW!$W51,"")</f>
        <v/>
      </c>
      <c r="AB49" s="746">
        <f>Industry!$W51</f>
        <v>0</v>
      </c>
      <c r="AC49" s="747">
        <f t="shared" ref="AC49:AC80" si="4">SUM(T49:AA49)</f>
        <v>5.5452591510074423E-2</v>
      </c>
      <c r="AD49" s="748">
        <f>Recovery_OX!R44</f>
        <v>0</v>
      </c>
      <c r="AE49" s="703"/>
      <c r="AF49" s="750">
        <f>(AC49-AD49)*(1-Recovery_OX!U44)</f>
        <v>5.5452591510074423E-2</v>
      </c>
    </row>
    <row r="50" spans="2:32">
      <c r="B50" s="743">
        <f t="shared" si="1"/>
        <v>2033</v>
      </c>
      <c r="C50" s="744">
        <f>IF(Select2=1,Food!$K52,"")</f>
        <v>2.0215979475303513E-4</v>
      </c>
      <c r="D50" s="745">
        <f>IF(Select2=1,Paper!$K52,"")</f>
        <v>2.4024866665459405E-2</v>
      </c>
      <c r="E50" s="736">
        <f>IF(Select2=1,Nappies!$K52,"")</f>
        <v>5.8944251904090115E-3</v>
      </c>
      <c r="F50" s="745">
        <f>IF(Select2=1,Garden!$K52,"")</f>
        <v>0</v>
      </c>
      <c r="G50" s="736">
        <f>IF(Select2=1,Wood!$K52,"")</f>
        <v>0</v>
      </c>
      <c r="H50" s="745">
        <f>IF(Select2=1,Textiles!$K52,"")</f>
        <v>1.7130957559353965E-3</v>
      </c>
      <c r="I50" s="746">
        <f>Sludge!K52</f>
        <v>0</v>
      </c>
      <c r="J50" s="746" t="str">
        <f>IF(Select2=2,MSW!$K52,"")</f>
        <v/>
      </c>
      <c r="K50" s="746">
        <f>Industry!$K52</f>
        <v>0</v>
      </c>
      <c r="L50" s="747">
        <f t="shared" si="3"/>
        <v>3.1834547406556848E-2</v>
      </c>
      <c r="M50" s="748">
        <f>Recovery_OX!C45</f>
        <v>0</v>
      </c>
      <c r="N50" s="703"/>
      <c r="O50" s="749">
        <f>(L50-M50)*(1-Recovery_OX!F45)</f>
        <v>3.1834547406556848E-2</v>
      </c>
      <c r="P50" s="695"/>
      <c r="Q50" s="705"/>
      <c r="S50" s="743">
        <f t="shared" si="2"/>
        <v>2033</v>
      </c>
      <c r="T50" s="744">
        <f>IF(Select2=1,Food!$W52,"")</f>
        <v>1.3525409996857835E-4</v>
      </c>
      <c r="U50" s="745">
        <f>IF(Select2=1,Paper!$W52,"")</f>
        <v>4.9638154267478099E-2</v>
      </c>
      <c r="V50" s="736">
        <f>IF(Select2=1,Nappies!$W52,"")</f>
        <v>0</v>
      </c>
      <c r="W50" s="745">
        <f>IF(Select2=1,Garden!$W52,"")</f>
        <v>0</v>
      </c>
      <c r="X50" s="736">
        <f>IF(Select2=1,Wood!$W52,"")</f>
        <v>0</v>
      </c>
      <c r="Y50" s="745">
        <f>IF(Select2=1,Textiles!$W52,"")</f>
        <v>1.8773652119839972E-3</v>
      </c>
      <c r="Z50" s="738">
        <f>Sludge!W52</f>
        <v>0</v>
      </c>
      <c r="AA50" s="738" t="str">
        <f>IF(Select2=2,MSW!$W52,"")</f>
        <v/>
      </c>
      <c r="AB50" s="746">
        <f>Industry!$W52</f>
        <v>0</v>
      </c>
      <c r="AC50" s="747">
        <f t="shared" si="4"/>
        <v>5.1650773579430674E-2</v>
      </c>
      <c r="AD50" s="748">
        <f>Recovery_OX!R45</f>
        <v>0</v>
      </c>
      <c r="AE50" s="703"/>
      <c r="AF50" s="750">
        <f>(AC50-AD50)*(1-Recovery_OX!U45)</f>
        <v>5.1650773579430674E-2</v>
      </c>
    </row>
    <row r="51" spans="2:32">
      <c r="B51" s="743">
        <f t="shared" si="1"/>
        <v>2034</v>
      </c>
      <c r="C51" s="744">
        <f>IF(Select2=1,Food!$K53,"")</f>
        <v>1.3551176292540988E-4</v>
      </c>
      <c r="D51" s="745">
        <f>IF(Select2=1,Paper!$K53,"")</f>
        <v>2.2400637202938778E-2</v>
      </c>
      <c r="E51" s="736">
        <f>IF(Select2=1,Nappies!$K53,"")</f>
        <v>4.9729191472075232E-3</v>
      </c>
      <c r="F51" s="745">
        <f>IF(Select2=1,Garden!$K53,"")</f>
        <v>0</v>
      </c>
      <c r="G51" s="736">
        <f>IF(Select2=1,Wood!$K53,"")</f>
        <v>0</v>
      </c>
      <c r="H51" s="745">
        <f>IF(Select2=1,Textiles!$K53,"")</f>
        <v>1.5972798957412724E-3</v>
      </c>
      <c r="I51" s="746">
        <f>Sludge!K53</f>
        <v>0</v>
      </c>
      <c r="J51" s="746" t="str">
        <f>IF(Select2=2,MSW!$K53,"")</f>
        <v/>
      </c>
      <c r="K51" s="746">
        <f>Industry!$K53</f>
        <v>0</v>
      </c>
      <c r="L51" s="747">
        <f t="shared" si="3"/>
        <v>2.9106348008812982E-2</v>
      </c>
      <c r="M51" s="748">
        <f>Recovery_OX!C46</f>
        <v>0</v>
      </c>
      <c r="N51" s="703"/>
      <c r="O51" s="749">
        <f>(L51-M51)*(1-Recovery_OX!F46)</f>
        <v>2.9106348008812982E-2</v>
      </c>
      <c r="P51" s="695"/>
      <c r="Q51" s="705"/>
      <c r="S51" s="743">
        <f t="shared" si="2"/>
        <v>2034</v>
      </c>
      <c r="T51" s="744">
        <f>IF(Select2=1,Food!$W53,"")</f>
        <v>9.0663534517446413E-5</v>
      </c>
      <c r="U51" s="745">
        <f>IF(Select2=1,Paper!$W53,"")</f>
        <v>4.6282308270534658E-2</v>
      </c>
      <c r="V51" s="736">
        <f>IF(Select2=1,Nappies!$W53,"")</f>
        <v>0</v>
      </c>
      <c r="W51" s="745">
        <f>IF(Select2=1,Garden!$W53,"")</f>
        <v>0</v>
      </c>
      <c r="X51" s="736">
        <f>IF(Select2=1,Wood!$W53,"")</f>
        <v>0</v>
      </c>
      <c r="Y51" s="745">
        <f>IF(Select2=1,Textiles!$W53,"")</f>
        <v>1.7504437213602996E-3</v>
      </c>
      <c r="Z51" s="738">
        <f>Sludge!W53</f>
        <v>0</v>
      </c>
      <c r="AA51" s="738" t="str">
        <f>IF(Select2=2,MSW!$W53,"")</f>
        <v/>
      </c>
      <c r="AB51" s="746">
        <f>Industry!$W53</f>
        <v>0</v>
      </c>
      <c r="AC51" s="747">
        <f t="shared" si="4"/>
        <v>4.8123415526412409E-2</v>
      </c>
      <c r="AD51" s="748">
        <f>Recovery_OX!R46</f>
        <v>0</v>
      </c>
      <c r="AE51" s="703"/>
      <c r="AF51" s="750">
        <f>(AC51-AD51)*(1-Recovery_OX!U46)</f>
        <v>4.8123415526412409E-2</v>
      </c>
    </row>
    <row r="52" spans="2:32">
      <c r="B52" s="743">
        <f t="shared" si="1"/>
        <v>2035</v>
      </c>
      <c r="C52" s="744">
        <f>IF(Select2=1,Food!$K54,"")</f>
        <v>9.0836251162531402E-5</v>
      </c>
      <c r="D52" s="745">
        <f>IF(Select2=1,Paper!$K54,"")</f>
        <v>2.0886215689975382E-2</v>
      </c>
      <c r="E52" s="736">
        <f>IF(Select2=1,Nappies!$K54,"")</f>
        <v>4.1954769202774793E-3</v>
      </c>
      <c r="F52" s="745">
        <f>IF(Select2=1,Garden!$K54,"")</f>
        <v>0</v>
      </c>
      <c r="G52" s="736">
        <f>IF(Select2=1,Wood!$K54,"")</f>
        <v>0</v>
      </c>
      <c r="H52" s="745">
        <f>IF(Select2=1,Textiles!$K54,"")</f>
        <v>1.4892939034491801E-3</v>
      </c>
      <c r="I52" s="746">
        <f>Sludge!K54</f>
        <v>0</v>
      </c>
      <c r="J52" s="746" t="str">
        <f>IF(Select2=2,MSW!$K54,"")</f>
        <v/>
      </c>
      <c r="K52" s="746">
        <f>Industry!$K54</f>
        <v>0</v>
      </c>
      <c r="L52" s="747">
        <f t="shared" si="3"/>
        <v>2.6661822764864573E-2</v>
      </c>
      <c r="M52" s="748">
        <f>Recovery_OX!C47</f>
        <v>0</v>
      </c>
      <c r="N52" s="703"/>
      <c r="O52" s="749">
        <f>(L52-M52)*(1-Recovery_OX!F47)</f>
        <v>2.6661822764864573E-2</v>
      </c>
      <c r="P52" s="695"/>
      <c r="Q52" s="705"/>
      <c r="S52" s="743">
        <f t="shared" si="2"/>
        <v>2035</v>
      </c>
      <c r="T52" s="744">
        <f>IF(Select2=1,Food!$W54,"")</f>
        <v>6.077358463148846E-5</v>
      </c>
      <c r="U52" s="745">
        <f>IF(Select2=1,Paper!$W54,"")</f>
        <v>4.3153338202428476E-2</v>
      </c>
      <c r="V52" s="736">
        <f>IF(Select2=1,Nappies!$W54,"")</f>
        <v>0</v>
      </c>
      <c r="W52" s="745">
        <f>IF(Select2=1,Garden!$W54,"")</f>
        <v>0</v>
      </c>
      <c r="X52" s="736">
        <f>IF(Select2=1,Wood!$W54,"")</f>
        <v>0</v>
      </c>
      <c r="Y52" s="745">
        <f>IF(Select2=1,Textiles!$W54,"")</f>
        <v>1.6321029078895128E-3</v>
      </c>
      <c r="Z52" s="738">
        <f>Sludge!W54</f>
        <v>0</v>
      </c>
      <c r="AA52" s="738" t="str">
        <f>IF(Select2=2,MSW!$W54,"")</f>
        <v/>
      </c>
      <c r="AB52" s="746">
        <f>Industry!$W54</f>
        <v>0</v>
      </c>
      <c r="AC52" s="747">
        <f t="shared" si="4"/>
        <v>4.4846214694949475E-2</v>
      </c>
      <c r="AD52" s="748">
        <f>Recovery_OX!R47</f>
        <v>0</v>
      </c>
      <c r="AE52" s="703"/>
      <c r="AF52" s="750">
        <f>(AC52-AD52)*(1-Recovery_OX!U47)</f>
        <v>4.4846214694949475E-2</v>
      </c>
    </row>
    <row r="53" spans="2:32">
      <c r="B53" s="743">
        <f t="shared" si="1"/>
        <v>2036</v>
      </c>
      <c r="C53" s="744">
        <f>IF(Select2=1,Food!$K55,"")</f>
        <v>6.0889360060972939E-5</v>
      </c>
      <c r="D53" s="745">
        <f>IF(Select2=1,Paper!$K55,"")</f>
        <v>1.9474178430555697E-2</v>
      </c>
      <c r="E53" s="736">
        <f>IF(Select2=1,Nappies!$K55,"")</f>
        <v>3.5395762664802606E-3</v>
      </c>
      <c r="F53" s="745">
        <f>IF(Select2=1,Garden!$K55,"")</f>
        <v>0</v>
      </c>
      <c r="G53" s="736">
        <f>IF(Select2=1,Wood!$K55,"")</f>
        <v>0</v>
      </c>
      <c r="H53" s="745">
        <f>IF(Select2=1,Textiles!$K55,"")</f>
        <v>1.3886084315996214E-3</v>
      </c>
      <c r="I53" s="746">
        <f>Sludge!K55</f>
        <v>0</v>
      </c>
      <c r="J53" s="746" t="str">
        <f>IF(Select2=2,MSW!$K55,"")</f>
        <v/>
      </c>
      <c r="K53" s="746">
        <f>Industry!$K55</f>
        <v>0</v>
      </c>
      <c r="L53" s="747">
        <f t="shared" si="3"/>
        <v>2.446325248869655E-2</v>
      </c>
      <c r="M53" s="748">
        <f>Recovery_OX!C48</f>
        <v>0</v>
      </c>
      <c r="N53" s="703"/>
      <c r="O53" s="749">
        <f>(L53-M53)*(1-Recovery_OX!F48)</f>
        <v>2.446325248869655E-2</v>
      </c>
      <c r="P53" s="695"/>
      <c r="Q53" s="705"/>
      <c r="S53" s="743">
        <f t="shared" si="2"/>
        <v>2036</v>
      </c>
      <c r="T53" s="744">
        <f>IF(Select2=1,Food!$W55,"")</f>
        <v>4.0737752047930156E-5</v>
      </c>
      <c r="U53" s="745">
        <f>IF(Select2=1,Paper!$W55,"")</f>
        <v>4.0235905848255572E-2</v>
      </c>
      <c r="V53" s="736">
        <f>IF(Select2=1,Nappies!$W55,"")</f>
        <v>0</v>
      </c>
      <c r="W53" s="745">
        <f>IF(Select2=1,Garden!$W55,"")</f>
        <v>0</v>
      </c>
      <c r="X53" s="736">
        <f>IF(Select2=1,Wood!$W55,"")</f>
        <v>0</v>
      </c>
      <c r="Y53" s="745">
        <f>IF(Select2=1,Textiles!$W55,"")</f>
        <v>1.521762664766709E-3</v>
      </c>
      <c r="Z53" s="738">
        <f>Sludge!W55</f>
        <v>0</v>
      </c>
      <c r="AA53" s="738" t="str">
        <f>IF(Select2=2,MSW!$W55,"")</f>
        <v/>
      </c>
      <c r="AB53" s="746">
        <f>Industry!$W55</f>
        <v>0</v>
      </c>
      <c r="AC53" s="747">
        <f t="shared" si="4"/>
        <v>4.1798406265070212E-2</v>
      </c>
      <c r="AD53" s="748">
        <f>Recovery_OX!R48</f>
        <v>0</v>
      </c>
      <c r="AE53" s="703"/>
      <c r="AF53" s="750">
        <f>(AC53-AD53)*(1-Recovery_OX!U48)</f>
        <v>4.1798406265070212E-2</v>
      </c>
    </row>
    <row r="54" spans="2:32">
      <c r="B54" s="743">
        <f t="shared" si="1"/>
        <v>2037</v>
      </c>
      <c r="C54" s="744">
        <f>IF(Select2=1,Food!$K56,"")</f>
        <v>4.0815358639152001E-5</v>
      </c>
      <c r="D54" s="745">
        <f>IF(Select2=1,Paper!$K56,"")</f>
        <v>1.8157603616395852E-2</v>
      </c>
      <c r="E54" s="736">
        <f>IF(Select2=1,Nappies!$K56,"")</f>
        <v>2.9862159616889815E-3</v>
      </c>
      <c r="F54" s="745">
        <f>IF(Select2=1,Garden!$K56,"")</f>
        <v>0</v>
      </c>
      <c r="G54" s="736">
        <f>IF(Select2=1,Wood!$K56,"")</f>
        <v>0</v>
      </c>
      <c r="H54" s="745">
        <f>IF(Select2=1,Textiles!$K56,"")</f>
        <v>1.2947299198927788E-3</v>
      </c>
      <c r="I54" s="746">
        <f>Sludge!K56</f>
        <v>0</v>
      </c>
      <c r="J54" s="746" t="str">
        <f>IF(Select2=2,MSW!$K56,"")</f>
        <v/>
      </c>
      <c r="K54" s="746">
        <f>Industry!$K56</f>
        <v>0</v>
      </c>
      <c r="L54" s="747">
        <f t="shared" si="3"/>
        <v>2.2479364856616765E-2</v>
      </c>
      <c r="M54" s="748">
        <f>Recovery_OX!C49</f>
        <v>0</v>
      </c>
      <c r="N54" s="703"/>
      <c r="O54" s="749">
        <f>(L54-M54)*(1-Recovery_OX!F49)</f>
        <v>2.2479364856616765E-2</v>
      </c>
      <c r="P54" s="695"/>
      <c r="Q54" s="705"/>
      <c r="S54" s="743">
        <f t="shared" si="2"/>
        <v>2037</v>
      </c>
      <c r="T54" s="744">
        <f>IF(Select2=1,Food!$W56,"")</f>
        <v>2.7307331828157008E-5</v>
      </c>
      <c r="U54" s="745">
        <f>IF(Select2=1,Paper!$W56,"")</f>
        <v>3.7515709951231102E-2</v>
      </c>
      <c r="V54" s="736">
        <f>IF(Select2=1,Nappies!$W56,"")</f>
        <v>0</v>
      </c>
      <c r="W54" s="745">
        <f>IF(Select2=1,Garden!$W56,"")</f>
        <v>0</v>
      </c>
      <c r="X54" s="736">
        <f>IF(Select2=1,Wood!$W56,"")</f>
        <v>0</v>
      </c>
      <c r="Y54" s="745">
        <f>IF(Select2=1,Textiles!$W56,"")</f>
        <v>1.4188821039920866E-3</v>
      </c>
      <c r="Z54" s="738">
        <f>Sludge!W56</f>
        <v>0</v>
      </c>
      <c r="AA54" s="738" t="str">
        <f>IF(Select2=2,MSW!$W56,"")</f>
        <v/>
      </c>
      <c r="AB54" s="746">
        <f>Industry!$W56</f>
        <v>0</v>
      </c>
      <c r="AC54" s="747">
        <f t="shared" si="4"/>
        <v>3.8961899387051351E-2</v>
      </c>
      <c r="AD54" s="748">
        <f>Recovery_OX!R49</f>
        <v>0</v>
      </c>
      <c r="AE54" s="703"/>
      <c r="AF54" s="750">
        <f>(AC54-AD54)*(1-Recovery_OX!U49)</f>
        <v>3.8961899387051351E-2</v>
      </c>
    </row>
    <row r="55" spans="2:32">
      <c r="B55" s="743">
        <f t="shared" si="1"/>
        <v>2038</v>
      </c>
      <c r="C55" s="744">
        <f>IF(Select2=1,Food!$K57,"")</f>
        <v>2.7359353081957504E-5</v>
      </c>
      <c r="D55" s="745">
        <f>IF(Select2=1,Paper!$K57,"")</f>
        <v>1.6930037396229388E-2</v>
      </c>
      <c r="E55" s="736">
        <f>IF(Select2=1,Nappies!$K57,"")</f>
        <v>2.519365341635528E-3</v>
      </c>
      <c r="F55" s="745">
        <f>IF(Select2=1,Garden!$K57,"")</f>
        <v>0</v>
      </c>
      <c r="G55" s="736">
        <f>IF(Select2=1,Wood!$K57,"")</f>
        <v>0</v>
      </c>
      <c r="H55" s="745">
        <f>IF(Select2=1,Textiles!$K57,"")</f>
        <v>1.2071981757553504E-3</v>
      </c>
      <c r="I55" s="746">
        <f>Sludge!K57</f>
        <v>0</v>
      </c>
      <c r="J55" s="746" t="str">
        <f>IF(Select2=2,MSW!$K57,"")</f>
        <v/>
      </c>
      <c r="K55" s="746">
        <f>Industry!$K57</f>
        <v>0</v>
      </c>
      <c r="L55" s="747">
        <f t="shared" si="3"/>
        <v>2.0683960266702224E-2</v>
      </c>
      <c r="M55" s="748">
        <f>Recovery_OX!C50</f>
        <v>0</v>
      </c>
      <c r="N55" s="703"/>
      <c r="O55" s="749">
        <f>(L55-M55)*(1-Recovery_OX!F50)</f>
        <v>2.0683960266702224E-2</v>
      </c>
      <c r="P55" s="695"/>
      <c r="Q55" s="705"/>
      <c r="S55" s="743">
        <f t="shared" si="2"/>
        <v>2038</v>
      </c>
      <c r="T55" s="744">
        <f>IF(Select2=1,Food!$W57,"")</f>
        <v>1.8304651928160683E-5</v>
      </c>
      <c r="U55" s="745">
        <f>IF(Select2=1,Paper!$W57,"")</f>
        <v>3.4979416107911956E-2</v>
      </c>
      <c r="V55" s="736">
        <f>IF(Select2=1,Nappies!$W57,"")</f>
        <v>0</v>
      </c>
      <c r="W55" s="745">
        <f>IF(Select2=1,Garden!$W57,"")</f>
        <v>0</v>
      </c>
      <c r="X55" s="736">
        <f>IF(Select2=1,Wood!$W57,"")</f>
        <v>0</v>
      </c>
      <c r="Y55" s="745">
        <f>IF(Select2=1,Textiles!$W57,"")</f>
        <v>1.3229569049373704E-3</v>
      </c>
      <c r="Z55" s="738">
        <f>Sludge!W57</f>
        <v>0</v>
      </c>
      <c r="AA55" s="738" t="str">
        <f>IF(Select2=2,MSW!$W57,"")</f>
        <v/>
      </c>
      <c r="AB55" s="746">
        <f>Industry!$W57</f>
        <v>0</v>
      </c>
      <c r="AC55" s="747">
        <f t="shared" si="4"/>
        <v>3.6320677664777486E-2</v>
      </c>
      <c r="AD55" s="748">
        <f>Recovery_OX!R50</f>
        <v>0</v>
      </c>
      <c r="AE55" s="703"/>
      <c r="AF55" s="750">
        <f>(AC55-AD55)*(1-Recovery_OX!U50)</f>
        <v>3.6320677664777486E-2</v>
      </c>
    </row>
    <row r="56" spans="2:32">
      <c r="B56" s="743">
        <f t="shared" si="1"/>
        <v>2039</v>
      </c>
      <c r="C56" s="744">
        <f>IF(Select2=1,Food!$K58,"")</f>
        <v>1.8339522817403064E-5</v>
      </c>
      <c r="D56" s="745">
        <f>IF(Select2=1,Paper!$K58,"")</f>
        <v>1.5785462239020873E-2</v>
      </c>
      <c r="E56" s="736">
        <f>IF(Select2=1,Nappies!$K58,"")</f>
        <v>2.1254998988902234E-3</v>
      </c>
      <c r="F56" s="745">
        <f>IF(Select2=1,Garden!$K58,"")</f>
        <v>0</v>
      </c>
      <c r="G56" s="736">
        <f>IF(Select2=1,Wood!$K58,"")</f>
        <v>0</v>
      </c>
      <c r="H56" s="745">
        <f>IF(Select2=1,Textiles!$K58,"")</f>
        <v>1.1255841184760235E-3</v>
      </c>
      <c r="I56" s="746">
        <f>Sludge!K58</f>
        <v>0</v>
      </c>
      <c r="J56" s="746" t="str">
        <f>IF(Select2=2,MSW!$K58,"")</f>
        <v/>
      </c>
      <c r="K56" s="746">
        <f>Industry!$K58</f>
        <v>0</v>
      </c>
      <c r="L56" s="747">
        <f t="shared" si="3"/>
        <v>1.9054885779204521E-2</v>
      </c>
      <c r="M56" s="748">
        <f>Recovery_OX!C51</f>
        <v>0</v>
      </c>
      <c r="N56" s="703"/>
      <c r="O56" s="749">
        <f>(L56-M56)*(1-Recovery_OX!F51)</f>
        <v>1.9054885779204521E-2</v>
      </c>
      <c r="P56" s="695"/>
      <c r="Q56" s="705"/>
      <c r="S56" s="743">
        <f t="shared" si="2"/>
        <v>2039</v>
      </c>
      <c r="T56" s="744">
        <f>IF(Select2=1,Food!$W58,"")</f>
        <v>1.2269975123151024E-5</v>
      </c>
      <c r="U56" s="745">
        <f>IF(Select2=1,Paper!$W58,"")</f>
        <v>3.261459140293569E-2</v>
      </c>
      <c r="V56" s="736">
        <f>IF(Select2=1,Nappies!$W58,"")</f>
        <v>0</v>
      </c>
      <c r="W56" s="745">
        <f>IF(Select2=1,Garden!$W58,"")</f>
        <v>0</v>
      </c>
      <c r="X56" s="736">
        <f>IF(Select2=1,Wood!$W58,"")</f>
        <v>0</v>
      </c>
      <c r="Y56" s="745">
        <f>IF(Select2=1,Textiles!$W58,"")</f>
        <v>1.2335168421655053E-3</v>
      </c>
      <c r="Z56" s="738">
        <f>Sludge!W58</f>
        <v>0</v>
      </c>
      <c r="AA56" s="738" t="str">
        <f>IF(Select2=2,MSW!$W58,"")</f>
        <v/>
      </c>
      <c r="AB56" s="746">
        <f>Industry!$W58</f>
        <v>0</v>
      </c>
      <c r="AC56" s="747">
        <f t="shared" si="4"/>
        <v>3.3860378220224349E-2</v>
      </c>
      <c r="AD56" s="748">
        <f>Recovery_OX!R51</f>
        <v>0</v>
      </c>
      <c r="AE56" s="703"/>
      <c r="AF56" s="750">
        <f>(AC56-AD56)*(1-Recovery_OX!U51)</f>
        <v>3.3860378220224349E-2</v>
      </c>
    </row>
    <row r="57" spans="2:32">
      <c r="B57" s="743">
        <f t="shared" si="1"/>
        <v>2040</v>
      </c>
      <c r="C57" s="744">
        <f>IF(Select2=1,Food!$K59,"")</f>
        <v>1.229334977923328E-5</v>
      </c>
      <c r="D57" s="745">
        <f>IF(Select2=1,Paper!$K59,"")</f>
        <v>1.4718267436021776E-2</v>
      </c>
      <c r="E57" s="736">
        <f>IF(Select2=1,Nappies!$K59,"")</f>
        <v>1.7932094823728524E-3</v>
      </c>
      <c r="F57" s="745">
        <f>IF(Select2=1,Garden!$K59,"")</f>
        <v>0</v>
      </c>
      <c r="G57" s="736">
        <f>IF(Select2=1,Wood!$K59,"")</f>
        <v>0</v>
      </c>
      <c r="H57" s="745">
        <f>IF(Select2=1,Textiles!$K59,"")</f>
        <v>1.0494876758513291E-3</v>
      </c>
      <c r="I57" s="746">
        <f>Sludge!K59</f>
        <v>0</v>
      </c>
      <c r="J57" s="746" t="str">
        <f>IF(Select2=2,MSW!$K59,"")</f>
        <v/>
      </c>
      <c r="K57" s="746">
        <f>Industry!$K59</f>
        <v>0</v>
      </c>
      <c r="L57" s="747">
        <f t="shared" si="3"/>
        <v>1.757325794402519E-2</v>
      </c>
      <c r="M57" s="748">
        <f>Recovery_OX!C52</f>
        <v>0</v>
      </c>
      <c r="N57" s="703"/>
      <c r="O57" s="749">
        <f>(L57-M57)*(1-Recovery_OX!F52)</f>
        <v>1.757325794402519E-2</v>
      </c>
      <c r="P57" s="695"/>
      <c r="Q57" s="705"/>
      <c r="S57" s="743">
        <f t="shared" si="2"/>
        <v>2040</v>
      </c>
      <c r="T57" s="744">
        <f>IF(Select2=1,Food!$W59,"")</f>
        <v>8.2248102894067435E-6</v>
      </c>
      <c r="U57" s="745">
        <f>IF(Select2=1,Paper!$W59,"")</f>
        <v>3.0409643462854911E-2</v>
      </c>
      <c r="V57" s="736">
        <f>IF(Select2=1,Nappies!$W59,"")</f>
        <v>0</v>
      </c>
      <c r="W57" s="745">
        <f>IF(Select2=1,Garden!$W59,"")</f>
        <v>0</v>
      </c>
      <c r="X57" s="736">
        <f>IF(Select2=1,Wood!$W59,"")</f>
        <v>0</v>
      </c>
      <c r="Y57" s="745">
        <f>IF(Select2=1,Textiles!$W59,"")</f>
        <v>1.1501234803850183E-3</v>
      </c>
      <c r="Z57" s="738">
        <f>Sludge!W59</f>
        <v>0</v>
      </c>
      <c r="AA57" s="738" t="str">
        <f>IF(Select2=2,MSW!$W59,"")</f>
        <v/>
      </c>
      <c r="AB57" s="746">
        <f>Industry!$W59</f>
        <v>0</v>
      </c>
      <c r="AC57" s="747">
        <f t="shared" si="4"/>
        <v>3.1567991753529333E-2</v>
      </c>
      <c r="AD57" s="748">
        <f>Recovery_OX!R52</f>
        <v>0</v>
      </c>
      <c r="AE57" s="703"/>
      <c r="AF57" s="750">
        <f>(AC57-AD57)*(1-Recovery_OX!U52)</f>
        <v>3.1567991753529333E-2</v>
      </c>
    </row>
    <row r="58" spans="2:32">
      <c r="B58" s="743">
        <f t="shared" si="1"/>
        <v>2041</v>
      </c>
      <c r="C58" s="744">
        <f>IF(Select2=1,Food!$K60,"")</f>
        <v>8.2404787899478681E-6</v>
      </c>
      <c r="D58" s="745">
        <f>IF(Select2=1,Paper!$K60,"")</f>
        <v>1.3723221597069669E-2</v>
      </c>
      <c r="E58" s="736">
        <f>IF(Select2=1,Nappies!$K60,"")</f>
        <v>1.5128677490649886E-3</v>
      </c>
      <c r="F58" s="745">
        <f>IF(Select2=1,Garden!$K60,"")</f>
        <v>0</v>
      </c>
      <c r="G58" s="736">
        <f>IF(Select2=1,Wood!$K60,"")</f>
        <v>0</v>
      </c>
      <c r="H58" s="745">
        <f>IF(Select2=1,Textiles!$K60,"")</f>
        <v>9.7853582303123647E-4</v>
      </c>
      <c r="I58" s="746">
        <f>Sludge!K60</f>
        <v>0</v>
      </c>
      <c r="J58" s="746" t="str">
        <f>IF(Select2=2,MSW!$K60,"")</f>
        <v/>
      </c>
      <c r="K58" s="746">
        <f>Industry!$K60</f>
        <v>0</v>
      </c>
      <c r="L58" s="747">
        <f t="shared" si="3"/>
        <v>1.6222865647955841E-2</v>
      </c>
      <c r="M58" s="748">
        <f>Recovery_OX!C53</f>
        <v>0</v>
      </c>
      <c r="N58" s="703"/>
      <c r="O58" s="749">
        <f>(L58-M58)*(1-Recovery_OX!F53)</f>
        <v>1.6222865647955841E-2</v>
      </c>
      <c r="P58" s="695"/>
      <c r="Q58" s="705"/>
      <c r="S58" s="743">
        <f t="shared" si="2"/>
        <v>2041</v>
      </c>
      <c r="T58" s="744">
        <f>IF(Select2=1,Food!$W60,"")</f>
        <v>5.5132552118295286E-6</v>
      </c>
      <c r="U58" s="745">
        <f>IF(Select2=1,Paper!$W60,"")</f>
        <v>2.8353763630309239E-2</v>
      </c>
      <c r="V58" s="736">
        <f>IF(Select2=1,Nappies!$W60,"")</f>
        <v>0</v>
      </c>
      <c r="W58" s="745">
        <f>IF(Select2=1,Garden!$W60,"")</f>
        <v>0</v>
      </c>
      <c r="X58" s="736">
        <f>IF(Select2=1,Wood!$W60,"")</f>
        <v>0</v>
      </c>
      <c r="Y58" s="745">
        <f>IF(Select2=1,Textiles!$W60,"")</f>
        <v>1.0723680252397111E-3</v>
      </c>
      <c r="Z58" s="738">
        <f>Sludge!W60</f>
        <v>0</v>
      </c>
      <c r="AA58" s="738" t="str">
        <f>IF(Select2=2,MSW!$W60,"")</f>
        <v/>
      </c>
      <c r="AB58" s="746">
        <f>Industry!$W60</f>
        <v>0</v>
      </c>
      <c r="AC58" s="747">
        <f t="shared" si="4"/>
        <v>2.9431644910760779E-2</v>
      </c>
      <c r="AD58" s="748">
        <f>Recovery_OX!R53</f>
        <v>0</v>
      </c>
      <c r="AE58" s="703"/>
      <c r="AF58" s="750">
        <f>(AC58-AD58)*(1-Recovery_OX!U53)</f>
        <v>2.9431644910760779E-2</v>
      </c>
    </row>
    <row r="59" spans="2:32">
      <c r="B59" s="743">
        <f t="shared" si="1"/>
        <v>2042</v>
      </c>
      <c r="C59" s="744">
        <f>IF(Select2=1,Food!$K61,"")</f>
        <v>5.5237581218335647E-6</v>
      </c>
      <c r="D59" s="745">
        <f>IF(Select2=1,Paper!$K61,"")</f>
        <v>1.2795447006307598E-2</v>
      </c>
      <c r="E59" s="736">
        <f>IF(Select2=1,Nappies!$K61,"")</f>
        <v>1.2763532920494975E-3</v>
      </c>
      <c r="F59" s="745">
        <f>IF(Select2=1,Garden!$K61,"")</f>
        <v>0</v>
      </c>
      <c r="G59" s="736">
        <f>IF(Select2=1,Wood!$K61,"")</f>
        <v>0</v>
      </c>
      <c r="H59" s="745">
        <f>IF(Select2=1,Textiles!$K61,"")</f>
        <v>9.1238075395090558E-4</v>
      </c>
      <c r="I59" s="746">
        <f>Sludge!K61</f>
        <v>0</v>
      </c>
      <c r="J59" s="746" t="str">
        <f>IF(Select2=2,MSW!$K61,"")</f>
        <v/>
      </c>
      <c r="K59" s="746">
        <f>Industry!$K61</f>
        <v>0</v>
      </c>
      <c r="L59" s="747">
        <f t="shared" si="3"/>
        <v>1.4989704810429834E-2</v>
      </c>
      <c r="M59" s="748">
        <f>Recovery_OX!C54</f>
        <v>0</v>
      </c>
      <c r="N59" s="703"/>
      <c r="O59" s="749">
        <f>(L59-M59)*(1-Recovery_OX!F54)</f>
        <v>1.4989704810429834E-2</v>
      </c>
      <c r="P59" s="695"/>
      <c r="Q59" s="705"/>
      <c r="S59" s="743">
        <f t="shared" si="2"/>
        <v>2042</v>
      </c>
      <c r="T59" s="744">
        <f>IF(Select2=1,Food!$W61,"")</f>
        <v>3.695645487399798E-6</v>
      </c>
      <c r="U59" s="745">
        <f>IF(Select2=1,Paper!$W61,"")</f>
        <v>2.6436873979974379E-2</v>
      </c>
      <c r="V59" s="736">
        <f>IF(Select2=1,Nappies!$W61,"")</f>
        <v>0</v>
      </c>
      <c r="W59" s="745">
        <f>IF(Select2=1,Garden!$W61,"")</f>
        <v>0</v>
      </c>
      <c r="X59" s="736">
        <f>IF(Select2=1,Wood!$W61,"")</f>
        <v>0</v>
      </c>
      <c r="Y59" s="745">
        <f>IF(Select2=1,Textiles!$W61,"")</f>
        <v>9.9986931939825266E-4</v>
      </c>
      <c r="Z59" s="738">
        <f>Sludge!W61</f>
        <v>0</v>
      </c>
      <c r="AA59" s="738" t="str">
        <f>IF(Select2=2,MSW!$W61,"")</f>
        <v/>
      </c>
      <c r="AB59" s="746">
        <f>Industry!$W61</f>
        <v>0</v>
      </c>
      <c r="AC59" s="747">
        <f t="shared" si="4"/>
        <v>2.7440438944860032E-2</v>
      </c>
      <c r="AD59" s="748">
        <f>Recovery_OX!R54</f>
        <v>0</v>
      </c>
      <c r="AE59" s="703"/>
      <c r="AF59" s="750">
        <f>(AC59-AD59)*(1-Recovery_OX!U54)</f>
        <v>2.7440438944860032E-2</v>
      </c>
    </row>
    <row r="60" spans="2:32">
      <c r="B60" s="743">
        <f t="shared" si="1"/>
        <v>2043</v>
      </c>
      <c r="C60" s="744">
        <f>IF(Select2=1,Food!$K62,"")</f>
        <v>3.7026857985172115E-6</v>
      </c>
      <c r="D60" s="745">
        <f>IF(Select2=1,Paper!$K62,"")</f>
        <v>1.1930395711615272E-2</v>
      </c>
      <c r="E60" s="736">
        <f>IF(Select2=1,Nappies!$K62,"")</f>
        <v>1.0768143660491297E-3</v>
      </c>
      <c r="F60" s="745">
        <f>IF(Select2=1,Garden!$K62,"")</f>
        <v>0</v>
      </c>
      <c r="G60" s="736">
        <f>IF(Select2=1,Wood!$K62,"")</f>
        <v>0</v>
      </c>
      <c r="H60" s="745">
        <f>IF(Select2=1,Textiles!$K62,"")</f>
        <v>8.5069817638495394E-4</v>
      </c>
      <c r="I60" s="746">
        <f>Sludge!K62</f>
        <v>0</v>
      </c>
      <c r="J60" s="746" t="str">
        <f>IF(Select2=2,MSW!$K62,"")</f>
        <v/>
      </c>
      <c r="K60" s="746">
        <f>Industry!$K62</f>
        <v>0</v>
      </c>
      <c r="L60" s="747">
        <f t="shared" si="3"/>
        <v>1.3861610939847871E-2</v>
      </c>
      <c r="M60" s="748">
        <f>Recovery_OX!C55</f>
        <v>0</v>
      </c>
      <c r="N60" s="703"/>
      <c r="O60" s="749">
        <f>(L60-M60)*(1-Recovery_OX!F55)</f>
        <v>1.3861610939847871E-2</v>
      </c>
      <c r="P60" s="695"/>
      <c r="Q60" s="705"/>
      <c r="S60" s="743">
        <f t="shared" si="2"/>
        <v>2043</v>
      </c>
      <c r="T60" s="744">
        <f>IF(Select2=1,Food!$W62,"")</f>
        <v>2.4772652532452356E-6</v>
      </c>
      <c r="U60" s="745">
        <f>IF(Select2=1,Paper!$W62,"")</f>
        <v>2.4649577916560486E-2</v>
      </c>
      <c r="V60" s="736">
        <f>IF(Select2=1,Nappies!$W62,"")</f>
        <v>0</v>
      </c>
      <c r="W60" s="745">
        <f>IF(Select2=1,Garden!$W62,"")</f>
        <v>0</v>
      </c>
      <c r="X60" s="736">
        <f>IF(Select2=1,Wood!$W62,"")</f>
        <v>0</v>
      </c>
      <c r="Y60" s="745">
        <f>IF(Select2=1,Textiles!$W62,"")</f>
        <v>9.322719741204973E-4</v>
      </c>
      <c r="Z60" s="738">
        <f>Sludge!W62</f>
        <v>0</v>
      </c>
      <c r="AA60" s="738" t="str">
        <f>IF(Select2=2,MSW!$W62,"")</f>
        <v/>
      </c>
      <c r="AB60" s="746">
        <f>Industry!$W62</f>
        <v>0</v>
      </c>
      <c r="AC60" s="747">
        <f t="shared" si="4"/>
        <v>2.5584327155934228E-2</v>
      </c>
      <c r="AD60" s="748">
        <f>Recovery_OX!R55</f>
        <v>0</v>
      </c>
      <c r="AE60" s="703"/>
      <c r="AF60" s="750">
        <f>(AC60-AD60)*(1-Recovery_OX!U55)</f>
        <v>2.5584327155934228E-2</v>
      </c>
    </row>
    <row r="61" spans="2:32">
      <c r="B61" s="743">
        <f t="shared" si="1"/>
        <v>2044</v>
      </c>
      <c r="C61" s="744">
        <f>IF(Select2=1,Food!$K63,"")</f>
        <v>2.481984514917565E-6</v>
      </c>
      <c r="D61" s="745">
        <f>IF(Select2=1,Paper!$K63,"")</f>
        <v>1.1123827230542508E-2</v>
      </c>
      <c r="E61" s="736">
        <f>IF(Select2=1,Nappies!$K63,"")</f>
        <v>9.0847039464119026E-4</v>
      </c>
      <c r="F61" s="745">
        <f>IF(Select2=1,Garden!$K63,"")</f>
        <v>0</v>
      </c>
      <c r="G61" s="736">
        <f>IF(Select2=1,Wood!$K63,"")</f>
        <v>0</v>
      </c>
      <c r="H61" s="745">
        <f>IF(Select2=1,Textiles!$K63,"")</f>
        <v>7.9318572226659133E-4</v>
      </c>
      <c r="I61" s="746">
        <f>Sludge!K63</f>
        <v>0</v>
      </c>
      <c r="J61" s="746" t="str">
        <f>IF(Select2=2,MSW!$K63,"")</f>
        <v/>
      </c>
      <c r="K61" s="746">
        <f>Industry!$K63</f>
        <v>0</v>
      </c>
      <c r="L61" s="747">
        <f t="shared" si="3"/>
        <v>1.2827965331965209E-2</v>
      </c>
      <c r="M61" s="748">
        <f>Recovery_OX!C56</f>
        <v>0</v>
      </c>
      <c r="N61" s="703"/>
      <c r="O61" s="749">
        <f>(L61-M61)*(1-Recovery_OX!F56)</f>
        <v>1.2827965331965209E-2</v>
      </c>
      <c r="P61" s="695"/>
      <c r="Q61" s="705"/>
      <c r="S61" s="743">
        <f t="shared" si="2"/>
        <v>2044</v>
      </c>
      <c r="T61" s="744">
        <f>IF(Select2=1,Food!$W63,"")</f>
        <v>1.6605605585978362E-6</v>
      </c>
      <c r="U61" s="745">
        <f>IF(Select2=1,Paper!$W63,"")</f>
        <v>2.2983114112691137E-2</v>
      </c>
      <c r="V61" s="736">
        <f>IF(Select2=1,Nappies!$W63,"")</f>
        <v>0</v>
      </c>
      <c r="W61" s="745">
        <f>IF(Select2=1,Garden!$W63,"")</f>
        <v>0</v>
      </c>
      <c r="X61" s="736">
        <f>IF(Select2=1,Wood!$W63,"")</f>
        <v>0</v>
      </c>
      <c r="Y61" s="745">
        <f>IF(Select2=1,Textiles!$W63,"")</f>
        <v>8.6924462714146986E-4</v>
      </c>
      <c r="Z61" s="738">
        <f>Sludge!W63</f>
        <v>0</v>
      </c>
      <c r="AA61" s="738" t="str">
        <f>IF(Select2=2,MSW!$W63,"")</f>
        <v/>
      </c>
      <c r="AB61" s="746">
        <f>Industry!$W63</f>
        <v>0</v>
      </c>
      <c r="AC61" s="747">
        <f t="shared" si="4"/>
        <v>2.3854019300391202E-2</v>
      </c>
      <c r="AD61" s="748">
        <f>Recovery_OX!R56</f>
        <v>0</v>
      </c>
      <c r="AE61" s="703"/>
      <c r="AF61" s="750">
        <f>(AC61-AD61)*(1-Recovery_OX!U56)</f>
        <v>2.3854019300391202E-2</v>
      </c>
    </row>
    <row r="62" spans="2:32">
      <c r="B62" s="743">
        <f t="shared" si="1"/>
        <v>2045</v>
      </c>
      <c r="C62" s="744">
        <f>IF(Select2=1,Food!$K64,"")</f>
        <v>1.6637239742992864E-6</v>
      </c>
      <c r="D62" s="745">
        <f>IF(Select2=1,Paper!$K64,"")</f>
        <v>1.0371787763459334E-2</v>
      </c>
      <c r="E62" s="736">
        <f>IF(Select2=1,Nappies!$K64,"")</f>
        <v>7.6644450887820414E-4</v>
      </c>
      <c r="F62" s="745">
        <f>IF(Select2=1,Garden!$K64,"")</f>
        <v>0</v>
      </c>
      <c r="G62" s="736">
        <f>IF(Select2=1,Wood!$K64,"")</f>
        <v>0</v>
      </c>
      <c r="H62" s="745">
        <f>IF(Select2=1,Textiles!$K64,"")</f>
        <v>7.3956146547900573E-4</v>
      </c>
      <c r="I62" s="746">
        <f>Sludge!K64</f>
        <v>0</v>
      </c>
      <c r="J62" s="746" t="str">
        <f>IF(Select2=2,MSW!$K64,"")</f>
        <v/>
      </c>
      <c r="K62" s="746">
        <f>Industry!$K64</f>
        <v>0</v>
      </c>
      <c r="L62" s="747">
        <f t="shared" si="3"/>
        <v>1.1879457461790845E-2</v>
      </c>
      <c r="M62" s="748">
        <f>Recovery_OX!C57</f>
        <v>0</v>
      </c>
      <c r="N62" s="703"/>
      <c r="O62" s="749">
        <f>(L62-M62)*(1-Recovery_OX!F57)</f>
        <v>1.1879457461790845E-2</v>
      </c>
      <c r="P62" s="695"/>
      <c r="Q62" s="705"/>
      <c r="S62" s="743">
        <f t="shared" si="2"/>
        <v>2045</v>
      </c>
      <c r="T62" s="744">
        <f>IF(Select2=1,Food!$W64,"")</f>
        <v>1.1131070300842682E-6</v>
      </c>
      <c r="U62" s="745">
        <f>IF(Select2=1,Paper!$W64,"")</f>
        <v>2.14293135608664E-2</v>
      </c>
      <c r="V62" s="736">
        <f>IF(Select2=1,Nappies!$W64,"")</f>
        <v>0</v>
      </c>
      <c r="W62" s="745">
        <f>IF(Select2=1,Garden!$W64,"")</f>
        <v>0</v>
      </c>
      <c r="X62" s="736">
        <f>IF(Select2=1,Wood!$W64,"")</f>
        <v>0</v>
      </c>
      <c r="Y62" s="745">
        <f>IF(Select2=1,Textiles!$W64,"")</f>
        <v>8.1047831833315682E-4</v>
      </c>
      <c r="Z62" s="738">
        <f>Sludge!W64</f>
        <v>0</v>
      </c>
      <c r="AA62" s="738" t="str">
        <f>IF(Select2=2,MSW!$W64,"")</f>
        <v/>
      </c>
      <c r="AB62" s="746">
        <f>Industry!$W64</f>
        <v>0</v>
      </c>
      <c r="AC62" s="747">
        <f t="shared" si="4"/>
        <v>2.2240904986229642E-2</v>
      </c>
      <c r="AD62" s="748">
        <f>Recovery_OX!R57</f>
        <v>0</v>
      </c>
      <c r="AE62" s="703"/>
      <c r="AF62" s="750">
        <f>(AC62-AD62)*(1-Recovery_OX!U57)</f>
        <v>2.2240904986229642E-2</v>
      </c>
    </row>
    <row r="63" spans="2:32">
      <c r="B63" s="743">
        <f t="shared" si="1"/>
        <v>2046</v>
      </c>
      <c r="C63" s="744">
        <f>IF(Select2=1,Food!$K65,"")</f>
        <v>1.1152275310428943E-6</v>
      </c>
      <c r="D63" s="745">
        <f>IF(Select2=1,Paper!$K65,"")</f>
        <v>9.6705908120256201E-3</v>
      </c>
      <c r="E63" s="736">
        <f>IF(Select2=1,Nappies!$K65,"")</f>
        <v>6.4662226601403536E-4</v>
      </c>
      <c r="F63" s="745">
        <f>IF(Select2=1,Garden!$K65,"")</f>
        <v>0</v>
      </c>
      <c r="G63" s="736">
        <f>IF(Select2=1,Wood!$K65,"")</f>
        <v>0</v>
      </c>
      <c r="H63" s="745">
        <f>IF(Select2=1,Textiles!$K65,"")</f>
        <v>6.8956253985321119E-4</v>
      </c>
      <c r="I63" s="746">
        <f>Sludge!K65</f>
        <v>0</v>
      </c>
      <c r="J63" s="746" t="str">
        <f>IF(Select2=2,MSW!$K65,"")</f>
        <v/>
      </c>
      <c r="K63" s="746">
        <f>Industry!$K65</f>
        <v>0</v>
      </c>
      <c r="L63" s="747">
        <f t="shared" si="3"/>
        <v>1.1007890845423909E-2</v>
      </c>
      <c r="M63" s="748">
        <f>Recovery_OX!C58</f>
        <v>0</v>
      </c>
      <c r="N63" s="703"/>
      <c r="O63" s="749">
        <f>(L63-M63)*(1-Recovery_OX!F58)</f>
        <v>1.1007890845423909E-2</v>
      </c>
      <c r="P63" s="695"/>
      <c r="Q63" s="705"/>
      <c r="S63" s="743">
        <f t="shared" si="2"/>
        <v>2046</v>
      </c>
      <c r="T63" s="744">
        <f>IF(Select2=1,Food!$W65,"")</f>
        <v>7.4613795564868057E-7</v>
      </c>
      <c r="U63" s="745">
        <f>IF(Select2=1,Paper!$W65,"")</f>
        <v>1.9980559528978557E-2</v>
      </c>
      <c r="V63" s="736">
        <f>IF(Select2=1,Nappies!$W65,"")</f>
        <v>0</v>
      </c>
      <c r="W63" s="745">
        <f>IF(Select2=1,Garden!$W65,"")</f>
        <v>0</v>
      </c>
      <c r="X63" s="736">
        <f>IF(Select2=1,Wood!$W65,"")</f>
        <v>0</v>
      </c>
      <c r="Y63" s="745">
        <f>IF(Select2=1,Textiles!$W65,"")</f>
        <v>7.5568497518160133E-4</v>
      </c>
      <c r="Z63" s="738">
        <f>Sludge!W65</f>
        <v>0</v>
      </c>
      <c r="AA63" s="738" t="str">
        <f>IF(Select2=2,MSW!$W65,"")</f>
        <v/>
      </c>
      <c r="AB63" s="746">
        <f>Industry!$W65</f>
        <v>0</v>
      </c>
      <c r="AC63" s="747">
        <f t="shared" si="4"/>
        <v>2.0736990642115809E-2</v>
      </c>
      <c r="AD63" s="748">
        <f>Recovery_OX!R58</f>
        <v>0</v>
      </c>
      <c r="AE63" s="703"/>
      <c r="AF63" s="750">
        <f>(AC63-AD63)*(1-Recovery_OX!U58)</f>
        <v>2.0736990642115809E-2</v>
      </c>
    </row>
    <row r="64" spans="2:32">
      <c r="B64" s="743">
        <f t="shared" si="1"/>
        <v>2047</v>
      </c>
      <c r="C64" s="744">
        <f>IF(Select2=1,Food!$K66,"")</f>
        <v>7.4755936994888542E-7</v>
      </c>
      <c r="D64" s="745">
        <f>IF(Select2=1,Paper!$K66,"")</f>
        <v>9.0167991079719342E-3</v>
      </c>
      <c r="E64" s="736">
        <f>IF(Select2=1,Nappies!$K66,"")</f>
        <v>5.4553245546386925E-4</v>
      </c>
      <c r="F64" s="745">
        <f>IF(Select2=1,Garden!$K66,"")</f>
        <v>0</v>
      </c>
      <c r="G64" s="736">
        <f>IF(Select2=1,Wood!$K66,"")</f>
        <v>0</v>
      </c>
      <c r="H64" s="745">
        <f>IF(Select2=1,Textiles!$K66,"")</f>
        <v>6.4294385059778328E-4</v>
      </c>
      <c r="I64" s="746">
        <f>Sludge!K66</f>
        <v>0</v>
      </c>
      <c r="J64" s="746" t="str">
        <f>IF(Select2=2,MSW!$K66,"")</f>
        <v/>
      </c>
      <c r="K64" s="746">
        <f>Industry!$K66</f>
        <v>0</v>
      </c>
      <c r="L64" s="747">
        <f t="shared" si="3"/>
        <v>1.0206022973403535E-2</v>
      </c>
      <c r="M64" s="748">
        <f>Recovery_OX!C59</f>
        <v>0</v>
      </c>
      <c r="N64" s="703"/>
      <c r="O64" s="749">
        <f>(L64-M64)*(1-Recovery_OX!F59)</f>
        <v>1.0206022973403535E-2</v>
      </c>
      <c r="P64" s="695"/>
      <c r="Q64" s="705"/>
      <c r="S64" s="743">
        <f t="shared" si="2"/>
        <v>2047</v>
      </c>
      <c r="T64" s="744">
        <f>IF(Select2=1,Food!$W66,"")</f>
        <v>5.0015122877936136E-7</v>
      </c>
      <c r="U64" s="745">
        <f>IF(Select2=1,Paper!$W66,"")</f>
        <v>1.8629750223082511E-2</v>
      </c>
      <c r="V64" s="736">
        <f>IF(Select2=1,Nappies!$W66,"")</f>
        <v>0</v>
      </c>
      <c r="W64" s="745">
        <f>IF(Select2=1,Garden!$W66,"")</f>
        <v>0</v>
      </c>
      <c r="X64" s="736">
        <f>IF(Select2=1,Wood!$W66,"")</f>
        <v>0</v>
      </c>
      <c r="Y64" s="745">
        <f>IF(Select2=1,Textiles!$W66,"")</f>
        <v>7.0459600065510492E-4</v>
      </c>
      <c r="Z64" s="738">
        <f>Sludge!W66</f>
        <v>0</v>
      </c>
      <c r="AA64" s="738" t="str">
        <f>IF(Select2=2,MSW!$W66,"")</f>
        <v/>
      </c>
      <c r="AB64" s="746">
        <f>Industry!$W66</f>
        <v>0</v>
      </c>
      <c r="AC64" s="747">
        <f t="shared" si="4"/>
        <v>1.9334846374966397E-2</v>
      </c>
      <c r="AD64" s="748">
        <f>Recovery_OX!R59</f>
        <v>0</v>
      </c>
      <c r="AE64" s="703"/>
      <c r="AF64" s="750">
        <f>(AC64-AD64)*(1-Recovery_OX!U59)</f>
        <v>1.9334846374966397E-2</v>
      </c>
    </row>
    <row r="65" spans="2:32">
      <c r="B65" s="743">
        <f t="shared" si="1"/>
        <v>2048</v>
      </c>
      <c r="C65" s="744">
        <f>IF(Select2=1,Food!$K67,"")</f>
        <v>5.0110403127851043E-7</v>
      </c>
      <c r="D65" s="745">
        <f>IF(Select2=1,Paper!$K67,"")</f>
        <v>8.4072077636064991E-3</v>
      </c>
      <c r="E65" s="736">
        <f>IF(Select2=1,Nappies!$K67,"")</f>
        <v>4.6024653898630013E-4</v>
      </c>
      <c r="F65" s="745">
        <f>IF(Select2=1,Garden!$K67,"")</f>
        <v>0</v>
      </c>
      <c r="G65" s="736">
        <f>IF(Select2=1,Wood!$K67,"")</f>
        <v>0</v>
      </c>
      <c r="H65" s="745">
        <f>IF(Select2=1,Textiles!$K67,"")</f>
        <v>5.9947687284390646E-4</v>
      </c>
      <c r="I65" s="746">
        <f>Sludge!K67</f>
        <v>0</v>
      </c>
      <c r="J65" s="746" t="str">
        <f>IF(Select2=2,MSW!$K67,"")</f>
        <v/>
      </c>
      <c r="K65" s="746">
        <f>Industry!$K67</f>
        <v>0</v>
      </c>
      <c r="L65" s="747">
        <f t="shared" si="3"/>
        <v>9.4674322794679848E-3</v>
      </c>
      <c r="M65" s="748">
        <f>Recovery_OX!C60</f>
        <v>0</v>
      </c>
      <c r="N65" s="703"/>
      <c r="O65" s="749">
        <f>(L65-M65)*(1-Recovery_OX!F60)</f>
        <v>9.4674322794679848E-3</v>
      </c>
      <c r="P65" s="695"/>
      <c r="Q65" s="705"/>
      <c r="S65" s="743">
        <f t="shared" si="2"/>
        <v>2048</v>
      </c>
      <c r="T65" s="744">
        <f>IF(Select2=1,Food!$W67,"")</f>
        <v>3.3526139470016313E-7</v>
      </c>
      <c r="U65" s="745">
        <f>IF(Select2=1,Paper!$W67,"")</f>
        <v>1.7370263974393597E-2</v>
      </c>
      <c r="V65" s="736">
        <f>IF(Select2=1,Nappies!$W67,"")</f>
        <v>0</v>
      </c>
      <c r="W65" s="745">
        <f>IF(Select2=1,Garden!$W67,"")</f>
        <v>0</v>
      </c>
      <c r="X65" s="736">
        <f>IF(Select2=1,Wood!$W67,"")</f>
        <v>0</v>
      </c>
      <c r="Y65" s="745">
        <f>IF(Select2=1,Textiles!$W67,"")</f>
        <v>6.5696095654126725E-4</v>
      </c>
      <c r="Z65" s="738">
        <f>Sludge!W67</f>
        <v>0</v>
      </c>
      <c r="AA65" s="738" t="str">
        <f>IF(Select2=2,MSW!$W67,"")</f>
        <v/>
      </c>
      <c r="AB65" s="746">
        <f>Industry!$W67</f>
        <v>0</v>
      </c>
      <c r="AC65" s="747">
        <f t="shared" si="4"/>
        <v>1.8027560192329567E-2</v>
      </c>
      <c r="AD65" s="748">
        <f>Recovery_OX!R60</f>
        <v>0</v>
      </c>
      <c r="AE65" s="703"/>
      <c r="AF65" s="750">
        <f>(AC65-AD65)*(1-Recovery_OX!U60)</f>
        <v>1.8027560192329567E-2</v>
      </c>
    </row>
    <row r="66" spans="2:32">
      <c r="B66" s="743">
        <f t="shared" si="1"/>
        <v>2049</v>
      </c>
      <c r="C66" s="744">
        <f>IF(Select2=1,Food!$K68,"")</f>
        <v>3.3590007731525555E-7</v>
      </c>
      <c r="D66" s="745">
        <f>IF(Select2=1,Paper!$K68,"")</f>
        <v>7.838828561452009E-3</v>
      </c>
      <c r="E66" s="736">
        <f>IF(Select2=1,Nappies!$K68,"")</f>
        <v>3.882938119029972E-4</v>
      </c>
      <c r="F66" s="745">
        <f>IF(Select2=1,Garden!$K68,"")</f>
        <v>0</v>
      </c>
      <c r="G66" s="736">
        <f>IF(Select2=1,Wood!$K68,"")</f>
        <v>0</v>
      </c>
      <c r="H66" s="745">
        <f>IF(Select2=1,Textiles!$K68,"")</f>
        <v>5.5894853141620236E-4</v>
      </c>
      <c r="I66" s="746">
        <f>Sludge!K68</f>
        <v>0</v>
      </c>
      <c r="J66" s="746" t="str">
        <f>IF(Select2=2,MSW!$K68,"")</f>
        <v/>
      </c>
      <c r="K66" s="746">
        <f>Industry!$K68</f>
        <v>0</v>
      </c>
      <c r="L66" s="747">
        <f t="shared" si="3"/>
        <v>8.7864068048485247E-3</v>
      </c>
      <c r="M66" s="748">
        <f>Recovery_OX!C61</f>
        <v>0</v>
      </c>
      <c r="N66" s="703"/>
      <c r="O66" s="749">
        <f>(L66-M66)*(1-Recovery_OX!F61)</f>
        <v>8.7864068048485247E-3</v>
      </c>
      <c r="P66" s="695"/>
      <c r="Q66" s="705"/>
      <c r="S66" s="743">
        <f t="shared" si="2"/>
        <v>2049</v>
      </c>
      <c r="T66" s="744">
        <f>IF(Select2=1,Food!$W68,"")</f>
        <v>2.2473243352938602E-7</v>
      </c>
      <c r="U66" s="745">
        <f>IF(Select2=1,Paper!$W68,"")</f>
        <v>1.6195926779859524E-2</v>
      </c>
      <c r="V66" s="736">
        <f>IF(Select2=1,Nappies!$W68,"")</f>
        <v>0</v>
      </c>
      <c r="W66" s="745">
        <f>IF(Select2=1,Garden!$W68,"")</f>
        <v>0</v>
      </c>
      <c r="X66" s="736">
        <f>IF(Select2=1,Wood!$W68,"")</f>
        <v>0</v>
      </c>
      <c r="Y66" s="745">
        <f>IF(Select2=1,Textiles!$W68,"")</f>
        <v>6.125463357985778E-4</v>
      </c>
      <c r="Z66" s="738">
        <f>Sludge!W68</f>
        <v>0</v>
      </c>
      <c r="AA66" s="738" t="str">
        <f>IF(Select2=2,MSW!$W68,"")</f>
        <v/>
      </c>
      <c r="AB66" s="746">
        <f>Industry!$W68</f>
        <v>0</v>
      </c>
      <c r="AC66" s="747">
        <f t="shared" si="4"/>
        <v>1.6808697848091633E-2</v>
      </c>
      <c r="AD66" s="748">
        <f>Recovery_OX!R61</f>
        <v>0</v>
      </c>
      <c r="AE66" s="703"/>
      <c r="AF66" s="750">
        <f>(AC66-AD66)*(1-Recovery_OX!U61)</f>
        <v>1.6808697848091633E-2</v>
      </c>
    </row>
    <row r="67" spans="2:32">
      <c r="B67" s="743">
        <f t="shared" si="1"/>
        <v>2050</v>
      </c>
      <c r="C67" s="744">
        <f>IF(Select2=1,Food!$K69,"")</f>
        <v>2.2516055528933689E-7</v>
      </c>
      <c r="D67" s="745">
        <f>IF(Select2=1,Paper!$K69,"")</f>
        <v>7.3088753060000866E-3</v>
      </c>
      <c r="E67" s="736">
        <f>IF(Select2=1,Nappies!$K69,"")</f>
        <v>3.2758982760465287E-4</v>
      </c>
      <c r="F67" s="745">
        <f>IF(Select2=1,Garden!$K69,"")</f>
        <v>0</v>
      </c>
      <c r="G67" s="736">
        <f>IF(Select2=1,Wood!$K69,"")</f>
        <v>0</v>
      </c>
      <c r="H67" s="745">
        <f>IF(Select2=1,Textiles!$K69,"")</f>
        <v>5.2116015633797285E-4</v>
      </c>
      <c r="I67" s="746">
        <f>Sludge!K69</f>
        <v>0</v>
      </c>
      <c r="J67" s="746" t="str">
        <f>IF(Select2=2,MSW!$K69,"")</f>
        <v/>
      </c>
      <c r="K67" s="746">
        <f>Industry!$K69</f>
        <v>0</v>
      </c>
      <c r="L67" s="747">
        <f t="shared" si="3"/>
        <v>8.1578504504980012E-3</v>
      </c>
      <c r="M67" s="748">
        <f>Recovery_OX!C62</f>
        <v>0</v>
      </c>
      <c r="N67" s="703"/>
      <c r="O67" s="749">
        <f>(L67-M67)*(1-Recovery_OX!F62)</f>
        <v>8.1578504504980012E-3</v>
      </c>
      <c r="P67" s="695"/>
      <c r="Q67" s="705"/>
      <c r="S67" s="743">
        <f t="shared" si="2"/>
        <v>2050</v>
      </c>
      <c r="T67" s="744">
        <f>IF(Select2=1,Food!$W69,"")</f>
        <v>1.5064265518911927E-7</v>
      </c>
      <c r="U67" s="745">
        <f>IF(Select2=1,Paper!$W69,"")</f>
        <v>1.5100982037190267E-2</v>
      </c>
      <c r="V67" s="736">
        <f>IF(Select2=1,Nappies!$W69,"")</f>
        <v>0</v>
      </c>
      <c r="W67" s="745">
        <f>IF(Select2=1,Garden!$W69,"")</f>
        <v>0</v>
      </c>
      <c r="X67" s="736">
        <f>IF(Select2=1,Wood!$W69,"")</f>
        <v>0</v>
      </c>
      <c r="Y67" s="745">
        <f>IF(Select2=1,Textiles!$W69,"")</f>
        <v>5.7113441790462762E-4</v>
      </c>
      <c r="Z67" s="738">
        <f>Sludge!W69</f>
        <v>0</v>
      </c>
      <c r="AA67" s="738" t="str">
        <f>IF(Select2=2,MSW!$W69,"")</f>
        <v/>
      </c>
      <c r="AB67" s="746">
        <f>Industry!$W69</f>
        <v>0</v>
      </c>
      <c r="AC67" s="747">
        <f t="shared" si="4"/>
        <v>1.5672267097750082E-2</v>
      </c>
      <c r="AD67" s="748">
        <f>Recovery_OX!R62</f>
        <v>0</v>
      </c>
      <c r="AE67" s="703"/>
      <c r="AF67" s="750">
        <f>(AC67-AD67)*(1-Recovery_OX!U62)</f>
        <v>1.5672267097750082E-2</v>
      </c>
    </row>
    <row r="68" spans="2:32">
      <c r="B68" s="743">
        <f t="shared" si="1"/>
        <v>2051</v>
      </c>
      <c r="C68" s="744">
        <f>IF(Select2=1,Food!$K70,"")</f>
        <v>1.5092963378695839E-7</v>
      </c>
      <c r="D68" s="745">
        <f>IF(Select2=1,Paper!$K70,"")</f>
        <v>6.8147501657776777E-3</v>
      </c>
      <c r="E68" s="736">
        <f>IF(Select2=1,Nappies!$K70,"")</f>
        <v>2.7637601182492044E-4</v>
      </c>
      <c r="F68" s="745">
        <f>IF(Select2=1,Garden!$K70,"")</f>
        <v>0</v>
      </c>
      <c r="G68" s="736">
        <f>IF(Select2=1,Wood!$K70,"")</f>
        <v>0</v>
      </c>
      <c r="H68" s="745">
        <f>IF(Select2=1,Textiles!$K70,"")</f>
        <v>4.8592650895074377E-4</v>
      </c>
      <c r="I68" s="746">
        <f>Sludge!K70</f>
        <v>0</v>
      </c>
      <c r="J68" s="746" t="str">
        <f>IF(Select2=2,MSW!$K70,"")</f>
        <v/>
      </c>
      <c r="K68" s="746">
        <f>Industry!$K70</f>
        <v>0</v>
      </c>
      <c r="L68" s="747">
        <f t="shared" si="3"/>
        <v>7.5772036161871285E-3</v>
      </c>
      <c r="M68" s="748">
        <f>Recovery_OX!C63</f>
        <v>0</v>
      </c>
      <c r="N68" s="703"/>
      <c r="O68" s="749">
        <f>(L68-M68)*(1-Recovery_OX!F63)</f>
        <v>7.5772036161871285E-3</v>
      </c>
      <c r="P68" s="695"/>
      <c r="Q68" s="705"/>
      <c r="S68" s="743">
        <f t="shared" si="2"/>
        <v>2051</v>
      </c>
      <c r="T68" s="744">
        <f>IF(Select2=1,Food!$W70,"")</f>
        <v>1.0097879156130137E-7</v>
      </c>
      <c r="U68" s="745">
        <f>IF(Select2=1,Paper!$W70,"")</f>
        <v>1.408006232598694E-2</v>
      </c>
      <c r="V68" s="736">
        <f>IF(Select2=1,Nappies!$W70,"")</f>
        <v>0</v>
      </c>
      <c r="W68" s="745">
        <f>IF(Select2=1,Garden!$W70,"")</f>
        <v>0</v>
      </c>
      <c r="X68" s="736">
        <f>IF(Select2=1,Wood!$W70,"")</f>
        <v>0</v>
      </c>
      <c r="Y68" s="745">
        <f>IF(Select2=1,Textiles!$W70,"")</f>
        <v>5.3252220158985604E-4</v>
      </c>
      <c r="Z68" s="738">
        <f>Sludge!W70</f>
        <v>0</v>
      </c>
      <c r="AA68" s="738" t="str">
        <f>IF(Select2=2,MSW!$W70,"")</f>
        <v/>
      </c>
      <c r="AB68" s="746">
        <f>Industry!$W70</f>
        <v>0</v>
      </c>
      <c r="AC68" s="747">
        <f t="shared" si="4"/>
        <v>1.4612685506368357E-2</v>
      </c>
      <c r="AD68" s="748">
        <f>Recovery_OX!R63</f>
        <v>0</v>
      </c>
      <c r="AE68" s="703"/>
      <c r="AF68" s="750">
        <f>(AC68-AD68)*(1-Recovery_OX!U63)</f>
        <v>1.4612685506368357E-2</v>
      </c>
    </row>
    <row r="69" spans="2:32">
      <c r="B69" s="743">
        <f t="shared" si="1"/>
        <v>2052</v>
      </c>
      <c r="C69" s="744">
        <f>IF(Select2=1,Food!$K71,"")</f>
        <v>1.0117115906821615E-7</v>
      </c>
      <c r="D69" s="745">
        <f>IF(Select2=1,Paper!$K71,"")</f>
        <v>6.3540309387741427E-3</v>
      </c>
      <c r="E69" s="736">
        <f>IF(Select2=1,Nappies!$K71,"")</f>
        <v>2.3316871732791144E-4</v>
      </c>
      <c r="F69" s="745">
        <f>IF(Select2=1,Garden!$K71,"")</f>
        <v>0</v>
      </c>
      <c r="G69" s="736">
        <f>IF(Select2=1,Wood!$K71,"")</f>
        <v>0</v>
      </c>
      <c r="H69" s="745">
        <f>IF(Select2=1,Textiles!$K71,"")</f>
        <v>4.5307487387414598E-4</v>
      </c>
      <c r="I69" s="746">
        <f>Sludge!K71</f>
        <v>0</v>
      </c>
      <c r="J69" s="746" t="str">
        <f>IF(Select2=2,MSW!$K71,"")</f>
        <v/>
      </c>
      <c r="K69" s="746">
        <f>Industry!$K71</f>
        <v>0</v>
      </c>
      <c r="L69" s="747">
        <f t="shared" si="3"/>
        <v>7.0403757011352685E-3</v>
      </c>
      <c r="M69" s="748">
        <f>Recovery_OX!C64</f>
        <v>0</v>
      </c>
      <c r="N69" s="703"/>
      <c r="O69" s="749">
        <f>(L69-M69)*(1-Recovery_OX!F64)</f>
        <v>7.0403757011352685E-3</v>
      </c>
      <c r="P69" s="695"/>
      <c r="Q69" s="705"/>
      <c r="S69" s="743">
        <f t="shared" si="2"/>
        <v>2052</v>
      </c>
      <c r="T69" s="744">
        <f>IF(Select2=1,Food!$W71,"")</f>
        <v>6.7688108207994749E-8</v>
      </c>
      <c r="U69" s="745">
        <f>IF(Select2=1,Paper!$W71,"")</f>
        <v>1.3128163096640794E-2</v>
      </c>
      <c r="V69" s="736">
        <f>IF(Select2=1,Nappies!$W71,"")</f>
        <v>0</v>
      </c>
      <c r="W69" s="745">
        <f>IF(Select2=1,Garden!$W71,"")</f>
        <v>0</v>
      </c>
      <c r="X69" s="736">
        <f>IF(Select2=1,Wood!$W71,"")</f>
        <v>0</v>
      </c>
      <c r="Y69" s="745">
        <f>IF(Select2=1,Textiles!$W71,"")</f>
        <v>4.9652040972509128E-4</v>
      </c>
      <c r="Z69" s="738">
        <f>Sludge!W71</f>
        <v>0</v>
      </c>
      <c r="AA69" s="738" t="str">
        <f>IF(Select2=2,MSW!$W71,"")</f>
        <v/>
      </c>
      <c r="AB69" s="746">
        <f>Industry!$W71</f>
        <v>0</v>
      </c>
      <c r="AC69" s="747">
        <f t="shared" si="4"/>
        <v>1.3624751194474094E-2</v>
      </c>
      <c r="AD69" s="748">
        <f>Recovery_OX!R64</f>
        <v>0</v>
      </c>
      <c r="AE69" s="703"/>
      <c r="AF69" s="750">
        <f>(AC69-AD69)*(1-Recovery_OX!U64)</f>
        <v>1.3624751194474094E-2</v>
      </c>
    </row>
    <row r="70" spans="2:32">
      <c r="B70" s="743">
        <f t="shared" si="1"/>
        <v>2053</v>
      </c>
      <c r="C70" s="744">
        <f>IF(Select2=1,Food!$K72,"")</f>
        <v>6.7817056004085633E-8</v>
      </c>
      <c r="D70" s="745">
        <f>IF(Select2=1,Paper!$K72,"")</f>
        <v>5.9244591788042015E-3</v>
      </c>
      <c r="E70" s="736">
        <f>IF(Select2=1,Nappies!$K72,"")</f>
        <v>1.9671624314046644E-4</v>
      </c>
      <c r="F70" s="745">
        <f>IF(Select2=1,Garden!$K72,"")</f>
        <v>0</v>
      </c>
      <c r="G70" s="736">
        <f>IF(Select2=1,Wood!$K72,"")</f>
        <v>0</v>
      </c>
      <c r="H70" s="745">
        <f>IF(Select2=1,Textiles!$K72,"")</f>
        <v>4.2244421235492071E-4</v>
      </c>
      <c r="I70" s="746">
        <f>Sludge!K72</f>
        <v>0</v>
      </c>
      <c r="J70" s="746" t="str">
        <f>IF(Select2=2,MSW!$K72,"")</f>
        <v/>
      </c>
      <c r="K70" s="746">
        <f>Industry!$K72</f>
        <v>0</v>
      </c>
      <c r="L70" s="747">
        <f t="shared" si="3"/>
        <v>6.5436874513555929E-3</v>
      </c>
      <c r="M70" s="748">
        <f>Recovery_OX!C65</f>
        <v>0</v>
      </c>
      <c r="N70" s="703"/>
      <c r="O70" s="749">
        <f>(L70-M70)*(1-Recovery_OX!F65)</f>
        <v>6.5436874513555929E-3</v>
      </c>
      <c r="P70" s="695"/>
      <c r="Q70" s="705"/>
      <c r="S70" s="743">
        <f t="shared" si="2"/>
        <v>2053</v>
      </c>
      <c r="T70" s="744">
        <f>IF(Select2=1,Food!$W72,"")</f>
        <v>4.5372695810048376E-8</v>
      </c>
      <c r="U70" s="745">
        <f>IF(Select2=1,Paper!$W72,"")</f>
        <v>1.2240618138025215E-2</v>
      </c>
      <c r="V70" s="736">
        <f>IF(Select2=1,Nappies!$W72,"")</f>
        <v>0</v>
      </c>
      <c r="W70" s="745">
        <f>IF(Select2=1,Garden!$W72,"")</f>
        <v>0</v>
      </c>
      <c r="X70" s="736">
        <f>IF(Select2=1,Wood!$W72,"")</f>
        <v>0</v>
      </c>
      <c r="Y70" s="745">
        <f>IF(Select2=1,Textiles!$W72,"")</f>
        <v>4.6295256148484439E-4</v>
      </c>
      <c r="Z70" s="738">
        <f>Sludge!W72</f>
        <v>0</v>
      </c>
      <c r="AA70" s="738" t="str">
        <f>IF(Select2=2,MSW!$W72,"")</f>
        <v/>
      </c>
      <c r="AB70" s="746">
        <f>Industry!$W72</f>
        <v>0</v>
      </c>
      <c r="AC70" s="747">
        <f t="shared" si="4"/>
        <v>1.2703616072205869E-2</v>
      </c>
      <c r="AD70" s="748">
        <f>Recovery_OX!R65</f>
        <v>0</v>
      </c>
      <c r="AE70" s="703"/>
      <c r="AF70" s="750">
        <f>(AC70-AD70)*(1-Recovery_OX!U65)</f>
        <v>1.2703616072205869E-2</v>
      </c>
    </row>
    <row r="71" spans="2:32">
      <c r="B71" s="743">
        <f t="shared" si="1"/>
        <v>2054</v>
      </c>
      <c r="C71" s="744">
        <f>IF(Select2=1,Food!$K73,"")</f>
        <v>4.5459132102660207E-8</v>
      </c>
      <c r="D71" s="745">
        <f>IF(Select2=1,Paper!$K73,"")</f>
        <v>5.5239291246021067E-3</v>
      </c>
      <c r="E71" s="736">
        <f>IF(Select2=1,Nappies!$K73,"")</f>
        <v>1.6596257319063124E-4</v>
      </c>
      <c r="F71" s="745">
        <f>IF(Select2=1,Garden!$K73,"")</f>
        <v>0</v>
      </c>
      <c r="G71" s="736">
        <f>IF(Select2=1,Wood!$K73,"")</f>
        <v>0</v>
      </c>
      <c r="H71" s="745">
        <f>IF(Select2=1,Textiles!$K73,"")</f>
        <v>3.9388437285476415E-4</v>
      </c>
      <c r="I71" s="746">
        <f>Sludge!K73</f>
        <v>0</v>
      </c>
      <c r="J71" s="746" t="str">
        <f>IF(Select2=2,MSW!$K73,"")</f>
        <v/>
      </c>
      <c r="K71" s="746">
        <f>Industry!$K73</f>
        <v>0</v>
      </c>
      <c r="L71" s="747">
        <f t="shared" si="3"/>
        <v>6.0838215297796053E-3</v>
      </c>
      <c r="M71" s="748">
        <f>Recovery_OX!C66</f>
        <v>0</v>
      </c>
      <c r="N71" s="703"/>
      <c r="O71" s="749">
        <f>(L71-M71)*(1-Recovery_OX!F66)</f>
        <v>6.0838215297796053E-3</v>
      </c>
      <c r="P71" s="695"/>
      <c r="Q71" s="705"/>
      <c r="S71" s="743">
        <f t="shared" si="2"/>
        <v>2054</v>
      </c>
      <c r="T71" s="744">
        <f>IF(Select2=1,Food!$W73,"")</f>
        <v>3.0414227544152686E-8</v>
      </c>
      <c r="U71" s="745">
        <f>IF(Select2=1,Paper!$W73,"")</f>
        <v>1.1413076703723367E-2</v>
      </c>
      <c r="V71" s="736">
        <f>IF(Select2=1,Nappies!$W73,"")</f>
        <v>0</v>
      </c>
      <c r="W71" s="745">
        <f>IF(Select2=1,Garden!$W73,"")</f>
        <v>0</v>
      </c>
      <c r="X71" s="736">
        <f>IF(Select2=1,Wood!$W73,"")</f>
        <v>0</v>
      </c>
      <c r="Y71" s="745">
        <f>IF(Select2=1,Textiles!$W73,"")</f>
        <v>4.3165410723809743E-4</v>
      </c>
      <c r="Z71" s="738">
        <f>Sludge!W73</f>
        <v>0</v>
      </c>
      <c r="AA71" s="738" t="str">
        <f>IF(Select2=2,MSW!$W73,"")</f>
        <v/>
      </c>
      <c r="AB71" s="746">
        <f>Industry!$W73</f>
        <v>0</v>
      </c>
      <c r="AC71" s="747">
        <f t="shared" si="4"/>
        <v>1.1844761225189009E-2</v>
      </c>
      <c r="AD71" s="748">
        <f>Recovery_OX!R66</f>
        <v>0</v>
      </c>
      <c r="AE71" s="703"/>
      <c r="AF71" s="750">
        <f>(AC71-AD71)*(1-Recovery_OX!U66)</f>
        <v>1.1844761225189009E-2</v>
      </c>
    </row>
    <row r="72" spans="2:32">
      <c r="B72" s="743">
        <f t="shared" si="1"/>
        <v>2055</v>
      </c>
      <c r="C72" s="744">
        <f>IF(Select2=1,Food!$K74,"")</f>
        <v>3.0472167523795401E-8</v>
      </c>
      <c r="D72" s="745">
        <f>IF(Select2=1,Paper!$K74,"")</f>
        <v>5.1504773773774788E-3</v>
      </c>
      <c r="E72" s="736">
        <f>IF(Select2=1,Nappies!$K74,"")</f>
        <v>1.4001678387273782E-4</v>
      </c>
      <c r="F72" s="745">
        <f>IF(Select2=1,Garden!$K74,"")</f>
        <v>0</v>
      </c>
      <c r="G72" s="736">
        <f>IF(Select2=1,Wood!$K74,"")</f>
        <v>0</v>
      </c>
      <c r="H72" s="745">
        <f>IF(Select2=1,Textiles!$K74,"")</f>
        <v>3.6725535500731232E-4</v>
      </c>
      <c r="I72" s="746">
        <f>Sludge!K74</f>
        <v>0</v>
      </c>
      <c r="J72" s="746" t="str">
        <f>IF(Select2=2,MSW!$K74,"")</f>
        <v/>
      </c>
      <c r="K72" s="746">
        <f>Industry!$K74</f>
        <v>0</v>
      </c>
      <c r="L72" s="747">
        <f t="shared" si="3"/>
        <v>5.6577799884250527E-3</v>
      </c>
      <c r="M72" s="748">
        <f>Recovery_OX!C67</f>
        <v>0</v>
      </c>
      <c r="N72" s="703"/>
      <c r="O72" s="749">
        <f>(L72-M72)*(1-Recovery_OX!F67)</f>
        <v>5.6577799884250527E-3</v>
      </c>
      <c r="P72" s="695"/>
      <c r="Q72" s="705"/>
      <c r="S72" s="743">
        <f t="shared" si="2"/>
        <v>2055</v>
      </c>
      <c r="T72" s="744">
        <f>IF(Select2=1,Food!$W74,"")</f>
        <v>2.0387266407534839E-8</v>
      </c>
      <c r="U72" s="745">
        <f>IF(Select2=1,Paper!$W74,"")</f>
        <v>1.0641482184664219E-2</v>
      </c>
      <c r="V72" s="736">
        <f>IF(Select2=1,Nappies!$W74,"")</f>
        <v>0</v>
      </c>
      <c r="W72" s="745">
        <f>IF(Select2=1,Garden!$W74,"")</f>
        <v>0</v>
      </c>
      <c r="X72" s="736">
        <f>IF(Select2=1,Wood!$W74,"")</f>
        <v>0</v>
      </c>
      <c r="Y72" s="745">
        <f>IF(Select2=1,Textiles!$W74,"")</f>
        <v>4.0247162192582155E-4</v>
      </c>
      <c r="Z72" s="738">
        <f>Sludge!W74</f>
        <v>0</v>
      </c>
      <c r="AA72" s="738" t="str">
        <f>IF(Select2=2,MSW!$W74,"")</f>
        <v/>
      </c>
      <c r="AB72" s="746">
        <f>Industry!$W74</f>
        <v>0</v>
      </c>
      <c r="AC72" s="747">
        <f t="shared" si="4"/>
        <v>1.1043974193856448E-2</v>
      </c>
      <c r="AD72" s="748">
        <f>Recovery_OX!R67</f>
        <v>0</v>
      </c>
      <c r="AE72" s="703"/>
      <c r="AF72" s="750">
        <f>(AC72-AD72)*(1-Recovery_OX!U67)</f>
        <v>1.1043974193856448E-2</v>
      </c>
    </row>
    <row r="73" spans="2:32">
      <c r="B73" s="743">
        <f t="shared" si="1"/>
        <v>2056</v>
      </c>
      <c r="C73" s="744">
        <f>IF(Select2=1,Food!$K75,"")</f>
        <v>2.042610473735625E-8</v>
      </c>
      <c r="D73" s="745">
        <f>IF(Select2=1,Paper!$K75,"")</f>
        <v>4.8022732762321579E-3</v>
      </c>
      <c r="E73" s="736">
        <f>IF(Select2=1,Nappies!$K75,"")</f>
        <v>1.1812723428640885E-4</v>
      </c>
      <c r="F73" s="745">
        <f>IF(Select2=1,Garden!$K75,"")</f>
        <v>0</v>
      </c>
      <c r="G73" s="736">
        <f>IF(Select2=1,Wood!$K75,"")</f>
        <v>0</v>
      </c>
      <c r="H73" s="745">
        <f>IF(Select2=1,Textiles!$K75,"")</f>
        <v>3.4242662333618308E-4</v>
      </c>
      <c r="I73" s="746">
        <f>Sludge!K75</f>
        <v>0</v>
      </c>
      <c r="J73" s="746" t="str">
        <f>IF(Select2=2,MSW!$K75,"")</f>
        <v/>
      </c>
      <c r="K73" s="746">
        <f>Industry!$K75</f>
        <v>0</v>
      </c>
      <c r="L73" s="747">
        <f t="shared" si="3"/>
        <v>5.2628475599594869E-3</v>
      </c>
      <c r="M73" s="748">
        <f>Recovery_OX!C68</f>
        <v>0</v>
      </c>
      <c r="N73" s="703"/>
      <c r="O73" s="749">
        <f>(L73-M73)*(1-Recovery_OX!F68)</f>
        <v>5.2628475599594869E-3</v>
      </c>
      <c r="P73" s="695"/>
      <c r="Q73" s="705"/>
      <c r="S73" s="743">
        <f t="shared" si="2"/>
        <v>2056</v>
      </c>
      <c r="T73" s="744">
        <f>IF(Select2=1,Food!$W75,"")</f>
        <v>1.3665993356839596E-8</v>
      </c>
      <c r="U73" s="745">
        <f>IF(Select2=1,Paper!$W75,"")</f>
        <v>9.9220522236201664E-3</v>
      </c>
      <c r="V73" s="736">
        <f>IF(Select2=1,Nappies!$W75,"")</f>
        <v>0</v>
      </c>
      <c r="W73" s="745">
        <f>IF(Select2=1,Garden!$W75,"")</f>
        <v>0</v>
      </c>
      <c r="X73" s="736">
        <f>IF(Select2=1,Wood!$W75,"")</f>
        <v>0</v>
      </c>
      <c r="Y73" s="745">
        <f>IF(Select2=1,Textiles!$W75,"")</f>
        <v>3.7526205297115937E-4</v>
      </c>
      <c r="Z73" s="738">
        <f>Sludge!W75</f>
        <v>0</v>
      </c>
      <c r="AA73" s="738" t="str">
        <f>IF(Select2=2,MSW!$W75,"")</f>
        <v/>
      </c>
      <c r="AB73" s="746">
        <f>Industry!$W75</f>
        <v>0</v>
      </c>
      <c r="AC73" s="747">
        <f t="shared" si="4"/>
        <v>1.0297327942584682E-2</v>
      </c>
      <c r="AD73" s="748">
        <f>Recovery_OX!R68</f>
        <v>0</v>
      </c>
      <c r="AE73" s="703"/>
      <c r="AF73" s="750">
        <f>(AC73-AD73)*(1-Recovery_OX!U68)</f>
        <v>1.0297327942584682E-2</v>
      </c>
    </row>
    <row r="74" spans="2:32">
      <c r="B74" s="743">
        <f t="shared" si="1"/>
        <v>2057</v>
      </c>
      <c r="C74" s="744">
        <f>IF(Select2=1,Food!$K76,"")</f>
        <v>1.3692027467873432E-8</v>
      </c>
      <c r="D74" s="745">
        <f>IF(Select2=1,Paper!$K76,"")</f>
        <v>4.4776099242583543E-3</v>
      </c>
      <c r="E74" s="736">
        <f>IF(Select2=1,Nappies!$K76,"")</f>
        <v>9.9659791449281169E-5</v>
      </c>
      <c r="F74" s="745">
        <f>IF(Select2=1,Garden!$K76,"")</f>
        <v>0</v>
      </c>
      <c r="G74" s="736">
        <f>IF(Select2=1,Wood!$K76,"")</f>
        <v>0</v>
      </c>
      <c r="H74" s="745">
        <f>IF(Select2=1,Textiles!$K76,"")</f>
        <v>3.1927646736991909E-4</v>
      </c>
      <c r="I74" s="746">
        <f>Sludge!K76</f>
        <v>0</v>
      </c>
      <c r="J74" s="746" t="str">
        <f>IF(Select2=2,MSW!$K76,"")</f>
        <v/>
      </c>
      <c r="K74" s="746">
        <f>Industry!$K76</f>
        <v>0</v>
      </c>
      <c r="L74" s="747">
        <f t="shared" si="3"/>
        <v>4.8965598751050223E-3</v>
      </c>
      <c r="M74" s="748">
        <f>Recovery_OX!C69</f>
        <v>0</v>
      </c>
      <c r="N74" s="703"/>
      <c r="O74" s="749">
        <f>(L74-M74)*(1-Recovery_OX!F69)</f>
        <v>4.8965598751050223E-3</v>
      </c>
      <c r="P74" s="695"/>
      <c r="Q74" s="705"/>
      <c r="S74" s="743">
        <f t="shared" si="2"/>
        <v>2057</v>
      </c>
      <c r="T74" s="744">
        <f>IF(Select2=1,Food!$W76,"")</f>
        <v>9.1605892960794599E-9</v>
      </c>
      <c r="U74" s="745">
        <f>IF(Select2=1,Paper!$W76,"")</f>
        <v>9.2512601740875142E-3</v>
      </c>
      <c r="V74" s="736">
        <f>IF(Select2=1,Nappies!$W76,"")</f>
        <v>0</v>
      </c>
      <c r="W74" s="745">
        <f>IF(Select2=1,Garden!$W76,"")</f>
        <v>0</v>
      </c>
      <c r="X74" s="736">
        <f>IF(Select2=1,Wood!$W76,"")</f>
        <v>0</v>
      </c>
      <c r="Y74" s="745">
        <f>IF(Select2=1,Textiles!$W76,"")</f>
        <v>3.4989201903552763E-4</v>
      </c>
      <c r="Z74" s="738">
        <f>Sludge!W76</f>
        <v>0</v>
      </c>
      <c r="AA74" s="738" t="str">
        <f>IF(Select2=2,MSW!$W76,"")</f>
        <v/>
      </c>
      <c r="AB74" s="746">
        <f>Industry!$W76</f>
        <v>0</v>
      </c>
      <c r="AC74" s="747">
        <f t="shared" si="4"/>
        <v>9.6011613537123376E-3</v>
      </c>
      <c r="AD74" s="748">
        <f>Recovery_OX!R69</f>
        <v>0</v>
      </c>
      <c r="AE74" s="703"/>
      <c r="AF74" s="750">
        <f>(AC74-AD74)*(1-Recovery_OX!U69)</f>
        <v>9.6011613537123376E-3</v>
      </c>
    </row>
    <row r="75" spans="2:32">
      <c r="B75" s="743">
        <f t="shared" si="1"/>
        <v>2058</v>
      </c>
      <c r="C75" s="744">
        <f>IF(Select2=1,Food!$K77,"")</f>
        <v>9.1780404825861566E-9</v>
      </c>
      <c r="D75" s="745">
        <f>IF(Select2=1,Paper!$K77,"")</f>
        <v>4.1748958213280304E-3</v>
      </c>
      <c r="E75" s="736">
        <f>IF(Select2=1,Nappies!$K77,"")</f>
        <v>8.4079459675091657E-5</v>
      </c>
      <c r="F75" s="745">
        <f>IF(Select2=1,Garden!$K77,"")</f>
        <v>0</v>
      </c>
      <c r="G75" s="736">
        <f>IF(Select2=1,Wood!$K77,"")</f>
        <v>0</v>
      </c>
      <c r="H75" s="745">
        <f>IF(Select2=1,Textiles!$K77,"")</f>
        <v>2.976914050171157E-4</v>
      </c>
      <c r="I75" s="746">
        <f>Sludge!K77</f>
        <v>0</v>
      </c>
      <c r="J75" s="746" t="str">
        <f>IF(Select2=2,MSW!$K77,"")</f>
        <v/>
      </c>
      <c r="K75" s="746">
        <f>Industry!$K77</f>
        <v>0</v>
      </c>
      <c r="L75" s="747">
        <f t="shared" si="3"/>
        <v>4.5566758640607202E-3</v>
      </c>
      <c r="M75" s="748">
        <f>Recovery_OX!C70</f>
        <v>0</v>
      </c>
      <c r="N75" s="703"/>
      <c r="O75" s="749">
        <f>(L75-M75)*(1-Recovery_OX!F70)</f>
        <v>4.5566758640607202E-3</v>
      </c>
      <c r="P75" s="695"/>
      <c r="Q75" s="705"/>
      <c r="S75" s="743">
        <f t="shared" si="2"/>
        <v>2058</v>
      </c>
      <c r="T75" s="744">
        <f>IF(Select2=1,Food!$W77,"")</f>
        <v>6.1405266386615688E-9</v>
      </c>
      <c r="U75" s="745">
        <f>IF(Select2=1,Paper!$W77,"")</f>
        <v>8.6258178126612257E-3</v>
      </c>
      <c r="V75" s="736">
        <f>IF(Select2=1,Nappies!$W77,"")</f>
        <v>0</v>
      </c>
      <c r="W75" s="745">
        <f>IF(Select2=1,Garden!$W77,"")</f>
        <v>0</v>
      </c>
      <c r="X75" s="736">
        <f>IF(Select2=1,Wood!$W77,"")</f>
        <v>0</v>
      </c>
      <c r="Y75" s="745">
        <f>IF(Select2=1,Textiles!$W77,"")</f>
        <v>3.2623715618314031E-4</v>
      </c>
      <c r="Z75" s="738">
        <f>Sludge!W77</f>
        <v>0</v>
      </c>
      <c r="AA75" s="738" t="str">
        <f>IF(Select2=2,MSW!$W77,"")</f>
        <v/>
      </c>
      <c r="AB75" s="746">
        <f>Industry!$W77</f>
        <v>0</v>
      </c>
      <c r="AC75" s="747">
        <f t="shared" si="4"/>
        <v>8.952061109371006E-3</v>
      </c>
      <c r="AD75" s="748">
        <f>Recovery_OX!R70</f>
        <v>0</v>
      </c>
      <c r="AE75" s="703"/>
      <c r="AF75" s="750">
        <f>(AC75-AD75)*(1-Recovery_OX!U70)</f>
        <v>8.952061109371006E-3</v>
      </c>
    </row>
    <row r="76" spans="2:32">
      <c r="B76" s="743">
        <f t="shared" si="1"/>
        <v>2059</v>
      </c>
      <c r="C76" s="744">
        <f>IF(Select2=1,Food!$K78,"")</f>
        <v>6.1522245188041139E-9</v>
      </c>
      <c r="D76" s="745">
        <f>IF(Select2=1,Paper!$K78,"")</f>
        <v>3.892647062557424E-3</v>
      </c>
      <c r="E76" s="736">
        <f>IF(Select2=1,Nappies!$K78,"")</f>
        <v>7.0934881926309226E-5</v>
      </c>
      <c r="F76" s="745">
        <f>IF(Select2=1,Garden!$K78,"")</f>
        <v>0</v>
      </c>
      <c r="G76" s="736">
        <f>IF(Select2=1,Wood!$K78,"")</f>
        <v>0</v>
      </c>
      <c r="H76" s="745">
        <f>IF(Select2=1,Textiles!$K78,"")</f>
        <v>2.7756562627707731E-4</v>
      </c>
      <c r="I76" s="746">
        <f>Sludge!K78</f>
        <v>0</v>
      </c>
      <c r="J76" s="746" t="str">
        <f>IF(Select2=2,MSW!$K78,"")</f>
        <v/>
      </c>
      <c r="K76" s="746">
        <f>Industry!$K78</f>
        <v>0</v>
      </c>
      <c r="L76" s="747">
        <f t="shared" si="3"/>
        <v>4.2411537229853297E-3</v>
      </c>
      <c r="M76" s="748">
        <f>Recovery_OX!C71</f>
        <v>0</v>
      </c>
      <c r="N76" s="703"/>
      <c r="O76" s="749">
        <f>(L76-M76)*(1-Recovery_OX!F71)</f>
        <v>4.2411537229853297E-3</v>
      </c>
      <c r="P76" s="695"/>
      <c r="Q76" s="705"/>
      <c r="S76" s="743">
        <f t="shared" si="2"/>
        <v>2059</v>
      </c>
      <c r="T76" s="744">
        <f>IF(Select2=1,Food!$W78,"")</f>
        <v>4.1161180991106922E-9</v>
      </c>
      <c r="U76" s="745">
        <f>IF(Select2=1,Paper!$W78,"")</f>
        <v>8.0426592201599707E-3</v>
      </c>
      <c r="V76" s="736">
        <f>IF(Select2=1,Nappies!$W78,"")</f>
        <v>0</v>
      </c>
      <c r="W76" s="745">
        <f>IF(Select2=1,Garden!$W78,"")</f>
        <v>0</v>
      </c>
      <c r="X76" s="736">
        <f>IF(Select2=1,Wood!$W78,"")</f>
        <v>0</v>
      </c>
      <c r="Y76" s="745">
        <f>IF(Select2=1,Textiles!$W78,"")</f>
        <v>3.0418150824885169E-4</v>
      </c>
      <c r="Z76" s="738">
        <f>Sludge!W78</f>
        <v>0</v>
      </c>
      <c r="AA76" s="738" t="str">
        <f>IF(Select2=2,MSW!$W78,"")</f>
        <v/>
      </c>
      <c r="AB76" s="746">
        <f>Industry!$W78</f>
        <v>0</v>
      </c>
      <c r="AC76" s="747">
        <f t="shared" si="4"/>
        <v>8.3468448445269215E-3</v>
      </c>
      <c r="AD76" s="748">
        <f>Recovery_OX!R71</f>
        <v>0</v>
      </c>
      <c r="AE76" s="703"/>
      <c r="AF76" s="750">
        <f>(AC76-AD76)*(1-Recovery_OX!U71)</f>
        <v>8.3468448445269215E-3</v>
      </c>
    </row>
    <row r="77" spans="2:32">
      <c r="B77" s="743">
        <f t="shared" si="1"/>
        <v>2060</v>
      </c>
      <c r="C77" s="744">
        <f>IF(Select2=1,Food!$K79,"")</f>
        <v>4.1239594226663631E-9</v>
      </c>
      <c r="D77" s="745">
        <f>IF(Select2=1,Paper!$K79,"")</f>
        <v>3.6294800642035861E-3</v>
      </c>
      <c r="E77" s="736">
        <f>IF(Select2=1,Nappies!$K79,"")</f>
        <v>5.9845264150645808E-5</v>
      </c>
      <c r="F77" s="745">
        <f>IF(Select2=1,Garden!$K79,"")</f>
        <v>0</v>
      </c>
      <c r="G77" s="736">
        <f>IF(Select2=1,Wood!$K79,"")</f>
        <v>0</v>
      </c>
      <c r="H77" s="745">
        <f>IF(Select2=1,Textiles!$K79,"")</f>
        <v>2.5880047455907092E-4</v>
      </c>
      <c r="I77" s="746">
        <f>Sludge!K79</f>
        <v>0</v>
      </c>
      <c r="J77" s="746" t="str">
        <f>IF(Select2=2,MSW!$K79,"")</f>
        <v/>
      </c>
      <c r="K77" s="746">
        <f>Industry!$K79</f>
        <v>0</v>
      </c>
      <c r="L77" s="747">
        <f t="shared" si="3"/>
        <v>3.948129926872726E-3</v>
      </c>
      <c r="M77" s="748">
        <f>Recovery_OX!C72</f>
        <v>0</v>
      </c>
      <c r="N77" s="703"/>
      <c r="O77" s="749">
        <f>(L77-M77)*(1-Recovery_OX!F72)</f>
        <v>3.948129926872726E-3</v>
      </c>
      <c r="P77" s="695"/>
      <c r="Q77" s="705"/>
      <c r="S77" s="743">
        <f t="shared" si="2"/>
        <v>2060</v>
      </c>
      <c r="T77" s="744">
        <f>IF(Select2=1,Food!$W79,"")</f>
        <v>2.7591164736840073E-9</v>
      </c>
      <c r="U77" s="745">
        <f>IF(Select2=1,Paper!$W79,"")</f>
        <v>7.4989257524867509E-3</v>
      </c>
      <c r="V77" s="736">
        <f>IF(Select2=1,Nappies!$W79,"")</f>
        <v>0</v>
      </c>
      <c r="W77" s="745">
        <f>IF(Select2=1,Garden!$W79,"")</f>
        <v>0</v>
      </c>
      <c r="X77" s="736">
        <f>IF(Select2=1,Wood!$W79,"")</f>
        <v>0</v>
      </c>
      <c r="Y77" s="745">
        <f>IF(Select2=1,Textiles!$W79,"")</f>
        <v>2.8361695842089955E-4</v>
      </c>
      <c r="Z77" s="738">
        <f>Sludge!W79</f>
        <v>0</v>
      </c>
      <c r="AA77" s="738" t="str">
        <f>IF(Select2=2,MSW!$W79,"")</f>
        <v/>
      </c>
      <c r="AB77" s="746">
        <f>Industry!$W79</f>
        <v>0</v>
      </c>
      <c r="AC77" s="747">
        <f t="shared" si="4"/>
        <v>7.7825454700241239E-3</v>
      </c>
      <c r="AD77" s="748">
        <f>Recovery_OX!R72</f>
        <v>0</v>
      </c>
      <c r="AE77" s="703"/>
      <c r="AF77" s="750">
        <f>(AC77-AD77)*(1-Recovery_OX!U72)</f>
        <v>7.7825454700241239E-3</v>
      </c>
    </row>
    <row r="78" spans="2:32">
      <c r="B78" s="743">
        <f t="shared" si="1"/>
        <v>2061</v>
      </c>
      <c r="C78" s="744">
        <f>IF(Select2=1,Food!$K80,"")</f>
        <v>2.764372670050825E-9</v>
      </c>
      <c r="D78" s="745">
        <f>IF(Select2=1,Paper!$K80,"")</f>
        <v>3.3841047813352679E-3</v>
      </c>
      <c r="E78" s="736">
        <f>IF(Select2=1,Nappies!$K80,"")</f>
        <v>5.0489343803816739E-5</v>
      </c>
      <c r="F78" s="745">
        <f>IF(Select2=1,Garden!$K80,"")</f>
        <v>0</v>
      </c>
      <c r="G78" s="736">
        <f>IF(Select2=1,Wood!$K80,"")</f>
        <v>0</v>
      </c>
      <c r="H78" s="745">
        <f>IF(Select2=1,Textiles!$K80,"")</f>
        <v>2.4130396306760435E-4</v>
      </c>
      <c r="I78" s="746">
        <f>Sludge!K80</f>
        <v>0</v>
      </c>
      <c r="J78" s="746" t="str">
        <f>IF(Select2=2,MSW!$K80,"")</f>
        <v/>
      </c>
      <c r="K78" s="746">
        <f>Industry!$K80</f>
        <v>0</v>
      </c>
      <c r="L78" s="747">
        <f t="shared" si="3"/>
        <v>3.6759008525793593E-3</v>
      </c>
      <c r="M78" s="748">
        <f>Recovery_OX!C73</f>
        <v>0</v>
      </c>
      <c r="N78" s="703"/>
      <c r="O78" s="749">
        <f>(L78-M78)*(1-Recovery_OX!F73)</f>
        <v>3.6759008525793593E-3</v>
      </c>
      <c r="P78" s="695"/>
      <c r="Q78" s="705"/>
      <c r="S78" s="743">
        <f t="shared" si="2"/>
        <v>2061</v>
      </c>
      <c r="T78" s="744">
        <f>IF(Select2=1,Food!$W80,"")</f>
        <v>1.8494910816575546E-9</v>
      </c>
      <c r="U78" s="745">
        <f>IF(Select2=1,Paper!$W80,"")</f>
        <v>6.9919520275522097E-3</v>
      </c>
      <c r="V78" s="736">
        <f>IF(Select2=1,Nappies!$W80,"")</f>
        <v>0</v>
      </c>
      <c r="W78" s="745">
        <f>IF(Select2=1,Garden!$W80,"")</f>
        <v>0</v>
      </c>
      <c r="X78" s="736">
        <f>IF(Select2=1,Wood!$W80,"")</f>
        <v>0</v>
      </c>
      <c r="Y78" s="745">
        <f>IF(Select2=1,Textiles!$W80,"")</f>
        <v>2.6444269925216901E-4</v>
      </c>
      <c r="Z78" s="738">
        <f>Sludge!W80</f>
        <v>0</v>
      </c>
      <c r="AA78" s="738" t="str">
        <f>IF(Select2=2,MSW!$W80,"")</f>
        <v/>
      </c>
      <c r="AB78" s="746">
        <f>Industry!$W80</f>
        <v>0</v>
      </c>
      <c r="AC78" s="747">
        <f t="shared" si="4"/>
        <v>7.256396576295461E-3</v>
      </c>
      <c r="AD78" s="748">
        <f>Recovery_OX!R73</f>
        <v>0</v>
      </c>
      <c r="AE78" s="703"/>
      <c r="AF78" s="750">
        <f>(AC78-AD78)*(1-Recovery_OX!U73)</f>
        <v>7.256396576295461E-3</v>
      </c>
    </row>
    <row r="79" spans="2:32">
      <c r="B79" s="743">
        <f t="shared" si="1"/>
        <v>2062</v>
      </c>
      <c r="C79" s="744">
        <f>IF(Select2=1,Food!$K81,"")</f>
        <v>1.8530144154481322E-9</v>
      </c>
      <c r="D79" s="745">
        <f>IF(Select2=1,Paper!$K81,"")</f>
        <v>3.1553183840311743E-3</v>
      </c>
      <c r="E79" s="736">
        <f>IF(Select2=1,Nappies!$K81,"")</f>
        <v>4.2596082980318807E-5</v>
      </c>
      <c r="F79" s="745">
        <f>IF(Select2=1,Garden!$K81,"")</f>
        <v>0</v>
      </c>
      <c r="G79" s="736">
        <f>IF(Select2=1,Wood!$K81,"")</f>
        <v>0</v>
      </c>
      <c r="H79" s="745">
        <f>IF(Select2=1,Textiles!$K81,"")</f>
        <v>2.2499032388304747E-4</v>
      </c>
      <c r="I79" s="746">
        <f>Sludge!K81</f>
        <v>0</v>
      </c>
      <c r="J79" s="746" t="str">
        <f>IF(Select2=2,MSW!$K81,"")</f>
        <v/>
      </c>
      <c r="K79" s="746">
        <f>Industry!$K81</f>
        <v>0</v>
      </c>
      <c r="L79" s="747">
        <f t="shared" si="3"/>
        <v>3.4229066439089564E-3</v>
      </c>
      <c r="M79" s="748">
        <f>Recovery_OX!C74</f>
        <v>0</v>
      </c>
      <c r="N79" s="703"/>
      <c r="O79" s="749">
        <f>(L79-M79)*(1-Recovery_OX!F74)</f>
        <v>3.4229066439089564E-3</v>
      </c>
      <c r="P79" s="695"/>
      <c r="Q79" s="705"/>
      <c r="S79" s="743">
        <f t="shared" si="2"/>
        <v>2062</v>
      </c>
      <c r="T79" s="744">
        <f>IF(Select2=1,Food!$W81,"")</f>
        <v>1.2397509469991964E-9</v>
      </c>
      <c r="U79" s="745">
        <f>IF(Select2=1,Paper!$W81,"")</f>
        <v>6.5192528595685454E-3</v>
      </c>
      <c r="V79" s="736">
        <f>IF(Select2=1,Nappies!$W81,"")</f>
        <v>0</v>
      </c>
      <c r="W79" s="745">
        <f>IF(Select2=1,Garden!$W81,"")</f>
        <v>0</v>
      </c>
      <c r="X79" s="736">
        <f>IF(Select2=1,Wood!$W81,"")</f>
        <v>0</v>
      </c>
      <c r="Y79" s="745">
        <f>IF(Select2=1,Textiles!$W81,"")</f>
        <v>2.4656473850196971E-4</v>
      </c>
      <c r="Z79" s="738">
        <f>Sludge!W81</f>
        <v>0</v>
      </c>
      <c r="AA79" s="738" t="str">
        <f>IF(Select2=2,MSW!$W81,"")</f>
        <v/>
      </c>
      <c r="AB79" s="746">
        <f>Industry!$W81</f>
        <v>0</v>
      </c>
      <c r="AC79" s="747">
        <f t="shared" si="4"/>
        <v>6.7658188378214622E-3</v>
      </c>
      <c r="AD79" s="748">
        <f>Recovery_OX!R74</f>
        <v>0</v>
      </c>
      <c r="AE79" s="703"/>
      <c r="AF79" s="750">
        <f>(AC79-AD79)*(1-Recovery_OX!U74)</f>
        <v>6.7658188378214622E-3</v>
      </c>
    </row>
    <row r="80" spans="2:32">
      <c r="B80" s="743">
        <f t="shared" si="1"/>
        <v>2063</v>
      </c>
      <c r="C80" s="744">
        <f>IF(Select2=1,Food!$K82,"")</f>
        <v>1.2421127082678954E-9</v>
      </c>
      <c r="D80" s="745">
        <f>IF(Select2=1,Paper!$K82,"")</f>
        <v>2.9419993611062901E-3</v>
      </c>
      <c r="E80" s="736">
        <f>IF(Select2=1,Nappies!$K82,"")</f>
        <v>3.5936816535315006E-5</v>
      </c>
      <c r="F80" s="745">
        <f>IF(Select2=1,Garden!$K82,"")</f>
        <v>0</v>
      </c>
      <c r="G80" s="736">
        <f>IF(Select2=1,Wood!$K82,"")</f>
        <v>0</v>
      </c>
      <c r="H80" s="745">
        <f>IF(Select2=1,Textiles!$K82,"")</f>
        <v>2.0977958752719118E-4</v>
      </c>
      <c r="I80" s="746">
        <f>Sludge!K82</f>
        <v>0</v>
      </c>
      <c r="J80" s="746" t="str">
        <f>IF(Select2=2,MSW!$K82,"")</f>
        <v/>
      </c>
      <c r="K80" s="746">
        <f>Industry!$K82</f>
        <v>0</v>
      </c>
      <c r="L80" s="747">
        <f t="shared" si="3"/>
        <v>3.1877170072815045E-3</v>
      </c>
      <c r="M80" s="748">
        <f>Recovery_OX!C75</f>
        <v>0</v>
      </c>
      <c r="N80" s="703"/>
      <c r="O80" s="749">
        <f>(L80-M80)*(1-Recovery_OX!F75)</f>
        <v>3.1877170072815045E-3</v>
      </c>
      <c r="P80" s="695"/>
      <c r="Q80" s="705"/>
      <c r="S80" s="743">
        <f t="shared" si="2"/>
        <v>2063</v>
      </c>
      <c r="T80" s="744">
        <f>IF(Select2=1,Food!$W82,"")</f>
        <v>8.3102991186522878E-10</v>
      </c>
      <c r="U80" s="745">
        <f>IF(Select2=1,Paper!$W82,"")</f>
        <v>6.0785110766658924E-3</v>
      </c>
      <c r="V80" s="736">
        <f>IF(Select2=1,Nappies!$W82,"")</f>
        <v>0</v>
      </c>
      <c r="W80" s="745">
        <f>IF(Select2=1,Garden!$W82,"")</f>
        <v>0</v>
      </c>
      <c r="X80" s="736">
        <f>IF(Select2=1,Wood!$W82,"")</f>
        <v>0</v>
      </c>
      <c r="Y80" s="745">
        <f>IF(Select2=1,Textiles!$W82,"")</f>
        <v>2.2989543838596279E-4</v>
      </c>
      <c r="Z80" s="738">
        <f>Sludge!W82</f>
        <v>0</v>
      </c>
      <c r="AA80" s="738" t="str">
        <f>IF(Select2=2,MSW!$W82,"")</f>
        <v/>
      </c>
      <c r="AB80" s="746">
        <f>Industry!$W82</f>
        <v>0</v>
      </c>
      <c r="AC80" s="747">
        <f t="shared" si="4"/>
        <v>6.3084073460817668E-3</v>
      </c>
      <c r="AD80" s="748">
        <f>Recovery_OX!R75</f>
        <v>0</v>
      </c>
      <c r="AE80" s="703"/>
      <c r="AF80" s="750">
        <f>(AC80-AD80)*(1-Recovery_OX!U75)</f>
        <v>6.3084073460817668E-3</v>
      </c>
    </row>
    <row r="81" spans="2:32">
      <c r="B81" s="743">
        <f t="shared" si="1"/>
        <v>2064</v>
      </c>
      <c r="C81" s="744">
        <f>IF(Select2=1,Food!$K83,"")</f>
        <v>8.3261304778758833E-10</v>
      </c>
      <c r="D81" s="745">
        <f>IF(Select2=1,Paper!$K83,"")</f>
        <v>2.7431020224627533E-3</v>
      </c>
      <c r="E81" s="736">
        <f>IF(Select2=1,Nappies!$K83,"")</f>
        <v>3.031862773132443E-5</v>
      </c>
      <c r="F81" s="745">
        <f>IF(Select2=1,Garden!$K83,"")</f>
        <v>0</v>
      </c>
      <c r="G81" s="736">
        <f>IF(Select2=1,Wood!$K83,"")</f>
        <v>0</v>
      </c>
      <c r="H81" s="745">
        <f>IF(Select2=1,Textiles!$K83,"")</f>
        <v>1.95597190952772E-4</v>
      </c>
      <c r="I81" s="746">
        <f>Sludge!K83</f>
        <v>0</v>
      </c>
      <c r="J81" s="746" t="str">
        <f>IF(Select2=2,MSW!$K83,"")</f>
        <v/>
      </c>
      <c r="K81" s="746">
        <f>Industry!$K83</f>
        <v>0</v>
      </c>
      <c r="L81" s="747">
        <f t="shared" si="3"/>
        <v>2.9690186737598976E-3</v>
      </c>
      <c r="M81" s="748">
        <f>Recovery_OX!C76</f>
        <v>0</v>
      </c>
      <c r="N81" s="703"/>
      <c r="O81" s="749">
        <f>(L81-M81)*(1-Recovery_OX!F76)</f>
        <v>2.9690186737598976E-3</v>
      </c>
      <c r="P81" s="695"/>
      <c r="Q81" s="705"/>
      <c r="S81" s="743">
        <f t="shared" si="2"/>
        <v>2064</v>
      </c>
      <c r="T81" s="744">
        <f>IF(Select2=1,Food!$W83,"")</f>
        <v>5.5705600877849344E-10</v>
      </c>
      <c r="U81" s="745">
        <f>IF(Select2=1,Paper!$W83,"")</f>
        <v>5.6675661621131308E-3</v>
      </c>
      <c r="V81" s="736">
        <f>IF(Select2=1,Nappies!$W83,"")</f>
        <v>0</v>
      </c>
      <c r="W81" s="745">
        <f>IF(Select2=1,Garden!$W83,"")</f>
        <v>0</v>
      </c>
      <c r="X81" s="736">
        <f>IF(Select2=1,Wood!$W83,"")</f>
        <v>0</v>
      </c>
      <c r="Y81" s="745">
        <f>IF(Select2=1,Textiles!$W83,"")</f>
        <v>2.1435308597564042E-4</v>
      </c>
      <c r="Z81" s="738">
        <f>Sludge!W83</f>
        <v>0</v>
      </c>
      <c r="AA81" s="738" t="str">
        <f>IF(Select2=2,MSW!$W83,"")</f>
        <v/>
      </c>
      <c r="AB81" s="746">
        <f>Industry!$W83</f>
        <v>0</v>
      </c>
      <c r="AC81" s="747">
        <f t="shared" ref="AC81:AC97" si="5">SUM(T81:AA81)</f>
        <v>5.8819198051447801E-3</v>
      </c>
      <c r="AD81" s="748">
        <f>Recovery_OX!R76</f>
        <v>0</v>
      </c>
      <c r="AE81" s="703"/>
      <c r="AF81" s="750">
        <f>(AC81-AD81)*(1-Recovery_OX!U76)</f>
        <v>5.8819198051447801E-3</v>
      </c>
    </row>
    <row r="82" spans="2:32">
      <c r="B82" s="743">
        <f t="shared" ref="B82:B97" si="6">B81+1</f>
        <v>2065</v>
      </c>
      <c r="C82" s="744">
        <f>IF(Select2=1,Food!$K84,"")</f>
        <v>5.5811721652285009E-10</v>
      </c>
      <c r="D82" s="745">
        <f>IF(Select2=1,Paper!$K84,"")</f>
        <v>2.5576513731157789E-3</v>
      </c>
      <c r="E82" s="736">
        <f>IF(Select2=1,Nappies!$K84,"")</f>
        <v>2.557875950440186E-5</v>
      </c>
      <c r="F82" s="745">
        <f>IF(Select2=1,Garden!$K84,"")</f>
        <v>0</v>
      </c>
      <c r="G82" s="736">
        <f>IF(Select2=1,Wood!$K84,"")</f>
        <v>0</v>
      </c>
      <c r="H82" s="745">
        <f>IF(Select2=1,Textiles!$K84,"")</f>
        <v>1.8237361203532826E-4</v>
      </c>
      <c r="I82" s="746">
        <f>Sludge!K84</f>
        <v>0</v>
      </c>
      <c r="J82" s="746" t="str">
        <f>IF(Select2=2,MSW!$K84,"")</f>
        <v/>
      </c>
      <c r="K82" s="746">
        <f>Industry!$K84</f>
        <v>0</v>
      </c>
      <c r="L82" s="747">
        <f t="shared" si="3"/>
        <v>2.7656043027727254E-3</v>
      </c>
      <c r="M82" s="748">
        <f>Recovery_OX!C77</f>
        <v>0</v>
      </c>
      <c r="N82" s="703"/>
      <c r="O82" s="749">
        <f>(L82-M82)*(1-Recovery_OX!F77)</f>
        <v>2.7656043027727254E-3</v>
      </c>
      <c r="P82" s="695"/>
      <c r="Q82" s="705"/>
      <c r="S82" s="743">
        <f t="shared" ref="S82:S97" si="7">S81+1</f>
        <v>2065</v>
      </c>
      <c r="T82" s="744">
        <f>IF(Select2=1,Food!$W84,"")</f>
        <v>3.734058094488293E-10</v>
      </c>
      <c r="U82" s="745">
        <f>IF(Select2=1,Paper!$W84,"")</f>
        <v>5.2844036634623563E-3</v>
      </c>
      <c r="V82" s="736">
        <f>IF(Select2=1,Nappies!$W84,"")</f>
        <v>0</v>
      </c>
      <c r="W82" s="745">
        <f>IF(Select2=1,Garden!$W84,"")</f>
        <v>0</v>
      </c>
      <c r="X82" s="736">
        <f>IF(Select2=1,Wood!$W84,"")</f>
        <v>0</v>
      </c>
      <c r="Y82" s="745">
        <f>IF(Select2=1,Textiles!$W84,"")</f>
        <v>1.9986149264145553E-4</v>
      </c>
      <c r="Z82" s="738">
        <f>Sludge!W84</f>
        <v>0</v>
      </c>
      <c r="AA82" s="738" t="str">
        <f>IF(Select2=2,MSW!$W84,"")</f>
        <v/>
      </c>
      <c r="AB82" s="746">
        <f>Industry!$W84</f>
        <v>0</v>
      </c>
      <c r="AC82" s="747">
        <f t="shared" si="5"/>
        <v>5.4842655295096214E-3</v>
      </c>
      <c r="AD82" s="748">
        <f>Recovery_OX!R77</f>
        <v>0</v>
      </c>
      <c r="AE82" s="703"/>
      <c r="AF82" s="750">
        <f>(AC82-AD82)*(1-Recovery_OX!U77)</f>
        <v>5.4842655295096214E-3</v>
      </c>
    </row>
    <row r="83" spans="2:32">
      <c r="B83" s="743">
        <f t="shared" si="6"/>
        <v>2066</v>
      </c>
      <c r="C83" s="744">
        <f>IF(Select2=1,Food!$K85,"")</f>
        <v>3.7411715827287977E-10</v>
      </c>
      <c r="D83" s="745">
        <f>IF(Select2=1,Paper!$K85,"")</f>
        <v>2.384738333767115E-3</v>
      </c>
      <c r="E83" s="736">
        <f>IF(Select2=1,Nappies!$K85,"")</f>
        <v>2.15798994460442E-5</v>
      </c>
      <c r="F83" s="745">
        <f>IF(Select2=1,Garden!$K85,"")</f>
        <v>0</v>
      </c>
      <c r="G83" s="736">
        <f>IF(Select2=1,Wood!$K85,"")</f>
        <v>0</v>
      </c>
      <c r="H83" s="745">
        <f>IF(Select2=1,Textiles!$K85,"")</f>
        <v>1.7004402877566517E-4</v>
      </c>
      <c r="I83" s="746">
        <f>Sludge!K85</f>
        <v>0</v>
      </c>
      <c r="J83" s="746" t="str">
        <f>IF(Select2=2,MSW!$K85,"")</f>
        <v/>
      </c>
      <c r="K83" s="746">
        <f>Industry!$K85</f>
        <v>0</v>
      </c>
      <c r="L83" s="747">
        <f t="shared" ref="L83:L97" si="8">SUM(C83:K83)</f>
        <v>2.5763626361059826E-3</v>
      </c>
      <c r="M83" s="748">
        <f>Recovery_OX!C78</f>
        <v>0</v>
      </c>
      <c r="N83" s="703"/>
      <c r="O83" s="749">
        <f>(L83-M83)*(1-Recovery_OX!F78)</f>
        <v>2.5763626361059826E-3</v>
      </c>
      <c r="P83" s="695"/>
      <c r="Q83" s="705"/>
      <c r="S83" s="743">
        <f t="shared" si="7"/>
        <v>2066</v>
      </c>
      <c r="T83" s="744">
        <f>IF(Select2=1,Food!$W85,"")</f>
        <v>2.5030139937971436E-10</v>
      </c>
      <c r="U83" s="745">
        <f>IF(Select2=1,Paper!$W85,"")</f>
        <v>4.9271453177006539E-3</v>
      </c>
      <c r="V83" s="736">
        <f>IF(Select2=1,Nappies!$W85,"")</f>
        <v>0</v>
      </c>
      <c r="W83" s="745">
        <f>IF(Select2=1,Garden!$W85,"")</f>
        <v>0</v>
      </c>
      <c r="X83" s="736">
        <f>IF(Select2=1,Wood!$W85,"")</f>
        <v>0</v>
      </c>
      <c r="Y83" s="745">
        <f>IF(Select2=1,Textiles!$W85,"")</f>
        <v>1.8634962057607129E-4</v>
      </c>
      <c r="Z83" s="738">
        <f>Sludge!W85</f>
        <v>0</v>
      </c>
      <c r="AA83" s="738" t="str">
        <f>IF(Select2=2,MSW!$W85,"")</f>
        <v/>
      </c>
      <c r="AB83" s="746">
        <f>Industry!$W85</f>
        <v>0</v>
      </c>
      <c r="AC83" s="747">
        <f t="shared" si="5"/>
        <v>5.1134951885781245E-3</v>
      </c>
      <c r="AD83" s="748">
        <f>Recovery_OX!R78</f>
        <v>0</v>
      </c>
      <c r="AE83" s="703"/>
      <c r="AF83" s="750">
        <f>(AC83-AD83)*(1-Recovery_OX!U78)</f>
        <v>5.1134951885781245E-3</v>
      </c>
    </row>
    <row r="84" spans="2:32">
      <c r="B84" s="743">
        <f t="shared" si="6"/>
        <v>2067</v>
      </c>
      <c r="C84" s="744">
        <f>IF(Select2=1,Food!$K86,"")</f>
        <v>2.5077823075619932E-10</v>
      </c>
      <c r="D84" s="745">
        <f>IF(Select2=1,Paper!$K86,"")</f>
        <v>2.2235152844972666E-3</v>
      </c>
      <c r="E84" s="736">
        <f>IF(Select2=1,Nappies!$K86,"")</f>
        <v>1.8206201908315281E-5</v>
      </c>
      <c r="F84" s="745">
        <f>IF(Select2=1,Garden!$K86,"")</f>
        <v>0</v>
      </c>
      <c r="G84" s="736">
        <f>IF(Select2=1,Wood!$K86,"")</f>
        <v>0</v>
      </c>
      <c r="H84" s="745">
        <f>IF(Select2=1,Textiles!$K86,"")</f>
        <v>1.5854800154233942E-4</v>
      </c>
      <c r="I84" s="746">
        <f>Sludge!K86</f>
        <v>0</v>
      </c>
      <c r="J84" s="746" t="str">
        <f>IF(Select2=2,MSW!$K86,"")</f>
        <v/>
      </c>
      <c r="K84" s="746">
        <f>Industry!$K86</f>
        <v>0</v>
      </c>
      <c r="L84" s="747">
        <f t="shared" si="8"/>
        <v>2.4002697387261519E-3</v>
      </c>
      <c r="M84" s="748">
        <f>Recovery_OX!C79</f>
        <v>0</v>
      </c>
      <c r="N84" s="703"/>
      <c r="O84" s="749">
        <f>(L84-M84)*(1-Recovery_OX!F79)</f>
        <v>2.4002697387261519E-3</v>
      </c>
      <c r="P84" s="695"/>
      <c r="Q84" s="705"/>
      <c r="S84" s="743">
        <f t="shared" si="7"/>
        <v>2067</v>
      </c>
      <c r="T84" s="744">
        <f>IF(Select2=1,Food!$W86,"")</f>
        <v>1.677820455549951E-10</v>
      </c>
      <c r="U84" s="745">
        <f>IF(Select2=1,Paper!$W86,"")</f>
        <v>4.5940398440026198E-3</v>
      </c>
      <c r="V84" s="736">
        <f>IF(Select2=1,Nappies!$W86,"")</f>
        <v>0</v>
      </c>
      <c r="W84" s="745">
        <f>IF(Select2=1,Garden!$W86,"")</f>
        <v>0</v>
      </c>
      <c r="X84" s="736">
        <f>IF(Select2=1,Wood!$W86,"")</f>
        <v>0</v>
      </c>
      <c r="Y84" s="745">
        <f>IF(Select2=1,Textiles!$W86,"")</f>
        <v>1.7375123456694723E-4</v>
      </c>
      <c r="Z84" s="738">
        <f>Sludge!W86</f>
        <v>0</v>
      </c>
      <c r="AA84" s="738" t="str">
        <f>IF(Select2=2,MSW!$W86,"")</f>
        <v/>
      </c>
      <c r="AB84" s="746">
        <f>Industry!$W86</f>
        <v>0</v>
      </c>
      <c r="AC84" s="747">
        <f t="shared" si="5"/>
        <v>4.7677912463516122E-3</v>
      </c>
      <c r="AD84" s="748">
        <f>Recovery_OX!R79</f>
        <v>0</v>
      </c>
      <c r="AE84" s="703"/>
      <c r="AF84" s="750">
        <f>(AC84-AD84)*(1-Recovery_OX!U79)</f>
        <v>4.7677912463516122E-3</v>
      </c>
    </row>
    <row r="85" spans="2:32">
      <c r="B85" s="743">
        <f t="shared" si="6"/>
        <v>2068</v>
      </c>
      <c r="C85" s="744">
        <f>IF(Select2=1,Food!$K87,"")</f>
        <v>1.6810167518523173E-10</v>
      </c>
      <c r="D85" s="745">
        <f>IF(Select2=1,Paper!$K87,"")</f>
        <v>2.0731919097316679E-3</v>
      </c>
      <c r="E85" s="736">
        <f>IF(Select2=1,Nappies!$K87,"")</f>
        <v>1.5359931993895545E-5</v>
      </c>
      <c r="F85" s="745">
        <f>IF(Select2=1,Garden!$K87,"")</f>
        <v>0</v>
      </c>
      <c r="G85" s="736">
        <f>IF(Select2=1,Wood!$K87,"")</f>
        <v>0</v>
      </c>
      <c r="H85" s="745">
        <f>IF(Select2=1,Textiles!$K87,"")</f>
        <v>1.4782917679651602E-4</v>
      </c>
      <c r="I85" s="746">
        <f>Sludge!K87</f>
        <v>0</v>
      </c>
      <c r="J85" s="746" t="str">
        <f>IF(Select2=2,MSW!$K87,"")</f>
        <v/>
      </c>
      <c r="K85" s="746">
        <f>Industry!$K87</f>
        <v>0</v>
      </c>
      <c r="L85" s="747">
        <f t="shared" si="8"/>
        <v>2.236381186623755E-3</v>
      </c>
      <c r="M85" s="748">
        <f>Recovery_OX!C80</f>
        <v>0</v>
      </c>
      <c r="N85" s="703"/>
      <c r="O85" s="749">
        <f>(L85-M85)*(1-Recovery_OX!F80)</f>
        <v>2.236381186623755E-3</v>
      </c>
      <c r="P85" s="695"/>
      <c r="Q85" s="705"/>
      <c r="S85" s="743">
        <f t="shared" si="7"/>
        <v>2068</v>
      </c>
      <c r="T85" s="744">
        <f>IF(Select2=1,Food!$W87,"")</f>
        <v>1.1246766850037804E-10</v>
      </c>
      <c r="U85" s="745">
        <f>IF(Select2=1,Paper!$W87,"")</f>
        <v>4.2834543589497292E-3</v>
      </c>
      <c r="V85" s="736">
        <f>IF(Select2=1,Nappies!$W87,"")</f>
        <v>0</v>
      </c>
      <c r="W85" s="745">
        <f>IF(Select2=1,Garden!$W87,"")</f>
        <v>0</v>
      </c>
      <c r="X85" s="736">
        <f>IF(Select2=1,Wood!$W87,"")</f>
        <v>0</v>
      </c>
      <c r="Y85" s="745">
        <f>IF(Select2=1,Textiles!$W87,"")</f>
        <v>1.6200457731125033E-4</v>
      </c>
      <c r="Z85" s="738">
        <f>Sludge!W87</f>
        <v>0</v>
      </c>
      <c r="AA85" s="738" t="str">
        <f>IF(Select2=2,MSW!$W87,"")</f>
        <v/>
      </c>
      <c r="AB85" s="746">
        <f>Industry!$W87</f>
        <v>0</v>
      </c>
      <c r="AC85" s="747">
        <f t="shared" si="5"/>
        <v>4.4454590487286484E-3</v>
      </c>
      <c r="AD85" s="748">
        <f>Recovery_OX!R80</f>
        <v>0</v>
      </c>
      <c r="AE85" s="703"/>
      <c r="AF85" s="750">
        <f>(AC85-AD85)*(1-Recovery_OX!U80)</f>
        <v>4.4454590487286484E-3</v>
      </c>
    </row>
    <row r="86" spans="2:32">
      <c r="B86" s="743">
        <f t="shared" si="6"/>
        <v>2069</v>
      </c>
      <c r="C86" s="744">
        <f>IF(Select2=1,Food!$K88,"")</f>
        <v>1.1268192264883262E-10</v>
      </c>
      <c r="D86" s="745">
        <f>IF(Select2=1,Paper!$K88,"")</f>
        <v>1.9330313241128177E-3</v>
      </c>
      <c r="E86" s="736">
        <f>IF(Select2=1,Nappies!$K88,"")</f>
        <v>1.2958634208562811E-5</v>
      </c>
      <c r="F86" s="745">
        <f>IF(Select2=1,Garden!$K88,"")</f>
        <v>0</v>
      </c>
      <c r="G86" s="736">
        <f>IF(Select2=1,Wood!$K88,"")</f>
        <v>0</v>
      </c>
      <c r="H86" s="745">
        <f>IF(Select2=1,Textiles!$K88,"")</f>
        <v>1.3783501084685534E-4</v>
      </c>
      <c r="I86" s="746">
        <f>Sludge!K88</f>
        <v>0</v>
      </c>
      <c r="J86" s="746" t="str">
        <f>IF(Select2=2,MSW!$K88,"")</f>
        <v/>
      </c>
      <c r="K86" s="746">
        <f>Industry!$K88</f>
        <v>0</v>
      </c>
      <c r="L86" s="747">
        <f t="shared" si="8"/>
        <v>2.0838250818501587E-3</v>
      </c>
      <c r="M86" s="748">
        <f>Recovery_OX!C81</f>
        <v>0</v>
      </c>
      <c r="N86" s="703"/>
      <c r="O86" s="749">
        <f>(L86-M86)*(1-Recovery_OX!F81)</f>
        <v>2.0838250818501587E-3</v>
      </c>
      <c r="P86" s="695"/>
      <c r="Q86" s="705"/>
      <c r="S86" s="743">
        <f t="shared" si="7"/>
        <v>2069</v>
      </c>
      <c r="T86" s="744">
        <f>IF(Select2=1,Food!$W88,"")</f>
        <v>7.5389332726694427E-11</v>
      </c>
      <c r="U86" s="745">
        <f>IF(Select2=1,Paper!$W88,"")</f>
        <v>3.9938663721339231E-3</v>
      </c>
      <c r="V86" s="736">
        <f>IF(Select2=1,Nappies!$W88,"")</f>
        <v>0</v>
      </c>
      <c r="W86" s="745">
        <f>IF(Select2=1,Garden!$W88,"")</f>
        <v>0</v>
      </c>
      <c r="X86" s="736">
        <f>IF(Select2=1,Wood!$W88,"")</f>
        <v>0</v>
      </c>
      <c r="Y86" s="745">
        <f>IF(Select2=1,Textiles!$W88,"")</f>
        <v>1.5105206668148525E-4</v>
      </c>
      <c r="Z86" s="738">
        <f>Sludge!W88</f>
        <v>0</v>
      </c>
      <c r="AA86" s="738" t="str">
        <f>IF(Select2=2,MSW!$W88,"")</f>
        <v/>
      </c>
      <c r="AB86" s="746">
        <f>Industry!$W88</f>
        <v>0</v>
      </c>
      <c r="AC86" s="747">
        <f t="shared" si="5"/>
        <v>4.1449185142047413E-3</v>
      </c>
      <c r="AD86" s="748">
        <f>Recovery_OX!R81</f>
        <v>0</v>
      </c>
      <c r="AE86" s="703"/>
      <c r="AF86" s="750">
        <f>(AC86-AD86)*(1-Recovery_OX!U81)</f>
        <v>4.1449185142047413E-3</v>
      </c>
    </row>
    <row r="87" spans="2:32">
      <c r="B87" s="743">
        <f t="shared" si="6"/>
        <v>2070</v>
      </c>
      <c r="C87" s="744">
        <f>IF(Select2=1,Food!$K89,"")</f>
        <v>7.5532951577349838E-11</v>
      </c>
      <c r="D87" s="745">
        <f>IF(Select2=1,Paper!$K89,"")</f>
        <v>1.8023464602874035E-3</v>
      </c>
      <c r="E87" s="736">
        <f>IF(Select2=1,Nappies!$K89,"")</f>
        <v>1.0932743752906767E-5</v>
      </c>
      <c r="F87" s="745">
        <f>IF(Select2=1,Garden!$K89,"")</f>
        <v>0</v>
      </c>
      <c r="G87" s="736">
        <f>IF(Select2=1,Wood!$K89,"")</f>
        <v>0</v>
      </c>
      <c r="H87" s="745">
        <f>IF(Select2=1,Textiles!$K89,"")</f>
        <v>1.2851651228027724E-4</v>
      </c>
      <c r="I87" s="746">
        <f>Sludge!K89</f>
        <v>0</v>
      </c>
      <c r="J87" s="746" t="str">
        <f>IF(Select2=2,MSW!$K89,"")</f>
        <v/>
      </c>
      <c r="K87" s="746">
        <f>Industry!$K89</f>
        <v>0</v>
      </c>
      <c r="L87" s="747">
        <f t="shared" si="8"/>
        <v>1.9417957918535392E-3</v>
      </c>
      <c r="M87" s="748">
        <f>Recovery_OX!C82</f>
        <v>0</v>
      </c>
      <c r="N87" s="703"/>
      <c r="O87" s="749">
        <f>(L87-M87)*(1-Recovery_OX!F82)</f>
        <v>1.9417957918535392E-3</v>
      </c>
      <c r="P87" s="695"/>
      <c r="Q87" s="705"/>
      <c r="S87" s="743">
        <f t="shared" si="7"/>
        <v>2070</v>
      </c>
      <c r="T87" s="744">
        <f>IF(Select2=1,Food!$W89,"")</f>
        <v>5.0534980983953942E-11</v>
      </c>
      <c r="U87" s="745">
        <f>IF(Select2=1,Paper!$W89,"")</f>
        <v>3.72385632290786E-3</v>
      </c>
      <c r="V87" s="736">
        <f>IF(Select2=1,Nappies!$W89,"")</f>
        <v>0</v>
      </c>
      <c r="W87" s="745">
        <f>IF(Select2=1,Garden!$W89,"")</f>
        <v>0</v>
      </c>
      <c r="X87" s="736">
        <f>IF(Select2=1,Wood!$W89,"")</f>
        <v>0</v>
      </c>
      <c r="Y87" s="745">
        <f>IF(Select2=1,Textiles!$W89,"")</f>
        <v>1.4084001345783802E-4</v>
      </c>
      <c r="Z87" s="738">
        <f>Sludge!W89</f>
        <v>0</v>
      </c>
      <c r="AA87" s="738" t="str">
        <f>IF(Select2=2,MSW!$W89,"")</f>
        <v/>
      </c>
      <c r="AB87" s="746">
        <f>Industry!$W89</f>
        <v>0</v>
      </c>
      <c r="AC87" s="747">
        <f t="shared" si="5"/>
        <v>3.864696386900679E-3</v>
      </c>
      <c r="AD87" s="748">
        <f>Recovery_OX!R82</f>
        <v>0</v>
      </c>
      <c r="AE87" s="703"/>
      <c r="AF87" s="750">
        <f>(AC87-AD87)*(1-Recovery_OX!U82)</f>
        <v>3.864696386900679E-3</v>
      </c>
    </row>
    <row r="88" spans="2:32">
      <c r="B88" s="743">
        <f t="shared" si="6"/>
        <v>2071</v>
      </c>
      <c r="C88" s="744">
        <f>IF(Select2=1,Food!$K90,"")</f>
        <v>5.0631251578536856E-11</v>
      </c>
      <c r="D88" s="745">
        <f>IF(Select2=1,Paper!$K90,"")</f>
        <v>1.6804967009013366E-3</v>
      </c>
      <c r="E88" s="736">
        <f>IF(Select2=1,Nappies!$K90,"")</f>
        <v>9.223571253191348E-6</v>
      </c>
      <c r="F88" s="745">
        <f>IF(Select2=1,Garden!$K90,"")</f>
        <v>0</v>
      </c>
      <c r="G88" s="736">
        <f>IF(Select2=1,Wood!$K90,"")</f>
        <v>0</v>
      </c>
      <c r="H88" s="745">
        <f>IF(Select2=1,Textiles!$K90,"")</f>
        <v>1.1982800180599741E-4</v>
      </c>
      <c r="I88" s="746">
        <f>Sludge!K90</f>
        <v>0</v>
      </c>
      <c r="J88" s="746" t="str">
        <f>IF(Select2=2,MSW!$K90,"")</f>
        <v/>
      </c>
      <c r="K88" s="746">
        <f>Industry!$K90</f>
        <v>0</v>
      </c>
      <c r="L88" s="747">
        <f t="shared" si="8"/>
        <v>1.8095483245917769E-3</v>
      </c>
      <c r="M88" s="748">
        <f>Recovery_OX!C83</f>
        <v>0</v>
      </c>
      <c r="N88" s="703"/>
      <c r="O88" s="749">
        <f>(L88-M88)*(1-Recovery_OX!F83)</f>
        <v>1.8095483245917769E-3</v>
      </c>
      <c r="P88" s="695"/>
      <c r="Q88" s="705"/>
      <c r="S88" s="743">
        <f t="shared" si="7"/>
        <v>2071</v>
      </c>
      <c r="T88" s="744">
        <f>IF(Select2=1,Food!$W90,"")</f>
        <v>3.3874610779574165E-11</v>
      </c>
      <c r="U88" s="745">
        <f>IF(Select2=1,Paper!$W90,"")</f>
        <v>3.4721006216969779E-3</v>
      </c>
      <c r="V88" s="736">
        <f>IF(Select2=1,Nappies!$W90,"")</f>
        <v>0</v>
      </c>
      <c r="W88" s="745">
        <f>IF(Select2=1,Garden!$W90,"")</f>
        <v>0</v>
      </c>
      <c r="X88" s="736">
        <f>IF(Select2=1,Wood!$W90,"")</f>
        <v>0</v>
      </c>
      <c r="Y88" s="745">
        <f>IF(Select2=1,Textiles!$W90,"")</f>
        <v>1.3131835814355876E-4</v>
      </c>
      <c r="Z88" s="738">
        <f>Sludge!W90</f>
        <v>0</v>
      </c>
      <c r="AA88" s="738" t="str">
        <f>IF(Select2=2,MSW!$W90,"")</f>
        <v/>
      </c>
      <c r="AB88" s="746">
        <f>Industry!$W90</f>
        <v>0</v>
      </c>
      <c r="AC88" s="747">
        <f t="shared" si="5"/>
        <v>3.6034190137151471E-3</v>
      </c>
      <c r="AD88" s="748">
        <f>Recovery_OX!R83</f>
        <v>0</v>
      </c>
      <c r="AE88" s="703"/>
      <c r="AF88" s="750">
        <f>(AC88-AD88)*(1-Recovery_OX!U83)</f>
        <v>3.6034190137151471E-3</v>
      </c>
    </row>
    <row r="89" spans="2:32">
      <c r="B89" s="743">
        <f t="shared" si="6"/>
        <v>2072</v>
      </c>
      <c r="C89" s="744">
        <f>IF(Select2=1,Food!$K91,"")</f>
        <v>3.3939142888966865E-11</v>
      </c>
      <c r="D89" s="745">
        <f>IF(Select2=1,Paper!$K91,"")</f>
        <v>1.5668847382927413E-3</v>
      </c>
      <c r="E89" s="736">
        <f>IF(Select2=1,Nappies!$K91,"")</f>
        <v>7.7816025496873562E-6</v>
      </c>
      <c r="F89" s="745">
        <f>IF(Select2=1,Garden!$K91,"")</f>
        <v>0</v>
      </c>
      <c r="G89" s="736">
        <f>IF(Select2=1,Wood!$K91,"")</f>
        <v>0</v>
      </c>
      <c r="H89" s="745">
        <f>IF(Select2=1,Textiles!$K91,"")</f>
        <v>1.1172688833559079E-4</v>
      </c>
      <c r="I89" s="746">
        <f>Sludge!K91</f>
        <v>0</v>
      </c>
      <c r="J89" s="746" t="str">
        <f>IF(Select2=2,MSW!$K91,"")</f>
        <v/>
      </c>
      <c r="K89" s="746">
        <f>Industry!$K91</f>
        <v>0</v>
      </c>
      <c r="L89" s="747">
        <f t="shared" si="8"/>
        <v>1.6863932631171624E-3</v>
      </c>
      <c r="M89" s="748">
        <f>Recovery_OX!C84</f>
        <v>0</v>
      </c>
      <c r="N89" s="703"/>
      <c r="O89" s="749">
        <f>(L89-M89)*(1-Recovery_OX!F84)</f>
        <v>1.6863932631171624E-3</v>
      </c>
      <c r="P89" s="695"/>
      <c r="Q89" s="705"/>
      <c r="S89" s="743">
        <f t="shared" si="7"/>
        <v>2072</v>
      </c>
      <c r="T89" s="744">
        <f>IF(Select2=1,Food!$W91,"")</f>
        <v>2.2706830657203518E-11</v>
      </c>
      <c r="U89" s="745">
        <f>IF(Select2=1,Paper!$W91,"")</f>
        <v>3.2373651617618624E-3</v>
      </c>
      <c r="V89" s="736">
        <f>IF(Select2=1,Nappies!$W91,"")</f>
        <v>0</v>
      </c>
      <c r="W89" s="745">
        <f>IF(Select2=1,Garden!$W91,"")</f>
        <v>0</v>
      </c>
      <c r="X89" s="736">
        <f>IF(Select2=1,Wood!$W91,"")</f>
        <v>0</v>
      </c>
      <c r="Y89" s="745">
        <f>IF(Select2=1,Textiles!$W91,"")</f>
        <v>1.2244042557325014E-4</v>
      </c>
      <c r="Z89" s="738">
        <f>Sludge!W91</f>
        <v>0</v>
      </c>
      <c r="AA89" s="738" t="str">
        <f>IF(Select2=2,MSW!$W91,"")</f>
        <v/>
      </c>
      <c r="AB89" s="746">
        <f>Industry!$W91</f>
        <v>0</v>
      </c>
      <c r="AC89" s="747">
        <f t="shared" si="5"/>
        <v>3.3598056100419432E-3</v>
      </c>
      <c r="AD89" s="748">
        <f>Recovery_OX!R84</f>
        <v>0</v>
      </c>
      <c r="AE89" s="703"/>
      <c r="AF89" s="750">
        <f>(AC89-AD89)*(1-Recovery_OX!U84)</f>
        <v>3.3598056100419432E-3</v>
      </c>
    </row>
    <row r="90" spans="2:32">
      <c r="B90" s="743">
        <f t="shared" si="6"/>
        <v>2073</v>
      </c>
      <c r="C90" s="744">
        <f>IF(Select2=1,Food!$K92,"")</f>
        <v>2.2750087823742408E-11</v>
      </c>
      <c r="D90" s="745">
        <f>IF(Select2=1,Paper!$K92,"")</f>
        <v>1.460953646489101E-3</v>
      </c>
      <c r="E90" s="736">
        <f>IF(Select2=1,Nappies!$K92,"")</f>
        <v>6.5650642879079344E-6</v>
      </c>
      <c r="F90" s="745">
        <f>IF(Select2=1,Garden!$K92,"")</f>
        <v>0</v>
      </c>
      <c r="G90" s="736">
        <f>IF(Select2=1,Wood!$K92,"")</f>
        <v>0</v>
      </c>
      <c r="H90" s="745">
        <f>IF(Select2=1,Textiles!$K92,"")</f>
        <v>1.0417346020142683E-4</v>
      </c>
      <c r="I90" s="746">
        <f>Sludge!K92</f>
        <v>0</v>
      </c>
      <c r="J90" s="746" t="str">
        <f>IF(Select2=2,MSW!$K92,"")</f>
        <v/>
      </c>
      <c r="K90" s="746">
        <f>Industry!$K92</f>
        <v>0</v>
      </c>
      <c r="L90" s="747">
        <f t="shared" si="8"/>
        <v>1.5716921937285236E-3</v>
      </c>
      <c r="M90" s="748">
        <f>Recovery_OX!C85</f>
        <v>0</v>
      </c>
      <c r="N90" s="703"/>
      <c r="O90" s="749">
        <f>(L90-M90)*(1-Recovery_OX!F85)</f>
        <v>1.5716921937285236E-3</v>
      </c>
      <c r="P90" s="695"/>
      <c r="Q90" s="705"/>
      <c r="S90" s="743">
        <f t="shared" si="7"/>
        <v>2073</v>
      </c>
      <c r="T90" s="744">
        <f>IF(Select2=1,Food!$W92,"")</f>
        <v>1.5220843771460129E-11</v>
      </c>
      <c r="U90" s="745">
        <f>IF(Select2=1,Paper!$W92,"")</f>
        <v>3.0184992696055809E-3</v>
      </c>
      <c r="V90" s="736">
        <f>IF(Select2=1,Nappies!$W92,"")</f>
        <v>0</v>
      </c>
      <c r="W90" s="745">
        <f>IF(Select2=1,Garden!$W92,"")</f>
        <v>0</v>
      </c>
      <c r="X90" s="736">
        <f>IF(Select2=1,Wood!$W92,"")</f>
        <v>0</v>
      </c>
      <c r="Y90" s="745">
        <f>IF(Select2=1,Textiles!$W92,"")</f>
        <v>1.1416269611115264E-4</v>
      </c>
      <c r="Z90" s="738">
        <f>Sludge!W92</f>
        <v>0</v>
      </c>
      <c r="AA90" s="738" t="str">
        <f>IF(Select2=2,MSW!$W92,"")</f>
        <v/>
      </c>
      <c r="AB90" s="746">
        <f>Industry!$W92</f>
        <v>0</v>
      </c>
      <c r="AC90" s="747">
        <f t="shared" si="5"/>
        <v>3.1326619809375774E-3</v>
      </c>
      <c r="AD90" s="748">
        <f>Recovery_OX!R85</f>
        <v>0</v>
      </c>
      <c r="AE90" s="703"/>
      <c r="AF90" s="750">
        <f>(AC90-AD90)*(1-Recovery_OX!U85)</f>
        <v>3.1326619809375774E-3</v>
      </c>
    </row>
    <row r="91" spans="2:32">
      <c r="B91" s="743">
        <f t="shared" si="6"/>
        <v>2074</v>
      </c>
      <c r="C91" s="744">
        <f>IF(Select2=1,Food!$K93,"")</f>
        <v>1.5249839917325848E-11</v>
      </c>
      <c r="D91" s="745">
        <f>IF(Select2=1,Paper!$K93,"")</f>
        <v>1.3621841511554972E-3</v>
      </c>
      <c r="E91" s="736">
        <f>IF(Select2=1,Nappies!$K93,"")</f>
        <v>5.5387137584013159E-6</v>
      </c>
      <c r="F91" s="745">
        <f>IF(Select2=1,Garden!$K93,"")</f>
        <v>0</v>
      </c>
      <c r="G91" s="736">
        <f>IF(Select2=1,Wood!$K93,"")</f>
        <v>0</v>
      </c>
      <c r="H91" s="745">
        <f>IF(Select2=1,Textiles!$K93,"")</f>
        <v>9.7130690490028625E-5</v>
      </c>
      <c r="I91" s="746">
        <f>Sludge!K93</f>
        <v>0</v>
      </c>
      <c r="J91" s="746" t="str">
        <f>IF(Select2=2,MSW!$K93,"")</f>
        <v/>
      </c>
      <c r="K91" s="746">
        <f>Industry!$K93</f>
        <v>0</v>
      </c>
      <c r="L91" s="747">
        <f t="shared" si="8"/>
        <v>1.4648535706537672E-3</v>
      </c>
      <c r="M91" s="748">
        <f>Recovery_OX!C86</f>
        <v>0</v>
      </c>
      <c r="N91" s="703"/>
      <c r="O91" s="749">
        <f>(L91-M91)*(1-Recovery_OX!F86)</f>
        <v>1.4648535706537672E-3</v>
      </c>
      <c r="P91" s="695"/>
      <c r="Q91" s="705"/>
      <c r="S91" s="743">
        <f t="shared" si="7"/>
        <v>2074</v>
      </c>
      <c r="T91" s="744">
        <f>IF(Select2=1,Food!$W93,"")</f>
        <v>1.0202836697586426E-11</v>
      </c>
      <c r="U91" s="745">
        <f>IF(Select2=1,Paper!$W93,"")</f>
        <v>2.814430064370863E-3</v>
      </c>
      <c r="V91" s="736">
        <f>IF(Select2=1,Nappies!$W93,"")</f>
        <v>0</v>
      </c>
      <c r="W91" s="745">
        <f>IF(Select2=1,Garden!$W93,"")</f>
        <v>0</v>
      </c>
      <c r="X91" s="736">
        <f>IF(Select2=1,Wood!$W93,"")</f>
        <v>0</v>
      </c>
      <c r="Y91" s="745">
        <f>IF(Select2=1,Textiles!$W93,"")</f>
        <v>1.0644459231783956E-4</v>
      </c>
      <c r="Z91" s="738">
        <f>Sludge!W93</f>
        <v>0</v>
      </c>
      <c r="AA91" s="738" t="str">
        <f>IF(Select2=2,MSW!$W93,"")</f>
        <v/>
      </c>
      <c r="AB91" s="746">
        <f>Industry!$W93</f>
        <v>0</v>
      </c>
      <c r="AC91" s="747">
        <f t="shared" si="5"/>
        <v>2.9208746668915393E-3</v>
      </c>
      <c r="AD91" s="748">
        <f>Recovery_OX!R86</f>
        <v>0</v>
      </c>
      <c r="AE91" s="703"/>
      <c r="AF91" s="750">
        <f>(AC91-AD91)*(1-Recovery_OX!U86)</f>
        <v>2.9208746668915393E-3</v>
      </c>
    </row>
    <row r="92" spans="2:32">
      <c r="B92" s="743">
        <f t="shared" si="6"/>
        <v>2075</v>
      </c>
      <c r="C92" s="744">
        <f>IF(Select2=1,Food!$K94,"")</f>
        <v>1.0222273395417995E-11</v>
      </c>
      <c r="D92" s="745">
        <f>IF(Select2=1,Paper!$K94,"")</f>
        <v>1.2700920841112156E-3</v>
      </c>
      <c r="E92" s="736">
        <f>IF(Select2=1,Nappies!$K94,"")</f>
        <v>4.672817927161513E-6</v>
      </c>
      <c r="F92" s="745">
        <f>IF(Select2=1,Garden!$K94,"")</f>
        <v>0</v>
      </c>
      <c r="G92" s="736">
        <f>IF(Select2=1,Wood!$K94,"")</f>
        <v>0</v>
      </c>
      <c r="H92" s="745">
        <f>IF(Select2=1,Textiles!$K94,"")</f>
        <v>9.0564055536100155E-5</v>
      </c>
      <c r="I92" s="746">
        <f>Sludge!K94</f>
        <v>0</v>
      </c>
      <c r="J92" s="746" t="str">
        <f>IF(Select2=2,MSW!$K94,"")</f>
        <v/>
      </c>
      <c r="K92" s="746">
        <f>Industry!$K94</f>
        <v>0</v>
      </c>
      <c r="L92" s="747">
        <f t="shared" si="8"/>
        <v>1.3653289677967508E-3</v>
      </c>
      <c r="M92" s="748">
        <f>Recovery_OX!C87</f>
        <v>0</v>
      </c>
      <c r="N92" s="703"/>
      <c r="O92" s="749">
        <f>(L92-M92)*(1-Recovery_OX!F87)</f>
        <v>1.3653289677967508E-3</v>
      </c>
      <c r="P92" s="695"/>
      <c r="Q92" s="705"/>
      <c r="S92" s="743">
        <f t="shared" si="7"/>
        <v>2075</v>
      </c>
      <c r="T92" s="744">
        <f>IF(Select2=1,Food!$W94,"")</f>
        <v>6.8391659648202444E-12</v>
      </c>
      <c r="U92" s="745">
        <f>IF(Select2=1,Paper!$W94,"")</f>
        <v>2.624157198576893E-3</v>
      </c>
      <c r="V92" s="736">
        <f>IF(Select2=1,Nappies!$W94,"")</f>
        <v>0</v>
      </c>
      <c r="W92" s="745">
        <f>IF(Select2=1,Garden!$W94,"")</f>
        <v>0</v>
      </c>
      <c r="X92" s="736">
        <f>IF(Select2=1,Wood!$W94,"")</f>
        <v>0</v>
      </c>
      <c r="Y92" s="745">
        <f>IF(Select2=1,Textiles!$W94,"")</f>
        <v>9.924828003956178E-5</v>
      </c>
      <c r="Z92" s="738">
        <f>Sludge!W94</f>
        <v>0</v>
      </c>
      <c r="AA92" s="738" t="str">
        <f>IF(Select2=2,MSW!$W94,"")</f>
        <v/>
      </c>
      <c r="AB92" s="746">
        <f>Industry!$W94</f>
        <v>0</v>
      </c>
      <c r="AC92" s="747">
        <f t="shared" si="5"/>
        <v>2.7234054854556209E-3</v>
      </c>
      <c r="AD92" s="748">
        <f>Recovery_OX!R87</f>
        <v>0</v>
      </c>
      <c r="AE92" s="703"/>
      <c r="AF92" s="750">
        <f>(AC92-AD92)*(1-Recovery_OX!U87)</f>
        <v>2.7234054854556209E-3</v>
      </c>
    </row>
    <row r="93" spans="2:32">
      <c r="B93" s="743">
        <f t="shared" si="6"/>
        <v>2076</v>
      </c>
      <c r="C93" s="744">
        <f>IF(Select2=1,Food!$K95,"")</f>
        <v>6.8521947730054806E-12</v>
      </c>
      <c r="D93" s="745">
        <f>IF(Select2=1,Paper!$K95,"")</f>
        <v>1.1842260099367632E-3</v>
      </c>
      <c r="E93" s="736">
        <f>IF(Select2=1,Nappies!$K95,"")</f>
        <v>3.9422920795070112E-6</v>
      </c>
      <c r="F93" s="745">
        <f>IF(Select2=1,Garden!$K95,"")</f>
        <v>0</v>
      </c>
      <c r="G93" s="736">
        <f>IF(Select2=1,Wood!$K95,"")</f>
        <v>0</v>
      </c>
      <c r="H93" s="745">
        <f>IF(Select2=1,Textiles!$K95,"")</f>
        <v>8.4441365687478874E-5</v>
      </c>
      <c r="I93" s="746">
        <f>Sludge!K95</f>
        <v>0</v>
      </c>
      <c r="J93" s="746" t="str">
        <f>IF(Select2=2,MSW!$K95,"")</f>
        <v/>
      </c>
      <c r="K93" s="746">
        <f>Industry!$K95</f>
        <v>0</v>
      </c>
      <c r="L93" s="747">
        <f t="shared" si="8"/>
        <v>1.2726096745559442E-3</v>
      </c>
      <c r="M93" s="748">
        <f>Recovery_OX!C88</f>
        <v>0</v>
      </c>
      <c r="N93" s="703"/>
      <c r="O93" s="749">
        <f>(L93-M93)*(1-Recovery_OX!F88)</f>
        <v>1.2726096745559442E-3</v>
      </c>
      <c r="P93" s="695"/>
      <c r="Q93" s="705"/>
      <c r="S93" s="743">
        <f t="shared" si="7"/>
        <v>2076</v>
      </c>
      <c r="T93" s="744">
        <f>IF(Select2=1,Food!$W95,"")</f>
        <v>4.5844300443836837E-12</v>
      </c>
      <c r="U93" s="745">
        <f>IF(Select2=1,Paper!$W95,"")</f>
        <v>2.4467479544148006E-3</v>
      </c>
      <c r="V93" s="736">
        <f>IF(Select2=1,Nappies!$W95,"")</f>
        <v>0</v>
      </c>
      <c r="W93" s="745">
        <f>IF(Select2=1,Garden!$W95,"")</f>
        <v>0</v>
      </c>
      <c r="X93" s="736">
        <f>IF(Select2=1,Wood!$W95,"")</f>
        <v>0</v>
      </c>
      <c r="Y93" s="745">
        <f>IF(Select2=1,Textiles!$W95,"")</f>
        <v>9.25384829451823E-5</v>
      </c>
      <c r="Z93" s="738">
        <f>Sludge!W95</f>
        <v>0</v>
      </c>
      <c r="AA93" s="738" t="str">
        <f>IF(Select2=2,MSW!$W95,"")</f>
        <v/>
      </c>
      <c r="AB93" s="746">
        <f>Industry!$W95</f>
        <v>0</v>
      </c>
      <c r="AC93" s="747">
        <f t="shared" si="5"/>
        <v>2.5392864419444129E-3</v>
      </c>
      <c r="AD93" s="748">
        <f>Recovery_OX!R88</f>
        <v>0</v>
      </c>
      <c r="AE93" s="703"/>
      <c r="AF93" s="750">
        <f>(AC93-AD93)*(1-Recovery_OX!U88)</f>
        <v>2.5392864419444129E-3</v>
      </c>
    </row>
    <row r="94" spans="2:32">
      <c r="B94" s="743">
        <f t="shared" si="6"/>
        <v>2077</v>
      </c>
      <c r="C94" s="744">
        <f>IF(Select2=1,Food!$K96,"")</f>
        <v>4.5931635156862018E-12</v>
      </c>
      <c r="D94" s="745">
        <f>IF(Select2=1,Paper!$K96,"")</f>
        <v>1.1041650130369182E-3</v>
      </c>
      <c r="E94" s="736">
        <f>IF(Select2=1,Nappies!$K96,"")</f>
        <v>3.3259731242266596E-6</v>
      </c>
      <c r="F94" s="745">
        <f>IF(Select2=1,Garden!$K96,"")</f>
        <v>0</v>
      </c>
      <c r="G94" s="736">
        <f>IF(Select2=1,Wood!$K96,"")</f>
        <v>0</v>
      </c>
      <c r="H94" s="745">
        <f>IF(Select2=1,Textiles!$K96,"")</f>
        <v>7.8732607511423496E-5</v>
      </c>
      <c r="I94" s="746">
        <f>Sludge!K96</f>
        <v>0</v>
      </c>
      <c r="J94" s="746" t="str">
        <f>IF(Select2=2,MSW!$K96,"")</f>
        <v/>
      </c>
      <c r="K94" s="746">
        <f>Industry!$K96</f>
        <v>0</v>
      </c>
      <c r="L94" s="747">
        <f t="shared" si="8"/>
        <v>1.1862235982657318E-3</v>
      </c>
      <c r="M94" s="748">
        <f>Recovery_OX!C89</f>
        <v>0</v>
      </c>
      <c r="N94" s="703"/>
      <c r="O94" s="749">
        <f>(L94-M94)*(1-Recovery_OX!F89)</f>
        <v>1.1862235982657318E-3</v>
      </c>
      <c r="P94" s="695"/>
      <c r="Q94" s="705"/>
      <c r="S94" s="743">
        <f t="shared" si="7"/>
        <v>2077</v>
      </c>
      <c r="T94" s="744">
        <f>IF(Select2=1,Food!$W96,"")</f>
        <v>3.0730353583984392E-12</v>
      </c>
      <c r="U94" s="745">
        <f>IF(Select2=1,Paper!$W96,"")</f>
        <v>2.2813326715638814E-3</v>
      </c>
      <c r="V94" s="736">
        <f>IF(Select2=1,Nappies!$W96,"")</f>
        <v>0</v>
      </c>
      <c r="W94" s="745">
        <f>IF(Select2=1,Garden!$W96,"")</f>
        <v>0</v>
      </c>
      <c r="X94" s="736">
        <f>IF(Select2=1,Wood!$W96,"")</f>
        <v>0</v>
      </c>
      <c r="Y94" s="745">
        <f>IF(Select2=1,Textiles!$W96,"")</f>
        <v>8.6282309601559963E-5</v>
      </c>
      <c r="Z94" s="738">
        <f>Sludge!W96</f>
        <v>0</v>
      </c>
      <c r="AA94" s="738" t="str">
        <f>IF(Select2=2,MSW!$W96,"")</f>
        <v/>
      </c>
      <c r="AB94" s="746">
        <f>Industry!$W96</f>
        <v>0</v>
      </c>
      <c r="AC94" s="747">
        <f t="shared" si="5"/>
        <v>2.3676149842384768E-3</v>
      </c>
      <c r="AD94" s="748">
        <f>Recovery_OX!R89</f>
        <v>0</v>
      </c>
      <c r="AE94" s="703"/>
      <c r="AF94" s="750">
        <f>(AC94-AD94)*(1-Recovery_OX!U89)</f>
        <v>2.3676149842384768E-3</v>
      </c>
    </row>
    <row r="95" spans="2:32">
      <c r="B95" s="743">
        <f t="shared" si="6"/>
        <v>2078</v>
      </c>
      <c r="C95" s="744">
        <f>IF(Select2=1,Food!$K97,"")</f>
        <v>3.0788895792839936E-12</v>
      </c>
      <c r="D95" s="745">
        <f>IF(Select2=1,Paper!$K97,"")</f>
        <v>1.0295166343119932E-3</v>
      </c>
      <c r="E95" s="736">
        <f>IF(Select2=1,Nappies!$K97,"")</f>
        <v>2.8060065058551857E-6</v>
      </c>
      <c r="F95" s="745">
        <f>IF(Select2=1,Garden!$K97,"")</f>
        <v>0</v>
      </c>
      <c r="G95" s="736">
        <f>IF(Select2=1,Wood!$K97,"")</f>
        <v>0</v>
      </c>
      <c r="H95" s="745">
        <f>IF(Select2=1,Textiles!$K97,"")</f>
        <v>7.3409796668731908E-5</v>
      </c>
      <c r="I95" s="746">
        <f>Sludge!K97</f>
        <v>0</v>
      </c>
      <c r="J95" s="746" t="str">
        <f>IF(Select2=2,MSW!$K97,"")</f>
        <v/>
      </c>
      <c r="K95" s="746">
        <f>Industry!$K97</f>
        <v>0</v>
      </c>
      <c r="L95" s="747">
        <f t="shared" si="8"/>
        <v>1.1057324405654699E-3</v>
      </c>
      <c r="M95" s="748">
        <f>Recovery_OX!C90</f>
        <v>0</v>
      </c>
      <c r="N95" s="703"/>
      <c r="O95" s="749">
        <f>(L95-M95)*(1-Recovery_OX!F90)</f>
        <v>1.1057324405654699E-3</v>
      </c>
      <c r="P95" s="695"/>
      <c r="Q95" s="705"/>
      <c r="S95" s="743">
        <f t="shared" si="7"/>
        <v>2078</v>
      </c>
      <c r="T95" s="744">
        <f>IF(Select2=1,Food!$W97,"")</f>
        <v>2.0599172029107892E-12</v>
      </c>
      <c r="U95" s="745">
        <f>IF(Select2=1,Paper!$W97,"")</f>
        <v>2.1271004841156892E-3</v>
      </c>
      <c r="V95" s="736">
        <f>IF(Select2=1,Nappies!$W97,"")</f>
        <v>0</v>
      </c>
      <c r="W95" s="745">
        <f>IF(Select2=1,Garden!$W97,"")</f>
        <v>0</v>
      </c>
      <c r="X95" s="736">
        <f>IF(Select2=1,Wood!$W97,"")</f>
        <v>0</v>
      </c>
      <c r="Y95" s="745">
        <f>IF(Select2=1,Textiles!$W97,"")</f>
        <v>8.0449092239706177E-5</v>
      </c>
      <c r="Z95" s="738">
        <f>Sludge!W97</f>
        <v>0</v>
      </c>
      <c r="AA95" s="738" t="str">
        <f>IF(Select2=2,MSW!$W97,"")</f>
        <v/>
      </c>
      <c r="AB95" s="746">
        <f>Industry!$W97</f>
        <v>0</v>
      </c>
      <c r="AC95" s="747">
        <f t="shared" si="5"/>
        <v>2.2075495784153127E-3</v>
      </c>
      <c r="AD95" s="748">
        <f>Recovery_OX!R90</f>
        <v>0</v>
      </c>
      <c r="AE95" s="703"/>
      <c r="AF95" s="750">
        <f>(AC95-AD95)*(1-Recovery_OX!U90)</f>
        <v>2.2075495784153127E-3</v>
      </c>
    </row>
    <row r="96" spans="2:32">
      <c r="B96" s="743">
        <f t="shared" si="6"/>
        <v>2079</v>
      </c>
      <c r="C96" s="744">
        <f>IF(Select2=1,Food!$K98,"")</f>
        <v>2.0638414045242969E-12</v>
      </c>
      <c r="D96" s="745">
        <f>IF(Select2=1,Paper!$K98,"")</f>
        <v>9.5991494732287474E-4</v>
      </c>
      <c r="E96" s="736">
        <f>IF(Select2=1,Nappies!$K98,"")</f>
        <v>2.367328964130575E-6</v>
      </c>
      <c r="F96" s="745">
        <f>IF(Select2=1,Garden!$K98,"")</f>
        <v>0</v>
      </c>
      <c r="G96" s="736">
        <f>IF(Select2=1,Wood!$K98,"")</f>
        <v>0</v>
      </c>
      <c r="H96" s="745">
        <f>IF(Select2=1,Textiles!$K98,"")</f>
        <v>6.8446840734477887E-5</v>
      </c>
      <c r="I96" s="746">
        <f>Sludge!K98</f>
        <v>0</v>
      </c>
      <c r="J96" s="746" t="str">
        <f>IF(Select2=2,MSW!$K98,"")</f>
        <v/>
      </c>
      <c r="K96" s="746">
        <f>Industry!$K98</f>
        <v>0</v>
      </c>
      <c r="L96" s="747">
        <f t="shared" si="8"/>
        <v>1.0307291190853245E-3</v>
      </c>
      <c r="M96" s="748">
        <f>Recovery_OX!C91</f>
        <v>0</v>
      </c>
      <c r="N96" s="703"/>
      <c r="O96" s="749">
        <f>(L96-M96)*(1-Recovery_OX!F91)</f>
        <v>1.0307291190853245E-3</v>
      </c>
      <c r="P96" s="693"/>
      <c r="S96" s="743">
        <f t="shared" si="7"/>
        <v>2079</v>
      </c>
      <c r="T96" s="744">
        <f>IF(Select2=1,Food!$W98,"")</f>
        <v>1.3808037942847657E-12</v>
      </c>
      <c r="U96" s="745">
        <f>IF(Select2=1,Paper!$W98,"")</f>
        <v>1.9832953457084197E-3</v>
      </c>
      <c r="V96" s="736">
        <f>IF(Select2=1,Nappies!$W98,"")</f>
        <v>0</v>
      </c>
      <c r="W96" s="745">
        <f>IF(Select2=1,Garden!$W98,"")</f>
        <v>0</v>
      </c>
      <c r="X96" s="736">
        <f>IF(Select2=1,Wood!$W98,"")</f>
        <v>0</v>
      </c>
      <c r="Y96" s="745">
        <f>IF(Select2=1,Textiles!$W98,"")</f>
        <v>7.501023642134561E-5</v>
      </c>
      <c r="Z96" s="738">
        <f>Sludge!W98</f>
        <v>0</v>
      </c>
      <c r="AA96" s="738" t="str">
        <f>IF(Select2=2,MSW!$W98,"")</f>
        <v/>
      </c>
      <c r="AB96" s="746">
        <f>Industry!$W98</f>
        <v>0</v>
      </c>
      <c r="AC96" s="747">
        <f t="shared" si="5"/>
        <v>2.0583055835105691E-3</v>
      </c>
      <c r="AD96" s="748">
        <f>Recovery_OX!R91</f>
        <v>0</v>
      </c>
      <c r="AE96" s="703"/>
      <c r="AF96" s="750">
        <f>(AC96-AD96)*(1-Recovery_OX!U91)</f>
        <v>2.0583055835105691E-3</v>
      </c>
    </row>
    <row r="97" spans="2:32" ht="13.5" thickBot="1">
      <c r="B97" s="751">
        <f t="shared" si="6"/>
        <v>2080</v>
      </c>
      <c r="C97" s="752">
        <f>IF(Select2=1,Food!$K99,"")</f>
        <v>1.3834342652909851E-12</v>
      </c>
      <c r="D97" s="753">
        <f>IF(Select2=1,Paper!$K99,"")</f>
        <v>8.9501876451919234E-4</v>
      </c>
      <c r="E97" s="753">
        <f>IF(Select2=1,Nappies!$K99,"")</f>
        <v>1.9972321563465283E-6</v>
      </c>
      <c r="F97" s="753">
        <f>IF(Select2=1,Garden!$K99,"")</f>
        <v>0</v>
      </c>
      <c r="G97" s="753">
        <f>IF(Select2=1,Wood!$K99,"")</f>
        <v>0</v>
      </c>
      <c r="H97" s="753">
        <f>IF(Select2=1,Textiles!$K99,"")</f>
        <v>6.3819411292913904E-5</v>
      </c>
      <c r="I97" s="754">
        <f>Sludge!K99</f>
        <v>0</v>
      </c>
      <c r="J97" s="754" t="str">
        <f>IF(Select2=2,MSW!$K99,"")</f>
        <v/>
      </c>
      <c r="K97" s="746">
        <f>Industry!$K99</f>
        <v>0</v>
      </c>
      <c r="L97" s="747">
        <f t="shared" si="8"/>
        <v>9.6083540935188708E-4</v>
      </c>
      <c r="M97" s="755">
        <f>Recovery_OX!C92</f>
        <v>0</v>
      </c>
      <c r="N97" s="703"/>
      <c r="O97" s="756">
        <f>(L97-M97)*(1-Recovery_OX!F92)</f>
        <v>9.6083540935188708E-4</v>
      </c>
      <c r="S97" s="751">
        <f t="shared" si="7"/>
        <v>2080</v>
      </c>
      <c r="T97" s="752">
        <f>IF(Select2=1,Food!$W99,"")</f>
        <v>9.2558046295114952E-13</v>
      </c>
      <c r="U97" s="753">
        <f>IF(Select2=1,Paper!$W99,"")</f>
        <v>1.8492123233867614E-3</v>
      </c>
      <c r="V97" s="753">
        <f>IF(Select2=1,Nappies!$W99,"")</f>
        <v>0</v>
      </c>
      <c r="W97" s="753">
        <f>IF(Select2=1,Garden!$W99,"")</f>
        <v>0</v>
      </c>
      <c r="X97" s="753">
        <f>IF(Select2=1,Wood!$W99,"")</f>
        <v>0</v>
      </c>
      <c r="Y97" s="753">
        <f>IF(Select2=1,Textiles!$W99,"")</f>
        <v>6.9939080868946721E-5</v>
      </c>
      <c r="Z97" s="754">
        <f>Sludge!W99</f>
        <v>0</v>
      </c>
      <c r="AA97" s="754" t="str">
        <f>IF(Select2=2,MSW!$W99,"")</f>
        <v/>
      </c>
      <c r="AB97" s="746">
        <f>Industry!$W99</f>
        <v>0</v>
      </c>
      <c r="AC97" s="757">
        <f t="shared" si="5"/>
        <v>1.9191514051812885E-3</v>
      </c>
      <c r="AD97" s="755">
        <f>Recovery_OX!R92</f>
        <v>0</v>
      </c>
      <c r="AE97" s="703"/>
      <c r="AF97" s="758">
        <f>(AC97-AD97)*(1-Recovery_OX!U92)</f>
        <v>1.9191514051812885E-3</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70" customWidth="1"/>
    <col min="14" max="14" width="9.85546875" style="470" customWidth="1"/>
    <col min="15" max="15" width="8.7109375" style="470" customWidth="1"/>
    <col min="16" max="16384" width="11.42578125" style="6"/>
  </cols>
  <sheetData>
    <row r="2" spans="2:15" s="468" customFormat="1">
      <c r="B2" s="468" t="s">
        <v>282</v>
      </c>
      <c r="M2" s="469"/>
      <c r="N2" s="469"/>
      <c r="O2" s="469"/>
    </row>
    <row r="4" spans="2:15">
      <c r="B4" s="6" t="s">
        <v>283</v>
      </c>
    </row>
    <row r="7" spans="2:15" ht="13.5" thickBot="1"/>
    <row r="8" spans="2:15" ht="13.5" thickBot="1">
      <c r="B8" s="471"/>
      <c r="C8" s="816" t="s">
        <v>284</v>
      </c>
      <c r="D8" s="817"/>
      <c r="E8" s="818"/>
      <c r="F8" s="816" t="s">
        <v>285</v>
      </c>
      <c r="G8" s="817"/>
      <c r="H8" s="819"/>
      <c r="I8" s="472"/>
      <c r="J8" s="816" t="s">
        <v>286</v>
      </c>
      <c r="K8" s="817"/>
      <c r="L8" s="819"/>
      <c r="M8" s="820" t="s">
        <v>287</v>
      </c>
      <c r="N8" s="821"/>
      <c r="O8" s="822"/>
    </row>
    <row r="9" spans="2:15" ht="26.25" thickBot="1">
      <c r="B9" s="174" t="s">
        <v>1</v>
      </c>
      <c r="C9" s="473" t="s">
        <v>288</v>
      </c>
      <c r="D9" s="474" t="s">
        <v>289</v>
      </c>
      <c r="E9" s="475" t="s">
        <v>290</v>
      </c>
      <c r="F9" s="476" t="s">
        <v>288</v>
      </c>
      <c r="G9" s="477" t="s">
        <v>289</v>
      </c>
      <c r="H9" s="478" t="s">
        <v>290</v>
      </c>
      <c r="I9" s="472"/>
      <c r="J9" s="476" t="s">
        <v>261</v>
      </c>
      <c r="K9" s="477" t="s">
        <v>262</v>
      </c>
      <c r="L9" s="478" t="s">
        <v>2</v>
      </c>
      <c r="M9" s="479" t="s">
        <v>261</v>
      </c>
      <c r="N9" s="480" t="s">
        <v>262</v>
      </c>
      <c r="O9" s="481" t="s">
        <v>2</v>
      </c>
    </row>
    <row r="10" spans="2:15" ht="13.5" thickBot="1">
      <c r="B10" s="143"/>
      <c r="C10" s="482" t="s">
        <v>15</v>
      </c>
      <c r="D10" s="483" t="s">
        <v>15</v>
      </c>
      <c r="E10" s="484" t="s">
        <v>15</v>
      </c>
      <c r="F10" s="485" t="s">
        <v>15</v>
      </c>
      <c r="G10" s="483" t="s">
        <v>15</v>
      </c>
      <c r="H10" s="484" t="s">
        <v>15</v>
      </c>
      <c r="I10" s="486"/>
      <c r="J10" s="485" t="s">
        <v>15</v>
      </c>
      <c r="K10" s="483" t="s">
        <v>15</v>
      </c>
      <c r="L10" s="484" t="s">
        <v>15</v>
      </c>
      <c r="M10" s="485" t="s">
        <v>15</v>
      </c>
      <c r="N10" s="483" t="s">
        <v>15</v>
      </c>
      <c r="O10" s="484" t="s">
        <v>15</v>
      </c>
    </row>
    <row r="11" spans="2:15" ht="13.5" thickBot="1">
      <c r="B11" s="487"/>
      <c r="C11" s="488"/>
      <c r="D11" s="489"/>
      <c r="E11" s="490"/>
      <c r="F11" s="491"/>
      <c r="G11" s="492"/>
      <c r="H11" s="43"/>
      <c r="I11" s="493"/>
      <c r="J11" s="494"/>
      <c r="K11" s="495"/>
      <c r="L11" s="496"/>
      <c r="M11" s="497"/>
      <c r="N11" s="489"/>
      <c r="O11" s="490"/>
    </row>
    <row r="12" spans="2:15">
      <c r="B12" s="498">
        <f>year</f>
        <v>1950</v>
      </c>
      <c r="C12" s="499">
        <f>Stored_C!E18</f>
        <v>0</v>
      </c>
      <c r="D12" s="500">
        <f>Stored_C!F18+Stored_C!L18</f>
        <v>0.53795073644928004</v>
      </c>
      <c r="E12" s="501">
        <f>Stored_C!G18+Stored_C!M18</f>
        <v>0</v>
      </c>
      <c r="F12" s="502">
        <f>F11+HWP!C12</f>
        <v>0</v>
      </c>
      <c r="G12" s="500">
        <f>G11+HWP!D12</f>
        <v>0.53795073644928004</v>
      </c>
      <c r="H12" s="501">
        <f>H11+HWP!E12</f>
        <v>0</v>
      </c>
      <c r="I12" s="493"/>
      <c r="J12" s="503">
        <f>Garden!J19</f>
        <v>0</v>
      </c>
      <c r="K12" s="504">
        <f>Paper!J19</f>
        <v>0</v>
      </c>
      <c r="L12" s="505">
        <f>Wood!J19</f>
        <v>0</v>
      </c>
      <c r="M12" s="506">
        <f>J12*(1-Recovery_OX!E12)*(1-Recovery_OX!F12)</f>
        <v>0</v>
      </c>
      <c r="N12" s="504">
        <f>K12*(1-Recovery_OX!E12)*(1-Recovery_OX!F12)</f>
        <v>0</v>
      </c>
      <c r="O12" s="505">
        <f>L12*(1-Recovery_OX!E12)*(1-Recovery_OX!F12)</f>
        <v>0</v>
      </c>
    </row>
    <row r="13" spans="2:15">
      <c r="B13" s="507">
        <f>B12+1</f>
        <v>1951</v>
      </c>
      <c r="C13" s="508">
        <f>Stored_C!E19</f>
        <v>0</v>
      </c>
      <c r="D13" s="509">
        <f>Stored_C!F19+Stored_C!L19</f>
        <v>0.54795306230016017</v>
      </c>
      <c r="E13" s="510">
        <f>Stored_C!G19+Stored_C!M19</f>
        <v>0</v>
      </c>
      <c r="F13" s="511">
        <f>F12+HWP!C13</f>
        <v>0</v>
      </c>
      <c r="G13" s="509">
        <f>G12+HWP!D13</f>
        <v>1.0859037987494402</v>
      </c>
      <c r="H13" s="510">
        <f>H12+HWP!E13</f>
        <v>0</v>
      </c>
      <c r="I13" s="493"/>
      <c r="J13" s="512">
        <f>Garden!J20</f>
        <v>0</v>
      </c>
      <c r="K13" s="513">
        <f>Paper!J20</f>
        <v>1.7602496475137008E-2</v>
      </c>
      <c r="L13" s="514">
        <f>Wood!J20</f>
        <v>0</v>
      </c>
      <c r="M13" s="515">
        <f>J13*(1-Recovery_OX!E13)*(1-Recovery_OX!F13)</f>
        <v>0</v>
      </c>
      <c r="N13" s="513">
        <f>K13*(1-Recovery_OX!E13)*(1-Recovery_OX!F13)</f>
        <v>1.7602496475137008E-2</v>
      </c>
      <c r="O13" s="514">
        <f>L13*(1-Recovery_OX!E13)*(1-Recovery_OX!F13)</f>
        <v>0</v>
      </c>
    </row>
    <row r="14" spans="2:15">
      <c r="B14" s="507">
        <f t="shared" ref="B14:B77" si="0">B13+1</f>
        <v>1952</v>
      </c>
      <c r="C14" s="508">
        <f>Stored_C!E20</f>
        <v>0</v>
      </c>
      <c r="D14" s="509">
        <f>Stored_C!F20+Stored_C!L20</f>
        <v>0.56445208383168011</v>
      </c>
      <c r="E14" s="510">
        <f>Stored_C!G20+Stored_C!M20</f>
        <v>0</v>
      </c>
      <c r="F14" s="511">
        <f>F13+HWP!C14</f>
        <v>0</v>
      </c>
      <c r="G14" s="509">
        <f>G13+HWP!D14</f>
        <v>1.6503558825811204</v>
      </c>
      <c r="H14" s="510">
        <f>H13+HWP!E14</f>
        <v>0</v>
      </c>
      <c r="I14" s="493"/>
      <c r="J14" s="512">
        <f>Garden!J21</f>
        <v>0</v>
      </c>
      <c r="K14" s="513">
        <f>Paper!J21</f>
        <v>3.4342245420202644E-2</v>
      </c>
      <c r="L14" s="514">
        <f>Wood!J21</f>
        <v>0</v>
      </c>
      <c r="M14" s="515">
        <f>J14*(1-Recovery_OX!E14)*(1-Recovery_OX!F14)</f>
        <v>0</v>
      </c>
      <c r="N14" s="513">
        <f>K14*(1-Recovery_OX!E14)*(1-Recovery_OX!F14)</f>
        <v>3.4342245420202644E-2</v>
      </c>
      <c r="O14" s="514">
        <f>L14*(1-Recovery_OX!E14)*(1-Recovery_OX!F14)</f>
        <v>0</v>
      </c>
    </row>
    <row r="15" spans="2:15">
      <c r="B15" s="507">
        <f t="shared" si="0"/>
        <v>1953</v>
      </c>
      <c r="C15" s="508">
        <f>Stored_C!E21</f>
        <v>0</v>
      </c>
      <c r="D15" s="509">
        <f>Stored_C!F21+Stored_C!L21</f>
        <v>0.6089847401193601</v>
      </c>
      <c r="E15" s="510">
        <f>Stored_C!G21+Stored_C!M21</f>
        <v>0</v>
      </c>
      <c r="F15" s="511">
        <f>F14+HWP!C15</f>
        <v>0</v>
      </c>
      <c r="G15" s="509">
        <f>G14+HWP!D15</f>
        <v>2.2593406227004804</v>
      </c>
      <c r="H15" s="510">
        <f>H14+HWP!E15</f>
        <v>0</v>
      </c>
      <c r="I15" s="493"/>
      <c r="J15" s="512">
        <f>Garden!J22</f>
        <v>0</v>
      </c>
      <c r="K15" s="513">
        <f>Paper!J22</f>
        <v>5.049015482074018E-2</v>
      </c>
      <c r="L15" s="514">
        <f>Wood!J22</f>
        <v>0</v>
      </c>
      <c r="M15" s="515">
        <f>J15*(1-Recovery_OX!E15)*(1-Recovery_OX!F15)</f>
        <v>0</v>
      </c>
      <c r="N15" s="513">
        <f>K15*(1-Recovery_OX!E15)*(1-Recovery_OX!F15)</f>
        <v>5.049015482074018E-2</v>
      </c>
      <c r="O15" s="514">
        <f>L15*(1-Recovery_OX!E15)*(1-Recovery_OX!F15)</f>
        <v>0</v>
      </c>
    </row>
    <row r="16" spans="2:15">
      <c r="B16" s="507">
        <f t="shared" si="0"/>
        <v>1954</v>
      </c>
      <c r="C16" s="508">
        <f>Stored_C!E22</f>
        <v>0</v>
      </c>
      <c r="D16" s="509">
        <f>Stored_C!F22+Stored_C!L22</f>
        <v>0.61516458564000009</v>
      </c>
      <c r="E16" s="510">
        <f>Stored_C!G22+Stored_C!M22</f>
        <v>0</v>
      </c>
      <c r="F16" s="511">
        <f>F15+HWP!C16</f>
        <v>0</v>
      </c>
      <c r="G16" s="509">
        <f>G15+HWP!D16</f>
        <v>2.8745052083404805</v>
      </c>
      <c r="H16" s="510">
        <f>H15+HWP!E16</f>
        <v>0</v>
      </c>
      <c r="I16" s="493"/>
      <c r="J16" s="512">
        <f>Garden!J23</f>
        <v>0</v>
      </c>
      <c r="K16" s="513">
        <f>Paper!J23</f>
        <v>6.700353621623141E-2</v>
      </c>
      <c r="L16" s="514">
        <f>Wood!J23</f>
        <v>0</v>
      </c>
      <c r="M16" s="515">
        <f>J16*(1-Recovery_OX!E16)*(1-Recovery_OX!F16)</f>
        <v>0</v>
      </c>
      <c r="N16" s="513">
        <f>K16*(1-Recovery_OX!E16)*(1-Recovery_OX!F16)</f>
        <v>6.700353621623141E-2</v>
      </c>
      <c r="O16" s="514">
        <f>L16*(1-Recovery_OX!E16)*(1-Recovery_OX!F16)</f>
        <v>0</v>
      </c>
    </row>
    <row r="17" spans="2:15">
      <c r="B17" s="507">
        <f t="shared" si="0"/>
        <v>1955</v>
      </c>
      <c r="C17" s="508">
        <f>Stored_C!E23</f>
        <v>0</v>
      </c>
      <c r="D17" s="509">
        <f>Stored_C!F23+Stored_C!L23</f>
        <v>0.63191328509760014</v>
      </c>
      <c r="E17" s="510">
        <f>Stored_C!G23+Stored_C!M23</f>
        <v>0</v>
      </c>
      <c r="F17" s="511">
        <f>F16+HWP!C17</f>
        <v>0</v>
      </c>
      <c r="G17" s="509">
        <f>G16+HWP!D17</f>
        <v>3.5064184934380807</v>
      </c>
      <c r="H17" s="510">
        <f>H16+HWP!E17</f>
        <v>0</v>
      </c>
      <c r="I17" s="493"/>
      <c r="J17" s="512">
        <f>Garden!J24</f>
        <v>0</v>
      </c>
      <c r="K17" s="513">
        <f>Paper!J24</f>
        <v>8.2602724117760651E-2</v>
      </c>
      <c r="L17" s="514">
        <f>Wood!J24</f>
        <v>0</v>
      </c>
      <c r="M17" s="515">
        <f>J17*(1-Recovery_OX!E17)*(1-Recovery_OX!F17)</f>
        <v>0</v>
      </c>
      <c r="N17" s="513">
        <f>K17*(1-Recovery_OX!E17)*(1-Recovery_OX!F17)</f>
        <v>8.2602724117760651E-2</v>
      </c>
      <c r="O17" s="514">
        <f>L17*(1-Recovery_OX!E17)*(1-Recovery_OX!F17)</f>
        <v>0</v>
      </c>
    </row>
    <row r="18" spans="2:15">
      <c r="B18" s="507">
        <f t="shared" si="0"/>
        <v>1956</v>
      </c>
      <c r="C18" s="508">
        <f>Stored_C!E24</f>
        <v>0</v>
      </c>
      <c r="D18" s="509">
        <f>Stored_C!F24+Stored_C!L24</f>
        <v>0.64468107914496009</v>
      </c>
      <c r="E18" s="510">
        <f>Stored_C!G24+Stored_C!M24</f>
        <v>0</v>
      </c>
      <c r="F18" s="511">
        <f>F17+HWP!C18</f>
        <v>0</v>
      </c>
      <c r="G18" s="509">
        <f>G17+HWP!D18</f>
        <v>4.1510995725830409</v>
      </c>
      <c r="H18" s="510">
        <f>H17+HWP!E18</f>
        <v>0</v>
      </c>
      <c r="I18" s="493"/>
      <c r="J18" s="512">
        <f>Garden!J25</f>
        <v>0</v>
      </c>
      <c r="K18" s="513">
        <f>Paper!J25</f>
        <v>9.7695351259164037E-2</v>
      </c>
      <c r="L18" s="514">
        <f>Wood!J25</f>
        <v>0</v>
      </c>
      <c r="M18" s="515">
        <f>J18*(1-Recovery_OX!E18)*(1-Recovery_OX!F18)</f>
        <v>0</v>
      </c>
      <c r="N18" s="513">
        <f>K18*(1-Recovery_OX!E18)*(1-Recovery_OX!F18)</f>
        <v>9.7695351259164037E-2</v>
      </c>
      <c r="O18" s="514">
        <f>L18*(1-Recovery_OX!E18)*(1-Recovery_OX!F18)</f>
        <v>0</v>
      </c>
    </row>
    <row r="19" spans="2:15">
      <c r="B19" s="507">
        <f t="shared" si="0"/>
        <v>1957</v>
      </c>
      <c r="C19" s="508">
        <f>Stored_C!E25</f>
        <v>0</v>
      </c>
      <c r="D19" s="509">
        <f>Stored_C!F25+Stored_C!L25</f>
        <v>0.65742859478208016</v>
      </c>
      <c r="E19" s="510">
        <f>Stored_C!G25+Stored_C!M25</f>
        <v>0</v>
      </c>
      <c r="F19" s="511">
        <f>F18+HWP!C19</f>
        <v>0</v>
      </c>
      <c r="G19" s="509">
        <f>G18+HWP!D19</f>
        <v>4.8085281673651208</v>
      </c>
      <c r="H19" s="510">
        <f>H18+HWP!E19</f>
        <v>0</v>
      </c>
      <c r="I19" s="493"/>
      <c r="J19" s="512">
        <f>Garden!J26</f>
        <v>0</v>
      </c>
      <c r="K19" s="513">
        <f>Paper!J26</f>
        <v>0.11218540351529781</v>
      </c>
      <c r="L19" s="514">
        <f>Wood!J26</f>
        <v>0</v>
      </c>
      <c r="M19" s="515">
        <f>J19*(1-Recovery_OX!E19)*(1-Recovery_OX!F19)</f>
        <v>0</v>
      </c>
      <c r="N19" s="513">
        <f>K19*(1-Recovery_OX!E19)*(1-Recovery_OX!F19)</f>
        <v>0.11218540351529781</v>
      </c>
      <c r="O19" s="514">
        <f>L19*(1-Recovery_OX!E19)*(1-Recovery_OX!F19)</f>
        <v>0</v>
      </c>
    </row>
    <row r="20" spans="2:15">
      <c r="B20" s="507">
        <f t="shared" si="0"/>
        <v>1958</v>
      </c>
      <c r="C20" s="508">
        <f>Stored_C!E26</f>
        <v>0</v>
      </c>
      <c r="D20" s="509">
        <f>Stored_C!F26+Stored_C!L26</f>
        <v>0.67007725316928013</v>
      </c>
      <c r="E20" s="510">
        <f>Stored_C!G26+Stored_C!M26</f>
        <v>0</v>
      </c>
      <c r="F20" s="511">
        <f>F19+HWP!C20</f>
        <v>0</v>
      </c>
      <c r="G20" s="509">
        <f>G19+HWP!D20</f>
        <v>5.478605420534401</v>
      </c>
      <c r="H20" s="510">
        <f>H19+HWP!E20</f>
        <v>0</v>
      </c>
      <c r="I20" s="493"/>
      <c r="J20" s="512">
        <f>Garden!J27</f>
        <v>0</v>
      </c>
      <c r="K20" s="513">
        <f>Paper!J27</f>
        <v>0.12611295513458198</v>
      </c>
      <c r="L20" s="514">
        <f>Wood!J27</f>
        <v>0</v>
      </c>
      <c r="M20" s="515">
        <f>J20*(1-Recovery_OX!E20)*(1-Recovery_OX!F20)</f>
        <v>0</v>
      </c>
      <c r="N20" s="513">
        <f>K20*(1-Recovery_OX!E20)*(1-Recovery_OX!F20)</f>
        <v>0.12611295513458198</v>
      </c>
      <c r="O20" s="514">
        <f>L20*(1-Recovery_OX!E20)*(1-Recovery_OX!F20)</f>
        <v>0</v>
      </c>
    </row>
    <row r="21" spans="2:15">
      <c r="B21" s="507">
        <f t="shared" si="0"/>
        <v>1959</v>
      </c>
      <c r="C21" s="508">
        <f>Stored_C!E27</f>
        <v>0</v>
      </c>
      <c r="D21" s="509">
        <f>Stored_C!F27+Stored_C!L27</f>
        <v>0.68253199925856023</v>
      </c>
      <c r="E21" s="510">
        <f>Stored_C!G27+Stored_C!M27</f>
        <v>0</v>
      </c>
      <c r="F21" s="511">
        <f>F20+HWP!C21</f>
        <v>0</v>
      </c>
      <c r="G21" s="509">
        <f>G20+HWP!D21</f>
        <v>6.1611374197929614</v>
      </c>
      <c r="H21" s="510">
        <f>H20+HWP!E21</f>
        <v>0</v>
      </c>
      <c r="I21" s="493"/>
      <c r="J21" s="512">
        <f>Garden!J28</f>
        <v>0</v>
      </c>
      <c r="K21" s="513">
        <f>Paper!J28</f>
        <v>0.13951279988963025</v>
      </c>
      <c r="L21" s="514">
        <f>Wood!J28</f>
        <v>0</v>
      </c>
      <c r="M21" s="515">
        <f>J21*(1-Recovery_OX!E21)*(1-Recovery_OX!F21)</f>
        <v>0</v>
      </c>
      <c r="N21" s="513">
        <f>K21*(1-Recovery_OX!E21)*(1-Recovery_OX!F21)</f>
        <v>0.13951279988963025</v>
      </c>
      <c r="O21" s="514">
        <f>L21*(1-Recovery_OX!E21)*(1-Recovery_OX!F21)</f>
        <v>0</v>
      </c>
    </row>
    <row r="22" spans="2:15">
      <c r="B22" s="507">
        <f t="shared" si="0"/>
        <v>1960</v>
      </c>
      <c r="C22" s="508">
        <f>Stored_C!E28</f>
        <v>0</v>
      </c>
      <c r="D22" s="509">
        <f>Stored_C!F28+Stored_C!L28</f>
        <v>0.79425463307520028</v>
      </c>
      <c r="E22" s="510">
        <f>Stored_C!G28+Stored_C!M28</f>
        <v>0</v>
      </c>
      <c r="F22" s="511">
        <f>F21+HWP!C22</f>
        <v>0</v>
      </c>
      <c r="G22" s="509">
        <f>G21+HWP!D22</f>
        <v>6.9553920528681612</v>
      </c>
      <c r="H22" s="510">
        <f>H21+HWP!E22</f>
        <v>0</v>
      </c>
      <c r="I22" s="493"/>
      <c r="J22" s="512">
        <f>Garden!J29</f>
        <v>0</v>
      </c>
      <c r="K22" s="513">
        <f>Paper!J29</f>
        <v>0.15241426894559099</v>
      </c>
      <c r="L22" s="514">
        <f>Wood!J29</f>
        <v>0</v>
      </c>
      <c r="M22" s="515">
        <f>J22*(1-Recovery_OX!E22)*(1-Recovery_OX!F22)</f>
        <v>0</v>
      </c>
      <c r="N22" s="513">
        <f>K22*(1-Recovery_OX!E22)*(1-Recovery_OX!F22)</f>
        <v>0.15241426894559099</v>
      </c>
      <c r="O22" s="514">
        <f>L22*(1-Recovery_OX!E22)*(1-Recovery_OX!F22)</f>
        <v>0</v>
      </c>
    </row>
    <row r="23" spans="2:15">
      <c r="B23" s="507">
        <f t="shared" si="0"/>
        <v>1961</v>
      </c>
      <c r="C23" s="508">
        <f>Stored_C!E29</f>
        <v>0</v>
      </c>
      <c r="D23" s="509">
        <f>Stored_C!F29+Stored_C!L29</f>
        <v>0</v>
      </c>
      <c r="E23" s="510">
        <f>Stored_C!G29+Stored_C!M29</f>
        <v>0</v>
      </c>
      <c r="F23" s="511">
        <f>F22+HWP!C23</f>
        <v>0</v>
      </c>
      <c r="G23" s="509">
        <f>G22+HWP!D23</f>
        <v>6.9553920528681612</v>
      </c>
      <c r="H23" s="510">
        <f>H22+HWP!E23</f>
        <v>0</v>
      </c>
      <c r="I23" s="493"/>
      <c r="J23" s="512">
        <f>Garden!J30</f>
        <v>0</v>
      </c>
      <c r="K23" s="513">
        <f>Paper!J30</f>
        <v>0.16809923896423312</v>
      </c>
      <c r="L23" s="514">
        <f>Wood!J30</f>
        <v>0</v>
      </c>
      <c r="M23" s="515">
        <f>J23*(1-Recovery_OX!E23)*(1-Recovery_OX!F23)</f>
        <v>0</v>
      </c>
      <c r="N23" s="513">
        <f>K23*(1-Recovery_OX!E23)*(1-Recovery_OX!F23)</f>
        <v>0.16809923896423312</v>
      </c>
      <c r="O23" s="514">
        <f>L23*(1-Recovery_OX!E23)*(1-Recovery_OX!F23)</f>
        <v>0</v>
      </c>
    </row>
    <row r="24" spans="2:15">
      <c r="B24" s="507">
        <f t="shared" si="0"/>
        <v>1962</v>
      </c>
      <c r="C24" s="508">
        <f>Stored_C!E30</f>
        <v>0</v>
      </c>
      <c r="D24" s="509">
        <f>Stored_C!F30+Stored_C!L30</f>
        <v>0</v>
      </c>
      <c r="E24" s="510">
        <f>Stored_C!G30+Stored_C!M30</f>
        <v>0</v>
      </c>
      <c r="F24" s="511">
        <f>F23+HWP!C24</f>
        <v>0</v>
      </c>
      <c r="G24" s="509">
        <f>G23+HWP!D24</f>
        <v>6.9553920528681612</v>
      </c>
      <c r="H24" s="510">
        <f>H23+HWP!E24</f>
        <v>0</v>
      </c>
      <c r="I24" s="493"/>
      <c r="J24" s="512">
        <f>Garden!J31</f>
        <v>0</v>
      </c>
      <c r="K24" s="513">
        <f>Paper!J31</f>
        <v>0.15673469154114414</v>
      </c>
      <c r="L24" s="514">
        <f>Wood!J31</f>
        <v>0</v>
      </c>
      <c r="M24" s="515">
        <f>J24*(1-Recovery_OX!E24)*(1-Recovery_OX!F24)</f>
        <v>0</v>
      </c>
      <c r="N24" s="513">
        <f>K24*(1-Recovery_OX!E24)*(1-Recovery_OX!F24)</f>
        <v>0.15673469154114414</v>
      </c>
      <c r="O24" s="514">
        <f>L24*(1-Recovery_OX!E24)*(1-Recovery_OX!F24)</f>
        <v>0</v>
      </c>
    </row>
    <row r="25" spans="2:15">
      <c r="B25" s="507">
        <f t="shared" si="0"/>
        <v>1963</v>
      </c>
      <c r="C25" s="508">
        <f>Stored_C!E31</f>
        <v>0</v>
      </c>
      <c r="D25" s="509">
        <f>Stored_C!F31+Stored_C!L31</f>
        <v>0</v>
      </c>
      <c r="E25" s="510">
        <f>Stored_C!G31+Stored_C!M31</f>
        <v>0</v>
      </c>
      <c r="F25" s="511">
        <f>F24+HWP!C25</f>
        <v>0</v>
      </c>
      <c r="G25" s="509">
        <f>G24+HWP!D25</f>
        <v>6.9553920528681612</v>
      </c>
      <c r="H25" s="510">
        <f>H24+HWP!E25</f>
        <v>0</v>
      </c>
      <c r="I25" s="493"/>
      <c r="J25" s="512">
        <f>Garden!J32</f>
        <v>0</v>
      </c>
      <c r="K25" s="513">
        <f>Paper!J32</f>
        <v>0.14613845775782791</v>
      </c>
      <c r="L25" s="514">
        <f>Wood!J32</f>
        <v>0</v>
      </c>
      <c r="M25" s="515">
        <f>J25*(1-Recovery_OX!E25)*(1-Recovery_OX!F25)</f>
        <v>0</v>
      </c>
      <c r="N25" s="513">
        <f>K25*(1-Recovery_OX!E25)*(1-Recovery_OX!F25)</f>
        <v>0.14613845775782791</v>
      </c>
      <c r="O25" s="514">
        <f>L25*(1-Recovery_OX!E25)*(1-Recovery_OX!F25)</f>
        <v>0</v>
      </c>
    </row>
    <row r="26" spans="2:15">
      <c r="B26" s="507">
        <f t="shared" si="0"/>
        <v>1964</v>
      </c>
      <c r="C26" s="508">
        <f>Stored_C!E32</f>
        <v>0</v>
      </c>
      <c r="D26" s="509">
        <f>Stored_C!F32+Stored_C!L32</f>
        <v>0</v>
      </c>
      <c r="E26" s="510">
        <f>Stored_C!G32+Stored_C!M32</f>
        <v>0</v>
      </c>
      <c r="F26" s="511">
        <f>F25+HWP!C26</f>
        <v>0</v>
      </c>
      <c r="G26" s="509">
        <f>G25+HWP!D26</f>
        <v>6.9553920528681612</v>
      </c>
      <c r="H26" s="510">
        <f>H25+HWP!E26</f>
        <v>0</v>
      </c>
      <c r="I26" s="493"/>
      <c r="J26" s="512">
        <f>Garden!J33</f>
        <v>0</v>
      </c>
      <c r="K26" s="513">
        <f>Paper!J33</f>
        <v>0.13625859486398523</v>
      </c>
      <c r="L26" s="514">
        <f>Wood!J33</f>
        <v>0</v>
      </c>
      <c r="M26" s="515">
        <f>J26*(1-Recovery_OX!E26)*(1-Recovery_OX!F26)</f>
        <v>0</v>
      </c>
      <c r="N26" s="513">
        <f>K26*(1-Recovery_OX!E26)*(1-Recovery_OX!F26)</f>
        <v>0.13625859486398523</v>
      </c>
      <c r="O26" s="514">
        <f>L26*(1-Recovery_OX!E26)*(1-Recovery_OX!F26)</f>
        <v>0</v>
      </c>
    </row>
    <row r="27" spans="2:15">
      <c r="B27" s="507">
        <f t="shared" si="0"/>
        <v>1965</v>
      </c>
      <c r="C27" s="508">
        <f>Stored_C!E33</f>
        <v>0</v>
      </c>
      <c r="D27" s="509">
        <f>Stored_C!F33+Stored_C!L33</f>
        <v>0</v>
      </c>
      <c r="E27" s="510">
        <f>Stored_C!G33+Stored_C!M33</f>
        <v>0</v>
      </c>
      <c r="F27" s="511">
        <f>F26+HWP!C27</f>
        <v>0</v>
      </c>
      <c r="G27" s="509">
        <f>G26+HWP!D27</f>
        <v>6.9553920528681612</v>
      </c>
      <c r="H27" s="510">
        <f>H26+HWP!E27</f>
        <v>0</v>
      </c>
      <c r="I27" s="493"/>
      <c r="J27" s="512">
        <f>Garden!J34</f>
        <v>0</v>
      </c>
      <c r="K27" s="513">
        <f>Paper!J34</f>
        <v>0.12704667176024823</v>
      </c>
      <c r="L27" s="514">
        <f>Wood!J34</f>
        <v>0</v>
      </c>
      <c r="M27" s="515">
        <f>J27*(1-Recovery_OX!E27)*(1-Recovery_OX!F27)</f>
        <v>0</v>
      </c>
      <c r="N27" s="513">
        <f>K27*(1-Recovery_OX!E27)*(1-Recovery_OX!F27)</f>
        <v>0.12704667176024823</v>
      </c>
      <c r="O27" s="514">
        <f>L27*(1-Recovery_OX!E27)*(1-Recovery_OX!F27)</f>
        <v>0</v>
      </c>
    </row>
    <row r="28" spans="2:15">
      <c r="B28" s="507">
        <f t="shared" si="0"/>
        <v>1966</v>
      </c>
      <c r="C28" s="508">
        <f>Stored_C!E34</f>
        <v>0</v>
      </c>
      <c r="D28" s="509">
        <f>Stored_C!F34+Stored_C!L34</f>
        <v>0</v>
      </c>
      <c r="E28" s="510">
        <f>Stored_C!G34+Stored_C!M34</f>
        <v>0</v>
      </c>
      <c r="F28" s="511">
        <f>F27+HWP!C28</f>
        <v>0</v>
      </c>
      <c r="G28" s="509">
        <f>G27+HWP!D28</f>
        <v>6.9553920528681612</v>
      </c>
      <c r="H28" s="510">
        <f>H27+HWP!E28</f>
        <v>0</v>
      </c>
      <c r="I28" s="493"/>
      <c r="J28" s="512">
        <f>Garden!J35</f>
        <v>0</v>
      </c>
      <c r="K28" s="513">
        <f>Paper!J35</f>
        <v>0.118457531588875</v>
      </c>
      <c r="L28" s="514">
        <f>Wood!J35</f>
        <v>0</v>
      </c>
      <c r="M28" s="515">
        <f>J28*(1-Recovery_OX!E28)*(1-Recovery_OX!F28)</f>
        <v>0</v>
      </c>
      <c r="N28" s="513">
        <f>K28*(1-Recovery_OX!E28)*(1-Recovery_OX!F28)</f>
        <v>0.118457531588875</v>
      </c>
      <c r="O28" s="514">
        <f>L28*(1-Recovery_OX!E28)*(1-Recovery_OX!F28)</f>
        <v>0</v>
      </c>
    </row>
    <row r="29" spans="2:15">
      <c r="B29" s="507">
        <f t="shared" si="0"/>
        <v>1967</v>
      </c>
      <c r="C29" s="508">
        <f>Stored_C!E35</f>
        <v>0</v>
      </c>
      <c r="D29" s="509">
        <f>Stored_C!F35+Stored_C!L35</f>
        <v>0</v>
      </c>
      <c r="E29" s="510">
        <f>Stored_C!G35+Stored_C!M35</f>
        <v>0</v>
      </c>
      <c r="F29" s="511">
        <f>F28+HWP!C29</f>
        <v>0</v>
      </c>
      <c r="G29" s="509">
        <f>G28+HWP!D29</f>
        <v>6.9553920528681612</v>
      </c>
      <c r="H29" s="510">
        <f>H28+HWP!E29</f>
        <v>0</v>
      </c>
      <c r="I29" s="493"/>
      <c r="J29" s="512">
        <f>Garden!J36</f>
        <v>0</v>
      </c>
      <c r="K29" s="513">
        <f>Paper!J36</f>
        <v>0.1104490703747807</v>
      </c>
      <c r="L29" s="514">
        <f>Wood!J36</f>
        <v>0</v>
      </c>
      <c r="M29" s="515">
        <f>J29*(1-Recovery_OX!E29)*(1-Recovery_OX!F29)</f>
        <v>0</v>
      </c>
      <c r="N29" s="513">
        <f>K29*(1-Recovery_OX!E29)*(1-Recovery_OX!F29)</f>
        <v>0.1104490703747807</v>
      </c>
      <c r="O29" s="514">
        <f>L29*(1-Recovery_OX!E29)*(1-Recovery_OX!F29)</f>
        <v>0</v>
      </c>
    </row>
    <row r="30" spans="2:15">
      <c r="B30" s="507">
        <f t="shared" si="0"/>
        <v>1968</v>
      </c>
      <c r="C30" s="508">
        <f>Stored_C!E36</f>
        <v>0</v>
      </c>
      <c r="D30" s="509">
        <f>Stored_C!F36+Stored_C!L36</f>
        <v>0</v>
      </c>
      <c r="E30" s="510">
        <f>Stored_C!G36+Stored_C!M36</f>
        <v>0</v>
      </c>
      <c r="F30" s="511">
        <f>F29+HWP!C30</f>
        <v>0</v>
      </c>
      <c r="G30" s="509">
        <f>G29+HWP!D30</f>
        <v>6.9553920528681612</v>
      </c>
      <c r="H30" s="510">
        <f>H29+HWP!E30</f>
        <v>0</v>
      </c>
      <c r="I30" s="493"/>
      <c r="J30" s="512">
        <f>Garden!J37</f>
        <v>0</v>
      </c>
      <c r="K30" s="513">
        <f>Paper!J37</f>
        <v>0.10298203063180268</v>
      </c>
      <c r="L30" s="514">
        <f>Wood!J37</f>
        <v>0</v>
      </c>
      <c r="M30" s="515">
        <f>J30*(1-Recovery_OX!E30)*(1-Recovery_OX!F30)</f>
        <v>0</v>
      </c>
      <c r="N30" s="513">
        <f>K30*(1-Recovery_OX!E30)*(1-Recovery_OX!F30)</f>
        <v>0.10298203063180268</v>
      </c>
      <c r="O30" s="514">
        <f>L30*(1-Recovery_OX!E30)*(1-Recovery_OX!F30)</f>
        <v>0</v>
      </c>
    </row>
    <row r="31" spans="2:15">
      <c r="B31" s="507">
        <f t="shared" si="0"/>
        <v>1969</v>
      </c>
      <c r="C31" s="508">
        <f>Stored_C!E37</f>
        <v>0</v>
      </c>
      <c r="D31" s="509">
        <f>Stored_C!F37+Stored_C!L37</f>
        <v>0</v>
      </c>
      <c r="E31" s="510">
        <f>Stored_C!G37+Stored_C!M37</f>
        <v>0</v>
      </c>
      <c r="F31" s="511">
        <f>F30+HWP!C31</f>
        <v>0</v>
      </c>
      <c r="G31" s="509">
        <f>G30+HWP!D31</f>
        <v>6.9553920528681612</v>
      </c>
      <c r="H31" s="510">
        <f>H30+HWP!E31</f>
        <v>0</v>
      </c>
      <c r="I31" s="493"/>
      <c r="J31" s="512">
        <f>Garden!J38</f>
        <v>0</v>
      </c>
      <c r="K31" s="513">
        <f>Paper!J38</f>
        <v>9.6019808922457872E-2</v>
      </c>
      <c r="L31" s="514">
        <f>Wood!J38</f>
        <v>0</v>
      </c>
      <c r="M31" s="515">
        <f>J31*(1-Recovery_OX!E31)*(1-Recovery_OX!F31)</f>
        <v>0</v>
      </c>
      <c r="N31" s="513">
        <f>K31*(1-Recovery_OX!E31)*(1-Recovery_OX!F31)</f>
        <v>9.6019808922457872E-2</v>
      </c>
      <c r="O31" s="514">
        <f>L31*(1-Recovery_OX!E31)*(1-Recovery_OX!F31)</f>
        <v>0</v>
      </c>
    </row>
    <row r="32" spans="2:15">
      <c r="B32" s="507">
        <f t="shared" si="0"/>
        <v>1970</v>
      </c>
      <c r="C32" s="508">
        <f>Stored_C!E38</f>
        <v>0</v>
      </c>
      <c r="D32" s="509">
        <f>Stored_C!F38+Stored_C!L38</f>
        <v>0</v>
      </c>
      <c r="E32" s="510">
        <f>Stored_C!G38+Stored_C!M38</f>
        <v>0</v>
      </c>
      <c r="F32" s="511">
        <f>F31+HWP!C32</f>
        <v>0</v>
      </c>
      <c r="G32" s="509">
        <f>G31+HWP!D32</f>
        <v>6.9553920528681612</v>
      </c>
      <c r="H32" s="510">
        <f>H31+HWP!E32</f>
        <v>0</v>
      </c>
      <c r="I32" s="493"/>
      <c r="J32" s="512">
        <f>Garden!J39</f>
        <v>0</v>
      </c>
      <c r="K32" s="513">
        <f>Paper!J39</f>
        <v>8.9528276427849746E-2</v>
      </c>
      <c r="L32" s="514">
        <f>Wood!J39</f>
        <v>0</v>
      </c>
      <c r="M32" s="515">
        <f>J32*(1-Recovery_OX!E32)*(1-Recovery_OX!F32)</f>
        <v>0</v>
      </c>
      <c r="N32" s="513">
        <f>K32*(1-Recovery_OX!E32)*(1-Recovery_OX!F32)</f>
        <v>8.9528276427849746E-2</v>
      </c>
      <c r="O32" s="514">
        <f>L32*(1-Recovery_OX!E32)*(1-Recovery_OX!F32)</f>
        <v>0</v>
      </c>
    </row>
    <row r="33" spans="2:15">
      <c r="B33" s="507">
        <f t="shared" si="0"/>
        <v>1971</v>
      </c>
      <c r="C33" s="508">
        <f>Stored_C!E39</f>
        <v>0</v>
      </c>
      <c r="D33" s="509">
        <f>Stored_C!F39+Stored_C!L39</f>
        <v>0</v>
      </c>
      <c r="E33" s="510">
        <f>Stored_C!G39+Stored_C!M39</f>
        <v>0</v>
      </c>
      <c r="F33" s="511">
        <f>F32+HWP!C33</f>
        <v>0</v>
      </c>
      <c r="G33" s="509">
        <f>G32+HWP!D33</f>
        <v>6.9553920528681612</v>
      </c>
      <c r="H33" s="510">
        <f>H32+HWP!E33</f>
        <v>0</v>
      </c>
      <c r="I33" s="493"/>
      <c r="J33" s="512">
        <f>Garden!J40</f>
        <v>0</v>
      </c>
      <c r="K33" s="513">
        <f>Paper!J40</f>
        <v>8.347561164815849E-2</v>
      </c>
      <c r="L33" s="514">
        <f>Wood!J40</f>
        <v>0</v>
      </c>
      <c r="M33" s="515">
        <f>J33*(1-Recovery_OX!E33)*(1-Recovery_OX!F33)</f>
        <v>0</v>
      </c>
      <c r="N33" s="513">
        <f>K33*(1-Recovery_OX!E33)*(1-Recovery_OX!F33)</f>
        <v>8.347561164815849E-2</v>
      </c>
      <c r="O33" s="514">
        <f>L33*(1-Recovery_OX!E33)*(1-Recovery_OX!F33)</f>
        <v>0</v>
      </c>
    </row>
    <row r="34" spans="2:15">
      <c r="B34" s="507">
        <f t="shared" si="0"/>
        <v>1972</v>
      </c>
      <c r="C34" s="508">
        <f>Stored_C!E40</f>
        <v>0</v>
      </c>
      <c r="D34" s="509">
        <f>Stored_C!F40+Stored_C!L40</f>
        <v>0</v>
      </c>
      <c r="E34" s="510">
        <f>Stored_C!G40+Stored_C!M40</f>
        <v>0</v>
      </c>
      <c r="F34" s="511">
        <f>F33+HWP!C34</f>
        <v>0</v>
      </c>
      <c r="G34" s="509">
        <f>G33+HWP!D34</f>
        <v>6.9553920528681612</v>
      </c>
      <c r="H34" s="510">
        <f>H33+HWP!E34</f>
        <v>0</v>
      </c>
      <c r="I34" s="493"/>
      <c r="J34" s="512">
        <f>Garden!J41</f>
        <v>0</v>
      </c>
      <c r="K34" s="513">
        <f>Paper!J41</f>
        <v>7.7832144413611956E-2</v>
      </c>
      <c r="L34" s="514">
        <f>Wood!J41</f>
        <v>0</v>
      </c>
      <c r="M34" s="515">
        <f>J34*(1-Recovery_OX!E34)*(1-Recovery_OX!F34)</f>
        <v>0</v>
      </c>
      <c r="N34" s="513">
        <f>K34*(1-Recovery_OX!E34)*(1-Recovery_OX!F34)</f>
        <v>7.7832144413611956E-2</v>
      </c>
      <c r="O34" s="514">
        <f>L34*(1-Recovery_OX!E34)*(1-Recovery_OX!F34)</f>
        <v>0</v>
      </c>
    </row>
    <row r="35" spans="2:15">
      <c r="B35" s="507">
        <f t="shared" si="0"/>
        <v>1973</v>
      </c>
      <c r="C35" s="508">
        <f>Stored_C!E41</f>
        <v>0</v>
      </c>
      <c r="D35" s="509">
        <f>Stored_C!F41+Stored_C!L41</f>
        <v>0</v>
      </c>
      <c r="E35" s="510">
        <f>Stored_C!G41+Stored_C!M41</f>
        <v>0</v>
      </c>
      <c r="F35" s="511">
        <f>F34+HWP!C35</f>
        <v>0</v>
      </c>
      <c r="G35" s="509">
        <f>G34+HWP!D35</f>
        <v>6.9553920528681612</v>
      </c>
      <c r="H35" s="510">
        <f>H34+HWP!E35</f>
        <v>0</v>
      </c>
      <c r="I35" s="493"/>
      <c r="J35" s="512">
        <f>Garden!J42</f>
        <v>0</v>
      </c>
      <c r="K35" s="513">
        <f>Paper!J42</f>
        <v>7.2570210441279079E-2</v>
      </c>
      <c r="L35" s="514">
        <f>Wood!J42</f>
        <v>0</v>
      </c>
      <c r="M35" s="515">
        <f>J35*(1-Recovery_OX!E35)*(1-Recovery_OX!F35)</f>
        <v>0</v>
      </c>
      <c r="N35" s="513">
        <f>K35*(1-Recovery_OX!E35)*(1-Recovery_OX!F35)</f>
        <v>7.2570210441279079E-2</v>
      </c>
      <c r="O35" s="514">
        <f>L35*(1-Recovery_OX!E35)*(1-Recovery_OX!F35)</f>
        <v>0</v>
      </c>
    </row>
    <row r="36" spans="2:15">
      <c r="B36" s="507">
        <f t="shared" si="0"/>
        <v>1974</v>
      </c>
      <c r="C36" s="508">
        <f>Stored_C!E42</f>
        <v>0</v>
      </c>
      <c r="D36" s="509">
        <f>Stored_C!F42+Stored_C!L42</f>
        <v>0</v>
      </c>
      <c r="E36" s="510">
        <f>Stored_C!G42+Stored_C!M42</f>
        <v>0</v>
      </c>
      <c r="F36" s="511">
        <f>F35+HWP!C36</f>
        <v>0</v>
      </c>
      <c r="G36" s="509">
        <f>G35+HWP!D36</f>
        <v>6.9553920528681612</v>
      </c>
      <c r="H36" s="510">
        <f>H35+HWP!E36</f>
        <v>0</v>
      </c>
      <c r="I36" s="493"/>
      <c r="J36" s="512">
        <f>Garden!J43</f>
        <v>0</v>
      </c>
      <c r="K36" s="513">
        <f>Paper!J43</f>
        <v>6.766401572472272E-2</v>
      </c>
      <c r="L36" s="514">
        <f>Wood!J43</f>
        <v>0</v>
      </c>
      <c r="M36" s="515">
        <f>J36*(1-Recovery_OX!E36)*(1-Recovery_OX!F36)</f>
        <v>0</v>
      </c>
      <c r="N36" s="513">
        <f>K36*(1-Recovery_OX!E36)*(1-Recovery_OX!F36)</f>
        <v>6.766401572472272E-2</v>
      </c>
      <c r="O36" s="514">
        <f>L36*(1-Recovery_OX!E36)*(1-Recovery_OX!F36)</f>
        <v>0</v>
      </c>
    </row>
    <row r="37" spans="2:15">
      <c r="B37" s="507">
        <f t="shared" si="0"/>
        <v>1975</v>
      </c>
      <c r="C37" s="508">
        <f>Stored_C!E43</f>
        <v>0</v>
      </c>
      <c r="D37" s="509">
        <f>Stored_C!F43+Stored_C!L43</f>
        <v>0</v>
      </c>
      <c r="E37" s="510">
        <f>Stored_C!G43+Stored_C!M43</f>
        <v>0</v>
      </c>
      <c r="F37" s="511">
        <f>F36+HWP!C37</f>
        <v>0</v>
      </c>
      <c r="G37" s="509">
        <f>G36+HWP!D37</f>
        <v>6.9553920528681612</v>
      </c>
      <c r="H37" s="510">
        <f>H36+HWP!E37</f>
        <v>0</v>
      </c>
      <c r="I37" s="493"/>
      <c r="J37" s="512">
        <f>Garden!J44</f>
        <v>0</v>
      </c>
      <c r="K37" s="513">
        <f>Paper!J44</f>
        <v>6.3089510091750373E-2</v>
      </c>
      <c r="L37" s="514">
        <f>Wood!J44</f>
        <v>0</v>
      </c>
      <c r="M37" s="515">
        <f>J37*(1-Recovery_OX!E37)*(1-Recovery_OX!F37)</f>
        <v>0</v>
      </c>
      <c r="N37" s="513">
        <f>K37*(1-Recovery_OX!E37)*(1-Recovery_OX!F37)</f>
        <v>6.3089510091750373E-2</v>
      </c>
      <c r="O37" s="514">
        <f>L37*(1-Recovery_OX!E37)*(1-Recovery_OX!F37)</f>
        <v>0</v>
      </c>
    </row>
    <row r="38" spans="2:15">
      <c r="B38" s="507">
        <f t="shared" si="0"/>
        <v>1976</v>
      </c>
      <c r="C38" s="508">
        <f>Stored_C!E44</f>
        <v>0</v>
      </c>
      <c r="D38" s="509">
        <f>Stored_C!F44+Stored_C!L44</f>
        <v>0</v>
      </c>
      <c r="E38" s="510">
        <f>Stored_C!G44+Stored_C!M44</f>
        <v>0</v>
      </c>
      <c r="F38" s="511">
        <f>F37+HWP!C38</f>
        <v>0</v>
      </c>
      <c r="G38" s="509">
        <f>G37+HWP!D38</f>
        <v>6.9553920528681612</v>
      </c>
      <c r="H38" s="510">
        <f>H37+HWP!E38</f>
        <v>0</v>
      </c>
      <c r="I38" s="493"/>
      <c r="J38" s="512">
        <f>Garden!J45</f>
        <v>0</v>
      </c>
      <c r="K38" s="513">
        <f>Paper!J45</f>
        <v>5.8824269310442011E-2</v>
      </c>
      <c r="L38" s="514">
        <f>Wood!J45</f>
        <v>0</v>
      </c>
      <c r="M38" s="515">
        <f>J38*(1-Recovery_OX!E38)*(1-Recovery_OX!F38)</f>
        <v>0</v>
      </c>
      <c r="N38" s="513">
        <f>K38*(1-Recovery_OX!E38)*(1-Recovery_OX!F38)</f>
        <v>5.8824269310442011E-2</v>
      </c>
      <c r="O38" s="514">
        <f>L38*(1-Recovery_OX!E38)*(1-Recovery_OX!F38)</f>
        <v>0</v>
      </c>
    </row>
    <row r="39" spans="2:15">
      <c r="B39" s="507">
        <f t="shared" si="0"/>
        <v>1977</v>
      </c>
      <c r="C39" s="508">
        <f>Stored_C!E45</f>
        <v>0</v>
      </c>
      <c r="D39" s="509">
        <f>Stored_C!F45+Stored_C!L45</f>
        <v>0</v>
      </c>
      <c r="E39" s="510">
        <f>Stored_C!G45+Stored_C!M45</f>
        <v>0</v>
      </c>
      <c r="F39" s="511">
        <f>F38+HWP!C39</f>
        <v>0</v>
      </c>
      <c r="G39" s="509">
        <f>G38+HWP!D39</f>
        <v>6.9553920528681612</v>
      </c>
      <c r="H39" s="510">
        <f>H38+HWP!E39</f>
        <v>0</v>
      </c>
      <c r="I39" s="493"/>
      <c r="J39" s="512">
        <f>Garden!J46</f>
        <v>0</v>
      </c>
      <c r="K39" s="513">
        <f>Paper!J46</f>
        <v>5.4847385165539261E-2</v>
      </c>
      <c r="L39" s="514">
        <f>Wood!J46</f>
        <v>0</v>
      </c>
      <c r="M39" s="515">
        <f>J39*(1-Recovery_OX!E39)*(1-Recovery_OX!F39)</f>
        <v>0</v>
      </c>
      <c r="N39" s="513">
        <f>K39*(1-Recovery_OX!E39)*(1-Recovery_OX!F39)</f>
        <v>5.4847385165539261E-2</v>
      </c>
      <c r="O39" s="514">
        <f>L39*(1-Recovery_OX!E39)*(1-Recovery_OX!F39)</f>
        <v>0</v>
      </c>
    </row>
    <row r="40" spans="2:15">
      <c r="B40" s="507">
        <f t="shared" si="0"/>
        <v>1978</v>
      </c>
      <c r="C40" s="508">
        <f>Stored_C!E46</f>
        <v>0</v>
      </c>
      <c r="D40" s="509">
        <f>Stored_C!F46+Stored_C!L46</f>
        <v>0</v>
      </c>
      <c r="E40" s="510">
        <f>Stored_C!G46+Stored_C!M46</f>
        <v>0</v>
      </c>
      <c r="F40" s="511">
        <f>F39+HWP!C40</f>
        <v>0</v>
      </c>
      <c r="G40" s="509">
        <f>G39+HWP!D40</f>
        <v>6.9553920528681612</v>
      </c>
      <c r="H40" s="510">
        <f>H39+HWP!E40</f>
        <v>0</v>
      </c>
      <c r="I40" s="493"/>
      <c r="J40" s="512">
        <f>Garden!J47</f>
        <v>0</v>
      </c>
      <c r="K40" s="513">
        <f>Paper!J47</f>
        <v>5.1139362966350001E-2</v>
      </c>
      <c r="L40" s="514">
        <f>Wood!J47</f>
        <v>0</v>
      </c>
      <c r="M40" s="515">
        <f>J40*(1-Recovery_OX!E40)*(1-Recovery_OX!F40)</f>
        <v>0</v>
      </c>
      <c r="N40" s="513">
        <f>K40*(1-Recovery_OX!E40)*(1-Recovery_OX!F40)</f>
        <v>5.1139362966350001E-2</v>
      </c>
      <c r="O40" s="514">
        <f>L40*(1-Recovery_OX!E40)*(1-Recovery_OX!F40)</f>
        <v>0</v>
      </c>
    </row>
    <row r="41" spans="2:15">
      <c r="B41" s="507">
        <f t="shared" si="0"/>
        <v>1979</v>
      </c>
      <c r="C41" s="508">
        <f>Stored_C!E47</f>
        <v>0</v>
      </c>
      <c r="D41" s="509">
        <f>Stored_C!F47+Stored_C!L47</f>
        <v>0</v>
      </c>
      <c r="E41" s="510">
        <f>Stored_C!G47+Stored_C!M47</f>
        <v>0</v>
      </c>
      <c r="F41" s="511">
        <f>F40+HWP!C41</f>
        <v>0</v>
      </c>
      <c r="G41" s="509">
        <f>G40+HWP!D41</f>
        <v>6.9553920528681612</v>
      </c>
      <c r="H41" s="510">
        <f>H40+HWP!E41</f>
        <v>0</v>
      </c>
      <c r="I41" s="493"/>
      <c r="J41" s="512">
        <f>Garden!J48</f>
        <v>0</v>
      </c>
      <c r="K41" s="513">
        <f>Paper!J48</f>
        <v>4.7682025983751861E-2</v>
      </c>
      <c r="L41" s="514">
        <f>Wood!J48</f>
        <v>0</v>
      </c>
      <c r="M41" s="515">
        <f>J41*(1-Recovery_OX!E41)*(1-Recovery_OX!F41)</f>
        <v>0</v>
      </c>
      <c r="N41" s="513">
        <f>K41*(1-Recovery_OX!E41)*(1-Recovery_OX!F41)</f>
        <v>4.7682025983751861E-2</v>
      </c>
      <c r="O41" s="514">
        <f>L41*(1-Recovery_OX!E41)*(1-Recovery_OX!F41)</f>
        <v>0</v>
      </c>
    </row>
    <row r="42" spans="2:15">
      <c r="B42" s="507">
        <f t="shared" si="0"/>
        <v>1980</v>
      </c>
      <c r="C42" s="508">
        <f>Stored_C!E48</f>
        <v>0</v>
      </c>
      <c r="D42" s="509">
        <f>Stored_C!F48+Stored_C!L48</f>
        <v>0</v>
      </c>
      <c r="E42" s="510">
        <f>Stored_C!G48+Stored_C!M48</f>
        <v>0</v>
      </c>
      <c r="F42" s="511">
        <f>F41+HWP!C42</f>
        <v>0</v>
      </c>
      <c r="G42" s="509">
        <f>G41+HWP!D42</f>
        <v>6.9553920528681612</v>
      </c>
      <c r="H42" s="510">
        <f>H41+HWP!E42</f>
        <v>0</v>
      </c>
      <c r="I42" s="493"/>
      <c r="J42" s="512">
        <f>Garden!J49</f>
        <v>0</v>
      </c>
      <c r="K42" s="513">
        <f>Paper!J49</f>
        <v>4.4458426347845081E-2</v>
      </c>
      <c r="L42" s="514">
        <f>Wood!J49</f>
        <v>0</v>
      </c>
      <c r="M42" s="515">
        <f>J42*(1-Recovery_OX!E42)*(1-Recovery_OX!F42)</f>
        <v>0</v>
      </c>
      <c r="N42" s="513">
        <f>K42*(1-Recovery_OX!E42)*(1-Recovery_OX!F42)</f>
        <v>4.4458426347845081E-2</v>
      </c>
      <c r="O42" s="514">
        <f>L42*(1-Recovery_OX!E42)*(1-Recovery_OX!F42)</f>
        <v>0</v>
      </c>
    </row>
    <row r="43" spans="2:15">
      <c r="B43" s="507">
        <f t="shared" si="0"/>
        <v>1981</v>
      </c>
      <c r="C43" s="508">
        <f>Stored_C!E49</f>
        <v>0</v>
      </c>
      <c r="D43" s="509">
        <f>Stored_C!F49+Stored_C!L49</f>
        <v>0</v>
      </c>
      <c r="E43" s="510">
        <f>Stored_C!G49+Stored_C!M49</f>
        <v>0</v>
      </c>
      <c r="F43" s="511">
        <f>F42+HWP!C43</f>
        <v>0</v>
      </c>
      <c r="G43" s="509">
        <f>G42+HWP!D43</f>
        <v>6.9553920528681612</v>
      </c>
      <c r="H43" s="510">
        <f>H42+HWP!E43</f>
        <v>0</v>
      </c>
      <c r="I43" s="493"/>
      <c r="J43" s="512">
        <f>Garden!J50</f>
        <v>0</v>
      </c>
      <c r="K43" s="513">
        <f>Paper!J50</f>
        <v>4.1452761969474533E-2</v>
      </c>
      <c r="L43" s="514">
        <f>Wood!J50</f>
        <v>0</v>
      </c>
      <c r="M43" s="515">
        <f>J43*(1-Recovery_OX!E43)*(1-Recovery_OX!F43)</f>
        <v>0</v>
      </c>
      <c r="N43" s="513">
        <f>K43*(1-Recovery_OX!E43)*(1-Recovery_OX!F43)</f>
        <v>4.1452761969474533E-2</v>
      </c>
      <c r="O43" s="514">
        <f>L43*(1-Recovery_OX!E43)*(1-Recovery_OX!F43)</f>
        <v>0</v>
      </c>
    </row>
    <row r="44" spans="2:15">
      <c r="B44" s="507">
        <f t="shared" si="0"/>
        <v>1982</v>
      </c>
      <c r="C44" s="508">
        <f>Stored_C!E50</f>
        <v>0</v>
      </c>
      <c r="D44" s="509">
        <f>Stored_C!F50+Stored_C!L50</f>
        <v>0</v>
      </c>
      <c r="E44" s="510">
        <f>Stored_C!G50+Stored_C!M50</f>
        <v>0</v>
      </c>
      <c r="F44" s="511">
        <f>F43+HWP!C44</f>
        <v>0</v>
      </c>
      <c r="G44" s="509">
        <f>G43+HWP!D44</f>
        <v>6.9553920528681612</v>
      </c>
      <c r="H44" s="510">
        <f>H43+HWP!E44</f>
        <v>0</v>
      </c>
      <c r="I44" s="493"/>
      <c r="J44" s="512">
        <f>Garden!J51</f>
        <v>0</v>
      </c>
      <c r="K44" s="513">
        <f>Paper!J51</f>
        <v>3.8650299078370379E-2</v>
      </c>
      <c r="L44" s="514">
        <f>Wood!J51</f>
        <v>0</v>
      </c>
      <c r="M44" s="515">
        <f>J44*(1-Recovery_OX!E44)*(1-Recovery_OX!F44)</f>
        <v>0</v>
      </c>
      <c r="N44" s="513">
        <f>K44*(1-Recovery_OX!E44)*(1-Recovery_OX!F44)</f>
        <v>3.8650299078370379E-2</v>
      </c>
      <c r="O44" s="514">
        <f>L44*(1-Recovery_OX!E44)*(1-Recovery_OX!F44)</f>
        <v>0</v>
      </c>
    </row>
    <row r="45" spans="2:15">
      <c r="B45" s="507">
        <f t="shared" si="0"/>
        <v>1983</v>
      </c>
      <c r="C45" s="508">
        <f>Stored_C!E51</f>
        <v>0</v>
      </c>
      <c r="D45" s="509">
        <f>Stored_C!F51+Stored_C!L51</f>
        <v>0</v>
      </c>
      <c r="E45" s="510">
        <f>Stored_C!G51+Stored_C!M51</f>
        <v>0</v>
      </c>
      <c r="F45" s="511">
        <f>F44+HWP!C45</f>
        <v>0</v>
      </c>
      <c r="G45" s="509">
        <f>G44+HWP!D45</f>
        <v>6.9553920528681612</v>
      </c>
      <c r="H45" s="510">
        <f>H44+HWP!E45</f>
        <v>0</v>
      </c>
      <c r="I45" s="493"/>
      <c r="J45" s="512">
        <f>Garden!J52</f>
        <v>0</v>
      </c>
      <c r="K45" s="513">
        <f>Paper!J52</f>
        <v>3.603729999818911E-2</v>
      </c>
      <c r="L45" s="514">
        <f>Wood!J52</f>
        <v>0</v>
      </c>
      <c r="M45" s="515">
        <f>J45*(1-Recovery_OX!E45)*(1-Recovery_OX!F45)</f>
        <v>0</v>
      </c>
      <c r="N45" s="513">
        <f>K45*(1-Recovery_OX!E45)*(1-Recovery_OX!F45)</f>
        <v>3.603729999818911E-2</v>
      </c>
      <c r="O45" s="514">
        <f>L45*(1-Recovery_OX!E45)*(1-Recovery_OX!F45)</f>
        <v>0</v>
      </c>
    </row>
    <row r="46" spans="2:15">
      <c r="B46" s="507">
        <f t="shared" si="0"/>
        <v>1984</v>
      </c>
      <c r="C46" s="508">
        <f>Stored_C!E52</f>
        <v>0</v>
      </c>
      <c r="D46" s="509">
        <f>Stored_C!F52+Stored_C!L52</f>
        <v>0</v>
      </c>
      <c r="E46" s="510">
        <f>Stored_C!G52+Stored_C!M52</f>
        <v>0</v>
      </c>
      <c r="F46" s="511">
        <f>F45+HWP!C46</f>
        <v>0</v>
      </c>
      <c r="G46" s="509">
        <f>G45+HWP!D46</f>
        <v>6.9553920528681612</v>
      </c>
      <c r="H46" s="510">
        <f>H45+HWP!E46</f>
        <v>0</v>
      </c>
      <c r="I46" s="493"/>
      <c r="J46" s="512">
        <f>Garden!J53</f>
        <v>0</v>
      </c>
      <c r="K46" s="513">
        <f>Paper!J53</f>
        <v>3.3600955804408167E-2</v>
      </c>
      <c r="L46" s="514">
        <f>Wood!J53</f>
        <v>0</v>
      </c>
      <c r="M46" s="515">
        <f>J46*(1-Recovery_OX!E46)*(1-Recovery_OX!F46)</f>
        <v>0</v>
      </c>
      <c r="N46" s="513">
        <f>K46*(1-Recovery_OX!E46)*(1-Recovery_OX!F46)</f>
        <v>3.3600955804408167E-2</v>
      </c>
      <c r="O46" s="514">
        <f>L46*(1-Recovery_OX!E46)*(1-Recovery_OX!F46)</f>
        <v>0</v>
      </c>
    </row>
    <row r="47" spans="2:15">
      <c r="B47" s="507">
        <f t="shared" si="0"/>
        <v>1985</v>
      </c>
      <c r="C47" s="508">
        <f>Stored_C!E53</f>
        <v>0</v>
      </c>
      <c r="D47" s="509">
        <f>Stored_C!F53+Stored_C!L53</f>
        <v>0</v>
      </c>
      <c r="E47" s="510">
        <f>Stored_C!G53+Stored_C!M53</f>
        <v>0</v>
      </c>
      <c r="F47" s="511">
        <f>F46+HWP!C47</f>
        <v>0</v>
      </c>
      <c r="G47" s="509">
        <f>G46+HWP!D47</f>
        <v>6.9553920528681612</v>
      </c>
      <c r="H47" s="510">
        <f>H46+HWP!E47</f>
        <v>0</v>
      </c>
      <c r="I47" s="493"/>
      <c r="J47" s="512">
        <f>Garden!J54</f>
        <v>0</v>
      </c>
      <c r="K47" s="513">
        <f>Paper!J54</f>
        <v>3.1329323534963073E-2</v>
      </c>
      <c r="L47" s="514">
        <f>Wood!J54</f>
        <v>0</v>
      </c>
      <c r="M47" s="515">
        <f>J47*(1-Recovery_OX!E47)*(1-Recovery_OX!F47)</f>
        <v>0</v>
      </c>
      <c r="N47" s="513">
        <f>K47*(1-Recovery_OX!E47)*(1-Recovery_OX!F47)</f>
        <v>3.1329323534963073E-2</v>
      </c>
      <c r="O47" s="514">
        <f>L47*(1-Recovery_OX!E47)*(1-Recovery_OX!F47)</f>
        <v>0</v>
      </c>
    </row>
    <row r="48" spans="2:15">
      <c r="B48" s="507">
        <f t="shared" si="0"/>
        <v>1986</v>
      </c>
      <c r="C48" s="508">
        <f>Stored_C!E54</f>
        <v>0</v>
      </c>
      <c r="D48" s="509">
        <f>Stored_C!F54+Stored_C!L54</f>
        <v>0</v>
      </c>
      <c r="E48" s="510">
        <f>Stored_C!G54+Stored_C!M54</f>
        <v>0</v>
      </c>
      <c r="F48" s="511">
        <f>F47+HWP!C48</f>
        <v>0</v>
      </c>
      <c r="G48" s="509">
        <f>G47+HWP!D48</f>
        <v>6.9553920528681612</v>
      </c>
      <c r="H48" s="510">
        <f>H47+HWP!E48</f>
        <v>0</v>
      </c>
      <c r="I48" s="493"/>
      <c r="J48" s="512">
        <f>Garden!J55</f>
        <v>0</v>
      </c>
      <c r="K48" s="513">
        <f>Paper!J55</f>
        <v>2.9211267645833545E-2</v>
      </c>
      <c r="L48" s="514">
        <f>Wood!J55</f>
        <v>0</v>
      </c>
      <c r="M48" s="515">
        <f>J48*(1-Recovery_OX!E48)*(1-Recovery_OX!F48)</f>
        <v>0</v>
      </c>
      <c r="N48" s="513">
        <f>K48*(1-Recovery_OX!E48)*(1-Recovery_OX!F48)</f>
        <v>2.9211267645833545E-2</v>
      </c>
      <c r="O48" s="514">
        <f>L48*(1-Recovery_OX!E48)*(1-Recovery_OX!F48)</f>
        <v>0</v>
      </c>
    </row>
    <row r="49" spans="2:15">
      <c r="B49" s="507">
        <f t="shared" si="0"/>
        <v>1987</v>
      </c>
      <c r="C49" s="508">
        <f>Stored_C!E55</f>
        <v>0</v>
      </c>
      <c r="D49" s="509">
        <f>Stored_C!F55+Stored_C!L55</f>
        <v>0</v>
      </c>
      <c r="E49" s="510">
        <f>Stored_C!G55+Stored_C!M55</f>
        <v>0</v>
      </c>
      <c r="F49" s="511">
        <f>F48+HWP!C49</f>
        <v>0</v>
      </c>
      <c r="G49" s="509">
        <f>G48+HWP!D49</f>
        <v>6.9553920528681612</v>
      </c>
      <c r="H49" s="510">
        <f>H48+HWP!E49</f>
        <v>0</v>
      </c>
      <c r="I49" s="493"/>
      <c r="J49" s="512">
        <f>Garden!J56</f>
        <v>0</v>
      </c>
      <c r="K49" s="513">
        <f>Paper!J56</f>
        <v>2.7236405424593779E-2</v>
      </c>
      <c r="L49" s="514">
        <f>Wood!J56</f>
        <v>0</v>
      </c>
      <c r="M49" s="515">
        <f>J49*(1-Recovery_OX!E49)*(1-Recovery_OX!F49)</f>
        <v>0</v>
      </c>
      <c r="N49" s="513">
        <f>K49*(1-Recovery_OX!E49)*(1-Recovery_OX!F49)</f>
        <v>2.7236405424593779E-2</v>
      </c>
      <c r="O49" s="514">
        <f>L49*(1-Recovery_OX!E49)*(1-Recovery_OX!F49)</f>
        <v>0</v>
      </c>
    </row>
    <row r="50" spans="2:15">
      <c r="B50" s="507">
        <f t="shared" si="0"/>
        <v>1988</v>
      </c>
      <c r="C50" s="508">
        <f>Stored_C!E56</f>
        <v>0</v>
      </c>
      <c r="D50" s="509">
        <f>Stored_C!F56+Stored_C!L56</f>
        <v>0</v>
      </c>
      <c r="E50" s="510">
        <f>Stored_C!G56+Stored_C!M56</f>
        <v>0</v>
      </c>
      <c r="F50" s="511">
        <f>F49+HWP!C50</f>
        <v>0</v>
      </c>
      <c r="G50" s="509">
        <f>G49+HWP!D50</f>
        <v>6.9553920528681612</v>
      </c>
      <c r="H50" s="510">
        <f>H49+HWP!E50</f>
        <v>0</v>
      </c>
      <c r="I50" s="493"/>
      <c r="J50" s="512">
        <f>Garden!J57</f>
        <v>0</v>
      </c>
      <c r="K50" s="513">
        <f>Paper!J57</f>
        <v>2.5395056094344084E-2</v>
      </c>
      <c r="L50" s="514">
        <f>Wood!J57</f>
        <v>0</v>
      </c>
      <c r="M50" s="515">
        <f>J50*(1-Recovery_OX!E50)*(1-Recovery_OX!F50)</f>
        <v>0</v>
      </c>
      <c r="N50" s="513">
        <f>K50*(1-Recovery_OX!E50)*(1-Recovery_OX!F50)</f>
        <v>2.5395056094344084E-2</v>
      </c>
      <c r="O50" s="514">
        <f>L50*(1-Recovery_OX!E50)*(1-Recovery_OX!F50)</f>
        <v>0</v>
      </c>
    </row>
    <row r="51" spans="2:15">
      <c r="B51" s="507">
        <f t="shared" si="0"/>
        <v>1989</v>
      </c>
      <c r="C51" s="508">
        <f>Stored_C!E57</f>
        <v>0</v>
      </c>
      <c r="D51" s="509">
        <f>Stored_C!F57+Stored_C!L57</f>
        <v>0</v>
      </c>
      <c r="E51" s="510">
        <f>Stored_C!G57+Stored_C!M57</f>
        <v>0</v>
      </c>
      <c r="F51" s="511">
        <f>F50+HWP!C51</f>
        <v>0</v>
      </c>
      <c r="G51" s="509">
        <f>G50+HWP!D51</f>
        <v>6.9553920528681612</v>
      </c>
      <c r="H51" s="510">
        <f>H50+HWP!E51</f>
        <v>0</v>
      </c>
      <c r="I51" s="493"/>
      <c r="J51" s="512">
        <f>Garden!J58</f>
        <v>0</v>
      </c>
      <c r="K51" s="513">
        <f>Paper!J58</f>
        <v>2.3678193358531312E-2</v>
      </c>
      <c r="L51" s="514">
        <f>Wood!J58</f>
        <v>0</v>
      </c>
      <c r="M51" s="515">
        <f>J51*(1-Recovery_OX!E51)*(1-Recovery_OX!F51)</f>
        <v>0</v>
      </c>
      <c r="N51" s="513">
        <f>K51*(1-Recovery_OX!E51)*(1-Recovery_OX!F51)</f>
        <v>2.3678193358531312E-2</v>
      </c>
      <c r="O51" s="514">
        <f>L51*(1-Recovery_OX!E51)*(1-Recovery_OX!F51)</f>
        <v>0</v>
      </c>
    </row>
    <row r="52" spans="2:15">
      <c r="B52" s="507">
        <f t="shared" si="0"/>
        <v>1990</v>
      </c>
      <c r="C52" s="508">
        <f>Stored_C!E58</f>
        <v>0</v>
      </c>
      <c r="D52" s="509">
        <f>Stored_C!F58+Stored_C!L58</f>
        <v>0</v>
      </c>
      <c r="E52" s="510">
        <f>Stored_C!G58+Stored_C!M58</f>
        <v>0</v>
      </c>
      <c r="F52" s="511">
        <f>F51+HWP!C52</f>
        <v>0</v>
      </c>
      <c r="G52" s="509">
        <f>G51+HWP!D52</f>
        <v>6.9553920528681612</v>
      </c>
      <c r="H52" s="510">
        <f>H51+HWP!E52</f>
        <v>0</v>
      </c>
      <c r="I52" s="493"/>
      <c r="J52" s="512">
        <f>Garden!J59</f>
        <v>0</v>
      </c>
      <c r="K52" s="513">
        <f>Paper!J59</f>
        <v>2.2077401154032665E-2</v>
      </c>
      <c r="L52" s="514">
        <f>Wood!J59</f>
        <v>0</v>
      </c>
      <c r="M52" s="515">
        <f>J52*(1-Recovery_OX!E52)*(1-Recovery_OX!F52)</f>
        <v>0</v>
      </c>
      <c r="N52" s="513">
        <f>K52*(1-Recovery_OX!E52)*(1-Recovery_OX!F52)</f>
        <v>2.2077401154032665E-2</v>
      </c>
      <c r="O52" s="514">
        <f>L52*(1-Recovery_OX!E52)*(1-Recovery_OX!F52)</f>
        <v>0</v>
      </c>
    </row>
    <row r="53" spans="2:15">
      <c r="B53" s="507">
        <f t="shared" si="0"/>
        <v>1991</v>
      </c>
      <c r="C53" s="508">
        <f>Stored_C!E59</f>
        <v>0</v>
      </c>
      <c r="D53" s="509">
        <f>Stored_C!F59+Stored_C!L59</f>
        <v>0</v>
      </c>
      <c r="E53" s="510">
        <f>Stored_C!G59+Stored_C!M59</f>
        <v>0</v>
      </c>
      <c r="F53" s="511">
        <f>F52+HWP!C53</f>
        <v>0</v>
      </c>
      <c r="G53" s="509">
        <f>G52+HWP!D53</f>
        <v>6.9553920528681612</v>
      </c>
      <c r="H53" s="510">
        <f>H52+HWP!E53</f>
        <v>0</v>
      </c>
      <c r="I53" s="493"/>
      <c r="J53" s="512">
        <f>Garden!J60</f>
        <v>0</v>
      </c>
      <c r="K53" s="513">
        <f>Paper!J60</f>
        <v>2.0584832395604505E-2</v>
      </c>
      <c r="L53" s="514">
        <f>Wood!J60</f>
        <v>0</v>
      </c>
      <c r="M53" s="515">
        <f>J53*(1-Recovery_OX!E53)*(1-Recovery_OX!F53)</f>
        <v>0</v>
      </c>
      <c r="N53" s="513">
        <f>K53*(1-Recovery_OX!E53)*(1-Recovery_OX!F53)</f>
        <v>2.0584832395604505E-2</v>
      </c>
      <c r="O53" s="514">
        <f>L53*(1-Recovery_OX!E53)*(1-Recovery_OX!F53)</f>
        <v>0</v>
      </c>
    </row>
    <row r="54" spans="2:15">
      <c r="B54" s="507">
        <f t="shared" si="0"/>
        <v>1992</v>
      </c>
      <c r="C54" s="508">
        <f>Stored_C!E60</f>
        <v>0</v>
      </c>
      <c r="D54" s="509">
        <f>Stored_C!F60+Stored_C!L60</f>
        <v>0</v>
      </c>
      <c r="E54" s="510">
        <f>Stored_C!G60+Stored_C!M60</f>
        <v>0</v>
      </c>
      <c r="F54" s="511">
        <f>F53+HWP!C54</f>
        <v>0</v>
      </c>
      <c r="G54" s="509">
        <f>G53+HWP!D54</f>
        <v>6.9553920528681612</v>
      </c>
      <c r="H54" s="510">
        <f>H53+HWP!E54</f>
        <v>0</v>
      </c>
      <c r="I54" s="493"/>
      <c r="J54" s="512">
        <f>Garden!J61</f>
        <v>0</v>
      </c>
      <c r="K54" s="513">
        <f>Paper!J61</f>
        <v>1.9193170509461399E-2</v>
      </c>
      <c r="L54" s="514">
        <f>Wood!J61</f>
        <v>0</v>
      </c>
      <c r="M54" s="515">
        <f>J54*(1-Recovery_OX!E54)*(1-Recovery_OX!F54)</f>
        <v>0</v>
      </c>
      <c r="N54" s="513">
        <f>K54*(1-Recovery_OX!E54)*(1-Recovery_OX!F54)</f>
        <v>1.9193170509461399E-2</v>
      </c>
      <c r="O54" s="514">
        <f>L54*(1-Recovery_OX!E54)*(1-Recovery_OX!F54)</f>
        <v>0</v>
      </c>
    </row>
    <row r="55" spans="2:15">
      <c r="B55" s="507">
        <f t="shared" si="0"/>
        <v>1993</v>
      </c>
      <c r="C55" s="508">
        <f>Stored_C!E61</f>
        <v>0</v>
      </c>
      <c r="D55" s="509">
        <f>Stored_C!F61+Stored_C!L61</f>
        <v>0</v>
      </c>
      <c r="E55" s="510">
        <f>Stored_C!G61+Stored_C!M61</f>
        <v>0</v>
      </c>
      <c r="F55" s="511">
        <f>F54+HWP!C55</f>
        <v>0</v>
      </c>
      <c r="G55" s="509">
        <f>G54+HWP!D55</f>
        <v>6.9553920528681612</v>
      </c>
      <c r="H55" s="510">
        <f>H54+HWP!E55</f>
        <v>0</v>
      </c>
      <c r="I55" s="493"/>
      <c r="J55" s="512">
        <f>Garden!J62</f>
        <v>0</v>
      </c>
      <c r="K55" s="513">
        <f>Paper!J62</f>
        <v>1.7895593567422909E-2</v>
      </c>
      <c r="L55" s="514">
        <f>Wood!J62</f>
        <v>0</v>
      </c>
      <c r="M55" s="515">
        <f>J55*(1-Recovery_OX!E55)*(1-Recovery_OX!F55)</f>
        <v>0</v>
      </c>
      <c r="N55" s="513">
        <f>K55*(1-Recovery_OX!E55)*(1-Recovery_OX!F55)</f>
        <v>1.7895593567422909E-2</v>
      </c>
      <c r="O55" s="514">
        <f>L55*(1-Recovery_OX!E55)*(1-Recovery_OX!F55)</f>
        <v>0</v>
      </c>
    </row>
    <row r="56" spans="2:15">
      <c r="B56" s="507">
        <f t="shared" si="0"/>
        <v>1994</v>
      </c>
      <c r="C56" s="508">
        <f>Stored_C!E62</f>
        <v>0</v>
      </c>
      <c r="D56" s="509">
        <f>Stored_C!F62+Stored_C!L62</f>
        <v>0</v>
      </c>
      <c r="E56" s="510">
        <f>Stored_C!G62+Stored_C!M62</f>
        <v>0</v>
      </c>
      <c r="F56" s="511">
        <f>F55+HWP!C56</f>
        <v>0</v>
      </c>
      <c r="G56" s="509">
        <f>G55+HWP!D56</f>
        <v>6.9553920528681612</v>
      </c>
      <c r="H56" s="510">
        <f>H55+HWP!E56</f>
        <v>0</v>
      </c>
      <c r="I56" s="493"/>
      <c r="J56" s="512">
        <f>Garden!J63</f>
        <v>0</v>
      </c>
      <c r="K56" s="513">
        <f>Paper!J63</f>
        <v>1.6685740845813764E-2</v>
      </c>
      <c r="L56" s="514">
        <f>Wood!J63</f>
        <v>0</v>
      </c>
      <c r="M56" s="515">
        <f>J56*(1-Recovery_OX!E56)*(1-Recovery_OX!F56)</f>
        <v>0</v>
      </c>
      <c r="N56" s="513">
        <f>K56*(1-Recovery_OX!E56)*(1-Recovery_OX!F56)</f>
        <v>1.6685740845813764E-2</v>
      </c>
      <c r="O56" s="514">
        <f>L56*(1-Recovery_OX!E56)*(1-Recovery_OX!F56)</f>
        <v>0</v>
      </c>
    </row>
    <row r="57" spans="2:15">
      <c r="B57" s="507">
        <f t="shared" si="0"/>
        <v>1995</v>
      </c>
      <c r="C57" s="508">
        <f>Stored_C!E63</f>
        <v>0</v>
      </c>
      <c r="D57" s="509">
        <f>Stored_C!F63+Stored_C!L63</f>
        <v>0</v>
      </c>
      <c r="E57" s="510">
        <f>Stored_C!G63+Stored_C!M63</f>
        <v>0</v>
      </c>
      <c r="F57" s="511">
        <f>F56+HWP!C57</f>
        <v>0</v>
      </c>
      <c r="G57" s="509">
        <f>G56+HWP!D57</f>
        <v>6.9553920528681612</v>
      </c>
      <c r="H57" s="510">
        <f>H56+HWP!E57</f>
        <v>0</v>
      </c>
      <c r="I57" s="493"/>
      <c r="J57" s="512">
        <f>Garden!J64</f>
        <v>0</v>
      </c>
      <c r="K57" s="513">
        <f>Paper!J64</f>
        <v>1.5557681645189003E-2</v>
      </c>
      <c r="L57" s="514">
        <f>Wood!J64</f>
        <v>0</v>
      </c>
      <c r="M57" s="515">
        <f>J57*(1-Recovery_OX!E57)*(1-Recovery_OX!F57)</f>
        <v>0</v>
      </c>
      <c r="N57" s="513">
        <f>K57*(1-Recovery_OX!E57)*(1-Recovery_OX!F57)</f>
        <v>1.5557681645189003E-2</v>
      </c>
      <c r="O57" s="514">
        <f>L57*(1-Recovery_OX!E57)*(1-Recovery_OX!F57)</f>
        <v>0</v>
      </c>
    </row>
    <row r="58" spans="2:15">
      <c r="B58" s="507">
        <f t="shared" si="0"/>
        <v>1996</v>
      </c>
      <c r="C58" s="508">
        <f>Stored_C!E64</f>
        <v>0</v>
      </c>
      <c r="D58" s="509">
        <f>Stored_C!F64+Stored_C!L64</f>
        <v>0</v>
      </c>
      <c r="E58" s="510">
        <f>Stored_C!G64+Stored_C!M64</f>
        <v>0</v>
      </c>
      <c r="F58" s="511">
        <f>F57+HWP!C58</f>
        <v>0</v>
      </c>
      <c r="G58" s="509">
        <f>G57+HWP!D58</f>
        <v>6.9553920528681612</v>
      </c>
      <c r="H58" s="510">
        <f>H57+HWP!E58</f>
        <v>0</v>
      </c>
      <c r="I58" s="493"/>
      <c r="J58" s="512">
        <f>Garden!J65</f>
        <v>0</v>
      </c>
      <c r="K58" s="513">
        <f>Paper!J65</f>
        <v>1.4505886218038432E-2</v>
      </c>
      <c r="L58" s="514">
        <f>Wood!J65</f>
        <v>0</v>
      </c>
      <c r="M58" s="515">
        <f>J58*(1-Recovery_OX!E58)*(1-Recovery_OX!F58)</f>
        <v>0</v>
      </c>
      <c r="N58" s="513">
        <f>K58*(1-Recovery_OX!E58)*(1-Recovery_OX!F58)</f>
        <v>1.4505886218038432E-2</v>
      </c>
      <c r="O58" s="514">
        <f>L58*(1-Recovery_OX!E58)*(1-Recovery_OX!F58)</f>
        <v>0</v>
      </c>
    </row>
    <row r="59" spans="2:15">
      <c r="B59" s="507">
        <f t="shared" si="0"/>
        <v>1997</v>
      </c>
      <c r="C59" s="508">
        <f>Stored_C!E65</f>
        <v>0</v>
      </c>
      <c r="D59" s="509">
        <f>Stored_C!F65+Stored_C!L65</f>
        <v>0</v>
      </c>
      <c r="E59" s="510">
        <f>Stored_C!G65+Stored_C!M65</f>
        <v>0</v>
      </c>
      <c r="F59" s="511">
        <f>F58+HWP!C59</f>
        <v>0</v>
      </c>
      <c r="G59" s="509">
        <f>G58+HWP!D59</f>
        <v>6.9553920528681612</v>
      </c>
      <c r="H59" s="510">
        <f>H58+HWP!E59</f>
        <v>0</v>
      </c>
      <c r="I59" s="493"/>
      <c r="J59" s="512">
        <f>Garden!J66</f>
        <v>0</v>
      </c>
      <c r="K59" s="513">
        <f>Paper!J66</f>
        <v>1.3525198661957902E-2</v>
      </c>
      <c r="L59" s="514">
        <f>Wood!J66</f>
        <v>0</v>
      </c>
      <c r="M59" s="515">
        <f>J59*(1-Recovery_OX!E59)*(1-Recovery_OX!F59)</f>
        <v>0</v>
      </c>
      <c r="N59" s="513">
        <f>K59*(1-Recovery_OX!E59)*(1-Recovery_OX!F59)</f>
        <v>1.3525198661957902E-2</v>
      </c>
      <c r="O59" s="514">
        <f>L59*(1-Recovery_OX!E59)*(1-Recovery_OX!F59)</f>
        <v>0</v>
      </c>
    </row>
    <row r="60" spans="2:15">
      <c r="B60" s="507">
        <f t="shared" si="0"/>
        <v>1998</v>
      </c>
      <c r="C60" s="508">
        <f>Stored_C!E66</f>
        <v>0</v>
      </c>
      <c r="D60" s="509">
        <f>Stored_C!F66+Stored_C!L66</f>
        <v>0</v>
      </c>
      <c r="E60" s="510">
        <f>Stored_C!G66+Stored_C!M66</f>
        <v>0</v>
      </c>
      <c r="F60" s="511">
        <f>F59+HWP!C60</f>
        <v>0</v>
      </c>
      <c r="G60" s="509">
        <f>G59+HWP!D60</f>
        <v>6.9553920528681612</v>
      </c>
      <c r="H60" s="510">
        <f>H59+HWP!E60</f>
        <v>0</v>
      </c>
      <c r="I60" s="493"/>
      <c r="J60" s="512">
        <f>Garden!J67</f>
        <v>0</v>
      </c>
      <c r="K60" s="513">
        <f>Paper!J67</f>
        <v>1.2610811645409749E-2</v>
      </c>
      <c r="L60" s="514">
        <f>Wood!J67</f>
        <v>0</v>
      </c>
      <c r="M60" s="515">
        <f>J60*(1-Recovery_OX!E60)*(1-Recovery_OX!F60)</f>
        <v>0</v>
      </c>
      <c r="N60" s="513">
        <f>K60*(1-Recovery_OX!E60)*(1-Recovery_OX!F60)</f>
        <v>1.2610811645409749E-2</v>
      </c>
      <c r="O60" s="514">
        <f>L60*(1-Recovery_OX!E60)*(1-Recovery_OX!F60)</f>
        <v>0</v>
      </c>
    </row>
    <row r="61" spans="2:15">
      <c r="B61" s="507">
        <f t="shared" si="0"/>
        <v>1999</v>
      </c>
      <c r="C61" s="508">
        <f>Stored_C!E67</f>
        <v>0</v>
      </c>
      <c r="D61" s="509">
        <f>Stored_C!F67+Stored_C!L67</f>
        <v>0</v>
      </c>
      <c r="E61" s="510">
        <f>Stored_C!G67+Stored_C!M67</f>
        <v>0</v>
      </c>
      <c r="F61" s="511">
        <f>F60+HWP!C61</f>
        <v>0</v>
      </c>
      <c r="G61" s="509">
        <f>G60+HWP!D61</f>
        <v>6.9553920528681612</v>
      </c>
      <c r="H61" s="510">
        <f>H60+HWP!E61</f>
        <v>0</v>
      </c>
      <c r="I61" s="493"/>
      <c r="J61" s="512">
        <f>Garden!J68</f>
        <v>0</v>
      </c>
      <c r="K61" s="513">
        <f>Paper!J68</f>
        <v>1.1758242842178013E-2</v>
      </c>
      <c r="L61" s="514">
        <f>Wood!J68</f>
        <v>0</v>
      </c>
      <c r="M61" s="515">
        <f>J61*(1-Recovery_OX!E61)*(1-Recovery_OX!F61)</f>
        <v>0</v>
      </c>
      <c r="N61" s="513">
        <f>K61*(1-Recovery_OX!E61)*(1-Recovery_OX!F61)</f>
        <v>1.1758242842178013E-2</v>
      </c>
      <c r="O61" s="514">
        <f>L61*(1-Recovery_OX!E61)*(1-Recovery_OX!F61)</f>
        <v>0</v>
      </c>
    </row>
    <row r="62" spans="2:15">
      <c r="B62" s="507">
        <f t="shared" si="0"/>
        <v>2000</v>
      </c>
      <c r="C62" s="508">
        <f>Stored_C!E68</f>
        <v>0</v>
      </c>
      <c r="D62" s="509">
        <f>Stored_C!F68+Stored_C!L68</f>
        <v>0</v>
      </c>
      <c r="E62" s="510">
        <f>Stored_C!G68+Stored_C!M68</f>
        <v>0</v>
      </c>
      <c r="F62" s="511">
        <f>F61+HWP!C62</f>
        <v>0</v>
      </c>
      <c r="G62" s="509">
        <f>G61+HWP!D62</f>
        <v>6.9553920528681612</v>
      </c>
      <c r="H62" s="510">
        <f>H61+HWP!E62</f>
        <v>0</v>
      </c>
      <c r="I62" s="493"/>
      <c r="J62" s="512">
        <f>Garden!J69</f>
        <v>0</v>
      </c>
      <c r="K62" s="513">
        <f>Paper!J69</f>
        <v>1.096331295900013E-2</v>
      </c>
      <c r="L62" s="514">
        <f>Wood!J69</f>
        <v>0</v>
      </c>
      <c r="M62" s="515">
        <f>J62*(1-Recovery_OX!E62)*(1-Recovery_OX!F62)</f>
        <v>0</v>
      </c>
      <c r="N62" s="513">
        <f>K62*(1-Recovery_OX!E62)*(1-Recovery_OX!F62)</f>
        <v>1.096331295900013E-2</v>
      </c>
      <c r="O62" s="514">
        <f>L62*(1-Recovery_OX!E62)*(1-Recovery_OX!F62)</f>
        <v>0</v>
      </c>
    </row>
    <row r="63" spans="2:15">
      <c r="B63" s="507">
        <f t="shared" si="0"/>
        <v>2001</v>
      </c>
      <c r="C63" s="508">
        <f>Stored_C!E69</f>
        <v>0</v>
      </c>
      <c r="D63" s="509">
        <f>Stored_C!F69+Stored_C!L69</f>
        <v>0</v>
      </c>
      <c r="E63" s="510">
        <f>Stored_C!G69+Stored_C!M69</f>
        <v>0</v>
      </c>
      <c r="F63" s="511">
        <f>F62+HWP!C63</f>
        <v>0</v>
      </c>
      <c r="G63" s="509">
        <f>G62+HWP!D63</f>
        <v>6.9553920528681612</v>
      </c>
      <c r="H63" s="510">
        <f>H62+HWP!E63</f>
        <v>0</v>
      </c>
      <c r="I63" s="493"/>
      <c r="J63" s="512">
        <f>Garden!J70</f>
        <v>0</v>
      </c>
      <c r="K63" s="513">
        <f>Paper!J70</f>
        <v>1.0222125248666517E-2</v>
      </c>
      <c r="L63" s="514">
        <f>Wood!J70</f>
        <v>0</v>
      </c>
      <c r="M63" s="515">
        <f>J63*(1-Recovery_OX!E63)*(1-Recovery_OX!F63)</f>
        <v>0</v>
      </c>
      <c r="N63" s="513">
        <f>K63*(1-Recovery_OX!E63)*(1-Recovery_OX!F63)</f>
        <v>1.0222125248666517E-2</v>
      </c>
      <c r="O63" s="514">
        <f>L63*(1-Recovery_OX!E63)*(1-Recovery_OX!F63)</f>
        <v>0</v>
      </c>
    </row>
    <row r="64" spans="2:15">
      <c r="B64" s="507">
        <f t="shared" si="0"/>
        <v>2002</v>
      </c>
      <c r="C64" s="508">
        <f>Stored_C!E70</f>
        <v>0</v>
      </c>
      <c r="D64" s="509">
        <f>Stored_C!F70+Stored_C!L70</f>
        <v>0</v>
      </c>
      <c r="E64" s="510">
        <f>Stored_C!G70+Stored_C!M70</f>
        <v>0</v>
      </c>
      <c r="F64" s="511">
        <f>F63+HWP!C64</f>
        <v>0</v>
      </c>
      <c r="G64" s="509">
        <f>G63+HWP!D64</f>
        <v>6.9553920528681612</v>
      </c>
      <c r="H64" s="510">
        <f>H63+HWP!E64</f>
        <v>0</v>
      </c>
      <c r="I64" s="493"/>
      <c r="J64" s="512">
        <f>Garden!J71</f>
        <v>0</v>
      </c>
      <c r="K64" s="513">
        <f>Paper!J71</f>
        <v>9.5310464081612145E-3</v>
      </c>
      <c r="L64" s="514">
        <f>Wood!J71</f>
        <v>0</v>
      </c>
      <c r="M64" s="515">
        <f>J64*(1-Recovery_OX!E64)*(1-Recovery_OX!F64)</f>
        <v>0</v>
      </c>
      <c r="N64" s="513">
        <f>K64*(1-Recovery_OX!E64)*(1-Recovery_OX!F64)</f>
        <v>9.5310464081612145E-3</v>
      </c>
      <c r="O64" s="514">
        <f>L64*(1-Recovery_OX!E64)*(1-Recovery_OX!F64)</f>
        <v>0</v>
      </c>
    </row>
    <row r="65" spans="2:15">
      <c r="B65" s="507">
        <f t="shared" si="0"/>
        <v>2003</v>
      </c>
      <c r="C65" s="508">
        <f>Stored_C!E71</f>
        <v>0</v>
      </c>
      <c r="D65" s="509">
        <f>Stored_C!F71+Stored_C!L71</f>
        <v>0</v>
      </c>
      <c r="E65" s="510">
        <f>Stored_C!G71+Stored_C!M71</f>
        <v>0</v>
      </c>
      <c r="F65" s="511">
        <f>F64+HWP!C65</f>
        <v>0</v>
      </c>
      <c r="G65" s="509">
        <f>G64+HWP!D65</f>
        <v>6.9553920528681612</v>
      </c>
      <c r="H65" s="510">
        <f>H64+HWP!E65</f>
        <v>0</v>
      </c>
      <c r="I65" s="493"/>
      <c r="J65" s="512">
        <f>Garden!J72</f>
        <v>0</v>
      </c>
      <c r="K65" s="513">
        <f>Paper!J72</f>
        <v>8.8866887682063026E-3</v>
      </c>
      <c r="L65" s="514">
        <f>Wood!J72</f>
        <v>0</v>
      </c>
      <c r="M65" s="515">
        <f>J65*(1-Recovery_OX!E65)*(1-Recovery_OX!F65)</f>
        <v>0</v>
      </c>
      <c r="N65" s="513">
        <f>K65*(1-Recovery_OX!E65)*(1-Recovery_OX!F65)</f>
        <v>8.8866887682063026E-3</v>
      </c>
      <c r="O65" s="514">
        <f>L65*(1-Recovery_OX!E65)*(1-Recovery_OX!F65)</f>
        <v>0</v>
      </c>
    </row>
    <row r="66" spans="2:15">
      <c r="B66" s="507">
        <f t="shared" si="0"/>
        <v>2004</v>
      </c>
      <c r="C66" s="508">
        <f>Stored_C!E72</f>
        <v>0</v>
      </c>
      <c r="D66" s="509">
        <f>Stored_C!F72+Stored_C!L72</f>
        <v>0</v>
      </c>
      <c r="E66" s="510">
        <f>Stored_C!G72+Stored_C!M72</f>
        <v>0</v>
      </c>
      <c r="F66" s="511">
        <f>F65+HWP!C66</f>
        <v>0</v>
      </c>
      <c r="G66" s="509">
        <f>G65+HWP!D66</f>
        <v>6.9553920528681612</v>
      </c>
      <c r="H66" s="510">
        <f>H65+HWP!E66</f>
        <v>0</v>
      </c>
      <c r="I66" s="493"/>
      <c r="J66" s="512">
        <f>Garden!J73</f>
        <v>0</v>
      </c>
      <c r="K66" s="513">
        <f>Paper!J73</f>
        <v>8.2858936869031601E-3</v>
      </c>
      <c r="L66" s="514">
        <f>Wood!J73</f>
        <v>0</v>
      </c>
      <c r="M66" s="515">
        <f>J66*(1-Recovery_OX!E66)*(1-Recovery_OX!F66)</f>
        <v>0</v>
      </c>
      <c r="N66" s="513">
        <f>K66*(1-Recovery_OX!E66)*(1-Recovery_OX!F66)</f>
        <v>8.2858936869031601E-3</v>
      </c>
      <c r="O66" s="514">
        <f>L66*(1-Recovery_OX!E66)*(1-Recovery_OX!F66)</f>
        <v>0</v>
      </c>
    </row>
    <row r="67" spans="2:15">
      <c r="B67" s="507">
        <f t="shared" si="0"/>
        <v>2005</v>
      </c>
      <c r="C67" s="508">
        <f>Stored_C!E73</f>
        <v>0</v>
      </c>
      <c r="D67" s="509">
        <f>Stored_C!F73+Stored_C!L73</f>
        <v>0</v>
      </c>
      <c r="E67" s="510">
        <f>Stored_C!G73+Stored_C!M73</f>
        <v>0</v>
      </c>
      <c r="F67" s="511">
        <f>F66+HWP!C67</f>
        <v>0</v>
      </c>
      <c r="G67" s="509">
        <f>G66+HWP!D67</f>
        <v>6.9553920528681612</v>
      </c>
      <c r="H67" s="510">
        <f>H66+HWP!E67</f>
        <v>0</v>
      </c>
      <c r="I67" s="493"/>
      <c r="J67" s="512">
        <f>Garden!J74</f>
        <v>0</v>
      </c>
      <c r="K67" s="513">
        <f>Paper!J74</f>
        <v>7.7257160660662181E-3</v>
      </c>
      <c r="L67" s="514">
        <f>Wood!J74</f>
        <v>0</v>
      </c>
      <c r="M67" s="515">
        <f>J67*(1-Recovery_OX!E67)*(1-Recovery_OX!F67)</f>
        <v>0</v>
      </c>
      <c r="N67" s="513">
        <f>K67*(1-Recovery_OX!E67)*(1-Recovery_OX!F67)</f>
        <v>7.7257160660662181E-3</v>
      </c>
      <c r="O67" s="514">
        <f>L67*(1-Recovery_OX!E67)*(1-Recovery_OX!F67)</f>
        <v>0</v>
      </c>
    </row>
    <row r="68" spans="2:15">
      <c r="B68" s="507">
        <f t="shared" si="0"/>
        <v>2006</v>
      </c>
      <c r="C68" s="508">
        <f>Stored_C!E74</f>
        <v>0</v>
      </c>
      <c r="D68" s="509">
        <f>Stored_C!F74+Stored_C!L74</f>
        <v>0</v>
      </c>
      <c r="E68" s="510">
        <f>Stored_C!G74+Stored_C!M74</f>
        <v>0</v>
      </c>
      <c r="F68" s="511">
        <f>F67+HWP!C68</f>
        <v>0</v>
      </c>
      <c r="G68" s="509">
        <f>G67+HWP!D68</f>
        <v>6.9553920528681612</v>
      </c>
      <c r="H68" s="510">
        <f>H67+HWP!E68</f>
        <v>0</v>
      </c>
      <c r="I68" s="493"/>
      <c r="J68" s="512">
        <f>Garden!J75</f>
        <v>0</v>
      </c>
      <c r="K68" s="513">
        <f>Paper!J75</f>
        <v>7.2034099143482369E-3</v>
      </c>
      <c r="L68" s="514">
        <f>Wood!J75</f>
        <v>0</v>
      </c>
      <c r="M68" s="515">
        <f>J68*(1-Recovery_OX!E68)*(1-Recovery_OX!F68)</f>
        <v>0</v>
      </c>
      <c r="N68" s="513">
        <f>K68*(1-Recovery_OX!E68)*(1-Recovery_OX!F68)</f>
        <v>7.2034099143482369E-3</v>
      </c>
      <c r="O68" s="514">
        <f>L68*(1-Recovery_OX!E68)*(1-Recovery_OX!F68)</f>
        <v>0</v>
      </c>
    </row>
    <row r="69" spans="2:15">
      <c r="B69" s="507">
        <f t="shared" si="0"/>
        <v>2007</v>
      </c>
      <c r="C69" s="508">
        <f>Stored_C!E75</f>
        <v>0</v>
      </c>
      <c r="D69" s="509">
        <f>Stored_C!F75+Stored_C!L75</f>
        <v>0</v>
      </c>
      <c r="E69" s="510">
        <f>Stored_C!G75+Stored_C!M75</f>
        <v>0</v>
      </c>
      <c r="F69" s="511">
        <f>F68+HWP!C69</f>
        <v>0</v>
      </c>
      <c r="G69" s="509">
        <f>G68+HWP!D69</f>
        <v>6.9553920528681612</v>
      </c>
      <c r="H69" s="510">
        <f>H68+HWP!E69</f>
        <v>0</v>
      </c>
      <c r="I69" s="493"/>
      <c r="J69" s="512">
        <f>Garden!J76</f>
        <v>0</v>
      </c>
      <c r="K69" s="513">
        <f>Paper!J76</f>
        <v>6.7164148863875324E-3</v>
      </c>
      <c r="L69" s="514">
        <f>Wood!J76</f>
        <v>0</v>
      </c>
      <c r="M69" s="515">
        <f>J69*(1-Recovery_OX!E69)*(1-Recovery_OX!F69)</f>
        <v>0</v>
      </c>
      <c r="N69" s="513">
        <f>K69*(1-Recovery_OX!E69)*(1-Recovery_OX!F69)</f>
        <v>6.7164148863875324E-3</v>
      </c>
      <c r="O69" s="514">
        <f>L69*(1-Recovery_OX!E69)*(1-Recovery_OX!F69)</f>
        <v>0</v>
      </c>
    </row>
    <row r="70" spans="2:15">
      <c r="B70" s="507">
        <f t="shared" si="0"/>
        <v>2008</v>
      </c>
      <c r="C70" s="508">
        <f>Stored_C!E76</f>
        <v>0</v>
      </c>
      <c r="D70" s="509">
        <f>Stored_C!F76+Stored_C!L76</f>
        <v>0</v>
      </c>
      <c r="E70" s="510">
        <f>Stored_C!G76+Stored_C!M76</f>
        <v>0</v>
      </c>
      <c r="F70" s="511">
        <f>F69+HWP!C70</f>
        <v>0</v>
      </c>
      <c r="G70" s="509">
        <f>G69+HWP!D70</f>
        <v>6.9553920528681612</v>
      </c>
      <c r="H70" s="510">
        <f>H69+HWP!E70</f>
        <v>0</v>
      </c>
      <c r="I70" s="493"/>
      <c r="J70" s="512">
        <f>Garden!J77</f>
        <v>0</v>
      </c>
      <c r="K70" s="513">
        <f>Paper!J77</f>
        <v>6.262343731992046E-3</v>
      </c>
      <c r="L70" s="514">
        <f>Wood!J77</f>
        <v>0</v>
      </c>
      <c r="M70" s="515">
        <f>J70*(1-Recovery_OX!E70)*(1-Recovery_OX!F70)</f>
        <v>0</v>
      </c>
      <c r="N70" s="513">
        <f>K70*(1-Recovery_OX!E70)*(1-Recovery_OX!F70)</f>
        <v>6.262343731992046E-3</v>
      </c>
      <c r="O70" s="514">
        <f>L70*(1-Recovery_OX!E70)*(1-Recovery_OX!F70)</f>
        <v>0</v>
      </c>
    </row>
    <row r="71" spans="2:15">
      <c r="B71" s="507">
        <f t="shared" si="0"/>
        <v>2009</v>
      </c>
      <c r="C71" s="508">
        <f>Stored_C!E77</f>
        <v>0</v>
      </c>
      <c r="D71" s="509">
        <f>Stored_C!F77+Stored_C!L77</f>
        <v>0</v>
      </c>
      <c r="E71" s="510">
        <f>Stored_C!G77+Stored_C!M77</f>
        <v>0</v>
      </c>
      <c r="F71" s="511">
        <f>F70+HWP!C71</f>
        <v>0</v>
      </c>
      <c r="G71" s="509">
        <f>G70+HWP!D71</f>
        <v>6.9553920528681612</v>
      </c>
      <c r="H71" s="510">
        <f>H70+HWP!E71</f>
        <v>0</v>
      </c>
      <c r="I71" s="493"/>
      <c r="J71" s="512">
        <f>Garden!J78</f>
        <v>0</v>
      </c>
      <c r="K71" s="513">
        <f>Paper!J78</f>
        <v>5.8389705938361363E-3</v>
      </c>
      <c r="L71" s="514">
        <f>Wood!J78</f>
        <v>0</v>
      </c>
      <c r="M71" s="515">
        <f>J71*(1-Recovery_OX!E71)*(1-Recovery_OX!F71)</f>
        <v>0</v>
      </c>
      <c r="N71" s="513">
        <f>K71*(1-Recovery_OX!E71)*(1-Recovery_OX!F71)</f>
        <v>5.8389705938361363E-3</v>
      </c>
      <c r="O71" s="514">
        <f>L71*(1-Recovery_OX!E71)*(1-Recovery_OX!F71)</f>
        <v>0</v>
      </c>
    </row>
    <row r="72" spans="2:15">
      <c r="B72" s="507">
        <f t="shared" si="0"/>
        <v>2010</v>
      </c>
      <c r="C72" s="508">
        <f>Stored_C!E78</f>
        <v>0</v>
      </c>
      <c r="D72" s="509">
        <f>Stored_C!F78+Stored_C!L78</f>
        <v>0</v>
      </c>
      <c r="E72" s="510">
        <f>Stored_C!G78+Stored_C!M78</f>
        <v>0</v>
      </c>
      <c r="F72" s="511">
        <f>F71+HWP!C72</f>
        <v>0</v>
      </c>
      <c r="G72" s="509">
        <f>G71+HWP!D72</f>
        <v>6.9553920528681612</v>
      </c>
      <c r="H72" s="510">
        <f>H71+HWP!E72</f>
        <v>0</v>
      </c>
      <c r="I72" s="493"/>
      <c r="J72" s="512">
        <f>Garden!J79</f>
        <v>0</v>
      </c>
      <c r="K72" s="513">
        <f>Paper!J79</f>
        <v>5.4442200963053791E-3</v>
      </c>
      <c r="L72" s="514">
        <f>Wood!J79</f>
        <v>0</v>
      </c>
      <c r="M72" s="515">
        <f>J72*(1-Recovery_OX!E72)*(1-Recovery_OX!F72)</f>
        <v>0</v>
      </c>
      <c r="N72" s="513">
        <f>K72*(1-Recovery_OX!E72)*(1-Recovery_OX!F72)</f>
        <v>5.4442200963053791E-3</v>
      </c>
      <c r="O72" s="514">
        <f>L72*(1-Recovery_OX!E72)*(1-Recovery_OX!F72)</f>
        <v>0</v>
      </c>
    </row>
    <row r="73" spans="2:15">
      <c r="B73" s="507">
        <f t="shared" si="0"/>
        <v>2011</v>
      </c>
      <c r="C73" s="508">
        <f>Stored_C!E79</f>
        <v>0</v>
      </c>
      <c r="D73" s="509">
        <f>Stored_C!F79+Stored_C!L79</f>
        <v>0</v>
      </c>
      <c r="E73" s="510">
        <f>Stored_C!G79+Stored_C!M79</f>
        <v>0</v>
      </c>
      <c r="F73" s="511">
        <f>F72+HWP!C73</f>
        <v>0</v>
      </c>
      <c r="G73" s="509">
        <f>G72+HWP!D73</f>
        <v>6.9553920528681612</v>
      </c>
      <c r="H73" s="510">
        <f>H72+HWP!E73</f>
        <v>0</v>
      </c>
      <c r="I73" s="493"/>
      <c r="J73" s="512">
        <f>Garden!J80</f>
        <v>0</v>
      </c>
      <c r="K73" s="513">
        <f>Paper!J80</f>
        <v>5.0761571720029019E-3</v>
      </c>
      <c r="L73" s="514">
        <f>Wood!J80</f>
        <v>0</v>
      </c>
      <c r="M73" s="515">
        <f>J73*(1-Recovery_OX!E73)*(1-Recovery_OX!F73)</f>
        <v>0</v>
      </c>
      <c r="N73" s="513">
        <f>K73*(1-Recovery_OX!E73)*(1-Recovery_OX!F73)</f>
        <v>5.0761571720029019E-3</v>
      </c>
      <c r="O73" s="514">
        <f>L73*(1-Recovery_OX!E73)*(1-Recovery_OX!F73)</f>
        <v>0</v>
      </c>
    </row>
    <row r="74" spans="2:15">
      <c r="B74" s="507">
        <f t="shared" si="0"/>
        <v>2012</v>
      </c>
      <c r="C74" s="508">
        <f>Stored_C!E80</f>
        <v>0</v>
      </c>
      <c r="D74" s="509">
        <f>Stored_C!F80+Stored_C!L80</f>
        <v>0</v>
      </c>
      <c r="E74" s="510">
        <f>Stored_C!G80+Stored_C!M80</f>
        <v>0</v>
      </c>
      <c r="F74" s="511">
        <f>F73+HWP!C74</f>
        <v>0</v>
      </c>
      <c r="G74" s="509">
        <f>G73+HWP!D74</f>
        <v>6.9553920528681612</v>
      </c>
      <c r="H74" s="510">
        <f>H73+HWP!E74</f>
        <v>0</v>
      </c>
      <c r="I74" s="493"/>
      <c r="J74" s="512">
        <f>Garden!J81</f>
        <v>0</v>
      </c>
      <c r="K74" s="513">
        <f>Paper!J81</f>
        <v>4.7329775760467617E-3</v>
      </c>
      <c r="L74" s="514">
        <f>Wood!J81</f>
        <v>0</v>
      </c>
      <c r="M74" s="515">
        <f>J74*(1-Recovery_OX!E74)*(1-Recovery_OX!F74)</f>
        <v>0</v>
      </c>
      <c r="N74" s="513">
        <f>K74*(1-Recovery_OX!E74)*(1-Recovery_OX!F74)</f>
        <v>4.7329775760467617E-3</v>
      </c>
      <c r="O74" s="514">
        <f>L74*(1-Recovery_OX!E74)*(1-Recovery_OX!F74)</f>
        <v>0</v>
      </c>
    </row>
    <row r="75" spans="2:15">
      <c r="B75" s="507">
        <f t="shared" si="0"/>
        <v>2013</v>
      </c>
      <c r="C75" s="508">
        <f>Stored_C!E81</f>
        <v>0</v>
      </c>
      <c r="D75" s="509">
        <f>Stored_C!F81+Stored_C!L81</f>
        <v>0</v>
      </c>
      <c r="E75" s="510">
        <f>Stored_C!G81+Stored_C!M81</f>
        <v>0</v>
      </c>
      <c r="F75" s="511">
        <f>F74+HWP!C75</f>
        <v>0</v>
      </c>
      <c r="G75" s="509">
        <f>G74+HWP!D75</f>
        <v>6.9553920528681612</v>
      </c>
      <c r="H75" s="510">
        <f>H74+HWP!E75</f>
        <v>0</v>
      </c>
      <c r="I75" s="493"/>
      <c r="J75" s="512">
        <f>Garden!J82</f>
        <v>0</v>
      </c>
      <c r="K75" s="513">
        <f>Paper!J82</f>
        <v>4.4129990416594354E-3</v>
      </c>
      <c r="L75" s="514">
        <f>Wood!J82</f>
        <v>0</v>
      </c>
      <c r="M75" s="515">
        <f>J75*(1-Recovery_OX!E75)*(1-Recovery_OX!F75)</f>
        <v>0</v>
      </c>
      <c r="N75" s="513">
        <f>K75*(1-Recovery_OX!E75)*(1-Recovery_OX!F75)</f>
        <v>4.4129990416594354E-3</v>
      </c>
      <c r="O75" s="514">
        <f>L75*(1-Recovery_OX!E75)*(1-Recovery_OX!F75)</f>
        <v>0</v>
      </c>
    </row>
    <row r="76" spans="2:15">
      <c r="B76" s="507">
        <f t="shared" si="0"/>
        <v>2014</v>
      </c>
      <c r="C76" s="508">
        <f>Stored_C!E82</f>
        <v>0</v>
      </c>
      <c r="D76" s="509">
        <f>Stored_C!F82+Stored_C!L82</f>
        <v>0</v>
      </c>
      <c r="E76" s="510">
        <f>Stored_C!G82+Stored_C!M82</f>
        <v>0</v>
      </c>
      <c r="F76" s="511">
        <f>F75+HWP!C76</f>
        <v>0</v>
      </c>
      <c r="G76" s="509">
        <f>G75+HWP!D76</f>
        <v>6.9553920528681612</v>
      </c>
      <c r="H76" s="510">
        <f>H75+HWP!E76</f>
        <v>0</v>
      </c>
      <c r="I76" s="493"/>
      <c r="J76" s="512">
        <f>Garden!J83</f>
        <v>0</v>
      </c>
      <c r="K76" s="513">
        <f>Paper!J83</f>
        <v>4.1146530336941302E-3</v>
      </c>
      <c r="L76" s="514">
        <f>Wood!J83</f>
        <v>0</v>
      </c>
      <c r="M76" s="515">
        <f>J76*(1-Recovery_OX!E76)*(1-Recovery_OX!F76)</f>
        <v>0</v>
      </c>
      <c r="N76" s="513">
        <f>K76*(1-Recovery_OX!E76)*(1-Recovery_OX!F76)</f>
        <v>4.1146530336941302E-3</v>
      </c>
      <c r="O76" s="514">
        <f>L76*(1-Recovery_OX!E76)*(1-Recovery_OX!F76)</f>
        <v>0</v>
      </c>
    </row>
    <row r="77" spans="2:15">
      <c r="B77" s="507">
        <f t="shared" si="0"/>
        <v>2015</v>
      </c>
      <c r="C77" s="508">
        <f>Stored_C!E83</f>
        <v>0</v>
      </c>
      <c r="D77" s="509">
        <f>Stored_C!F83+Stored_C!L83</f>
        <v>0</v>
      </c>
      <c r="E77" s="510">
        <f>Stored_C!G83+Stored_C!M83</f>
        <v>0</v>
      </c>
      <c r="F77" s="511">
        <f>F76+HWP!C77</f>
        <v>0</v>
      </c>
      <c r="G77" s="509">
        <f>G76+HWP!D77</f>
        <v>6.9553920528681612</v>
      </c>
      <c r="H77" s="510">
        <f>H76+HWP!E77</f>
        <v>0</v>
      </c>
      <c r="I77" s="493"/>
      <c r="J77" s="512">
        <f>Garden!J84</f>
        <v>0</v>
      </c>
      <c r="K77" s="513">
        <f>Paper!J84</f>
        <v>3.8364770596736688E-3</v>
      </c>
      <c r="L77" s="514">
        <f>Wood!J84</f>
        <v>0</v>
      </c>
      <c r="M77" s="515">
        <f>J77*(1-Recovery_OX!E77)*(1-Recovery_OX!F77)</f>
        <v>0</v>
      </c>
      <c r="N77" s="513">
        <f>K77*(1-Recovery_OX!E77)*(1-Recovery_OX!F77)</f>
        <v>3.8364770596736688E-3</v>
      </c>
      <c r="O77" s="514">
        <f>L77*(1-Recovery_OX!E77)*(1-Recovery_OX!F77)</f>
        <v>0</v>
      </c>
    </row>
    <row r="78" spans="2:15">
      <c r="B78" s="507">
        <f t="shared" ref="B78:B92" si="1">B77+1</f>
        <v>2016</v>
      </c>
      <c r="C78" s="508">
        <f>Stored_C!E84</f>
        <v>0</v>
      </c>
      <c r="D78" s="509">
        <f>Stored_C!F84+Stored_C!L84</f>
        <v>0</v>
      </c>
      <c r="E78" s="510">
        <f>Stored_C!G84+Stored_C!M84</f>
        <v>0</v>
      </c>
      <c r="F78" s="511">
        <f>F77+HWP!C78</f>
        <v>0</v>
      </c>
      <c r="G78" s="509">
        <f>G77+HWP!D78</f>
        <v>6.9553920528681612</v>
      </c>
      <c r="H78" s="510">
        <f>H77+HWP!E78</f>
        <v>0</v>
      </c>
      <c r="I78" s="493"/>
      <c r="J78" s="512">
        <f>Garden!J85</f>
        <v>0</v>
      </c>
      <c r="K78" s="513">
        <f>Paper!J85</f>
        <v>3.5771075006506728E-3</v>
      </c>
      <c r="L78" s="514">
        <f>Wood!J85</f>
        <v>0</v>
      </c>
      <c r="M78" s="515">
        <f>J78*(1-Recovery_OX!E78)*(1-Recovery_OX!F78)</f>
        <v>0</v>
      </c>
      <c r="N78" s="513">
        <f>K78*(1-Recovery_OX!E78)*(1-Recovery_OX!F78)</f>
        <v>3.5771075006506728E-3</v>
      </c>
      <c r="O78" s="514">
        <f>L78*(1-Recovery_OX!E78)*(1-Recovery_OX!F78)</f>
        <v>0</v>
      </c>
    </row>
    <row r="79" spans="2:15">
      <c r="B79" s="507">
        <f t="shared" si="1"/>
        <v>2017</v>
      </c>
      <c r="C79" s="508">
        <f>Stored_C!E85</f>
        <v>0</v>
      </c>
      <c r="D79" s="509">
        <f>Stored_C!F85+Stored_C!L85</f>
        <v>0</v>
      </c>
      <c r="E79" s="510">
        <f>Stored_C!G85+Stored_C!M85</f>
        <v>0</v>
      </c>
      <c r="F79" s="511">
        <f>F78+HWP!C79</f>
        <v>0</v>
      </c>
      <c r="G79" s="509">
        <f>G78+HWP!D79</f>
        <v>6.9553920528681612</v>
      </c>
      <c r="H79" s="510">
        <f>H78+HWP!E79</f>
        <v>0</v>
      </c>
      <c r="I79" s="493"/>
      <c r="J79" s="512">
        <f>Garden!J86</f>
        <v>0</v>
      </c>
      <c r="K79" s="513">
        <f>Paper!J86</f>
        <v>3.3352729267459003E-3</v>
      </c>
      <c r="L79" s="514">
        <f>Wood!J86</f>
        <v>0</v>
      </c>
      <c r="M79" s="515">
        <f>J79*(1-Recovery_OX!E79)*(1-Recovery_OX!F79)</f>
        <v>0</v>
      </c>
      <c r="N79" s="513">
        <f>K79*(1-Recovery_OX!E79)*(1-Recovery_OX!F79)</f>
        <v>3.3352729267459003E-3</v>
      </c>
      <c r="O79" s="514">
        <f>L79*(1-Recovery_OX!E79)*(1-Recovery_OX!F79)</f>
        <v>0</v>
      </c>
    </row>
    <row r="80" spans="2:15">
      <c r="B80" s="507">
        <f t="shared" si="1"/>
        <v>2018</v>
      </c>
      <c r="C80" s="508">
        <f>Stored_C!E86</f>
        <v>0</v>
      </c>
      <c r="D80" s="509">
        <f>Stored_C!F86+Stored_C!L86</f>
        <v>0</v>
      </c>
      <c r="E80" s="510">
        <f>Stored_C!G86+Stored_C!M86</f>
        <v>0</v>
      </c>
      <c r="F80" s="511">
        <f>F79+HWP!C80</f>
        <v>0</v>
      </c>
      <c r="G80" s="509">
        <f>G79+HWP!D80</f>
        <v>6.9553920528681612</v>
      </c>
      <c r="H80" s="510">
        <f>H79+HWP!E80</f>
        <v>0</v>
      </c>
      <c r="I80" s="493"/>
      <c r="J80" s="512">
        <f>Garden!J87</f>
        <v>0</v>
      </c>
      <c r="K80" s="513">
        <f>Paper!J87</f>
        <v>3.1097878645975018E-3</v>
      </c>
      <c r="L80" s="514">
        <f>Wood!J87</f>
        <v>0</v>
      </c>
      <c r="M80" s="515">
        <f>J80*(1-Recovery_OX!E80)*(1-Recovery_OX!F80)</f>
        <v>0</v>
      </c>
      <c r="N80" s="513">
        <f>K80*(1-Recovery_OX!E80)*(1-Recovery_OX!F80)</f>
        <v>3.1097878645975018E-3</v>
      </c>
      <c r="O80" s="514">
        <f>L80*(1-Recovery_OX!E80)*(1-Recovery_OX!F80)</f>
        <v>0</v>
      </c>
    </row>
    <row r="81" spans="2:15">
      <c r="B81" s="507">
        <f t="shared" si="1"/>
        <v>2019</v>
      </c>
      <c r="C81" s="508">
        <f>Stored_C!E87</f>
        <v>0</v>
      </c>
      <c r="D81" s="509">
        <f>Stored_C!F87+Stored_C!L87</f>
        <v>0</v>
      </c>
      <c r="E81" s="510">
        <f>Stored_C!G87+Stored_C!M87</f>
        <v>0</v>
      </c>
      <c r="F81" s="511">
        <f>F80+HWP!C81</f>
        <v>0</v>
      </c>
      <c r="G81" s="509">
        <f>G80+HWP!D81</f>
        <v>6.9553920528681612</v>
      </c>
      <c r="H81" s="510">
        <f>H80+HWP!E81</f>
        <v>0</v>
      </c>
      <c r="I81" s="493"/>
      <c r="J81" s="512">
        <f>Garden!J88</f>
        <v>0</v>
      </c>
      <c r="K81" s="513">
        <f>Paper!J88</f>
        <v>2.8995469861692268E-3</v>
      </c>
      <c r="L81" s="514">
        <f>Wood!J88</f>
        <v>0</v>
      </c>
      <c r="M81" s="515">
        <f>J81*(1-Recovery_OX!E81)*(1-Recovery_OX!F81)</f>
        <v>0</v>
      </c>
      <c r="N81" s="513">
        <f>K81*(1-Recovery_OX!E81)*(1-Recovery_OX!F81)</f>
        <v>2.8995469861692268E-3</v>
      </c>
      <c r="O81" s="514">
        <f>L81*(1-Recovery_OX!E81)*(1-Recovery_OX!F81)</f>
        <v>0</v>
      </c>
    </row>
    <row r="82" spans="2:15">
      <c r="B82" s="507">
        <f t="shared" si="1"/>
        <v>2020</v>
      </c>
      <c r="C82" s="508">
        <f>Stored_C!E88</f>
        <v>0</v>
      </c>
      <c r="D82" s="509">
        <f>Stored_C!F88+Stored_C!L88</f>
        <v>0</v>
      </c>
      <c r="E82" s="510">
        <f>Stored_C!G88+Stored_C!M88</f>
        <v>0</v>
      </c>
      <c r="F82" s="511">
        <f>F81+HWP!C82</f>
        <v>0</v>
      </c>
      <c r="G82" s="509">
        <f>G81+HWP!D82</f>
        <v>6.9553920528681612</v>
      </c>
      <c r="H82" s="510">
        <f>H81+HWP!E82</f>
        <v>0</v>
      </c>
      <c r="I82" s="493"/>
      <c r="J82" s="512">
        <f>Garden!J89</f>
        <v>0</v>
      </c>
      <c r="K82" s="513">
        <f>Paper!J89</f>
        <v>2.7035196904311052E-3</v>
      </c>
      <c r="L82" s="514">
        <f>Wood!J89</f>
        <v>0</v>
      </c>
      <c r="M82" s="515">
        <f>J82*(1-Recovery_OX!E82)*(1-Recovery_OX!F82)</f>
        <v>0</v>
      </c>
      <c r="N82" s="513">
        <f>K82*(1-Recovery_OX!E82)*(1-Recovery_OX!F82)</f>
        <v>2.7035196904311052E-3</v>
      </c>
      <c r="O82" s="514">
        <f>L82*(1-Recovery_OX!E82)*(1-Recovery_OX!F82)</f>
        <v>0</v>
      </c>
    </row>
    <row r="83" spans="2:15">
      <c r="B83" s="507">
        <f t="shared" si="1"/>
        <v>2021</v>
      </c>
      <c r="C83" s="508">
        <f>Stored_C!E89</f>
        <v>0</v>
      </c>
      <c r="D83" s="509">
        <f>Stored_C!F89+Stored_C!L89</f>
        <v>0</v>
      </c>
      <c r="E83" s="510">
        <f>Stored_C!G89+Stored_C!M89</f>
        <v>0</v>
      </c>
      <c r="F83" s="511">
        <f>F82+HWP!C83</f>
        <v>0</v>
      </c>
      <c r="G83" s="509">
        <f>G82+HWP!D83</f>
        <v>6.9553920528681612</v>
      </c>
      <c r="H83" s="510">
        <f>H82+HWP!E83</f>
        <v>0</v>
      </c>
      <c r="I83" s="493"/>
      <c r="J83" s="512">
        <f>Garden!J90</f>
        <v>0</v>
      </c>
      <c r="K83" s="513">
        <f>Paper!J90</f>
        <v>2.5207450513520051E-3</v>
      </c>
      <c r="L83" s="514">
        <f>Wood!J90</f>
        <v>0</v>
      </c>
      <c r="M83" s="515">
        <f>J83*(1-Recovery_OX!E83)*(1-Recovery_OX!F83)</f>
        <v>0</v>
      </c>
      <c r="N83" s="513">
        <f>K83*(1-Recovery_OX!E83)*(1-Recovery_OX!F83)</f>
        <v>2.5207450513520051E-3</v>
      </c>
      <c r="O83" s="514">
        <f>L83*(1-Recovery_OX!E83)*(1-Recovery_OX!F83)</f>
        <v>0</v>
      </c>
    </row>
    <row r="84" spans="2:15">
      <c r="B84" s="507">
        <f t="shared" si="1"/>
        <v>2022</v>
      </c>
      <c r="C84" s="508">
        <f>Stored_C!E90</f>
        <v>0</v>
      </c>
      <c r="D84" s="509">
        <f>Stored_C!F90+Stored_C!L90</f>
        <v>0</v>
      </c>
      <c r="E84" s="510">
        <f>Stored_C!G90+Stored_C!M90</f>
        <v>0</v>
      </c>
      <c r="F84" s="511">
        <f>F83+HWP!C84</f>
        <v>0</v>
      </c>
      <c r="G84" s="509">
        <f>G83+HWP!D84</f>
        <v>6.9553920528681612</v>
      </c>
      <c r="H84" s="510">
        <f>H83+HWP!E84</f>
        <v>0</v>
      </c>
      <c r="I84" s="493"/>
      <c r="J84" s="512">
        <f>Garden!J91</f>
        <v>0</v>
      </c>
      <c r="K84" s="513">
        <f>Paper!J91</f>
        <v>2.350327107439112E-3</v>
      </c>
      <c r="L84" s="514">
        <f>Wood!J91</f>
        <v>0</v>
      </c>
      <c r="M84" s="515">
        <f>J84*(1-Recovery_OX!E84)*(1-Recovery_OX!F84)</f>
        <v>0</v>
      </c>
      <c r="N84" s="513">
        <f>K84*(1-Recovery_OX!E84)*(1-Recovery_OX!F84)</f>
        <v>2.350327107439112E-3</v>
      </c>
      <c r="O84" s="514">
        <f>L84*(1-Recovery_OX!E84)*(1-Recovery_OX!F84)</f>
        <v>0</v>
      </c>
    </row>
    <row r="85" spans="2:15">
      <c r="B85" s="507">
        <f t="shared" si="1"/>
        <v>2023</v>
      </c>
      <c r="C85" s="508">
        <f>Stored_C!E91</f>
        <v>0</v>
      </c>
      <c r="D85" s="509">
        <f>Stored_C!F91+Stored_C!L91</f>
        <v>0</v>
      </c>
      <c r="E85" s="510">
        <f>Stored_C!G91+Stored_C!M91</f>
        <v>0</v>
      </c>
      <c r="F85" s="511">
        <f>F84+HWP!C85</f>
        <v>0</v>
      </c>
      <c r="G85" s="509">
        <f>G84+HWP!D85</f>
        <v>6.9553920528681612</v>
      </c>
      <c r="H85" s="510">
        <f>H84+HWP!E85</f>
        <v>0</v>
      </c>
      <c r="I85" s="493"/>
      <c r="J85" s="512">
        <f>Garden!J92</f>
        <v>0</v>
      </c>
      <c r="K85" s="513">
        <f>Paper!J92</f>
        <v>2.1914304697336516E-3</v>
      </c>
      <c r="L85" s="514">
        <f>Wood!J92</f>
        <v>0</v>
      </c>
      <c r="M85" s="515">
        <f>J85*(1-Recovery_OX!E85)*(1-Recovery_OX!F85)</f>
        <v>0</v>
      </c>
      <c r="N85" s="513">
        <f>K85*(1-Recovery_OX!E85)*(1-Recovery_OX!F85)</f>
        <v>2.1914304697336516E-3</v>
      </c>
      <c r="O85" s="514">
        <f>L85*(1-Recovery_OX!E85)*(1-Recovery_OX!F85)</f>
        <v>0</v>
      </c>
    </row>
    <row r="86" spans="2:15">
      <c r="B86" s="507">
        <f t="shared" si="1"/>
        <v>2024</v>
      </c>
      <c r="C86" s="508">
        <f>Stored_C!E92</f>
        <v>0</v>
      </c>
      <c r="D86" s="509">
        <f>Stored_C!F92+Stored_C!L92</f>
        <v>0</v>
      </c>
      <c r="E86" s="510">
        <f>Stored_C!G92+Stored_C!M92</f>
        <v>0</v>
      </c>
      <c r="F86" s="511">
        <f>F85+HWP!C86</f>
        <v>0</v>
      </c>
      <c r="G86" s="509">
        <f>G85+HWP!D86</f>
        <v>6.9553920528681612</v>
      </c>
      <c r="H86" s="510">
        <f>H85+HWP!E86</f>
        <v>0</v>
      </c>
      <c r="I86" s="493"/>
      <c r="J86" s="512">
        <f>Garden!J93</f>
        <v>0</v>
      </c>
      <c r="K86" s="513">
        <f>Paper!J93</f>
        <v>2.043276226733246E-3</v>
      </c>
      <c r="L86" s="514">
        <f>Wood!J93</f>
        <v>0</v>
      </c>
      <c r="M86" s="515">
        <f>J86*(1-Recovery_OX!E86)*(1-Recovery_OX!F86)</f>
        <v>0</v>
      </c>
      <c r="N86" s="513">
        <f>K86*(1-Recovery_OX!E86)*(1-Recovery_OX!F86)</f>
        <v>2.043276226733246E-3</v>
      </c>
      <c r="O86" s="514">
        <f>L86*(1-Recovery_OX!E86)*(1-Recovery_OX!F86)</f>
        <v>0</v>
      </c>
    </row>
    <row r="87" spans="2:15">
      <c r="B87" s="507">
        <f t="shared" si="1"/>
        <v>2025</v>
      </c>
      <c r="C87" s="508">
        <f>Stored_C!E93</f>
        <v>0</v>
      </c>
      <c r="D87" s="509">
        <f>Stored_C!F93+Stored_C!L93</f>
        <v>0</v>
      </c>
      <c r="E87" s="510">
        <f>Stored_C!G93+Stored_C!M93</f>
        <v>0</v>
      </c>
      <c r="F87" s="511">
        <f>F86+HWP!C87</f>
        <v>0</v>
      </c>
      <c r="G87" s="509">
        <f>G86+HWP!D87</f>
        <v>6.9553920528681612</v>
      </c>
      <c r="H87" s="510">
        <f>H86+HWP!E87</f>
        <v>0</v>
      </c>
      <c r="I87" s="493"/>
      <c r="J87" s="512">
        <f>Garden!J94</f>
        <v>0</v>
      </c>
      <c r="K87" s="513">
        <f>Paper!J94</f>
        <v>1.9051381261668235E-3</v>
      </c>
      <c r="L87" s="514">
        <f>Wood!J94</f>
        <v>0</v>
      </c>
      <c r="M87" s="515">
        <f>J87*(1-Recovery_OX!E87)*(1-Recovery_OX!F87)</f>
        <v>0</v>
      </c>
      <c r="N87" s="513">
        <f>K87*(1-Recovery_OX!E87)*(1-Recovery_OX!F87)</f>
        <v>1.9051381261668235E-3</v>
      </c>
      <c r="O87" s="514">
        <f>L87*(1-Recovery_OX!E87)*(1-Recovery_OX!F87)</f>
        <v>0</v>
      </c>
    </row>
    <row r="88" spans="2:15">
      <c r="B88" s="507">
        <f t="shared" si="1"/>
        <v>2026</v>
      </c>
      <c r="C88" s="508">
        <f>Stored_C!E94</f>
        <v>0</v>
      </c>
      <c r="D88" s="509">
        <f>Stored_C!F94+Stored_C!L94</f>
        <v>0</v>
      </c>
      <c r="E88" s="510">
        <f>Stored_C!G94+Stored_C!M94</f>
        <v>0</v>
      </c>
      <c r="F88" s="511">
        <f>F87+HWP!C88</f>
        <v>0</v>
      </c>
      <c r="G88" s="509">
        <f>G87+HWP!D88</f>
        <v>6.9553920528681612</v>
      </c>
      <c r="H88" s="510">
        <f>H87+HWP!E88</f>
        <v>0</v>
      </c>
      <c r="I88" s="493"/>
      <c r="J88" s="512">
        <f>Garden!J95</f>
        <v>0</v>
      </c>
      <c r="K88" s="513">
        <f>Paper!J95</f>
        <v>1.7763390149051449E-3</v>
      </c>
      <c r="L88" s="514">
        <f>Wood!J95</f>
        <v>0</v>
      </c>
      <c r="M88" s="515">
        <f>J88*(1-Recovery_OX!E88)*(1-Recovery_OX!F88)</f>
        <v>0</v>
      </c>
      <c r="N88" s="513">
        <f>K88*(1-Recovery_OX!E88)*(1-Recovery_OX!F88)</f>
        <v>1.7763390149051449E-3</v>
      </c>
      <c r="O88" s="514">
        <f>L88*(1-Recovery_OX!E88)*(1-Recovery_OX!F88)</f>
        <v>0</v>
      </c>
    </row>
    <row r="89" spans="2:15">
      <c r="B89" s="507">
        <f t="shared" si="1"/>
        <v>2027</v>
      </c>
      <c r="C89" s="508">
        <f>Stored_C!E95</f>
        <v>0</v>
      </c>
      <c r="D89" s="509">
        <f>Stored_C!F95+Stored_C!L95</f>
        <v>0</v>
      </c>
      <c r="E89" s="510">
        <f>Stored_C!G95+Stored_C!M95</f>
        <v>0</v>
      </c>
      <c r="F89" s="511">
        <f>F88+HWP!C89</f>
        <v>0</v>
      </c>
      <c r="G89" s="509">
        <f>G88+HWP!D89</f>
        <v>6.9553920528681612</v>
      </c>
      <c r="H89" s="510">
        <f>H88+HWP!E89</f>
        <v>0</v>
      </c>
      <c r="I89" s="493"/>
      <c r="J89" s="512">
        <f>Garden!J96</f>
        <v>0</v>
      </c>
      <c r="K89" s="513">
        <f>Paper!J96</f>
        <v>1.6562475195553773E-3</v>
      </c>
      <c r="L89" s="514">
        <f>Wood!J96</f>
        <v>0</v>
      </c>
      <c r="M89" s="515">
        <f>J89*(1-Recovery_OX!E89)*(1-Recovery_OX!F89)</f>
        <v>0</v>
      </c>
      <c r="N89" s="513">
        <f>K89*(1-Recovery_OX!E89)*(1-Recovery_OX!F89)</f>
        <v>1.6562475195553773E-3</v>
      </c>
      <c r="O89" s="514">
        <f>L89*(1-Recovery_OX!E89)*(1-Recovery_OX!F89)</f>
        <v>0</v>
      </c>
    </row>
    <row r="90" spans="2:15">
      <c r="B90" s="507">
        <f t="shared" si="1"/>
        <v>2028</v>
      </c>
      <c r="C90" s="508">
        <f>Stored_C!E96</f>
        <v>0</v>
      </c>
      <c r="D90" s="509">
        <f>Stored_C!F96+Stored_C!L96</f>
        <v>0</v>
      </c>
      <c r="E90" s="510">
        <f>Stored_C!G96+Stored_C!M96</f>
        <v>0</v>
      </c>
      <c r="F90" s="511">
        <f>F89+HWP!C90</f>
        <v>0</v>
      </c>
      <c r="G90" s="509">
        <f>G89+HWP!D90</f>
        <v>6.9553920528681612</v>
      </c>
      <c r="H90" s="510">
        <f>H89+HWP!E90</f>
        <v>0</v>
      </c>
      <c r="I90" s="493"/>
      <c r="J90" s="512">
        <f>Garden!J97</f>
        <v>0</v>
      </c>
      <c r="K90" s="513">
        <f>Paper!J97</f>
        <v>1.5442749514679899E-3</v>
      </c>
      <c r="L90" s="514">
        <f>Wood!J97</f>
        <v>0</v>
      </c>
      <c r="M90" s="515">
        <f>J90*(1-Recovery_OX!E90)*(1-Recovery_OX!F90)</f>
        <v>0</v>
      </c>
      <c r="N90" s="513">
        <f>K90*(1-Recovery_OX!E90)*(1-Recovery_OX!F90)</f>
        <v>1.5442749514679899E-3</v>
      </c>
      <c r="O90" s="514">
        <f>L90*(1-Recovery_OX!E90)*(1-Recovery_OX!F90)</f>
        <v>0</v>
      </c>
    </row>
    <row r="91" spans="2:15">
      <c r="B91" s="507">
        <f t="shared" si="1"/>
        <v>2029</v>
      </c>
      <c r="C91" s="508">
        <f>Stored_C!E97</f>
        <v>0</v>
      </c>
      <c r="D91" s="509">
        <f>Stored_C!F97+Stored_C!L97</f>
        <v>0</v>
      </c>
      <c r="E91" s="510">
        <f>Stored_C!G97+Stored_C!M97</f>
        <v>0</v>
      </c>
      <c r="F91" s="511">
        <f>F90+HWP!C91</f>
        <v>0</v>
      </c>
      <c r="G91" s="509">
        <f>G90+HWP!D91</f>
        <v>6.9553920528681612</v>
      </c>
      <c r="H91" s="510">
        <f>H90+HWP!E91</f>
        <v>0</v>
      </c>
      <c r="I91" s="493"/>
      <c r="J91" s="512">
        <f>Garden!J98</f>
        <v>0</v>
      </c>
      <c r="K91" s="513">
        <f>Paper!J98</f>
        <v>1.4398724209843121E-3</v>
      </c>
      <c r="L91" s="514">
        <f>Wood!J98</f>
        <v>0</v>
      </c>
      <c r="M91" s="515">
        <f>J91*(1-Recovery_OX!E91)*(1-Recovery_OX!F91)</f>
        <v>0</v>
      </c>
      <c r="N91" s="513">
        <f>K91*(1-Recovery_OX!E91)*(1-Recovery_OX!F91)</f>
        <v>1.4398724209843121E-3</v>
      </c>
      <c r="O91" s="514">
        <f>L91*(1-Recovery_OX!E91)*(1-Recovery_OX!F91)</f>
        <v>0</v>
      </c>
    </row>
    <row r="92" spans="2:15" ht="13.5" thickBot="1">
      <c r="B92" s="516">
        <f t="shared" si="1"/>
        <v>2030</v>
      </c>
      <c r="C92" s="517">
        <f>Stored_C!E98</f>
        <v>0</v>
      </c>
      <c r="D92" s="518">
        <f>Stored_C!F98+Stored_C!L98</f>
        <v>0</v>
      </c>
      <c r="E92" s="519">
        <f>Stored_C!G98+Stored_C!M98</f>
        <v>0</v>
      </c>
      <c r="F92" s="520">
        <f>F91+HWP!C92</f>
        <v>0</v>
      </c>
      <c r="G92" s="518">
        <f>G91+HWP!D92</f>
        <v>6.9553920528681612</v>
      </c>
      <c r="H92" s="519">
        <f>H91+HWP!E92</f>
        <v>0</v>
      </c>
      <c r="I92" s="493"/>
      <c r="J92" s="521">
        <f>Garden!J99</f>
        <v>0</v>
      </c>
      <c r="K92" s="522">
        <f>Paper!J99</f>
        <v>1.3425281467787885E-3</v>
      </c>
      <c r="L92" s="523">
        <f>Wood!J99</f>
        <v>0</v>
      </c>
      <c r="M92" s="524">
        <f>J92*(1-Recovery_OX!E92)*(1-Recovery_OX!F92)</f>
        <v>0</v>
      </c>
      <c r="N92" s="522">
        <f>K92*(1-Recovery_OX!E92)*(1-Recovery_OX!F92)</f>
        <v>1.3425281467787885E-3</v>
      </c>
      <c r="O92" s="523">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2017-09-14T06:13:15Z</dcterms:modified>
</cp:coreProperties>
</file>