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Samarinda\"/>
    </mc:Choice>
  </mc:AlternateContent>
  <bookViews>
    <workbookView xWindow="360" yWindow="45" windowWidth="21015" windowHeight="9975" tabRatio="843" activeTab="4"/>
  </bookViews>
  <sheets>
    <sheet name="timbulan sampah" sheetId="4" r:id="rId1"/>
    <sheet name="Fraksi pengelolaan sampah BaU" sheetId="1" r:id="rId2"/>
    <sheet name="Frksi pengelolaan smph Mitigasi" sheetId="2" state="hidden" r:id="rId3"/>
    <sheet name="Rekapitulasi BaU Emisi GRK" sheetId="3" r:id="rId4"/>
    <sheet name="Rekap Emisi GRK dari Sawit" sheetId="6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6" l="1"/>
  <c r="C7" i="6"/>
  <c r="C8" i="6"/>
  <c r="C9" i="6"/>
  <c r="C10" i="6"/>
  <c r="C11" i="6"/>
  <c r="C12" i="6"/>
  <c r="C13" i="6"/>
  <c r="C14" i="6"/>
  <c r="C15" i="6"/>
  <c r="C5" i="6"/>
  <c r="D15" i="6" l="1"/>
  <c r="D14" i="6"/>
  <c r="D13" i="6"/>
  <c r="D12" i="6"/>
  <c r="D11" i="6"/>
  <c r="D10" i="6"/>
  <c r="D9" i="6"/>
  <c r="D8" i="6"/>
  <c r="D7" i="6"/>
  <c r="D6" i="6"/>
  <c r="D5" i="6"/>
  <c r="D82" i="3" l="1"/>
  <c r="D83" i="3"/>
  <c r="D84" i="3"/>
  <c r="D85" i="3"/>
  <c r="D86" i="3"/>
  <c r="D87" i="3"/>
  <c r="D88" i="3"/>
  <c r="D89" i="3"/>
  <c r="D90" i="3"/>
  <c r="D91" i="3"/>
  <c r="D81" i="3"/>
  <c r="B82" i="3"/>
  <c r="B83" i="3"/>
  <c r="B84" i="3"/>
  <c r="B85" i="3"/>
  <c r="B86" i="3"/>
  <c r="B87" i="3"/>
  <c r="B88" i="3"/>
  <c r="B89" i="3"/>
  <c r="B90" i="3"/>
  <c r="B91" i="3"/>
  <c r="B81" i="3"/>
  <c r="D53" i="3"/>
  <c r="D54" i="3"/>
  <c r="D55" i="3"/>
  <c r="D56" i="3"/>
  <c r="D57" i="3"/>
  <c r="D58" i="3"/>
  <c r="D59" i="3"/>
  <c r="D60" i="3"/>
  <c r="D61" i="3"/>
  <c r="D62" i="3"/>
  <c r="D52" i="3"/>
  <c r="B53" i="3"/>
  <c r="B54" i="3"/>
  <c r="B55" i="3"/>
  <c r="B56" i="3"/>
  <c r="B57" i="3"/>
  <c r="B58" i="3"/>
  <c r="B59" i="3"/>
  <c r="B60" i="3"/>
  <c r="B61" i="3"/>
  <c r="B62" i="3"/>
  <c r="B52" i="3"/>
  <c r="D27" i="3"/>
  <c r="D28" i="3"/>
  <c r="D29" i="3"/>
  <c r="D30" i="3"/>
  <c r="D31" i="3"/>
  <c r="D32" i="3"/>
  <c r="D33" i="3"/>
  <c r="D34" i="3"/>
  <c r="D35" i="3"/>
  <c r="D36" i="3"/>
  <c r="D26" i="3"/>
  <c r="B27" i="3"/>
  <c r="B28" i="3"/>
  <c r="B29" i="3"/>
  <c r="B30" i="3"/>
  <c r="B31" i="3"/>
  <c r="B32" i="3"/>
  <c r="B33" i="3"/>
  <c r="B34" i="3"/>
  <c r="B35" i="3"/>
  <c r="B36" i="3"/>
  <c r="B26" i="3"/>
  <c r="Q10" i="3"/>
  <c r="Q11" i="3"/>
  <c r="Q12" i="3"/>
  <c r="Q13" i="3"/>
  <c r="Q14" i="3"/>
  <c r="Q15" i="3"/>
  <c r="Q16" i="3"/>
  <c r="Q17" i="3"/>
  <c r="Q18" i="3"/>
  <c r="Q19" i="3"/>
  <c r="Q9" i="3"/>
  <c r="L10" i="3"/>
  <c r="L11" i="3"/>
  <c r="L12" i="3"/>
  <c r="L13" i="3"/>
  <c r="L14" i="3"/>
  <c r="L15" i="3"/>
  <c r="L16" i="3"/>
  <c r="L17" i="3"/>
  <c r="L18" i="3"/>
  <c r="L19" i="3"/>
  <c r="L9" i="3"/>
  <c r="G10" i="3"/>
  <c r="G11" i="3"/>
  <c r="G12" i="3"/>
  <c r="G13" i="3"/>
  <c r="G14" i="3"/>
  <c r="G15" i="3"/>
  <c r="G16" i="3"/>
  <c r="G17" i="3"/>
  <c r="G18" i="3"/>
  <c r="G19" i="3"/>
  <c r="G9" i="3"/>
  <c r="B10" i="3"/>
  <c r="B11" i="3"/>
  <c r="B12" i="3"/>
  <c r="B13" i="3"/>
  <c r="B14" i="3"/>
  <c r="B15" i="3"/>
  <c r="B16" i="3"/>
  <c r="B17" i="3"/>
  <c r="B18" i="3"/>
  <c r="B19" i="3"/>
  <c r="B9" i="3"/>
  <c r="F53" i="5" l="1"/>
  <c r="F52" i="5"/>
  <c r="F51" i="5"/>
  <c r="F50" i="5"/>
  <c r="F49" i="5"/>
  <c r="F48" i="5"/>
  <c r="F47" i="5"/>
  <c r="F46" i="5"/>
  <c r="F45" i="5"/>
  <c r="F44" i="5"/>
  <c r="F43" i="5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E82" i="3" l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1" i="3"/>
  <c r="F98" i="3" l="1"/>
  <c r="F89" i="3"/>
  <c r="G89" i="3" s="1"/>
  <c r="F88" i="3"/>
  <c r="G88" i="3" s="1"/>
  <c r="F87" i="3"/>
  <c r="G87" i="3" s="1"/>
  <c r="F86" i="3"/>
  <c r="G86" i="3" s="1"/>
  <c r="F97" i="3"/>
  <c r="F96" i="3"/>
  <c r="F95" i="3"/>
  <c r="F101" i="3"/>
  <c r="F93" i="3"/>
  <c r="F100" i="3"/>
  <c r="F92" i="3"/>
  <c r="F94" i="3"/>
  <c r="F99" i="3"/>
  <c r="F85" i="3"/>
  <c r="G85" i="3" s="1"/>
  <c r="F84" i="3"/>
  <c r="G84" i="3" s="1"/>
  <c r="F83" i="3"/>
  <c r="G83" i="3" s="1"/>
  <c r="F90" i="3"/>
  <c r="G90" i="3" s="1"/>
  <c r="F82" i="3"/>
  <c r="G82" i="3" s="1"/>
  <c r="F91" i="3"/>
  <c r="G91" i="3" s="1"/>
  <c r="F81" i="3"/>
  <c r="G81" i="3" s="1"/>
  <c r="E53" i="3" l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54" i="3"/>
  <c r="C55" i="3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F68" i="3" s="1"/>
  <c r="C69" i="3"/>
  <c r="F69" i="3" s="1"/>
  <c r="C70" i="3"/>
  <c r="F70" i="3" s="1"/>
  <c r="C71" i="3"/>
  <c r="F71" i="3" s="1"/>
  <c r="C72" i="3"/>
  <c r="F72" i="3" s="1"/>
  <c r="C37" i="3"/>
  <c r="E37" i="3"/>
  <c r="C38" i="3"/>
  <c r="E38" i="3"/>
  <c r="C39" i="3"/>
  <c r="E39" i="3"/>
  <c r="F39" i="3" s="1"/>
  <c r="C40" i="3"/>
  <c r="E40" i="3"/>
  <c r="F40" i="3" s="1"/>
  <c r="C41" i="3"/>
  <c r="E41" i="3"/>
  <c r="C42" i="3"/>
  <c r="E42" i="3"/>
  <c r="C43" i="3"/>
  <c r="E43" i="3"/>
  <c r="F43" i="3" s="1"/>
  <c r="C44" i="3"/>
  <c r="E44" i="3"/>
  <c r="F44" i="3"/>
  <c r="C45" i="3"/>
  <c r="E45" i="3"/>
  <c r="F45" i="3" s="1"/>
  <c r="C46" i="3"/>
  <c r="E46" i="3"/>
  <c r="F54" i="3" l="1"/>
  <c r="F62" i="3"/>
  <c r="F61" i="3"/>
  <c r="F57" i="3"/>
  <c r="F56" i="3"/>
  <c r="F55" i="3"/>
  <c r="F60" i="3"/>
  <c r="F59" i="3"/>
  <c r="F58" i="3"/>
  <c r="F67" i="3"/>
  <c r="F66" i="3"/>
  <c r="F65" i="3"/>
  <c r="F42" i="3"/>
  <c r="F41" i="3"/>
  <c r="F37" i="3"/>
  <c r="F38" i="3"/>
  <c r="F46" i="3"/>
  <c r="H9" i="3" l="1"/>
  <c r="H10" i="3"/>
  <c r="H11" i="3"/>
  <c r="H12" i="3"/>
  <c r="H13" i="3"/>
  <c r="H14" i="3"/>
  <c r="H15" i="3"/>
  <c r="H16" i="3"/>
  <c r="H17" i="3"/>
  <c r="H18" i="3"/>
  <c r="H19" i="3"/>
  <c r="I17" i="1" l="1"/>
  <c r="I18" i="1"/>
  <c r="I19" i="1"/>
  <c r="I20" i="1"/>
  <c r="I21" i="1"/>
  <c r="I22" i="1"/>
  <c r="I23" i="1"/>
  <c r="I24" i="1"/>
  <c r="I25" i="1"/>
  <c r="I26" i="1"/>
  <c r="D16" i="4" l="1"/>
  <c r="E16" i="4" s="1"/>
  <c r="I41" i="1" s="1"/>
  <c r="D17" i="4"/>
  <c r="E17" i="4" s="1"/>
  <c r="I42" i="1" s="1"/>
  <c r="D18" i="4"/>
  <c r="E18" i="4" s="1"/>
  <c r="I43" i="1" s="1"/>
  <c r="D19" i="4"/>
  <c r="E19" i="4" s="1"/>
  <c r="I44" i="1" s="1"/>
  <c r="D20" i="4"/>
  <c r="E20" i="4" s="1"/>
  <c r="I45" i="1" s="1"/>
  <c r="D21" i="4"/>
  <c r="E21" i="4" s="1"/>
  <c r="I46" i="1" s="1"/>
  <c r="D22" i="4"/>
  <c r="E22" i="4" s="1"/>
  <c r="I47" i="1" s="1"/>
  <c r="D23" i="4"/>
  <c r="E23" i="4" s="1"/>
  <c r="I48" i="1" s="1"/>
  <c r="D24" i="4"/>
  <c r="E24" i="4" s="1"/>
  <c r="I49" i="1" s="1"/>
  <c r="D25" i="4"/>
  <c r="E25" i="4" s="1"/>
  <c r="I50" i="1" s="1"/>
  <c r="H50" i="1" l="1"/>
  <c r="F50" i="1"/>
  <c r="B50" i="1"/>
  <c r="G50" i="1"/>
  <c r="E50" i="1"/>
  <c r="C50" i="1"/>
  <c r="D50" i="1"/>
  <c r="H42" i="1"/>
  <c r="F42" i="1"/>
  <c r="E42" i="1"/>
  <c r="B42" i="1"/>
  <c r="G42" i="1"/>
  <c r="C42" i="1"/>
  <c r="D42" i="1"/>
  <c r="D41" i="1"/>
  <c r="H41" i="1"/>
  <c r="F41" i="1"/>
  <c r="G41" i="1"/>
  <c r="E41" i="1"/>
  <c r="B41" i="1"/>
  <c r="C41" i="1"/>
  <c r="G48" i="1"/>
  <c r="E48" i="1"/>
  <c r="C48" i="1"/>
  <c r="D48" i="1"/>
  <c r="B48" i="1"/>
  <c r="H48" i="1"/>
  <c r="F48" i="1"/>
  <c r="G44" i="1"/>
  <c r="E44" i="1"/>
  <c r="C44" i="1"/>
  <c r="D44" i="1"/>
  <c r="H44" i="1"/>
  <c r="F44" i="1"/>
  <c r="B44" i="1"/>
  <c r="H46" i="1"/>
  <c r="F46" i="1"/>
  <c r="B46" i="1"/>
  <c r="D46" i="1"/>
  <c r="G46" i="1"/>
  <c r="E46" i="1"/>
  <c r="C46" i="1"/>
  <c r="D49" i="1"/>
  <c r="G49" i="1"/>
  <c r="H49" i="1"/>
  <c r="F49" i="1"/>
  <c r="B49" i="1"/>
  <c r="E49" i="1"/>
  <c r="C49" i="1"/>
  <c r="D45" i="1"/>
  <c r="H45" i="1"/>
  <c r="F45" i="1"/>
  <c r="E45" i="1"/>
  <c r="C45" i="1"/>
  <c r="B45" i="1"/>
  <c r="G45" i="1"/>
  <c r="B47" i="1"/>
  <c r="G47" i="1"/>
  <c r="E47" i="1"/>
  <c r="C47" i="1"/>
  <c r="H47" i="1"/>
  <c r="F47" i="1"/>
  <c r="D47" i="1"/>
  <c r="B43" i="1"/>
  <c r="G43" i="1"/>
  <c r="E43" i="1"/>
  <c r="C43" i="1"/>
  <c r="F43" i="1"/>
  <c r="D43" i="1"/>
  <c r="H43" i="1"/>
  <c r="M15" i="1" l="1"/>
  <c r="M14" i="1" s="1"/>
  <c r="M13" i="1" s="1"/>
  <c r="M12" i="1" s="1"/>
  <c r="M11" i="1" s="1"/>
  <c r="M10" i="1" s="1"/>
  <c r="M9" i="1" s="1"/>
  <c r="M8" i="1" s="1"/>
  <c r="M7" i="1" s="1"/>
  <c r="C53" i="3" l="1"/>
  <c r="F53" i="3" s="1"/>
  <c r="E52" i="3"/>
  <c r="C52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R19" i="3"/>
  <c r="S19" i="3" s="1"/>
  <c r="M19" i="3"/>
  <c r="N19" i="3" s="1"/>
  <c r="I19" i="3"/>
  <c r="C19" i="3"/>
  <c r="D19" i="3" s="1"/>
  <c r="R18" i="3"/>
  <c r="S18" i="3" s="1"/>
  <c r="M18" i="3"/>
  <c r="N18" i="3" s="1"/>
  <c r="I18" i="3"/>
  <c r="C18" i="3"/>
  <c r="D18" i="3" s="1"/>
  <c r="R17" i="3"/>
  <c r="S17" i="3" s="1"/>
  <c r="M17" i="3"/>
  <c r="N17" i="3" s="1"/>
  <c r="I17" i="3"/>
  <c r="C17" i="3"/>
  <c r="D17" i="3" s="1"/>
  <c r="R16" i="3"/>
  <c r="S16" i="3" s="1"/>
  <c r="M16" i="3"/>
  <c r="N16" i="3" s="1"/>
  <c r="I16" i="3"/>
  <c r="C16" i="3"/>
  <c r="D16" i="3" s="1"/>
  <c r="R15" i="3"/>
  <c r="S15" i="3" s="1"/>
  <c r="M15" i="3"/>
  <c r="N15" i="3" s="1"/>
  <c r="I15" i="3"/>
  <c r="C15" i="3"/>
  <c r="D15" i="3" s="1"/>
  <c r="R14" i="3"/>
  <c r="S14" i="3" s="1"/>
  <c r="M14" i="3"/>
  <c r="N14" i="3" s="1"/>
  <c r="I14" i="3"/>
  <c r="C14" i="3"/>
  <c r="D14" i="3" s="1"/>
  <c r="R13" i="3"/>
  <c r="S13" i="3" s="1"/>
  <c r="M13" i="3"/>
  <c r="N13" i="3" s="1"/>
  <c r="I13" i="3"/>
  <c r="C13" i="3"/>
  <c r="D13" i="3" s="1"/>
  <c r="R12" i="3"/>
  <c r="S12" i="3" s="1"/>
  <c r="M12" i="3"/>
  <c r="N12" i="3" s="1"/>
  <c r="I12" i="3"/>
  <c r="C12" i="3"/>
  <c r="D12" i="3" s="1"/>
  <c r="R11" i="3"/>
  <c r="S11" i="3" s="1"/>
  <c r="M11" i="3"/>
  <c r="N11" i="3" s="1"/>
  <c r="I11" i="3"/>
  <c r="C11" i="3"/>
  <c r="D11" i="3" s="1"/>
  <c r="R10" i="3"/>
  <c r="S10" i="3" s="1"/>
  <c r="M10" i="3"/>
  <c r="N10" i="3" s="1"/>
  <c r="I10" i="3"/>
  <c r="C10" i="3"/>
  <c r="D10" i="3" s="1"/>
  <c r="R9" i="3"/>
  <c r="S9" i="3" s="1"/>
  <c r="M9" i="3"/>
  <c r="N9" i="3" s="1"/>
  <c r="I9" i="3"/>
  <c r="C9" i="3"/>
  <c r="D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1" i="1" s="1"/>
  <c r="D7" i="4"/>
  <c r="E7" i="4" s="1"/>
  <c r="I41" i="2" s="1"/>
  <c r="D8" i="4"/>
  <c r="E8" i="4" s="1"/>
  <c r="I33" i="1" s="1"/>
  <c r="C33" i="1" s="1"/>
  <c r="D9" i="4"/>
  <c r="E9" i="4" s="1"/>
  <c r="I34" i="1" s="1"/>
  <c r="C34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L7" i="4"/>
  <c r="L8" i="4" s="1"/>
  <c r="J7" i="4"/>
  <c r="J8" i="4" s="1"/>
  <c r="F52" i="3" l="1"/>
  <c r="I39" i="2"/>
  <c r="I30" i="1"/>
  <c r="F31" i="3"/>
  <c r="I57" i="3" s="1"/>
  <c r="J57" i="3" s="1"/>
  <c r="F27" i="5"/>
  <c r="F29" i="5"/>
  <c r="F65" i="5"/>
  <c r="F69" i="5"/>
  <c r="I49" i="2"/>
  <c r="I40" i="1"/>
  <c r="C40" i="1" s="1"/>
  <c r="F26" i="5"/>
  <c r="F30" i="5"/>
  <c r="F70" i="5"/>
  <c r="F72" i="5"/>
  <c r="F26" i="3"/>
  <c r="F28" i="3"/>
  <c r="I54" i="3" s="1"/>
  <c r="J54" i="3" s="1"/>
  <c r="F30" i="3"/>
  <c r="I56" i="3" s="1"/>
  <c r="J56" i="3" s="1"/>
  <c r="F34" i="3"/>
  <c r="I60" i="3" s="1"/>
  <c r="J60" i="3" s="1"/>
  <c r="F36" i="3"/>
  <c r="I62" i="3" s="1"/>
  <c r="J62" i="3" s="1"/>
  <c r="F33" i="3"/>
  <c r="I59" i="3" s="1"/>
  <c r="J59" i="3" s="1"/>
  <c r="F35" i="3"/>
  <c r="I61" i="3" s="1"/>
  <c r="J61" i="3" s="1"/>
  <c r="F27" i="3"/>
  <c r="I53" i="3" s="1"/>
  <c r="J53" i="3" s="1"/>
  <c r="D31" i="1"/>
  <c r="C31" i="1"/>
  <c r="I32" i="1"/>
  <c r="I40" i="2"/>
  <c r="I37" i="1"/>
  <c r="I36" i="1"/>
  <c r="F33" i="1"/>
  <c r="E33" i="1"/>
  <c r="I42" i="2"/>
  <c r="B31" i="1"/>
  <c r="F31" i="1"/>
  <c r="E31" i="1"/>
  <c r="I35" i="1"/>
  <c r="I38" i="1"/>
  <c r="C38" i="1" s="1"/>
  <c r="I47" i="2"/>
  <c r="F34" i="1"/>
  <c r="B34" i="1"/>
  <c r="D34" i="1"/>
  <c r="G34" i="1"/>
  <c r="H34" i="1"/>
  <c r="I43" i="2"/>
  <c r="F31" i="5"/>
  <c r="F33" i="5"/>
  <c r="F63" i="5"/>
  <c r="I39" i="1"/>
  <c r="C39" i="1" s="1"/>
  <c r="F35" i="5"/>
  <c r="F67" i="5"/>
  <c r="F29" i="3"/>
  <c r="I55" i="3" s="1"/>
  <c r="J55" i="3" s="1"/>
  <c r="F32" i="3"/>
  <c r="I58" i="3" s="1"/>
  <c r="J58" i="3" s="1"/>
  <c r="G31" i="1"/>
  <c r="F36" i="5"/>
  <c r="F66" i="5"/>
  <c r="F71" i="5"/>
  <c r="B33" i="1"/>
  <c r="E34" i="1"/>
  <c r="G33" i="1"/>
  <c r="H33" i="1"/>
  <c r="D33" i="1"/>
  <c r="H31" i="1"/>
  <c r="I52" i="3" l="1"/>
  <c r="J52" i="3" s="1"/>
  <c r="E30" i="1"/>
  <c r="B30" i="1"/>
  <c r="F35" i="1"/>
  <c r="C35" i="1"/>
  <c r="F37" i="1"/>
  <c r="C37" i="1"/>
  <c r="E32" i="1"/>
  <c r="C32" i="1"/>
  <c r="E36" i="1"/>
  <c r="C36" i="1"/>
  <c r="G36" i="1"/>
  <c r="H37" i="1"/>
  <c r="G37" i="1"/>
  <c r="E37" i="1"/>
  <c r="D36" i="1"/>
  <c r="D32" i="1"/>
  <c r="H36" i="1"/>
  <c r="D30" i="1"/>
  <c r="G32" i="1"/>
  <c r="H35" i="1"/>
  <c r="G35" i="1"/>
  <c r="B37" i="1"/>
  <c r="F32" i="1"/>
  <c r="H32" i="1"/>
  <c r="D37" i="1"/>
  <c r="B32" i="1"/>
  <c r="E35" i="1"/>
  <c r="F36" i="1"/>
  <c r="B36" i="1"/>
  <c r="D35" i="1"/>
  <c r="B35" i="1"/>
  <c r="D39" i="1"/>
  <c r="B39" i="1"/>
  <c r="E39" i="1"/>
  <c r="F39" i="1"/>
  <c r="G39" i="1"/>
  <c r="F38" i="1"/>
  <c r="D38" i="1"/>
  <c r="E38" i="1"/>
  <c r="B38" i="1"/>
  <c r="G38" i="1"/>
  <c r="H38" i="1"/>
  <c r="H30" i="1"/>
  <c r="C30" i="1"/>
  <c r="G30" i="1"/>
  <c r="H39" i="1"/>
  <c r="E40" i="1"/>
  <c r="G40" i="1"/>
  <c r="F40" i="1"/>
  <c r="H40" i="1"/>
  <c r="D40" i="1"/>
  <c r="B40" i="1"/>
  <c r="F30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<sst xmlns="http://schemas.openxmlformats.org/spreadsheetml/2006/main" count="302" uniqueCount="152">
  <si>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</si>
  <si>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</si>
  <si>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</si>
  <si>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</si>
  <si>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</si>
  <si>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</si>
  <si>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</si>
  <si>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</si>
  <si>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</si>
  <si>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</si>
  <si>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</si>
  <si>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</si>
  <si>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</si>
  <si>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</si>
  <si>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</si>
  <si>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</si>
  <si>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</si>
  <si>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</si>
  <si>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</si>
  <si>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</si>
  <si>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</si>
  <si>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</si>
  <si>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</si>
  <si>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</si>
  <si>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</si>
  <si>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</si>
  <si>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</si>
  <si>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</si>
  <si>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</si>
  <si>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</si>
  <si>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</si>
  <si>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</si>
  <si>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</si>
  <si>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</si>
  <si>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</si>
  <si>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</si>
  <si>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</si>
  <si>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</si>
  <si>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</si>
  <si>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</si>
  <si>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</si>
  <si>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</si>
  <si>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</si>
  <si>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</si>
  <si>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</si>
  <si>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</si>
  <si>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</si>
  <si>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</si>
  <si>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</si>
  <si>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</si>
  <si>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</si>
  <si>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</si>
  <si>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</si>
  <si>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</si>
  <si>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</si>
  <si>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</si>
  <si>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</si>
  <si>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</si>
  <si>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</si>
  <si>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</si>
  <si>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</si>
  <si>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</si>
  <si>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</si>
  <si>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</si>
  <si>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</si>
  <si>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</si>
  <si>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</si>
  <si>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</si>
  <si>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</si>
  <si>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</si>
  <si>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</si>
  <si>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</si>
  <si>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</si>
  <si>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</si>
  <si>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</si>
  <si>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</si>
  <si>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</si>
  <si>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</si>
  <si>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</si>
  <si>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</si>
  <si>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</si>
  <si>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</si>
  <si>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</si>
  <si>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</si>
  <si>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</si>
  <si>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</si>
  <si>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</si>
  <si>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</si>
  <si>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</si>
  <si>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</si>
  <si>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</si>
  <si>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</si>
  <si>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</si>
  <si>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</si>
  <si>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</si>
  <si>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</si>
  <si>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</si>
  <si>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</si>
  <si>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</si>
  <si>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</si>
  <si>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</si>
  <si>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</si>
  <si>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</si>
  <si>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</si>
  <si>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</si>
  <si>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</si>
  <si>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</si>
  <si>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</si>
  <si>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</si>
  <si>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</si>
  <si>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</si>
  <si>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</si>
  <si>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</si>
  <si>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</si>
  <si>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</si>
  <si>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</si>
  <si>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</si>
  <si>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</si>
  <si>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</si>
  <si>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</si>
  <si>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</si>
  <si>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</si>
  <si>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</si>
  <si>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</si>
  <si>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</si>
  <si>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</si>
  <si>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</si>
  <si>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</si>
  <si>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</si>
  <si>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</si>
  <si>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</si>
  <si>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</si>
  <si>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</si>
  <si>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</si>
  <si>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</si>
  <si>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</si>
  <si>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</si>
  <si>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</si>
  <si>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</si>
  <si>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</si>
  <si>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</si>
  <si>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</si>
  <si>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</si>
  <si>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</si>
  <si>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</si>
  <si>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</si>
  <si>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</si>
  <si>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</si>
  <si>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KOTA BONTANG</t>
  </si>
  <si>
    <t>Emisi GRK dari Limbah Cair Industri Sawit</t>
  </si>
  <si>
    <t>kg CH4</t>
  </si>
  <si>
    <t>KOTA SAMARINDA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</si>
</sst>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5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5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18" borderId="2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166" fontId="41" fillId="0" borderId="8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51" fillId="19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43" fontId="52" fillId="0" borderId="1" xfId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1" fillId="19" borderId="1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GRK'!$B$23:$F$23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GRK'!$F$26:$F$36</c:f>
              <c:numCache>
                <c:formatCode>0.00000</c:formatCode>
                <c:ptCount val="11"/>
                <c:pt idx="0">
                  <c:v>0.27413208998999999</c:v>
                </c:pt>
                <c:pt idx="1">
                  <c:v>0.27962081927999999</c:v>
                </c:pt>
                <c:pt idx="2">
                  <c:v>0.28599849036000002</c:v>
                </c:pt>
                <c:pt idx="3">
                  <c:v>0.29515968998999997</c:v>
                </c:pt>
                <c:pt idx="4">
                  <c:v>0.29859034292999997</c:v>
                </c:pt>
                <c:pt idx="5">
                  <c:v>0.30689046234</c:v>
                </c:pt>
                <c:pt idx="6">
                  <c:v>0.31042993311</c:v>
                </c:pt>
                <c:pt idx="7">
                  <c:v>0.31387635675000003</c:v>
                </c:pt>
                <c:pt idx="8">
                  <c:v>0.31719556340999994</c:v>
                </c:pt>
                <c:pt idx="9">
                  <c:v>0.32034497220000002</c:v>
                </c:pt>
                <c:pt idx="10">
                  <c:v>0.38243947500000008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GRK'!$S$9:$S$19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GRK'!$I$9:$I$19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GRK'!$D$9:$D$19</c:f>
              <c:numCache>
                <c:formatCode>0.00000</c:formatCode>
                <c:ptCount val="11"/>
                <c:pt idx="0">
                  <c:v>0</c:v>
                </c:pt>
                <c:pt idx="1">
                  <c:v>14.260469787610381</c:v>
                </c:pt>
                <c:pt idx="2">
                  <c:v>24.45831627453229</c:v>
                </c:pt>
                <c:pt idx="3">
                  <c:v>31.941632497973369</c:v>
                </c:pt>
                <c:pt idx="4">
                  <c:v>37.719133846746551</c:v>
                </c:pt>
                <c:pt idx="5">
                  <c:v>42.032074144884049</c:v>
                </c:pt>
                <c:pt idx="6">
                  <c:v>45.589501668247117</c:v>
                </c:pt>
                <c:pt idx="7">
                  <c:v>48.375752422725505</c:v>
                </c:pt>
                <c:pt idx="8">
                  <c:v>50.619395480867666</c:v>
                </c:pt>
                <c:pt idx="9">
                  <c:v>52.474559760964063</c:v>
                </c:pt>
                <c:pt idx="10">
                  <c:v>54.044599486177546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GRK'!$B$49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GRK'!$F$52:$F$62</c:f>
              <c:numCache>
                <c:formatCode>0.000000</c:formatCode>
                <c:ptCount val="11"/>
                <c:pt idx="0">
                  <c:v>1.4950443150102899</c:v>
                </c:pt>
                <c:pt idx="1">
                  <c:v>1.52497840088088</c:v>
                </c:pt>
                <c:pt idx="2">
                  <c:v>1.5597605414595603</c:v>
                </c:pt>
                <c:pt idx="3">
                  <c:v>1.6097233146102896</c:v>
                </c:pt>
                <c:pt idx="4">
                  <c:v>1.6284331933950298</c:v>
                </c:pt>
                <c:pt idx="5">
                  <c:v>1.6736998615121401</c:v>
                </c:pt>
                <c:pt idx="6">
                  <c:v>1.6930032041198102</c:v>
                </c:pt>
                <c:pt idx="7">
                  <c:v>1.7117990921542501</c:v>
                </c:pt>
                <c:pt idx="8">
                  <c:v>1.7299011722411097</c:v>
                </c:pt>
                <c:pt idx="9">
                  <c:v>1.7470772194061999</c:v>
                </c:pt>
                <c:pt idx="10">
                  <c:v>2.0857243052250003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844024"/>
        <c:axId val="263844416"/>
        <c:axId val="0"/>
      </c:bar3DChart>
      <c:catAx>
        <c:axId val="26384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844416"/>
        <c:crosses val="autoZero"/>
        <c:auto val="1"/>
        <c:lblAlgn val="ctr"/>
        <c:lblOffset val="100"/>
        <c:noMultiLvlLbl val="0"/>
      </c:catAx>
      <c:valAx>
        <c:axId val="2638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844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Proyeksi</a:t>
            </a:r>
            <a:r>
              <a:rPr lang="en-US" baseline="0"/>
              <a:t> BaU Baseline Pengelolaan Air Limbah Domestik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GRK'!$D$77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GRK'!$E$81:$E$91</c:f>
              <c:numCache>
                <c:formatCode>_(* #,##0.00_);_(* \(#,##0.00\);_(* "-"??_);_(@_)</c:formatCode>
                <c:ptCount val="11"/>
                <c:pt idx="0">
                  <c:v>5.9072339174199993</c:v>
                </c:pt>
                <c:pt idx="1">
                  <c:v>6.0255097742399997</c:v>
                </c:pt>
                <c:pt idx="2">
                  <c:v>6.1629413128800001</c:v>
                </c:pt>
                <c:pt idx="3">
                  <c:v>6.3603547174200008</c:v>
                </c:pt>
                <c:pt idx="4">
                  <c:v>6.4342813759399995</c:v>
                </c:pt>
                <c:pt idx="5">
                  <c:v>6.6131394837200013</c:v>
                </c:pt>
                <c:pt idx="6">
                  <c:v>6.6894110423800006</c:v>
                </c:pt>
                <c:pt idx="7">
                  <c:v>6.7636775414999999</c:v>
                </c:pt>
                <c:pt idx="8">
                  <c:v>6.835202659780002</c:v>
                </c:pt>
                <c:pt idx="9">
                  <c:v>6.9030688276000003</c:v>
                </c:pt>
                <c:pt idx="10">
                  <c:v>8.2411345499999999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GRK'!$B$77:$C$77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GRK'!$C$81:$C$91</c:f>
              <c:numCache>
                <c:formatCode>_(* #,##0.00_);_(* \(#,##0.00\);_(* "-"??_);_(@_)</c:formatCode>
                <c:ptCount val="11"/>
                <c:pt idx="0">
                  <c:v>11.440588563381599</c:v>
                </c:pt>
                <c:pt idx="1">
                  <c:v>11.669654389075202</c:v>
                </c:pt>
                <c:pt idx="2">
                  <c:v>11.935819181462399</c:v>
                </c:pt>
                <c:pt idx="3">
                  <c:v>12.318151347381603</c:v>
                </c:pt>
                <c:pt idx="4">
                  <c:v>12.461325715591201</c:v>
                </c:pt>
                <c:pt idx="5">
                  <c:v>12.807721685505602</c:v>
                </c:pt>
                <c:pt idx="6">
                  <c:v>12.955437441122401</c:v>
                </c:pt>
                <c:pt idx="7">
                  <c:v>13.099269981420001</c:v>
                </c:pt>
                <c:pt idx="8">
                  <c:v>13.237793266874402</c:v>
                </c:pt>
                <c:pt idx="9">
                  <c:v>13.369230232848002</c:v>
                </c:pt>
                <c:pt idx="10">
                  <c:v>15.960673134000002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845592"/>
        <c:axId val="263845984"/>
        <c:axId val="0"/>
      </c:bar3DChart>
      <c:catAx>
        <c:axId val="26384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5984"/>
        <c:crosses val="autoZero"/>
        <c:auto val="1"/>
        <c:lblAlgn val="ctr"/>
        <c:lblOffset val="100"/>
        <c:noMultiLvlLbl val="0"/>
      </c:catAx>
      <c:valAx>
        <c:axId val="2638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5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GRK'!$G$81:$G$91</c:f>
              <c:numCache>
                <c:formatCode>_(* #,##0.00_);_(* \(#,##0.00\);_(* "-"??_);_(@_)</c:formatCode>
                <c:ptCount val="11"/>
                <c:pt idx="0">
                  <c:v>17347.822480801595</c:v>
                </c:pt>
                <c:pt idx="1">
                  <c:v>17695.164163315203</c:v>
                </c:pt>
                <c:pt idx="2">
                  <c:v>18098.760494342401</c:v>
                </c:pt>
                <c:pt idx="3">
                  <c:v>18678.506064801604</c:v>
                </c:pt>
                <c:pt idx="4">
                  <c:v>18895.607091531201</c:v>
                </c:pt>
                <c:pt idx="5">
                  <c:v>19420.861169225602</c:v>
                </c:pt>
                <c:pt idx="6">
                  <c:v>19644.848483502399</c:v>
                </c:pt>
                <c:pt idx="7">
                  <c:v>19862.947522920003</c:v>
                </c:pt>
                <c:pt idx="8">
                  <c:v>20072.995926654403</c:v>
                </c:pt>
                <c:pt idx="9">
                  <c:v>20272.299060448004</c:v>
                </c:pt>
                <c:pt idx="10">
                  <c:v>24201.807684000003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47160"/>
        <c:axId val="263847552"/>
      </c:lineChart>
      <c:catAx>
        <c:axId val="26384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7552"/>
        <c:crosses val="autoZero"/>
        <c:auto val="1"/>
        <c:lblAlgn val="ctr"/>
        <c:lblOffset val="100"/>
        <c:noMultiLvlLbl val="0"/>
      </c:catAx>
      <c:valAx>
        <c:axId val="2638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GRK'!$H$52:$H$62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GRK'!$J$52:$J$62</c:f>
              <c:numCache>
                <c:formatCode>_(* #,##0.00_);_(* \(#,##0.00\);_(* "-"??_);_(@_)</c:formatCode>
                <c:ptCount val="11"/>
                <c:pt idx="0">
                  <c:v>1769.1764050002898</c:v>
                </c:pt>
                <c:pt idx="1">
                  <c:v>26177.776719225691</c:v>
                </c:pt>
                <c:pt idx="2">
                  <c:v>43648.511168734505</c:v>
                </c:pt>
                <c:pt idx="3">
                  <c:v>56497.690259757183</c:v>
                </c:pt>
                <c:pt idx="4">
                  <c:v>66394.40490944522</c:v>
                </c:pt>
                <c:pt idx="5">
                  <c:v>73819.402021147471</c:v>
                </c:pt>
                <c:pt idx="6">
                  <c:v>79922.396032791919</c:v>
                </c:pt>
                <c:pt idx="7">
                  <c:v>84706.738416008593</c:v>
                </c:pt>
                <c:pt idx="8">
                  <c:v>88562.865803963563</c:v>
                </c:pt>
                <c:pt idx="9">
                  <c:v>91753.931702705362</c:v>
                </c:pt>
                <c:pt idx="10">
                  <c:v>94838.095189279993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49904"/>
        <c:axId val="263850296"/>
      </c:lineChart>
      <c:catAx>
        <c:axId val="2638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50296"/>
        <c:crosses val="autoZero"/>
        <c:auto val="1"/>
        <c:lblAlgn val="ctr"/>
        <c:lblOffset val="100"/>
        <c:noMultiLvlLbl val="0"/>
      </c:catAx>
      <c:valAx>
        <c:axId val="2638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20</xdr:row>
      <xdr:rowOff>118582</xdr:rowOff>
    </xdr:from>
    <xdr:to>
      <xdr:col>18</xdr:col>
      <xdr:colOff>95757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260935</xdr:colOff>
      <xdr:row>77</xdr:row>
      <xdr:rowOff>11998</xdr:rowOff>
    </xdr:from>
    <xdr:to>
      <xdr:col>24</xdr:col>
      <xdr:colOff>207818</xdr:colOff>
      <xdr:row>88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241726</xdr:colOff>
      <xdr:row>89</xdr:row>
      <xdr:rowOff>23132</xdr:rowOff>
    </xdr:from>
    <xdr:to>
      <xdr:col>17</xdr:col>
      <xdr:colOff>393004</xdr:colOff>
      <xdr:row>103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48</xdr:row>
      <xdr:rowOff>169209</xdr:rowOff>
    </xdr:from>
    <xdr:to>
      <xdr:col>18</xdr:col>
      <xdr:colOff>44823</xdr:colOff>
      <xdr:row>62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ARINDA_IPCC%204A-TPA%20-%201_Diangkut%20T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MARINDA_IPCC%204A-TPA%20-%203_Dibuang%20Sembarang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MARINDA_IPCC%204A-TPA%20-%202_Open%20Dum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MARINDA_IPCC%204A-TPA%20-%204_Buang%20ke%20sunga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MARINDA_IPCC%204A-TPA%20-%205_Peng%20biologi%20sampah%20+%20pembakaran%20sampah%20+%20Air%20Limba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erau/BERAU_IPCC%204A-TPA%20-%205_Peng%20biologi%20sampah%20+%20pembakaran%20sampah%20+%20Air%20Limba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AMARINDA_Palm%20Oil%20Wastewater%20Industry_2000-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0.67906998988620859</v>
          </cell>
        </row>
        <row r="19">
          <cell r="O19">
            <v>1.1646817273586805</v>
          </cell>
        </row>
        <row r="20">
          <cell r="O20">
            <v>1.5210301189511128</v>
          </cell>
        </row>
        <row r="21">
          <cell r="O21">
            <v>1.7961492307974549</v>
          </cell>
        </row>
        <row r="22">
          <cell r="O22">
            <v>2.0015273402325739</v>
          </cell>
        </row>
        <row r="23">
          <cell r="O23">
            <v>2.1709286508689103</v>
          </cell>
        </row>
        <row r="24">
          <cell r="O24">
            <v>2.303607258225024</v>
          </cell>
        </row>
        <row r="25">
          <cell r="O25">
            <v>2.4104474038508412</v>
          </cell>
        </row>
        <row r="26">
          <cell r="O26">
            <v>2.4987885600459077</v>
          </cell>
        </row>
        <row r="27">
          <cell r="O27">
            <v>2.5735523564846452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0.48155751006925845</v>
          </cell>
        </row>
        <row r="19">
          <cell r="O19">
            <v>0.82592551725631691</v>
          </cell>
        </row>
        <row r="20">
          <cell r="O20">
            <v>1.0786273693896915</v>
          </cell>
        </row>
        <row r="21">
          <cell r="O21">
            <v>1.273726072684459</v>
          </cell>
        </row>
        <row r="22">
          <cell r="O22">
            <v>1.4193684548767282</v>
          </cell>
        </row>
        <row r="23">
          <cell r="O23">
            <v>1.539498153681667</v>
          </cell>
        </row>
        <row r="24">
          <cell r="O24">
            <v>1.633586216398992</v>
          </cell>
        </row>
        <row r="25">
          <cell r="O25">
            <v>1.7093511232116565</v>
          </cell>
        </row>
        <row r="26">
          <cell r="O26">
            <v>1.7719976071492902</v>
          </cell>
        </row>
        <row r="27">
          <cell r="O27">
            <v>1.8250158058513075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>
            <v>6.1950754800000002E-3</v>
          </cell>
          <cell r="D6">
            <v>4.6463066099999996E-4</v>
          </cell>
        </row>
        <row r="7">
          <cell r="B7">
            <v>6.3191145600000002E-3</v>
          </cell>
          <cell r="D7">
            <v>4.7393359199999997E-4</v>
          </cell>
        </row>
        <row r="8">
          <cell r="B8">
            <v>6.4632427199999998E-3</v>
          </cell>
          <cell r="D8">
            <v>4.8474320399999999E-4</v>
          </cell>
        </row>
        <row r="9">
          <cell r="B9">
            <v>6.6702754799999996E-3</v>
          </cell>
          <cell r="D9">
            <v>5.0027066099999999E-4</v>
          </cell>
        </row>
        <row r="10">
          <cell r="B10">
            <v>6.7478043599999999E-3</v>
          </cell>
          <cell r="D10">
            <v>5.0608532699999997E-4</v>
          </cell>
        </row>
        <row r="11">
          <cell r="B11">
            <v>6.9353776799999994E-3</v>
          </cell>
          <cell r="D11">
            <v>5.2015332599999998E-4</v>
          </cell>
        </row>
        <row r="12">
          <cell r="B12">
            <v>7.0153657200000014E-3</v>
          </cell>
          <cell r="D12">
            <v>5.2615242900000002E-4</v>
          </cell>
        </row>
        <row r="13">
          <cell r="B13">
            <v>7.0932510000000001E-3</v>
          </cell>
          <cell r="D13">
            <v>5.3199382499999998E-4</v>
          </cell>
        </row>
        <row r="14">
          <cell r="B14">
            <v>7.1682613199999991E-3</v>
          </cell>
          <cell r="D14">
            <v>5.3761959899999991E-4</v>
          </cell>
        </row>
        <row r="15">
          <cell r="B15">
            <v>7.2394344000000005E-3</v>
          </cell>
          <cell r="D15">
            <v>5.4295758000000001E-4</v>
          </cell>
        </row>
        <row r="16">
          <cell r="B16">
            <v>8.6427000000000014E-3</v>
          </cell>
          <cell r="D16">
            <v>6.4820250000000013E-4</v>
          </cell>
        </row>
        <row r="23">
          <cell r="B23">
            <v>5.3102666926594995E-2</v>
          </cell>
          <cell r="D23">
            <v>1.2254461598445001E-3</v>
          </cell>
        </row>
        <row r="24">
          <cell r="B24">
            <v>5.4165899484839998E-2</v>
          </cell>
          <cell r="D24">
            <v>1.249982295804E-3</v>
          </cell>
        </row>
        <row r="25">
          <cell r="B25">
            <v>5.5401330707580007E-2</v>
          </cell>
          <cell r="D25">
            <v>1.2784922470980003E-3</v>
          </cell>
        </row>
        <row r="26">
          <cell r="B26">
            <v>5.7175964726594988E-2</v>
          </cell>
          <cell r="D26">
            <v>1.3194453398444998E-3</v>
          </cell>
        </row>
        <row r="27">
          <cell r="B27">
            <v>5.7840523262664999E-2</v>
          </cell>
          <cell r="D27">
            <v>1.3347813060614999E-3</v>
          </cell>
        </row>
        <row r="28">
          <cell r="B28">
            <v>5.9448355736770007E-2</v>
          </cell>
          <cell r="D28">
            <v>1.371885132387E-3</v>
          </cell>
        </row>
        <row r="29">
          <cell r="B29">
            <v>6.0133993588955006E-2</v>
          </cell>
          <cell r="D29">
            <v>1.3877075443605E-3</v>
          </cell>
        </row>
        <row r="30">
          <cell r="B30">
            <v>6.0801607098375003E-2</v>
          </cell>
          <cell r="D30">
            <v>1.4031140099625002E-3</v>
          </cell>
        </row>
        <row r="31">
          <cell r="B31">
            <v>6.1444577156104997E-2</v>
          </cell>
          <cell r="D31">
            <v>1.4179517805254999E-3</v>
          </cell>
        </row>
        <row r="32">
          <cell r="B32">
            <v>6.2054655334099998E-2</v>
          </cell>
          <cell r="D32">
            <v>1.4320305077099998E-3</v>
          </cell>
        </row>
        <row r="33">
          <cell r="B33">
            <v>7.4083103737500017E-2</v>
          </cell>
          <cell r="D33">
            <v>1.7096100862500005E-3</v>
          </cell>
        </row>
        <row r="43">
          <cell r="B43">
            <v>0.54478993158959998</v>
          </cell>
          <cell r="D43">
            <v>1.9055593281999999E-2</v>
          </cell>
        </row>
        <row r="44">
          <cell r="B44">
            <v>0.55569782805120005</v>
          </cell>
          <cell r="D44">
            <v>1.9437128304E-2</v>
          </cell>
        </row>
        <row r="45">
          <cell r="B45">
            <v>0.56837234197440001</v>
          </cell>
          <cell r="D45">
            <v>1.9880455848000002E-2</v>
          </cell>
        </row>
        <row r="46">
          <cell r="B46">
            <v>0.58657863558960011</v>
          </cell>
          <cell r="D46">
            <v>2.0517273282000002E-2</v>
          </cell>
        </row>
        <row r="47">
          <cell r="B47">
            <v>0.59339646264720003</v>
          </cell>
          <cell r="D47">
            <v>2.0755746374E-2</v>
          </cell>
        </row>
        <row r="48">
          <cell r="B48">
            <v>0.6098915088336001</v>
          </cell>
          <cell r="D48">
            <v>2.1332708012000004E-2</v>
          </cell>
        </row>
        <row r="49">
          <cell r="B49">
            <v>0.61692559243440004</v>
          </cell>
          <cell r="D49">
            <v>2.1578745298000003E-2</v>
          </cell>
        </row>
        <row r="50">
          <cell r="B50">
            <v>0.62377476102000007</v>
          </cell>
          <cell r="D50">
            <v>2.181831465E-2</v>
          </cell>
        </row>
        <row r="51">
          <cell r="B51">
            <v>0.63037110794640006</v>
          </cell>
          <cell r="D51">
            <v>2.2049040838000005E-2</v>
          </cell>
        </row>
        <row r="52">
          <cell r="B52">
            <v>0.6366300110880001</v>
          </cell>
          <cell r="D52">
            <v>2.2267963960000001E-2</v>
          </cell>
        </row>
        <row r="53">
          <cell r="B53">
            <v>0.76003205400000007</v>
          </cell>
          <cell r="D53">
            <v>2.6584304999999999E-2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  <sheetName val="BERAU_IPCC 4A-TPA - 5_Peng biol"/>
    </sheetNames>
    <sheetDataSet>
      <sheetData sheetId="0"/>
      <sheetData sheetId="1"/>
      <sheetData sheetId="2"/>
      <sheetData sheetId="3"/>
      <sheetData sheetId="4">
        <row r="14">
          <cell r="M14">
            <v>0.33665653641995902</v>
          </cell>
        </row>
        <row r="15">
          <cell r="M15">
            <v>0.35570334418972999</v>
          </cell>
        </row>
        <row r="16">
          <cell r="M16">
            <v>0.36221521260032469</v>
          </cell>
        </row>
        <row r="17">
          <cell r="M17">
            <v>0.3821608645919084</v>
          </cell>
        </row>
        <row r="18">
          <cell r="M18">
            <v>0.40964485966431397</v>
          </cell>
        </row>
        <row r="19">
          <cell r="M19">
            <v>0.42631556866041098</v>
          </cell>
        </row>
        <row r="20">
          <cell r="M20">
            <v>0.44347235957706521</v>
          </cell>
        </row>
        <row r="21">
          <cell r="M21">
            <v>0.46107993037535372</v>
          </cell>
        </row>
        <row r="22">
          <cell r="M22">
            <v>0.47908125468470808</v>
          </cell>
        </row>
        <row r="23">
          <cell r="M23">
            <v>0.48629644833231028</v>
          </cell>
        </row>
        <row r="24">
          <cell r="M24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54">
          <cell r="B54">
            <v>0</v>
          </cell>
          <cell r="D54">
            <v>0</v>
          </cell>
        </row>
        <row r="55">
          <cell r="B55">
            <v>0</v>
          </cell>
          <cell r="D55">
            <v>0</v>
          </cell>
        </row>
        <row r="56">
          <cell r="B56">
            <v>0</v>
          </cell>
          <cell r="D56">
            <v>0</v>
          </cell>
        </row>
        <row r="57">
          <cell r="B57">
            <v>0</v>
          </cell>
          <cell r="D57">
            <v>0</v>
          </cell>
        </row>
        <row r="58">
          <cell r="B58">
            <v>0</v>
          </cell>
          <cell r="D58">
            <v>0</v>
          </cell>
        </row>
        <row r="59">
          <cell r="B59">
            <v>0</v>
          </cell>
          <cell r="D59">
            <v>0</v>
          </cell>
        </row>
        <row r="60">
          <cell r="B60">
            <v>0</v>
          </cell>
          <cell r="D60">
            <v>0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</sheetData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981</v>
          </cell>
        </row>
        <row r="21">
          <cell r="G21">
            <v>1836</v>
          </cell>
        </row>
        <row r="22">
          <cell r="G22">
            <v>4956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G17" sqref="G17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148</v>
      </c>
    </row>
    <row r="2" spans="1:14" ht="21" x14ac:dyDescent="0.25">
      <c r="G2" s="80" t="s">
        <v>18</v>
      </c>
    </row>
    <row r="3" spans="1:14" ht="15.75" customHeight="1" x14ac:dyDescent="0.25">
      <c r="A3" s="167" t="s">
        <v>11</v>
      </c>
      <c r="B3" s="167" t="s">
        <v>124</v>
      </c>
      <c r="C3" s="78" t="s">
        <v>12</v>
      </c>
      <c r="D3" s="166" t="s">
        <v>12</v>
      </c>
      <c r="E3" s="166"/>
      <c r="G3" s="81" t="s">
        <v>16</v>
      </c>
      <c r="H3" s="81"/>
      <c r="I3" s="81"/>
    </row>
    <row r="4" spans="1:14" x14ac:dyDescent="0.25">
      <c r="A4" s="168"/>
      <c r="B4" s="168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90">
        <v>2000</v>
      </c>
      <c r="B5" s="92">
        <v>521471</v>
      </c>
      <c r="C5" s="82">
        <v>0.22</v>
      </c>
      <c r="D5" s="83">
        <f t="shared" ref="D5:D25" si="0">C5*B5</f>
        <v>114723.62</v>
      </c>
      <c r="E5" s="83">
        <f>D5/1000</f>
        <v>114.72362</v>
      </c>
    </row>
    <row r="6" spans="1:14" x14ac:dyDescent="0.25">
      <c r="A6" s="90">
        <v>2001</v>
      </c>
      <c r="B6" s="92">
        <v>531912</v>
      </c>
      <c r="C6" s="82">
        <v>0.22</v>
      </c>
      <c r="D6" s="83">
        <f t="shared" si="0"/>
        <v>117020.64</v>
      </c>
      <c r="E6" s="83">
        <f t="shared" ref="E6:E25" si="1">D6/1000</f>
        <v>117.02064</v>
      </c>
      <c r="G6" s="84" t="s">
        <v>37</v>
      </c>
      <c r="H6" s="84"/>
      <c r="I6" s="84"/>
      <c r="J6" s="85">
        <v>2</v>
      </c>
      <c r="K6" s="86" t="s">
        <v>33</v>
      </c>
      <c r="L6" s="85">
        <v>3</v>
      </c>
      <c r="M6" s="84" t="s">
        <v>38</v>
      </c>
      <c r="N6" s="84"/>
    </row>
    <row r="7" spans="1:14" x14ac:dyDescent="0.25">
      <c r="A7" s="90">
        <v>2002</v>
      </c>
      <c r="B7" s="92">
        <v>544044</v>
      </c>
      <c r="C7" s="82">
        <v>0.22</v>
      </c>
      <c r="D7" s="83">
        <f t="shared" si="0"/>
        <v>119689.68000000001</v>
      </c>
      <c r="E7" s="83">
        <f t="shared" si="1"/>
        <v>119.68968000000001</v>
      </c>
      <c r="G7" s="84"/>
      <c r="H7" s="84"/>
      <c r="I7" s="84"/>
      <c r="J7" s="85">
        <f>(2*250)/1000</f>
        <v>0.5</v>
      </c>
      <c r="K7" s="86" t="s">
        <v>33</v>
      </c>
      <c r="L7" s="85">
        <f>(3*250)/1000</f>
        <v>0.75</v>
      </c>
      <c r="M7" s="84" t="s">
        <v>13</v>
      </c>
      <c r="N7" s="84"/>
    </row>
    <row r="8" spans="1:14" x14ac:dyDescent="0.25">
      <c r="A8" s="90">
        <v>2003</v>
      </c>
      <c r="B8" s="92">
        <v>561471</v>
      </c>
      <c r="C8" s="82">
        <v>0.22</v>
      </c>
      <c r="D8" s="83">
        <f t="shared" si="0"/>
        <v>123523.62</v>
      </c>
      <c r="E8" s="83">
        <f t="shared" si="1"/>
        <v>123.52361999999999</v>
      </c>
      <c r="G8" s="84"/>
      <c r="H8" s="84"/>
      <c r="I8" s="84"/>
      <c r="J8" s="87">
        <f>J7*(365/1000)</f>
        <v>0.1825</v>
      </c>
      <c r="K8" s="88" t="s">
        <v>33</v>
      </c>
      <c r="L8" s="87">
        <f>L7*(365/1000)</f>
        <v>0.27374999999999999</v>
      </c>
      <c r="M8" s="84" t="s">
        <v>39</v>
      </c>
      <c r="N8" s="84"/>
    </row>
    <row r="9" spans="1:14" x14ac:dyDescent="0.25">
      <c r="A9" s="90">
        <v>2004</v>
      </c>
      <c r="B9" s="92">
        <v>567997</v>
      </c>
      <c r="C9" s="82">
        <v>0.22</v>
      </c>
      <c r="D9" s="83">
        <f t="shared" si="0"/>
        <v>124959.34</v>
      </c>
      <c r="E9" s="83">
        <f t="shared" si="1"/>
        <v>124.95934</v>
      </c>
    </row>
    <row r="10" spans="1:14" x14ac:dyDescent="0.25">
      <c r="A10" s="90">
        <v>2005</v>
      </c>
      <c r="B10" s="92">
        <v>583786</v>
      </c>
      <c r="C10" s="82">
        <v>0.22</v>
      </c>
      <c r="D10" s="83">
        <f t="shared" si="0"/>
        <v>128432.92</v>
      </c>
      <c r="E10" s="83">
        <f t="shared" si="1"/>
        <v>128.43292</v>
      </c>
      <c r="G10" s="89" t="s">
        <v>34</v>
      </c>
      <c r="H10" s="89"/>
      <c r="I10" s="89" t="s">
        <v>35</v>
      </c>
      <c r="J10" s="89"/>
      <c r="K10" s="89"/>
    </row>
    <row r="11" spans="1:14" x14ac:dyDescent="0.25">
      <c r="A11" s="90">
        <v>2006</v>
      </c>
      <c r="B11" s="92">
        <v>590519</v>
      </c>
      <c r="C11" s="82">
        <v>0.22</v>
      </c>
      <c r="D11" s="83">
        <f t="shared" si="0"/>
        <v>129914.18000000001</v>
      </c>
      <c r="E11" s="83">
        <f t="shared" si="1"/>
        <v>129.91418000000002</v>
      </c>
      <c r="G11" s="89"/>
      <c r="H11" s="89"/>
      <c r="I11" s="89" t="s">
        <v>36</v>
      </c>
      <c r="J11" s="89"/>
      <c r="K11" s="89"/>
    </row>
    <row r="12" spans="1:14" x14ac:dyDescent="0.25">
      <c r="A12" s="90">
        <v>2007</v>
      </c>
      <c r="B12" s="92">
        <v>597075</v>
      </c>
      <c r="C12" s="82">
        <v>0.22</v>
      </c>
      <c r="D12" s="83">
        <f t="shared" si="0"/>
        <v>131356.5</v>
      </c>
      <c r="E12" s="83">
        <f t="shared" si="1"/>
        <v>131.35650000000001</v>
      </c>
    </row>
    <row r="13" spans="1:14" x14ac:dyDescent="0.25">
      <c r="A13" s="90">
        <v>2008</v>
      </c>
      <c r="B13" s="92">
        <v>603389</v>
      </c>
      <c r="C13" s="82">
        <v>0.22</v>
      </c>
      <c r="D13" s="83">
        <f t="shared" si="0"/>
        <v>132745.57999999999</v>
      </c>
      <c r="E13" s="83">
        <f t="shared" si="1"/>
        <v>132.74557999999999</v>
      </c>
    </row>
    <row r="14" spans="1:14" x14ac:dyDescent="0.25">
      <c r="A14" s="90">
        <v>2009</v>
      </c>
      <c r="B14" s="92">
        <v>609380</v>
      </c>
      <c r="C14" s="82">
        <v>0.22</v>
      </c>
      <c r="D14" s="83">
        <f t="shared" si="0"/>
        <v>134063.6</v>
      </c>
      <c r="E14" s="83">
        <f t="shared" si="1"/>
        <v>134.06360000000001</v>
      </c>
    </row>
    <row r="15" spans="1:14" x14ac:dyDescent="0.25">
      <c r="A15" s="90">
        <v>2010</v>
      </c>
      <c r="B15" s="92">
        <v>727500</v>
      </c>
      <c r="C15" s="82">
        <v>0.22</v>
      </c>
      <c r="D15" s="83">
        <f t="shared" si="0"/>
        <v>160050</v>
      </c>
      <c r="E15" s="83">
        <f t="shared" si="1"/>
        <v>160.05000000000001</v>
      </c>
    </row>
    <row r="16" spans="1:14" x14ac:dyDescent="0.25">
      <c r="A16" s="90">
        <v>2011</v>
      </c>
      <c r="B16" s="82"/>
      <c r="C16" s="82">
        <v>0.22</v>
      </c>
      <c r="D16" s="90">
        <f t="shared" si="0"/>
        <v>0</v>
      </c>
      <c r="E16" s="91">
        <f t="shared" si="1"/>
        <v>0</v>
      </c>
    </row>
    <row r="17" spans="1:10" x14ac:dyDescent="0.25">
      <c r="A17" s="90">
        <v>2012</v>
      </c>
      <c r="B17" s="82"/>
      <c r="C17" s="82">
        <v>0.22</v>
      </c>
      <c r="D17" s="90">
        <f t="shared" si="0"/>
        <v>0</v>
      </c>
      <c r="E17" s="91">
        <f t="shared" si="1"/>
        <v>0</v>
      </c>
      <c r="G17" s="93"/>
      <c r="H17" s="93"/>
      <c r="I17" s="93"/>
      <c r="J17" s="93"/>
    </row>
    <row r="18" spans="1:10" x14ac:dyDescent="0.25">
      <c r="A18" s="90">
        <v>2013</v>
      </c>
      <c r="B18" s="82"/>
      <c r="C18" s="82">
        <v>0.22</v>
      </c>
      <c r="D18" s="90">
        <f t="shared" si="0"/>
        <v>0</v>
      </c>
      <c r="E18" s="91">
        <f t="shared" si="1"/>
        <v>0</v>
      </c>
      <c r="G18" s="93"/>
      <c r="H18" s="93"/>
      <c r="I18" s="93"/>
      <c r="J18" s="93"/>
    </row>
    <row r="19" spans="1:10" x14ac:dyDescent="0.25">
      <c r="A19" s="90">
        <v>2014</v>
      </c>
      <c r="B19" s="82"/>
      <c r="C19" s="82">
        <v>0.22</v>
      </c>
      <c r="D19" s="90">
        <f t="shared" si="0"/>
        <v>0</v>
      </c>
      <c r="E19" s="91">
        <f t="shared" si="1"/>
        <v>0</v>
      </c>
      <c r="G19" s="93"/>
      <c r="H19" s="93"/>
      <c r="I19" s="93"/>
      <c r="J19" s="93"/>
    </row>
    <row r="20" spans="1:10" x14ac:dyDescent="0.25">
      <c r="A20" s="90">
        <v>2015</v>
      </c>
      <c r="B20" s="82"/>
      <c r="C20" s="82">
        <v>0.22</v>
      </c>
      <c r="D20" s="90">
        <f t="shared" si="0"/>
        <v>0</v>
      </c>
      <c r="E20" s="91">
        <f t="shared" si="1"/>
        <v>0</v>
      </c>
      <c r="G20" s="93"/>
      <c r="H20" s="93"/>
      <c r="I20" s="93"/>
      <c r="J20" s="93"/>
    </row>
    <row r="21" spans="1:10" x14ac:dyDescent="0.25">
      <c r="A21" s="90">
        <v>2016</v>
      </c>
      <c r="B21" s="82"/>
      <c r="C21" s="82">
        <v>0.22</v>
      </c>
      <c r="D21" s="90">
        <f t="shared" si="0"/>
        <v>0</v>
      </c>
      <c r="E21" s="91">
        <f t="shared" si="1"/>
        <v>0</v>
      </c>
      <c r="G21" s="93"/>
      <c r="H21" s="93"/>
      <c r="I21" s="93"/>
      <c r="J21" s="93"/>
    </row>
    <row r="22" spans="1:10" x14ac:dyDescent="0.25">
      <c r="A22" s="90">
        <v>2017</v>
      </c>
      <c r="B22" s="82"/>
      <c r="C22" s="82">
        <v>0.22</v>
      </c>
      <c r="D22" s="90">
        <f t="shared" si="0"/>
        <v>0</v>
      </c>
      <c r="E22" s="91">
        <f t="shared" si="1"/>
        <v>0</v>
      </c>
      <c r="G22" s="93"/>
      <c r="H22" s="93"/>
      <c r="I22" s="93"/>
      <c r="J22" s="93"/>
    </row>
    <row r="23" spans="1:10" x14ac:dyDescent="0.25">
      <c r="A23" s="90">
        <v>2018</v>
      </c>
      <c r="B23" s="82"/>
      <c r="C23" s="82">
        <v>0.22</v>
      </c>
      <c r="D23" s="90">
        <f t="shared" si="0"/>
        <v>0</v>
      </c>
      <c r="E23" s="91">
        <f t="shared" si="1"/>
        <v>0</v>
      </c>
      <c r="G23" s="93"/>
      <c r="H23" s="93"/>
      <c r="I23" s="93"/>
      <c r="J23" s="93"/>
    </row>
    <row r="24" spans="1:10" x14ac:dyDescent="0.25">
      <c r="A24" s="90">
        <v>2019</v>
      </c>
      <c r="B24" s="82"/>
      <c r="C24" s="82">
        <v>0.22</v>
      </c>
      <c r="D24" s="90">
        <f t="shared" si="0"/>
        <v>0</v>
      </c>
      <c r="E24" s="91">
        <f t="shared" si="1"/>
        <v>0</v>
      </c>
      <c r="G24" s="93"/>
      <c r="H24" s="93"/>
      <c r="I24" s="93"/>
      <c r="J24" s="93"/>
    </row>
    <row r="25" spans="1:10" x14ac:dyDescent="0.25">
      <c r="A25" s="90">
        <v>2020</v>
      </c>
      <c r="B25" s="82"/>
      <c r="C25" s="82">
        <v>0.22</v>
      </c>
      <c r="D25" s="90">
        <f t="shared" si="0"/>
        <v>0</v>
      </c>
      <c r="E25" s="91">
        <f t="shared" si="1"/>
        <v>0</v>
      </c>
      <c r="G25" s="93"/>
      <c r="H25" s="93"/>
      <c r="I25" s="93"/>
      <c r="J25" s="93"/>
    </row>
    <row r="26" spans="1:10" x14ac:dyDescent="0.25">
      <c r="G26" s="93"/>
      <c r="H26" s="93"/>
      <c r="I26" s="93"/>
      <c r="J26" s="93"/>
    </row>
    <row r="27" spans="1:10" x14ac:dyDescent="0.25">
      <c r="G27" s="93"/>
      <c r="H27" s="93"/>
      <c r="I27" s="93"/>
      <c r="J27" s="93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"/>
  <sheetViews>
    <sheetView zoomScaleNormal="100" workbookViewId="0">
      <selection activeCell="A4" sqref="A4:A5"/>
    </sheetView>
  </sheetViews>
  <sheetFormatPr defaultRowHeight="15" x14ac:dyDescent="0.25"/>
  <cols>
    <col min="1" max="1" width="9.140625" style="79"/>
    <col min="2" max="2" width="15.5703125" style="79" customWidth="1"/>
    <col min="3" max="3" width="11" style="79" customWidth="1"/>
    <col min="4" max="6" width="9.140625" style="79"/>
    <col min="7" max="7" width="12.28515625" style="79" customWidth="1"/>
    <col min="8" max="8" width="9.140625" style="79"/>
    <col min="9" max="9" width="16.85546875" style="79" customWidth="1"/>
    <col min="10" max="11" width="9.140625" style="79"/>
    <col min="12" max="12" width="9" style="95" bestFit="1" customWidth="1"/>
    <col min="13" max="13" width="12" style="95" bestFit="1" customWidth="1"/>
    <col min="14" max="14" width="2.42578125" style="95" customWidth="1"/>
    <col min="15" max="15" width="7.140625" style="95" customWidth="1"/>
    <col min="16" max="19" width="9.140625" style="95"/>
    <col min="20" max="20" width="1.42578125" style="95" customWidth="1"/>
    <col min="21" max="21" width="7.140625" style="95" customWidth="1"/>
    <col min="22" max="22" width="50.28515625" style="95" customWidth="1"/>
    <col min="23" max="25" width="9.140625" style="95"/>
    <col min="26" max="16384" width="9.140625" style="79"/>
  </cols>
  <sheetData>
    <row r="2" spans="1:21" ht="21" x14ac:dyDescent="0.25">
      <c r="A2" s="169" t="s">
        <v>9</v>
      </c>
      <c r="B2" s="169"/>
      <c r="C2" s="169"/>
      <c r="D2" s="169"/>
      <c r="E2" s="169"/>
      <c r="F2" s="169"/>
      <c r="G2" s="169"/>
      <c r="H2" s="169"/>
      <c r="I2" s="169"/>
    </row>
    <row r="3" spans="1:21" x14ac:dyDescent="0.25">
      <c r="A3" s="96" t="s">
        <v>151</v>
      </c>
    </row>
    <row r="4" spans="1:21" x14ac:dyDescent="0.25">
      <c r="A4" s="170" t="s">
        <v>8</v>
      </c>
      <c r="B4" s="176" t="s">
        <v>0</v>
      </c>
      <c r="C4" s="176"/>
      <c r="D4" s="176"/>
      <c r="E4" s="176"/>
      <c r="F4" s="176"/>
      <c r="G4" s="176"/>
      <c r="H4" s="176"/>
      <c r="I4" s="174" t="s">
        <v>10</v>
      </c>
    </row>
    <row r="5" spans="1:21" ht="25.5" x14ac:dyDescent="0.25">
      <c r="A5" s="170"/>
      <c r="B5" s="94" t="s">
        <v>1</v>
      </c>
      <c r="C5" s="94" t="s">
        <v>2</v>
      </c>
      <c r="D5" s="94" t="s">
        <v>3</v>
      </c>
      <c r="E5" s="94" t="s">
        <v>4</v>
      </c>
      <c r="F5" s="94" t="s">
        <v>5</v>
      </c>
      <c r="G5" s="94" t="s">
        <v>127</v>
      </c>
      <c r="H5" s="94" t="s">
        <v>7</v>
      </c>
      <c r="I5" s="175"/>
      <c r="P5" s="97"/>
    </row>
    <row r="6" spans="1:21" ht="17.25" customHeight="1" x14ac:dyDescent="0.25">
      <c r="A6" s="98">
        <v>2000</v>
      </c>
      <c r="B6" s="165">
        <v>0.31609999999999999</v>
      </c>
      <c r="C6" s="165">
        <f>4%+9.35%+8.46%+6.21%</f>
        <v>0.2802</v>
      </c>
      <c r="D6" s="165">
        <v>1.35E-2</v>
      </c>
      <c r="E6" s="165">
        <v>0.39019999999999999</v>
      </c>
      <c r="F6" s="99"/>
      <c r="G6" s="99"/>
      <c r="H6" s="99"/>
      <c r="I6" s="100">
        <f>SUM(B6:H6)</f>
        <v>1</v>
      </c>
      <c r="L6" s="101"/>
    </row>
    <row r="7" spans="1:21" x14ac:dyDescent="0.25">
      <c r="A7" s="98">
        <v>2001</v>
      </c>
      <c r="B7" s="165">
        <v>0.31609999999999999</v>
      </c>
      <c r="C7" s="165">
        <f t="shared" ref="C7:C25" si="0">4%+9.35%+8.46%+6.21%</f>
        <v>0.2802</v>
      </c>
      <c r="D7" s="165">
        <v>1.35E-2</v>
      </c>
      <c r="E7" s="165">
        <v>0.39019999999999999</v>
      </c>
      <c r="F7" s="99"/>
      <c r="G7" s="99"/>
      <c r="H7" s="99"/>
      <c r="I7" s="100">
        <f t="shared" ref="I7:I26" si="1">SUM(B7:H7)</f>
        <v>1</v>
      </c>
      <c r="L7" s="95">
        <v>2000</v>
      </c>
      <c r="M7" s="95">
        <f>M8-(M8*0.024)</f>
        <v>0</v>
      </c>
      <c r="N7" s="102"/>
      <c r="O7" s="103"/>
      <c r="P7" s="97"/>
      <c r="S7" s="104"/>
      <c r="T7" s="105"/>
      <c r="U7" s="104"/>
    </row>
    <row r="8" spans="1:21" x14ac:dyDescent="0.25">
      <c r="A8" s="98">
        <v>2002</v>
      </c>
      <c r="B8" s="165">
        <v>0.31609999999999999</v>
      </c>
      <c r="C8" s="165">
        <f t="shared" si="0"/>
        <v>0.2802</v>
      </c>
      <c r="D8" s="165">
        <v>1.35E-2</v>
      </c>
      <c r="E8" s="165">
        <v>0.39019999999999999</v>
      </c>
      <c r="F8" s="99"/>
      <c r="G8" s="99"/>
      <c r="H8" s="99"/>
      <c r="I8" s="100">
        <f t="shared" si="1"/>
        <v>1</v>
      </c>
      <c r="L8" s="95">
        <v>2001</v>
      </c>
      <c r="M8" s="95">
        <f t="shared" ref="M8:M10" si="2">M9-(M9*0.024)</f>
        <v>0</v>
      </c>
      <c r="N8" s="103"/>
      <c r="O8" s="103"/>
      <c r="P8" s="97"/>
      <c r="S8" s="106"/>
      <c r="T8" s="106"/>
      <c r="U8" s="106"/>
    </row>
    <row r="9" spans="1:21" x14ac:dyDescent="0.25">
      <c r="A9" s="98">
        <v>2003</v>
      </c>
      <c r="B9" s="165">
        <v>0.31609999999999999</v>
      </c>
      <c r="C9" s="165">
        <f t="shared" si="0"/>
        <v>0.2802</v>
      </c>
      <c r="D9" s="165">
        <v>1.35E-2</v>
      </c>
      <c r="E9" s="165">
        <v>0.39019999999999999</v>
      </c>
      <c r="F9" s="99"/>
      <c r="G9" s="99"/>
      <c r="H9" s="99"/>
      <c r="I9" s="100">
        <f t="shared" si="1"/>
        <v>1</v>
      </c>
      <c r="L9" s="95">
        <v>2002</v>
      </c>
      <c r="M9" s="95">
        <f t="shared" si="2"/>
        <v>0</v>
      </c>
      <c r="N9" s="103"/>
      <c r="O9" s="103"/>
      <c r="P9" s="97"/>
    </row>
    <row r="10" spans="1:21" x14ac:dyDescent="0.25">
      <c r="A10" s="98">
        <v>2004</v>
      </c>
      <c r="B10" s="165">
        <v>0.31609999999999999</v>
      </c>
      <c r="C10" s="165">
        <f t="shared" si="0"/>
        <v>0.2802</v>
      </c>
      <c r="D10" s="165">
        <v>1.35E-2</v>
      </c>
      <c r="E10" s="165">
        <v>0.39019999999999999</v>
      </c>
      <c r="F10" s="99"/>
      <c r="G10" s="99"/>
      <c r="H10" s="99"/>
      <c r="I10" s="100">
        <f t="shared" si="1"/>
        <v>1</v>
      </c>
      <c r="L10" s="95">
        <v>2003</v>
      </c>
      <c r="M10" s="95">
        <f t="shared" si="2"/>
        <v>0</v>
      </c>
      <c r="N10" s="102"/>
      <c r="O10" s="103"/>
      <c r="P10" s="97"/>
    </row>
    <row r="11" spans="1:21" x14ac:dyDescent="0.25">
      <c r="A11" s="98">
        <v>2005</v>
      </c>
      <c r="B11" s="165">
        <v>0.31609999999999999</v>
      </c>
      <c r="C11" s="165">
        <f t="shared" si="0"/>
        <v>0.2802</v>
      </c>
      <c r="D11" s="165">
        <v>1.35E-2</v>
      </c>
      <c r="E11" s="165">
        <v>0.39019999999999999</v>
      </c>
      <c r="F11" s="99"/>
      <c r="G11" s="99"/>
      <c r="H11" s="99"/>
      <c r="I11" s="100">
        <f t="shared" si="1"/>
        <v>1</v>
      </c>
      <c r="L11" s="95">
        <v>2004</v>
      </c>
      <c r="M11" s="95">
        <f>M12-(M12*0.024)</f>
        <v>0</v>
      </c>
    </row>
    <row r="12" spans="1:21" x14ac:dyDescent="0.25">
      <c r="A12" s="98">
        <v>2006</v>
      </c>
      <c r="B12" s="165">
        <v>0.31609999999999999</v>
      </c>
      <c r="C12" s="165">
        <f t="shared" si="0"/>
        <v>0.2802</v>
      </c>
      <c r="D12" s="165">
        <v>1.35E-2</v>
      </c>
      <c r="E12" s="165">
        <v>0.39019999999999999</v>
      </c>
      <c r="F12" s="99"/>
      <c r="G12" s="99"/>
      <c r="H12" s="99"/>
      <c r="I12" s="100">
        <f t="shared" si="1"/>
        <v>1</v>
      </c>
      <c r="L12" s="95">
        <v>2005</v>
      </c>
      <c r="M12" s="95">
        <f>M13-(M13*O30)</f>
        <v>0</v>
      </c>
    </row>
    <row r="13" spans="1:21" x14ac:dyDescent="0.25">
      <c r="A13" s="98">
        <v>2007</v>
      </c>
      <c r="B13" s="165">
        <v>0.31609999999999999</v>
      </c>
      <c r="C13" s="165">
        <f t="shared" si="0"/>
        <v>0.2802</v>
      </c>
      <c r="D13" s="165">
        <v>1.35E-2</v>
      </c>
      <c r="E13" s="165">
        <v>0.39019999999999999</v>
      </c>
      <c r="F13" s="99"/>
      <c r="G13" s="99"/>
      <c r="H13" s="99"/>
      <c r="I13" s="100">
        <f t="shared" si="1"/>
        <v>1</v>
      </c>
      <c r="L13" s="95">
        <v>2006</v>
      </c>
      <c r="M13" s="95">
        <f>M14-(M14*O30)</f>
        <v>0</v>
      </c>
    </row>
    <row r="14" spans="1:21" x14ac:dyDescent="0.25">
      <c r="A14" s="98">
        <v>2008</v>
      </c>
      <c r="B14" s="165">
        <v>0.31609999999999999</v>
      </c>
      <c r="C14" s="165">
        <f t="shared" si="0"/>
        <v>0.2802</v>
      </c>
      <c r="D14" s="165">
        <v>1.35E-2</v>
      </c>
      <c r="E14" s="165">
        <v>0.39019999999999999</v>
      </c>
      <c r="F14" s="99"/>
      <c r="G14" s="99"/>
      <c r="H14" s="99"/>
      <c r="I14" s="100">
        <f t="shared" si="1"/>
        <v>1</v>
      </c>
      <c r="L14" s="95">
        <v>2007</v>
      </c>
      <c r="M14" s="95">
        <f>M15-(M15*O30)</f>
        <v>0</v>
      </c>
      <c r="P14" s="97"/>
    </row>
    <row r="15" spans="1:21" x14ac:dyDescent="0.25">
      <c r="A15" s="98">
        <v>2009</v>
      </c>
      <c r="B15" s="165">
        <v>0.31609999999999999</v>
      </c>
      <c r="C15" s="165">
        <f t="shared" si="0"/>
        <v>0.2802</v>
      </c>
      <c r="D15" s="165">
        <v>1.35E-2</v>
      </c>
      <c r="E15" s="165">
        <v>0.39019999999999999</v>
      </c>
      <c r="F15" s="99"/>
      <c r="G15" s="99"/>
      <c r="H15" s="99"/>
      <c r="I15" s="100">
        <f t="shared" si="1"/>
        <v>1</v>
      </c>
      <c r="L15" s="95">
        <v>2008</v>
      </c>
      <c r="M15" s="95">
        <f>M28-(M28*O30)</f>
        <v>0</v>
      </c>
      <c r="S15" s="104"/>
    </row>
    <row r="16" spans="1:21" x14ac:dyDescent="0.25">
      <c r="A16" s="98">
        <v>2010</v>
      </c>
      <c r="B16" s="165">
        <v>0.31609999999999999</v>
      </c>
      <c r="C16" s="165">
        <f t="shared" si="0"/>
        <v>0.2802</v>
      </c>
      <c r="D16" s="165">
        <v>1.35E-2</v>
      </c>
      <c r="E16" s="165">
        <v>0.39019999999999999</v>
      </c>
      <c r="F16" s="99"/>
      <c r="G16" s="99"/>
      <c r="H16" s="99"/>
      <c r="I16" s="100">
        <f t="shared" si="1"/>
        <v>1</v>
      </c>
      <c r="S16" s="104"/>
    </row>
    <row r="17" spans="1:19" x14ac:dyDescent="0.25">
      <c r="A17" s="98">
        <v>2011</v>
      </c>
      <c r="B17" s="165">
        <v>0.31609999999999999</v>
      </c>
      <c r="C17" s="165">
        <f t="shared" si="0"/>
        <v>0.2802</v>
      </c>
      <c r="D17" s="165">
        <v>1.35E-2</v>
      </c>
      <c r="E17" s="165">
        <v>0.39019999999999999</v>
      </c>
      <c r="F17" s="99"/>
      <c r="G17" s="99"/>
      <c r="H17" s="99"/>
      <c r="I17" s="100">
        <f t="shared" si="1"/>
        <v>1</v>
      </c>
      <c r="S17" s="104"/>
    </row>
    <row r="18" spans="1:19" x14ac:dyDescent="0.25">
      <c r="A18" s="98">
        <v>2012</v>
      </c>
      <c r="B18" s="165">
        <v>0.31609999999999999</v>
      </c>
      <c r="C18" s="165">
        <f t="shared" si="0"/>
        <v>0.2802</v>
      </c>
      <c r="D18" s="165">
        <v>1.35E-2</v>
      </c>
      <c r="E18" s="165">
        <v>0.39019999999999999</v>
      </c>
      <c r="F18" s="99"/>
      <c r="G18" s="99"/>
      <c r="H18" s="99"/>
      <c r="I18" s="100">
        <f t="shared" si="1"/>
        <v>1</v>
      </c>
      <c r="S18" s="104"/>
    </row>
    <row r="19" spans="1:19" x14ac:dyDescent="0.25">
      <c r="A19" s="98">
        <v>2013</v>
      </c>
      <c r="B19" s="165">
        <v>0.31609999999999999</v>
      </c>
      <c r="C19" s="165">
        <f t="shared" si="0"/>
        <v>0.2802</v>
      </c>
      <c r="D19" s="165">
        <v>1.35E-2</v>
      </c>
      <c r="E19" s="165">
        <v>0.39019999999999999</v>
      </c>
      <c r="F19" s="99"/>
      <c r="G19" s="99"/>
      <c r="H19" s="99"/>
      <c r="I19" s="100">
        <f t="shared" si="1"/>
        <v>1</v>
      </c>
      <c r="S19" s="104"/>
    </row>
    <row r="20" spans="1:19" x14ac:dyDescent="0.25">
      <c r="A20" s="98">
        <v>2014</v>
      </c>
      <c r="B20" s="165">
        <v>0.31609999999999999</v>
      </c>
      <c r="C20" s="165">
        <f t="shared" si="0"/>
        <v>0.2802</v>
      </c>
      <c r="D20" s="165">
        <v>1.35E-2</v>
      </c>
      <c r="E20" s="165">
        <v>0.39019999999999999</v>
      </c>
      <c r="F20" s="99"/>
      <c r="G20" s="99"/>
      <c r="H20" s="99"/>
      <c r="I20" s="100">
        <f t="shared" si="1"/>
        <v>1</v>
      </c>
      <c r="S20" s="104"/>
    </row>
    <row r="21" spans="1:19" x14ac:dyDescent="0.25">
      <c r="A21" s="98">
        <v>2015</v>
      </c>
      <c r="B21" s="165">
        <v>0.31609999999999999</v>
      </c>
      <c r="C21" s="165">
        <f t="shared" si="0"/>
        <v>0.2802</v>
      </c>
      <c r="D21" s="165">
        <v>1.35E-2</v>
      </c>
      <c r="E21" s="165">
        <v>0.39019999999999999</v>
      </c>
      <c r="F21" s="99"/>
      <c r="G21" s="99"/>
      <c r="H21" s="99"/>
      <c r="I21" s="100">
        <f t="shared" si="1"/>
        <v>1</v>
      </c>
      <c r="S21" s="104"/>
    </row>
    <row r="22" spans="1:19" x14ac:dyDescent="0.25">
      <c r="A22" s="98">
        <v>2016</v>
      </c>
      <c r="B22" s="165">
        <v>0.31609999999999999</v>
      </c>
      <c r="C22" s="165">
        <f t="shared" si="0"/>
        <v>0.2802</v>
      </c>
      <c r="D22" s="165">
        <v>1.35E-2</v>
      </c>
      <c r="E22" s="165">
        <v>0.39019999999999999</v>
      </c>
      <c r="F22" s="99"/>
      <c r="G22" s="99"/>
      <c r="H22" s="99"/>
      <c r="I22" s="100">
        <f t="shared" si="1"/>
        <v>1</v>
      </c>
      <c r="S22" s="104"/>
    </row>
    <row r="23" spans="1:19" x14ac:dyDescent="0.25">
      <c r="A23" s="98">
        <v>2017</v>
      </c>
      <c r="B23" s="165">
        <v>0.31609999999999999</v>
      </c>
      <c r="C23" s="165">
        <f t="shared" si="0"/>
        <v>0.2802</v>
      </c>
      <c r="D23" s="165">
        <v>1.35E-2</v>
      </c>
      <c r="E23" s="165">
        <v>0.39019999999999999</v>
      </c>
      <c r="F23" s="99"/>
      <c r="G23" s="99"/>
      <c r="H23" s="99"/>
      <c r="I23" s="100">
        <f t="shared" si="1"/>
        <v>1</v>
      </c>
      <c r="S23" s="104"/>
    </row>
    <row r="24" spans="1:19" x14ac:dyDescent="0.25">
      <c r="A24" s="98">
        <v>2018</v>
      </c>
      <c r="B24" s="165">
        <v>0.31609999999999999</v>
      </c>
      <c r="C24" s="165">
        <f t="shared" si="0"/>
        <v>0.2802</v>
      </c>
      <c r="D24" s="165">
        <v>1.35E-2</v>
      </c>
      <c r="E24" s="165">
        <v>0.39019999999999999</v>
      </c>
      <c r="F24" s="99"/>
      <c r="G24" s="99"/>
      <c r="H24" s="99"/>
      <c r="I24" s="100">
        <f t="shared" si="1"/>
        <v>1</v>
      </c>
      <c r="S24" s="104"/>
    </row>
    <row r="25" spans="1:19" x14ac:dyDescent="0.25">
      <c r="A25" s="98">
        <v>2019</v>
      </c>
      <c r="B25" s="165">
        <v>0.31609999999999999</v>
      </c>
      <c r="C25" s="165">
        <f t="shared" si="0"/>
        <v>0.2802</v>
      </c>
      <c r="D25" s="165">
        <v>1.35E-2</v>
      </c>
      <c r="E25" s="165">
        <v>0.39019999999999999</v>
      </c>
      <c r="F25" s="99"/>
      <c r="G25" s="99"/>
      <c r="H25" s="99"/>
      <c r="I25" s="100">
        <f t="shared" si="1"/>
        <v>1</v>
      </c>
      <c r="S25" s="104"/>
    </row>
    <row r="26" spans="1:19" x14ac:dyDescent="0.25">
      <c r="A26" s="98">
        <v>2020</v>
      </c>
      <c r="B26" s="99">
        <v>0.31609999999999999</v>
      </c>
      <c r="C26" s="99">
        <v>0.04</v>
      </c>
      <c r="D26" s="99">
        <v>1.35E-2</v>
      </c>
      <c r="E26" s="99">
        <v>0.39019999999999999</v>
      </c>
      <c r="F26" s="99"/>
      <c r="G26" s="99"/>
      <c r="H26" s="99"/>
      <c r="I26" s="100">
        <f t="shared" si="1"/>
        <v>0.75980000000000003</v>
      </c>
      <c r="S26" s="104"/>
    </row>
    <row r="27" spans="1:19" ht="14.25" customHeight="1" x14ac:dyDescent="0.25"/>
    <row r="28" spans="1:19" x14ac:dyDescent="0.25">
      <c r="A28" s="170" t="s">
        <v>11</v>
      </c>
      <c r="B28" s="171" t="s">
        <v>40</v>
      </c>
      <c r="C28" s="172"/>
      <c r="D28" s="172"/>
      <c r="E28" s="172"/>
      <c r="F28" s="172"/>
      <c r="G28" s="172"/>
      <c r="H28" s="173"/>
      <c r="I28" s="174" t="s">
        <v>40</v>
      </c>
    </row>
    <row r="29" spans="1:19" ht="25.5" x14ac:dyDescent="0.25">
      <c r="A29" s="170"/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127</v>
      </c>
      <c r="H29" s="94" t="s">
        <v>7</v>
      </c>
      <c r="I29" s="175"/>
    </row>
    <row r="30" spans="1:19" x14ac:dyDescent="0.25">
      <c r="A30" s="98">
        <v>2000</v>
      </c>
      <c r="B30" s="91">
        <f>$I$30*B6</f>
        <v>36.264136281999996</v>
      </c>
      <c r="C30" s="91">
        <f t="shared" ref="C30:H30" si="3">$I$30*C6</f>
        <v>32.145558324</v>
      </c>
      <c r="D30" s="91">
        <f t="shared" si="3"/>
        <v>1.54876887</v>
      </c>
      <c r="E30" s="91">
        <f t="shared" si="3"/>
        <v>44.765156523999998</v>
      </c>
      <c r="F30" s="91">
        <f t="shared" si="3"/>
        <v>0</v>
      </c>
      <c r="G30" s="91">
        <f t="shared" si="3"/>
        <v>0</v>
      </c>
      <c r="H30" s="91">
        <f t="shared" si="3"/>
        <v>0</v>
      </c>
      <c r="I30" s="107">
        <f>'timbulan sampah'!E5</f>
        <v>114.72362</v>
      </c>
    </row>
    <row r="31" spans="1:19" x14ac:dyDescent="0.25">
      <c r="A31" s="98">
        <v>2001</v>
      </c>
      <c r="B31" s="91">
        <f>$I$31*B7</f>
        <v>36.990224304000002</v>
      </c>
      <c r="C31" s="91">
        <f>$I$31*C7</f>
        <v>32.789183328</v>
      </c>
      <c r="D31" s="91">
        <f t="shared" ref="D31:H31" si="4">$I$31*D7</f>
        <v>1.57977864</v>
      </c>
      <c r="E31" s="91">
        <f t="shared" si="4"/>
        <v>45.661453727999998</v>
      </c>
      <c r="F31" s="91">
        <f t="shared" si="4"/>
        <v>0</v>
      </c>
      <c r="G31" s="91">
        <f t="shared" si="4"/>
        <v>0</v>
      </c>
      <c r="H31" s="91">
        <f t="shared" si="4"/>
        <v>0</v>
      </c>
      <c r="I31" s="107">
        <f>'timbulan sampah'!E6</f>
        <v>117.02064</v>
      </c>
    </row>
    <row r="32" spans="1:19" x14ac:dyDescent="0.25">
      <c r="A32" s="98">
        <v>2002</v>
      </c>
      <c r="B32" s="91">
        <f>$I$32*B8</f>
        <v>37.833907848000003</v>
      </c>
      <c r="C32" s="91">
        <f t="shared" ref="C32:H32" si="5">$I$32*C8</f>
        <v>33.537048336000005</v>
      </c>
      <c r="D32" s="91">
        <f t="shared" si="5"/>
        <v>1.6158106800000001</v>
      </c>
      <c r="E32" s="91">
        <f t="shared" si="5"/>
        <v>46.702913135999999</v>
      </c>
      <c r="F32" s="91">
        <f t="shared" si="5"/>
        <v>0</v>
      </c>
      <c r="G32" s="91">
        <f t="shared" si="5"/>
        <v>0</v>
      </c>
      <c r="H32" s="91">
        <f t="shared" si="5"/>
        <v>0</v>
      </c>
      <c r="I32" s="107">
        <f>'timbulan sampah'!E7</f>
        <v>119.68968000000001</v>
      </c>
    </row>
    <row r="33" spans="1:16" x14ac:dyDescent="0.25">
      <c r="A33" s="98">
        <v>2003</v>
      </c>
      <c r="B33" s="91">
        <f>$I$33*B9</f>
        <v>39.045816281999997</v>
      </c>
      <c r="C33" s="91">
        <f t="shared" ref="C33:H33" si="6">$I$33*C9</f>
        <v>34.611318323999996</v>
      </c>
      <c r="D33" s="91">
        <f t="shared" si="6"/>
        <v>1.66756887</v>
      </c>
      <c r="E33" s="91">
        <f t="shared" si="6"/>
        <v>48.198916523999998</v>
      </c>
      <c r="F33" s="91">
        <f t="shared" si="6"/>
        <v>0</v>
      </c>
      <c r="G33" s="91">
        <f t="shared" si="6"/>
        <v>0</v>
      </c>
      <c r="H33" s="91">
        <f t="shared" si="6"/>
        <v>0</v>
      </c>
      <c r="I33" s="107">
        <f>'timbulan sampah'!E8</f>
        <v>123.52361999999999</v>
      </c>
      <c r="P33" s="97"/>
    </row>
    <row r="34" spans="1:16" x14ac:dyDescent="0.25">
      <c r="A34" s="98">
        <v>2004</v>
      </c>
      <c r="B34" s="91">
        <f>$I$34*B10</f>
        <v>39.499647373999998</v>
      </c>
      <c r="C34" s="91">
        <f t="shared" ref="C34:H34" si="7">$I$34*C10</f>
        <v>35.013607067999999</v>
      </c>
      <c r="D34" s="91">
        <f t="shared" si="7"/>
        <v>1.68695109</v>
      </c>
      <c r="E34" s="91">
        <f t="shared" si="7"/>
        <v>48.759134467999999</v>
      </c>
      <c r="F34" s="91">
        <f t="shared" si="7"/>
        <v>0</v>
      </c>
      <c r="G34" s="91">
        <f t="shared" si="7"/>
        <v>0</v>
      </c>
      <c r="H34" s="91">
        <f t="shared" si="7"/>
        <v>0</v>
      </c>
      <c r="I34" s="107">
        <f>'timbulan sampah'!E9</f>
        <v>124.95934</v>
      </c>
      <c r="P34" s="97"/>
    </row>
    <row r="35" spans="1:16" x14ac:dyDescent="0.25">
      <c r="A35" s="98">
        <v>2005</v>
      </c>
      <c r="B35" s="91">
        <f>$I$35*B11</f>
        <v>40.597646011999998</v>
      </c>
      <c r="C35" s="91">
        <f t="shared" ref="C35:H35" si="8">$I$35*C11</f>
        <v>35.986904183999997</v>
      </c>
      <c r="D35" s="91">
        <f t="shared" si="8"/>
        <v>1.7338444199999998</v>
      </c>
      <c r="E35" s="91">
        <f t="shared" si="8"/>
        <v>50.114525383999997</v>
      </c>
      <c r="F35" s="91">
        <f t="shared" si="8"/>
        <v>0</v>
      </c>
      <c r="G35" s="91">
        <f t="shared" si="8"/>
        <v>0</v>
      </c>
      <c r="H35" s="91">
        <f t="shared" si="8"/>
        <v>0</v>
      </c>
      <c r="I35" s="107">
        <f>'timbulan sampah'!E10</f>
        <v>128.43292</v>
      </c>
    </row>
    <row r="36" spans="1:16" x14ac:dyDescent="0.25">
      <c r="A36" s="98">
        <v>2006</v>
      </c>
      <c r="B36" s="91">
        <f>$I$36*B12</f>
        <v>41.065872298000002</v>
      </c>
      <c r="C36" s="91">
        <f t="shared" ref="C36:H36" si="9">$I$36*C12</f>
        <v>36.401953236000004</v>
      </c>
      <c r="D36" s="91">
        <f t="shared" si="9"/>
        <v>1.7538414300000003</v>
      </c>
      <c r="E36" s="91">
        <f t="shared" si="9"/>
        <v>50.692513036000008</v>
      </c>
      <c r="F36" s="91">
        <f t="shared" si="9"/>
        <v>0</v>
      </c>
      <c r="G36" s="91">
        <f t="shared" si="9"/>
        <v>0</v>
      </c>
      <c r="H36" s="91">
        <f t="shared" si="9"/>
        <v>0</v>
      </c>
      <c r="I36" s="107">
        <f>'timbulan sampah'!E11</f>
        <v>129.91418000000002</v>
      </c>
    </row>
    <row r="37" spans="1:16" x14ac:dyDescent="0.25">
      <c r="A37" s="98">
        <v>2007</v>
      </c>
      <c r="B37" s="91">
        <f>$I$37*B13</f>
        <v>41.521789650000002</v>
      </c>
      <c r="C37" s="91">
        <f t="shared" ref="C37:H37" si="10">$I$37*C13</f>
        <v>36.806091300000006</v>
      </c>
      <c r="D37" s="91">
        <f t="shared" si="10"/>
        <v>1.7733127500000001</v>
      </c>
      <c r="E37" s="91">
        <f t="shared" si="10"/>
        <v>51.255306300000001</v>
      </c>
      <c r="F37" s="91">
        <f t="shared" si="10"/>
        <v>0</v>
      </c>
      <c r="G37" s="91">
        <f t="shared" si="10"/>
        <v>0</v>
      </c>
      <c r="H37" s="91">
        <f t="shared" si="10"/>
        <v>0</v>
      </c>
      <c r="I37" s="107">
        <f>'timbulan sampah'!E12</f>
        <v>131.35650000000001</v>
      </c>
    </row>
    <row r="38" spans="1:16" x14ac:dyDescent="0.25">
      <c r="A38" s="98">
        <v>2008</v>
      </c>
      <c r="B38" s="91">
        <f>$I$38*B14</f>
        <v>41.960877837999995</v>
      </c>
      <c r="C38" s="91">
        <f t="shared" ref="C38:H38" si="11">$I$38*C14</f>
        <v>37.195311515999997</v>
      </c>
      <c r="D38" s="91">
        <f t="shared" si="11"/>
        <v>1.7920653299999998</v>
      </c>
      <c r="E38" s="91">
        <f t="shared" si="11"/>
        <v>51.797325315999991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107">
        <f>'timbulan sampah'!E13</f>
        <v>132.74557999999999</v>
      </c>
    </row>
    <row r="39" spans="1:16" x14ac:dyDescent="0.25">
      <c r="A39" s="98">
        <v>2009</v>
      </c>
      <c r="B39" s="91">
        <f>$I$39*B15</f>
        <v>42.377503959999999</v>
      </c>
      <c r="C39" s="91">
        <f t="shared" ref="C39:H39" si="12">$I$39*C15</f>
        <v>37.564620720000001</v>
      </c>
      <c r="D39" s="91">
        <f t="shared" si="12"/>
        <v>1.8098586000000001</v>
      </c>
      <c r="E39" s="91">
        <f t="shared" si="12"/>
        <v>52.311616720000004</v>
      </c>
      <c r="F39" s="91">
        <f t="shared" si="12"/>
        <v>0</v>
      </c>
      <c r="G39" s="91">
        <f t="shared" si="12"/>
        <v>0</v>
      </c>
      <c r="H39" s="91">
        <f t="shared" si="12"/>
        <v>0</v>
      </c>
      <c r="I39" s="107">
        <f>'timbulan sampah'!E14</f>
        <v>134.06360000000001</v>
      </c>
    </row>
    <row r="40" spans="1:16" x14ac:dyDescent="0.25">
      <c r="A40" s="98">
        <v>2010</v>
      </c>
      <c r="B40" s="91">
        <f>$I$40*B16</f>
        <v>50.591805000000001</v>
      </c>
      <c r="C40" s="91">
        <f>$I$40*C16</f>
        <v>44.846010000000007</v>
      </c>
      <c r="D40" s="91">
        <f>$I$40*D16</f>
        <v>2.1606750000000003</v>
      </c>
      <c r="E40" s="91">
        <f t="shared" ref="E40:H40" si="13">$I$40*E16</f>
        <v>62.451510000000006</v>
      </c>
      <c r="F40" s="91">
        <f>$I$40*F16</f>
        <v>0</v>
      </c>
      <c r="G40" s="91">
        <f t="shared" si="13"/>
        <v>0</v>
      </c>
      <c r="H40" s="91">
        <f t="shared" si="13"/>
        <v>0</v>
      </c>
      <c r="I40" s="107">
        <f>'timbulan sampah'!E15</f>
        <v>160.05000000000001</v>
      </c>
    </row>
    <row r="41" spans="1:16" x14ac:dyDescent="0.25">
      <c r="A41" s="98">
        <v>2011</v>
      </c>
      <c r="B41" s="91">
        <f t="shared" ref="B41:H41" si="14">$I$41*B17</f>
        <v>0</v>
      </c>
      <c r="C41" s="91">
        <f t="shared" si="14"/>
        <v>0</v>
      </c>
      <c r="D41" s="91">
        <f t="shared" si="14"/>
        <v>0</v>
      </c>
      <c r="E41" s="91">
        <f t="shared" si="14"/>
        <v>0</v>
      </c>
      <c r="F41" s="91">
        <f t="shared" si="14"/>
        <v>0</v>
      </c>
      <c r="G41" s="91">
        <f t="shared" si="14"/>
        <v>0</v>
      </c>
      <c r="H41" s="91">
        <f t="shared" si="14"/>
        <v>0</v>
      </c>
      <c r="I41" s="107">
        <f>'timbulan sampah'!E16</f>
        <v>0</v>
      </c>
    </row>
    <row r="42" spans="1:16" x14ac:dyDescent="0.25">
      <c r="A42" s="98">
        <v>2012</v>
      </c>
      <c r="B42" s="91">
        <f t="shared" ref="B42:H42" si="15">$I$42*B18</f>
        <v>0</v>
      </c>
      <c r="C42" s="91">
        <f t="shared" si="15"/>
        <v>0</v>
      </c>
      <c r="D42" s="91">
        <f t="shared" si="15"/>
        <v>0</v>
      </c>
      <c r="E42" s="91">
        <f t="shared" si="15"/>
        <v>0</v>
      </c>
      <c r="F42" s="91">
        <f t="shared" si="15"/>
        <v>0</v>
      </c>
      <c r="G42" s="91">
        <f t="shared" si="15"/>
        <v>0</v>
      </c>
      <c r="H42" s="91">
        <f t="shared" si="15"/>
        <v>0</v>
      </c>
      <c r="I42" s="107">
        <f>'timbulan sampah'!E17</f>
        <v>0</v>
      </c>
    </row>
    <row r="43" spans="1:16" x14ac:dyDescent="0.25">
      <c r="A43" s="98">
        <v>2013</v>
      </c>
      <c r="B43" s="91">
        <f t="shared" ref="B43:H43" si="16">$I$43*B19</f>
        <v>0</v>
      </c>
      <c r="C43" s="91">
        <f t="shared" si="16"/>
        <v>0</v>
      </c>
      <c r="D43" s="91">
        <f t="shared" si="16"/>
        <v>0</v>
      </c>
      <c r="E43" s="91">
        <f t="shared" si="16"/>
        <v>0</v>
      </c>
      <c r="F43" s="91">
        <f t="shared" si="16"/>
        <v>0</v>
      </c>
      <c r="G43" s="91">
        <f t="shared" si="16"/>
        <v>0</v>
      </c>
      <c r="H43" s="91">
        <f t="shared" si="16"/>
        <v>0</v>
      </c>
      <c r="I43" s="107">
        <f>'timbulan sampah'!E18</f>
        <v>0</v>
      </c>
    </row>
    <row r="44" spans="1:16" x14ac:dyDescent="0.25">
      <c r="A44" s="98">
        <v>2014</v>
      </c>
      <c r="B44" s="91">
        <f t="shared" ref="B44:H44" si="17">$I$44*B20</f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107">
        <f>'timbulan sampah'!E19</f>
        <v>0</v>
      </c>
    </row>
    <row r="45" spans="1:16" x14ac:dyDescent="0.25">
      <c r="A45" s="98">
        <v>2015</v>
      </c>
      <c r="B45" s="91">
        <f t="shared" ref="B45:H45" si="18">$I$45*B21</f>
        <v>0</v>
      </c>
      <c r="C45" s="91">
        <f t="shared" si="18"/>
        <v>0</v>
      </c>
      <c r="D45" s="91">
        <f t="shared" si="18"/>
        <v>0</v>
      </c>
      <c r="E45" s="91">
        <f t="shared" si="18"/>
        <v>0</v>
      </c>
      <c r="F45" s="91">
        <f t="shared" si="18"/>
        <v>0</v>
      </c>
      <c r="G45" s="91">
        <f t="shared" si="18"/>
        <v>0</v>
      </c>
      <c r="H45" s="91">
        <f t="shared" si="18"/>
        <v>0</v>
      </c>
      <c r="I45" s="107">
        <f>'timbulan sampah'!E20</f>
        <v>0</v>
      </c>
    </row>
    <row r="46" spans="1:16" x14ac:dyDescent="0.25">
      <c r="A46" s="98">
        <v>2016</v>
      </c>
      <c r="B46" s="91">
        <f t="shared" ref="B46:H46" si="19">$I$46*B22</f>
        <v>0</v>
      </c>
      <c r="C46" s="91">
        <f t="shared" si="19"/>
        <v>0</v>
      </c>
      <c r="D46" s="91">
        <f t="shared" si="19"/>
        <v>0</v>
      </c>
      <c r="E46" s="91">
        <f t="shared" si="19"/>
        <v>0</v>
      </c>
      <c r="F46" s="91">
        <f t="shared" si="19"/>
        <v>0</v>
      </c>
      <c r="G46" s="91">
        <f t="shared" si="19"/>
        <v>0</v>
      </c>
      <c r="H46" s="91">
        <f t="shared" si="19"/>
        <v>0</v>
      </c>
      <c r="I46" s="107">
        <f>'timbulan sampah'!E21</f>
        <v>0</v>
      </c>
    </row>
    <row r="47" spans="1:16" x14ac:dyDescent="0.25">
      <c r="A47" s="98">
        <v>2017</v>
      </c>
      <c r="B47" s="91">
        <f t="shared" ref="B47:H47" si="20">$I$47*B23</f>
        <v>0</v>
      </c>
      <c r="C47" s="91">
        <f t="shared" si="20"/>
        <v>0</v>
      </c>
      <c r="D47" s="91">
        <f t="shared" si="20"/>
        <v>0</v>
      </c>
      <c r="E47" s="91">
        <f t="shared" si="20"/>
        <v>0</v>
      </c>
      <c r="F47" s="91">
        <f t="shared" si="20"/>
        <v>0</v>
      </c>
      <c r="G47" s="91">
        <f t="shared" si="20"/>
        <v>0</v>
      </c>
      <c r="H47" s="91">
        <f t="shared" si="20"/>
        <v>0</v>
      </c>
      <c r="I47" s="107">
        <f>'timbulan sampah'!E22</f>
        <v>0</v>
      </c>
    </row>
    <row r="48" spans="1:16" x14ac:dyDescent="0.25">
      <c r="A48" s="98">
        <v>2018</v>
      </c>
      <c r="B48" s="91">
        <f t="shared" ref="B48:H48" si="21">$I$48*B24</f>
        <v>0</v>
      </c>
      <c r="C48" s="91">
        <f t="shared" si="21"/>
        <v>0</v>
      </c>
      <c r="D48" s="91">
        <f t="shared" si="21"/>
        <v>0</v>
      </c>
      <c r="E48" s="91">
        <f t="shared" si="21"/>
        <v>0</v>
      </c>
      <c r="F48" s="91">
        <f t="shared" si="21"/>
        <v>0</v>
      </c>
      <c r="G48" s="91">
        <f t="shared" si="21"/>
        <v>0</v>
      </c>
      <c r="H48" s="91">
        <f t="shared" si="21"/>
        <v>0</v>
      </c>
      <c r="I48" s="107">
        <f>'timbulan sampah'!E23</f>
        <v>0</v>
      </c>
    </row>
    <row r="49" spans="1:9" x14ac:dyDescent="0.25">
      <c r="A49" s="98">
        <v>2019</v>
      </c>
      <c r="B49" s="91">
        <f t="shared" ref="B49:H49" si="22">$I$49*B25</f>
        <v>0</v>
      </c>
      <c r="C49" s="91">
        <f t="shared" si="22"/>
        <v>0</v>
      </c>
      <c r="D49" s="91">
        <f t="shared" si="22"/>
        <v>0</v>
      </c>
      <c r="E49" s="91">
        <f t="shared" si="22"/>
        <v>0</v>
      </c>
      <c r="F49" s="91">
        <f t="shared" si="22"/>
        <v>0</v>
      </c>
      <c r="G49" s="91">
        <f t="shared" si="22"/>
        <v>0</v>
      </c>
      <c r="H49" s="91">
        <f t="shared" si="22"/>
        <v>0</v>
      </c>
      <c r="I49" s="107">
        <f>'timbulan sampah'!E24</f>
        <v>0</v>
      </c>
    </row>
    <row r="50" spans="1:9" x14ac:dyDescent="0.25">
      <c r="A50" s="98">
        <v>2020</v>
      </c>
      <c r="B50" s="91">
        <f t="shared" ref="B50:H50" si="23">$I$50*B26</f>
        <v>0</v>
      </c>
      <c r="C50" s="91">
        <f t="shared" si="23"/>
        <v>0</v>
      </c>
      <c r="D50" s="91">
        <f t="shared" si="23"/>
        <v>0</v>
      </c>
      <c r="E50" s="91">
        <f t="shared" si="23"/>
        <v>0</v>
      </c>
      <c r="F50" s="91">
        <f t="shared" si="23"/>
        <v>0</v>
      </c>
      <c r="G50" s="91">
        <f t="shared" si="23"/>
        <v>0</v>
      </c>
      <c r="H50" s="91">
        <f t="shared" si="23"/>
        <v>0</v>
      </c>
      <c r="I50" s="107">
        <f>'timbulan sampah'!E25</f>
        <v>0</v>
      </c>
    </row>
  </sheetData>
  <mergeCells count="7">
    <mergeCell ref="A2:I2"/>
    <mergeCell ref="A28:A29"/>
    <mergeCell ref="B28:H28"/>
    <mergeCell ref="I4:I5"/>
    <mergeCell ref="I28:I29"/>
    <mergeCell ref="A4:A5"/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183" t="s">
        <v>54</v>
      </c>
      <c r="E5" s="183"/>
      <c r="F5" s="184" t="s">
        <v>64</v>
      </c>
      <c r="G5" s="184"/>
      <c r="H5" s="184"/>
      <c r="I5" s="184"/>
    </row>
    <row r="6" spans="1:9" s="20" customFormat="1" ht="16.5" customHeight="1" x14ac:dyDescent="0.25">
      <c r="A6" s="200" t="s">
        <v>48</v>
      </c>
      <c r="B6" s="200" t="s">
        <v>50</v>
      </c>
      <c r="C6" s="201"/>
      <c r="D6" s="190" t="s">
        <v>70</v>
      </c>
      <c r="E6" s="190"/>
      <c r="F6" s="185" t="s">
        <v>56</v>
      </c>
      <c r="G6" s="185"/>
      <c r="H6" s="185"/>
      <c r="I6" s="185"/>
    </row>
    <row r="7" spans="1:9" s="20" customFormat="1" ht="29.25" customHeight="1" x14ac:dyDescent="0.25">
      <c r="A7" s="200"/>
      <c r="B7" s="200"/>
      <c r="C7" s="201"/>
      <c r="D7" s="190"/>
      <c r="E7" s="190"/>
      <c r="F7" s="185" t="s">
        <v>57</v>
      </c>
      <c r="G7" s="185"/>
      <c r="H7" s="185"/>
      <c r="I7" s="185"/>
    </row>
    <row r="8" spans="1:9" s="20" customFormat="1" ht="51" customHeight="1" x14ac:dyDescent="0.25">
      <c r="A8" s="200"/>
      <c r="B8" s="29" t="s">
        <v>59</v>
      </c>
      <c r="C8" s="22"/>
      <c r="D8" s="190" t="s">
        <v>58</v>
      </c>
      <c r="E8" s="190"/>
      <c r="F8" s="185" t="s">
        <v>61</v>
      </c>
      <c r="G8" s="185"/>
      <c r="H8" s="185"/>
      <c r="I8" s="185"/>
    </row>
    <row r="9" spans="1:9" s="20" customFormat="1" ht="31.5" customHeight="1" x14ac:dyDescent="0.25">
      <c r="A9" s="200"/>
      <c r="B9" s="189" t="s">
        <v>51</v>
      </c>
      <c r="C9" s="22"/>
      <c r="D9" s="190" t="s">
        <v>60</v>
      </c>
      <c r="E9" s="190"/>
      <c r="F9" s="197" t="s">
        <v>66</v>
      </c>
      <c r="G9" s="198"/>
      <c r="H9" s="198"/>
      <c r="I9" s="199"/>
    </row>
    <row r="10" spans="1:9" s="20" customFormat="1" ht="20.25" customHeight="1" x14ac:dyDescent="0.25">
      <c r="A10" s="200"/>
      <c r="B10" s="189"/>
      <c r="C10" s="22"/>
      <c r="D10" s="190"/>
      <c r="E10" s="190"/>
      <c r="F10" s="185" t="s">
        <v>62</v>
      </c>
      <c r="G10" s="185"/>
      <c r="H10" s="185"/>
      <c r="I10" s="185"/>
    </row>
    <row r="11" spans="1:9" s="20" customFormat="1" ht="17.25" customHeight="1" x14ac:dyDescent="0.25">
      <c r="A11" s="200"/>
      <c r="B11" s="189"/>
      <c r="C11" s="22"/>
      <c r="D11" s="190"/>
      <c r="E11" s="190"/>
      <c r="F11" s="185" t="s">
        <v>63</v>
      </c>
      <c r="G11" s="185"/>
      <c r="H11" s="185"/>
      <c r="I11" s="185"/>
    </row>
    <row r="12" spans="1:9" s="20" customFormat="1" ht="60" customHeight="1" x14ac:dyDescent="0.25">
      <c r="A12" s="200" t="s">
        <v>49</v>
      </c>
      <c r="B12" s="27" t="s">
        <v>52</v>
      </c>
      <c r="C12" s="23"/>
      <c r="D12" s="24"/>
      <c r="E12" s="22"/>
      <c r="F12" s="191" t="s">
        <v>67</v>
      </c>
      <c r="G12" s="192"/>
      <c r="H12" s="192"/>
      <c r="I12" s="193"/>
    </row>
    <row r="13" spans="1:9" s="20" customFormat="1" ht="30" x14ac:dyDescent="0.25">
      <c r="A13" s="200"/>
      <c r="B13" s="28" t="s">
        <v>53</v>
      </c>
      <c r="C13" s="23"/>
      <c r="D13" s="24"/>
      <c r="E13" s="22"/>
      <c r="F13" s="194"/>
      <c r="G13" s="195"/>
      <c r="H13" s="195"/>
      <c r="I13" s="196"/>
    </row>
    <row r="18" spans="1:22" ht="21" x14ac:dyDescent="0.35">
      <c r="A18" s="202" t="s">
        <v>74</v>
      </c>
      <c r="B18" s="202"/>
      <c r="C18" s="202"/>
      <c r="D18" s="202"/>
      <c r="E18" s="202"/>
      <c r="F18" s="202"/>
      <c r="G18" s="202"/>
      <c r="H18" s="202"/>
      <c r="I18" s="202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86" t="s">
        <v>8</v>
      </c>
      <c r="B21" s="187" t="s">
        <v>40</v>
      </c>
      <c r="C21" s="187"/>
      <c r="D21" s="187"/>
      <c r="E21" s="187"/>
      <c r="F21" s="187"/>
      <c r="G21" s="187"/>
      <c r="H21" s="187"/>
      <c r="I21" s="188"/>
      <c r="K21" t="s">
        <v>22</v>
      </c>
      <c r="L21" t="s">
        <v>25</v>
      </c>
    </row>
    <row r="22" spans="1:22" ht="38.25" x14ac:dyDescent="0.25">
      <c r="A22" s="186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88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08" t="s">
        <v>71</v>
      </c>
      <c r="C24" s="35">
        <v>0</v>
      </c>
      <c r="D24" s="208" t="s">
        <v>73</v>
      </c>
      <c r="E24" s="208" t="s">
        <v>79</v>
      </c>
      <c r="F24" s="208"/>
      <c r="G24" s="208"/>
      <c r="H24" s="208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08"/>
      <c r="C25" s="35">
        <v>0</v>
      </c>
      <c r="D25" s="208"/>
      <c r="E25" s="208"/>
      <c r="F25" s="208"/>
      <c r="G25" s="208"/>
      <c r="H25" s="208"/>
      <c r="I25" s="34"/>
      <c r="K25" t="s">
        <v>27</v>
      </c>
      <c r="L25" s="206">
        <v>1000</v>
      </c>
      <c r="M25" s="206"/>
      <c r="N25" s="206"/>
      <c r="O25" s="8" t="s">
        <v>28</v>
      </c>
      <c r="R25" s="207">
        <f>L25*1000/365</f>
        <v>2739.7260273972602</v>
      </c>
      <c r="S25" s="207"/>
      <c r="T25" s="207"/>
      <c r="U25" s="11" t="s">
        <v>45</v>
      </c>
    </row>
    <row r="26" spans="1:22" x14ac:dyDescent="0.25">
      <c r="A26" s="2">
        <v>2013</v>
      </c>
      <c r="B26" s="208"/>
      <c r="C26" s="35">
        <v>0</v>
      </c>
      <c r="D26" s="208"/>
      <c r="E26" s="208"/>
      <c r="F26" s="208"/>
      <c r="G26" s="208"/>
      <c r="H26" s="208"/>
      <c r="I26" s="34"/>
      <c r="K26" t="s">
        <v>29</v>
      </c>
      <c r="L26" s="206">
        <v>3000</v>
      </c>
      <c r="M26" s="206"/>
      <c r="N26" s="206"/>
      <c r="O26" s="8" t="s">
        <v>28</v>
      </c>
    </row>
    <row r="27" spans="1:22" x14ac:dyDescent="0.25">
      <c r="A27" s="2">
        <v>2014</v>
      </c>
      <c r="B27" s="208"/>
      <c r="C27" s="35">
        <v>0</v>
      </c>
      <c r="D27" s="208"/>
      <c r="E27" s="208"/>
      <c r="F27" s="208"/>
      <c r="G27" s="208"/>
      <c r="H27" s="208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08"/>
      <c r="C28" s="35">
        <v>0</v>
      </c>
      <c r="D28" s="208"/>
      <c r="E28" s="208"/>
      <c r="F28" s="208"/>
      <c r="G28" s="208"/>
      <c r="H28" s="208"/>
      <c r="I28" s="34"/>
    </row>
    <row r="29" spans="1:22" x14ac:dyDescent="0.25">
      <c r="A29" s="2">
        <v>2016</v>
      </c>
      <c r="B29" s="208"/>
      <c r="C29" s="35">
        <v>0</v>
      </c>
      <c r="D29" s="208"/>
      <c r="E29" s="208"/>
      <c r="F29" s="208"/>
      <c r="G29" s="208"/>
      <c r="H29" s="208"/>
      <c r="I29" s="34"/>
    </row>
    <row r="30" spans="1:22" x14ac:dyDescent="0.25">
      <c r="A30" s="2">
        <v>2017</v>
      </c>
      <c r="B30" s="208"/>
      <c r="C30" s="35">
        <v>0</v>
      </c>
      <c r="D30" s="208"/>
      <c r="E30" s="208"/>
      <c r="F30" s="208"/>
      <c r="G30" s="208"/>
      <c r="H30" s="208"/>
      <c r="I30" s="34"/>
    </row>
    <row r="31" spans="1:22" ht="25.5" x14ac:dyDescent="0.25">
      <c r="A31" s="2">
        <v>2018</v>
      </c>
      <c r="B31" s="208"/>
      <c r="C31" s="35">
        <v>0</v>
      </c>
      <c r="D31" s="208"/>
      <c r="E31" s="208"/>
      <c r="F31" s="208"/>
      <c r="G31" s="208"/>
      <c r="H31" s="208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08"/>
      <c r="C32" s="35">
        <v>0</v>
      </c>
      <c r="D32" s="208"/>
      <c r="E32" s="208"/>
      <c r="F32" s="208"/>
      <c r="G32" s="208"/>
      <c r="H32" s="208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08"/>
      <c r="C33" s="35">
        <v>0</v>
      </c>
      <c r="D33" s="208"/>
      <c r="E33" s="208"/>
      <c r="F33" s="208"/>
      <c r="G33" s="208"/>
      <c r="H33" s="208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86" t="s">
        <v>8</v>
      </c>
      <c r="B37" s="209" t="s">
        <v>78</v>
      </c>
      <c r="C37" s="210"/>
      <c r="D37" s="210"/>
      <c r="E37" s="210"/>
      <c r="F37" s="210"/>
      <c r="G37" s="210"/>
      <c r="H37" s="211"/>
      <c r="I37" s="204" t="s">
        <v>40</v>
      </c>
    </row>
    <row r="38" spans="1:20" ht="38.25" x14ac:dyDescent="0.25">
      <c r="A38" s="186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5"/>
    </row>
    <row r="39" spans="1:20" x14ac:dyDescent="0.25">
      <c r="A39" s="2">
        <v>2010</v>
      </c>
      <c r="B39" s="177" t="s">
        <v>75</v>
      </c>
      <c r="C39" s="177" t="s">
        <v>76</v>
      </c>
      <c r="D39" s="177" t="s">
        <v>75</v>
      </c>
      <c r="E39" s="177" t="s">
        <v>76</v>
      </c>
      <c r="F39" s="177" t="s">
        <v>76</v>
      </c>
      <c r="G39" s="177" t="s">
        <v>76</v>
      </c>
      <c r="H39" s="177" t="s">
        <v>76</v>
      </c>
      <c r="I39" s="14">
        <f>'timbulan sampah'!E5</f>
        <v>114.72362</v>
      </c>
    </row>
    <row r="40" spans="1:20" x14ac:dyDescent="0.25">
      <c r="A40" s="2">
        <v>2011</v>
      </c>
      <c r="B40" s="178"/>
      <c r="C40" s="178"/>
      <c r="D40" s="178"/>
      <c r="E40" s="178"/>
      <c r="F40" s="178"/>
      <c r="G40" s="178"/>
      <c r="H40" s="178"/>
      <c r="I40" s="14">
        <f>'timbulan sampah'!E6</f>
        <v>117.02064</v>
      </c>
      <c r="K40" t="s">
        <v>20</v>
      </c>
      <c r="O40" s="8" t="s">
        <v>21</v>
      </c>
    </row>
    <row r="41" spans="1:20" x14ac:dyDescent="0.25">
      <c r="A41" s="2">
        <v>2012</v>
      </c>
      <c r="B41" s="178"/>
      <c r="C41" s="178"/>
      <c r="D41" s="178"/>
      <c r="E41" s="178"/>
      <c r="F41" s="178"/>
      <c r="G41" s="178"/>
      <c r="H41" s="178"/>
      <c r="I41" s="14">
        <f>'timbulan sampah'!E7</f>
        <v>119.68968000000001</v>
      </c>
      <c r="K41" t="s">
        <v>23</v>
      </c>
      <c r="O41" s="8" t="s">
        <v>24</v>
      </c>
    </row>
    <row r="42" spans="1:20" x14ac:dyDescent="0.25">
      <c r="A42" s="2">
        <v>2013</v>
      </c>
      <c r="B42" s="178"/>
      <c r="C42" s="178"/>
      <c r="D42" s="178"/>
      <c r="E42" s="178"/>
      <c r="F42" s="178"/>
      <c r="G42" s="178"/>
      <c r="H42" s="178"/>
      <c r="I42" s="14">
        <f>'timbulan sampah'!E8</f>
        <v>123.52361999999999</v>
      </c>
    </row>
    <row r="43" spans="1:20" x14ac:dyDescent="0.25">
      <c r="A43" s="2">
        <v>2014</v>
      </c>
      <c r="B43" s="178"/>
      <c r="C43" s="178"/>
      <c r="D43" s="178"/>
      <c r="E43" s="178"/>
      <c r="F43" s="178"/>
      <c r="G43" s="178"/>
      <c r="H43" s="178"/>
      <c r="I43" s="14">
        <f>'timbulan sampah'!E9</f>
        <v>124.95934</v>
      </c>
    </row>
    <row r="44" spans="1:20" x14ac:dyDescent="0.25">
      <c r="A44" s="2">
        <v>2015</v>
      </c>
      <c r="B44" s="178"/>
      <c r="C44" s="178"/>
      <c r="D44" s="178"/>
      <c r="E44" s="178"/>
      <c r="F44" s="178"/>
      <c r="G44" s="178"/>
      <c r="H44" s="178"/>
      <c r="I44" s="14">
        <f>'timbulan sampah'!E10</f>
        <v>128.43292</v>
      </c>
    </row>
    <row r="45" spans="1:20" x14ac:dyDescent="0.25">
      <c r="A45" s="2">
        <v>2016</v>
      </c>
      <c r="B45" s="178"/>
      <c r="C45" s="178"/>
      <c r="D45" s="178"/>
      <c r="E45" s="178"/>
      <c r="F45" s="178"/>
      <c r="G45" s="178"/>
      <c r="H45" s="178"/>
      <c r="I45" s="14">
        <f>'timbulan sampah'!E11</f>
        <v>129.91418000000002</v>
      </c>
    </row>
    <row r="46" spans="1:20" x14ac:dyDescent="0.25">
      <c r="A46" s="2">
        <v>2017</v>
      </c>
      <c r="B46" s="178"/>
      <c r="C46" s="178"/>
      <c r="D46" s="178"/>
      <c r="E46" s="178"/>
      <c r="F46" s="178"/>
      <c r="G46" s="178"/>
      <c r="H46" s="178"/>
      <c r="I46" s="14">
        <f>'timbulan sampah'!E12</f>
        <v>131.35650000000001</v>
      </c>
    </row>
    <row r="47" spans="1:20" x14ac:dyDescent="0.25">
      <c r="A47" s="2">
        <v>2018</v>
      </c>
      <c r="B47" s="178"/>
      <c r="C47" s="178"/>
      <c r="D47" s="178"/>
      <c r="E47" s="178"/>
      <c r="F47" s="178"/>
      <c r="G47" s="178"/>
      <c r="H47" s="178"/>
      <c r="I47" s="14">
        <f>'timbulan sampah'!E13</f>
        <v>132.74557999999999</v>
      </c>
    </row>
    <row r="48" spans="1:20" x14ac:dyDescent="0.25">
      <c r="A48" s="2">
        <v>2019</v>
      </c>
      <c r="B48" s="178"/>
      <c r="C48" s="178"/>
      <c r="D48" s="178"/>
      <c r="E48" s="178"/>
      <c r="F48" s="178"/>
      <c r="G48" s="178"/>
      <c r="H48" s="178"/>
      <c r="I48" s="14">
        <f>'timbulan sampah'!E14</f>
        <v>134.06360000000001</v>
      </c>
    </row>
    <row r="49" spans="1:21" x14ac:dyDescent="0.25">
      <c r="A49" s="2">
        <v>2020</v>
      </c>
      <c r="B49" s="179"/>
      <c r="C49" s="179"/>
      <c r="D49" s="179"/>
      <c r="E49" s="179"/>
      <c r="F49" s="179"/>
      <c r="G49" s="179"/>
      <c r="H49" s="179"/>
      <c r="I49" s="14">
        <f>'timbulan sampah'!E15</f>
        <v>160.05000000000001</v>
      </c>
    </row>
    <row r="52" spans="1:21" x14ac:dyDescent="0.25">
      <c r="A52" s="186" t="s">
        <v>8</v>
      </c>
      <c r="B52" s="203" t="s">
        <v>0</v>
      </c>
      <c r="C52" s="203"/>
      <c r="D52" s="203"/>
      <c r="E52" s="203"/>
      <c r="F52" s="203"/>
      <c r="G52" s="203"/>
      <c r="H52" s="203"/>
      <c r="I52" s="204" t="s">
        <v>10</v>
      </c>
    </row>
    <row r="53" spans="1:21" ht="42.75" customHeight="1" x14ac:dyDescent="0.25">
      <c r="A53" s="186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5"/>
    </row>
    <row r="54" spans="1:21" ht="17.25" customHeight="1" x14ac:dyDescent="0.25">
      <c r="A54" s="2">
        <v>2010</v>
      </c>
      <c r="B54" s="180" t="s">
        <v>77</v>
      </c>
      <c r="C54" s="180" t="s">
        <v>77</v>
      </c>
      <c r="D54" s="180" t="s">
        <v>77</v>
      </c>
      <c r="E54" s="180" t="s">
        <v>77</v>
      </c>
      <c r="F54" s="180" t="s">
        <v>77</v>
      </c>
      <c r="G54" s="180" t="s">
        <v>77</v>
      </c>
      <c r="H54" s="180" t="s">
        <v>77</v>
      </c>
      <c r="I54" s="3">
        <v>1</v>
      </c>
    </row>
    <row r="55" spans="1:21" x14ac:dyDescent="0.25">
      <c r="A55" s="2">
        <v>2011</v>
      </c>
      <c r="B55" s="181"/>
      <c r="C55" s="181"/>
      <c r="D55" s="181"/>
      <c r="E55" s="181"/>
      <c r="F55" s="181"/>
      <c r="G55" s="181"/>
      <c r="H55" s="181"/>
      <c r="I55" s="3">
        <v>1</v>
      </c>
    </row>
    <row r="56" spans="1:21" x14ac:dyDescent="0.25">
      <c r="A56" s="2">
        <v>2012</v>
      </c>
      <c r="B56" s="181"/>
      <c r="C56" s="181"/>
      <c r="D56" s="181"/>
      <c r="E56" s="181"/>
      <c r="F56" s="181"/>
      <c r="G56" s="181"/>
      <c r="H56" s="181"/>
      <c r="I56" s="3">
        <v>1</v>
      </c>
    </row>
    <row r="57" spans="1:21" x14ac:dyDescent="0.25">
      <c r="A57" s="2">
        <v>2013</v>
      </c>
      <c r="B57" s="181"/>
      <c r="C57" s="181"/>
      <c r="D57" s="181"/>
      <c r="E57" s="181"/>
      <c r="F57" s="181"/>
      <c r="G57" s="181"/>
      <c r="H57" s="181"/>
      <c r="I57" s="3">
        <v>1</v>
      </c>
    </row>
    <row r="58" spans="1:21" x14ac:dyDescent="0.25">
      <c r="A58" s="2">
        <v>2014</v>
      </c>
      <c r="B58" s="181"/>
      <c r="C58" s="181"/>
      <c r="D58" s="181"/>
      <c r="E58" s="181"/>
      <c r="F58" s="181"/>
      <c r="G58" s="181"/>
      <c r="H58" s="181"/>
      <c r="I58" s="3">
        <v>1</v>
      </c>
    </row>
    <row r="59" spans="1:21" x14ac:dyDescent="0.25">
      <c r="A59" s="2">
        <v>2015</v>
      </c>
      <c r="B59" s="181"/>
      <c r="C59" s="181"/>
      <c r="D59" s="181"/>
      <c r="E59" s="181"/>
      <c r="F59" s="181"/>
      <c r="G59" s="181"/>
      <c r="H59" s="181"/>
      <c r="I59" s="3">
        <v>1</v>
      </c>
    </row>
    <row r="60" spans="1:21" x14ac:dyDescent="0.25">
      <c r="A60" s="2">
        <v>2016</v>
      </c>
      <c r="B60" s="181"/>
      <c r="C60" s="181"/>
      <c r="D60" s="181"/>
      <c r="E60" s="181"/>
      <c r="F60" s="181"/>
      <c r="G60" s="181"/>
      <c r="H60" s="181"/>
      <c r="I60" s="3">
        <v>1</v>
      </c>
    </row>
    <row r="61" spans="1:21" x14ac:dyDescent="0.25">
      <c r="A61" s="2">
        <v>2017</v>
      </c>
      <c r="B61" s="181"/>
      <c r="C61" s="181"/>
      <c r="D61" s="181"/>
      <c r="E61" s="181"/>
      <c r="F61" s="181"/>
      <c r="G61" s="181"/>
      <c r="H61" s="181"/>
      <c r="I61" s="3">
        <v>1</v>
      </c>
    </row>
    <row r="62" spans="1:21" x14ac:dyDescent="0.25">
      <c r="A62" s="2">
        <v>2018</v>
      </c>
      <c r="B62" s="181"/>
      <c r="C62" s="181"/>
      <c r="D62" s="181"/>
      <c r="E62" s="181"/>
      <c r="F62" s="181"/>
      <c r="G62" s="181"/>
      <c r="H62" s="181"/>
      <c r="I62" s="3">
        <v>1</v>
      </c>
    </row>
    <row r="63" spans="1:21" x14ac:dyDescent="0.25">
      <c r="A63" s="2">
        <v>2019</v>
      </c>
      <c r="B63" s="181"/>
      <c r="C63" s="181"/>
      <c r="D63" s="181"/>
      <c r="E63" s="181"/>
      <c r="F63" s="181"/>
      <c r="G63" s="181"/>
      <c r="H63" s="181"/>
      <c r="I63" s="3">
        <v>1</v>
      </c>
      <c r="U63" s="4"/>
    </row>
    <row r="64" spans="1:21" x14ac:dyDescent="0.25">
      <c r="A64" s="2">
        <v>2020</v>
      </c>
      <c r="B64" s="182"/>
      <c r="C64" s="182"/>
      <c r="D64" s="182"/>
      <c r="E64" s="182"/>
      <c r="F64" s="182"/>
      <c r="G64" s="182"/>
      <c r="H64" s="182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1"/>
  <sheetViews>
    <sheetView topLeftCell="D1" zoomScale="85" zoomScaleNormal="85" workbookViewId="0">
      <selection activeCell="D81" sqref="D81:D91"/>
    </sheetView>
  </sheetViews>
  <sheetFormatPr defaultRowHeight="15" x14ac:dyDescent="0.25"/>
  <cols>
    <col min="1" max="1" width="9.42578125" style="108" bestFit="1" customWidth="1"/>
    <col min="2" max="2" width="11.5703125" style="108" bestFit="1" customWidth="1"/>
    <col min="3" max="3" width="11" style="108" bestFit="1" customWidth="1"/>
    <col min="4" max="4" width="12.7109375" style="108" bestFit="1" customWidth="1"/>
    <col min="5" max="5" width="12.42578125" style="108" customWidth="1"/>
    <col min="6" max="6" width="15.28515625" style="108" customWidth="1"/>
    <col min="7" max="7" width="14.7109375" style="108" customWidth="1"/>
    <col min="8" max="8" width="9.42578125" style="108" bestFit="1" customWidth="1"/>
    <col min="9" max="9" width="13.42578125" style="108" customWidth="1"/>
    <col min="10" max="10" width="10.28515625" style="108" bestFit="1" customWidth="1"/>
    <col min="11" max="14" width="9.42578125" style="108" bestFit="1" customWidth="1"/>
    <col min="15" max="15" width="9.140625" style="108"/>
    <col min="16" max="19" width="9.42578125" style="108" bestFit="1" customWidth="1"/>
    <col min="20" max="23" width="9.140625" style="108"/>
    <col min="24" max="24" width="9.5703125" style="108" bestFit="1" customWidth="1"/>
    <col min="25" max="16384" width="9.140625" style="108"/>
  </cols>
  <sheetData>
    <row r="2" spans="1:24" x14ac:dyDescent="0.25">
      <c r="A2" s="117" t="s">
        <v>117</v>
      </c>
      <c r="B2" s="117"/>
      <c r="C2" s="117"/>
      <c r="D2" s="118"/>
      <c r="E2" s="118"/>
      <c r="F2" s="118"/>
      <c r="G2" s="118"/>
      <c r="H2" s="118"/>
      <c r="I2" s="118"/>
    </row>
    <row r="3" spans="1:24" x14ac:dyDescent="0.25">
      <c r="A3" s="119"/>
    </row>
    <row r="4" spans="1:24" x14ac:dyDescent="0.25">
      <c r="A4" s="120" t="s">
        <v>125</v>
      </c>
    </row>
    <row r="6" spans="1:24" ht="35.25" customHeight="1" x14ac:dyDescent="0.25">
      <c r="A6" s="212" t="s">
        <v>11</v>
      </c>
      <c r="B6" s="213" t="s">
        <v>118</v>
      </c>
      <c r="C6" s="213"/>
      <c r="D6" s="213"/>
      <c r="E6" s="121" t="s">
        <v>114</v>
      </c>
      <c r="F6" s="212" t="s">
        <v>11</v>
      </c>
      <c r="G6" s="213" t="s">
        <v>111</v>
      </c>
      <c r="H6" s="213"/>
      <c r="I6" s="213"/>
      <c r="J6" s="109" t="s">
        <v>115</v>
      </c>
      <c r="K6" s="212" t="s">
        <v>11</v>
      </c>
      <c r="L6" s="213" t="s">
        <v>112</v>
      </c>
      <c r="M6" s="213"/>
      <c r="N6" s="213"/>
      <c r="O6" s="109" t="s">
        <v>115</v>
      </c>
      <c r="P6" s="212" t="s">
        <v>11</v>
      </c>
      <c r="Q6" s="213" t="s">
        <v>113</v>
      </c>
      <c r="R6" s="213"/>
      <c r="S6" s="213"/>
      <c r="X6" s="110"/>
    </row>
    <row r="7" spans="1:24" ht="18" x14ac:dyDescent="0.25">
      <c r="A7" s="212"/>
      <c r="B7" s="212" t="s">
        <v>128</v>
      </c>
      <c r="C7" s="212"/>
      <c r="D7" s="213" t="s">
        <v>129</v>
      </c>
      <c r="E7" s="122"/>
      <c r="F7" s="212"/>
      <c r="G7" s="212" t="s">
        <v>128</v>
      </c>
      <c r="H7" s="212"/>
      <c r="I7" s="213" t="s">
        <v>129</v>
      </c>
      <c r="K7" s="212"/>
      <c r="L7" s="212" t="s">
        <v>128</v>
      </c>
      <c r="M7" s="212"/>
      <c r="N7" s="213" t="s">
        <v>129</v>
      </c>
      <c r="P7" s="212"/>
      <c r="Q7" s="212" t="s">
        <v>128</v>
      </c>
      <c r="R7" s="212"/>
      <c r="S7" s="213" t="s">
        <v>129</v>
      </c>
      <c r="X7" s="110"/>
    </row>
    <row r="8" spans="1:24" ht="18" x14ac:dyDescent="0.25">
      <c r="A8" s="212"/>
      <c r="B8" s="123" t="s">
        <v>130</v>
      </c>
      <c r="C8" s="123" t="s">
        <v>131</v>
      </c>
      <c r="D8" s="213"/>
      <c r="E8" s="124"/>
      <c r="F8" s="212"/>
      <c r="G8" s="123" t="s">
        <v>130</v>
      </c>
      <c r="H8" s="123" t="s">
        <v>131</v>
      </c>
      <c r="I8" s="213"/>
      <c r="K8" s="212"/>
      <c r="L8" s="123" t="s">
        <v>130</v>
      </c>
      <c r="M8" s="123" t="s">
        <v>131</v>
      </c>
      <c r="N8" s="213"/>
      <c r="P8" s="212"/>
      <c r="Q8" s="123" t="s">
        <v>130</v>
      </c>
      <c r="R8" s="123" t="s">
        <v>131</v>
      </c>
      <c r="S8" s="213"/>
    </row>
    <row r="9" spans="1:24" x14ac:dyDescent="0.25">
      <c r="A9" s="111">
        <v>2000</v>
      </c>
      <c r="B9" s="125">
        <f>[1]Results!O17</f>
        <v>0</v>
      </c>
      <c r="C9" s="125">
        <f>B9*21</f>
        <v>0</v>
      </c>
      <c r="D9" s="126">
        <f t="shared" ref="D9:D19" si="0">E9+C9</f>
        <v>0</v>
      </c>
      <c r="E9" s="127"/>
      <c r="F9" s="111">
        <v>2000</v>
      </c>
      <c r="G9" s="125">
        <f>[2]Results!O17</f>
        <v>0</v>
      </c>
      <c r="H9" s="125">
        <f>G9*21</f>
        <v>0</v>
      </c>
      <c r="I9" s="126">
        <f t="shared" ref="I9:I19" si="1">J9+H9</f>
        <v>0</v>
      </c>
      <c r="K9" s="111">
        <v>2000</v>
      </c>
      <c r="L9" s="112">
        <f>[3]Results!O17</f>
        <v>0</v>
      </c>
      <c r="M9" s="125">
        <f>L9*21</f>
        <v>0</v>
      </c>
      <c r="N9" s="126">
        <f>O9+M9</f>
        <v>0</v>
      </c>
      <c r="P9" s="111">
        <v>2000</v>
      </c>
      <c r="Q9" s="112">
        <f>[4]Results!O17</f>
        <v>0</v>
      </c>
      <c r="R9" s="128">
        <f>Q9*21</f>
        <v>0</v>
      </c>
      <c r="S9" s="129">
        <f>T9+R9</f>
        <v>0</v>
      </c>
    </row>
    <row r="10" spans="1:24" x14ac:dyDescent="0.25">
      <c r="A10" s="111">
        <v>2001</v>
      </c>
      <c r="B10" s="125">
        <f>[1]Results!O18</f>
        <v>0.67906998988620859</v>
      </c>
      <c r="C10" s="125">
        <f t="shared" ref="C10:C19" si="2">B10*21</f>
        <v>14.260469787610381</v>
      </c>
      <c r="D10" s="126">
        <f t="shared" si="0"/>
        <v>14.260469787610381</v>
      </c>
      <c r="E10" s="127"/>
      <c r="F10" s="111">
        <v>2001</v>
      </c>
      <c r="G10" s="125">
        <f>[2]Results!O18</f>
        <v>0</v>
      </c>
      <c r="H10" s="125">
        <f t="shared" ref="H10:H19" si="3">G10*21</f>
        <v>0</v>
      </c>
      <c r="I10" s="126">
        <f t="shared" si="1"/>
        <v>0</v>
      </c>
      <c r="K10" s="111">
        <v>2001</v>
      </c>
      <c r="L10" s="112">
        <f>[3]Results!O18</f>
        <v>0.48155751006925845</v>
      </c>
      <c r="M10" s="125">
        <f t="shared" ref="M10:M19" si="4">L10*21</f>
        <v>10.112707711454428</v>
      </c>
      <c r="N10" s="126">
        <f t="shared" ref="N10:N19" si="5">O10+M10</f>
        <v>10.112707711454428</v>
      </c>
      <c r="P10" s="111">
        <v>2001</v>
      </c>
      <c r="Q10" s="112">
        <f>[4]Results!O18</f>
        <v>0</v>
      </c>
      <c r="R10" s="128">
        <f t="shared" ref="R10:R19" si="6">Q10*21</f>
        <v>0</v>
      </c>
      <c r="S10" s="129">
        <f t="shared" ref="S10:S19" si="7">T10+R10</f>
        <v>0</v>
      </c>
    </row>
    <row r="11" spans="1:24" x14ac:dyDescent="0.25">
      <c r="A11" s="111">
        <v>2002</v>
      </c>
      <c r="B11" s="125">
        <f>[1]Results!O19</f>
        <v>1.1646817273586805</v>
      </c>
      <c r="C11" s="125">
        <f t="shared" si="2"/>
        <v>24.45831627453229</v>
      </c>
      <c r="D11" s="126">
        <f t="shared" si="0"/>
        <v>24.45831627453229</v>
      </c>
      <c r="E11" s="127"/>
      <c r="F11" s="111">
        <v>2002</v>
      </c>
      <c r="G11" s="125">
        <f>[2]Results!O19</f>
        <v>0</v>
      </c>
      <c r="H11" s="125">
        <f t="shared" si="3"/>
        <v>0</v>
      </c>
      <c r="I11" s="126">
        <f t="shared" si="1"/>
        <v>0</v>
      </c>
      <c r="K11" s="111">
        <v>2002</v>
      </c>
      <c r="L11" s="112">
        <f>[3]Results!O19</f>
        <v>0.82592551725631691</v>
      </c>
      <c r="M11" s="125">
        <f t="shared" si="4"/>
        <v>17.344435862382657</v>
      </c>
      <c r="N11" s="126">
        <f t="shared" si="5"/>
        <v>17.344435862382657</v>
      </c>
      <c r="P11" s="111">
        <v>2002</v>
      </c>
      <c r="Q11" s="112">
        <f>[4]Results!O19</f>
        <v>0</v>
      </c>
      <c r="R11" s="128">
        <f t="shared" si="6"/>
        <v>0</v>
      </c>
      <c r="S11" s="129">
        <f t="shared" si="7"/>
        <v>0</v>
      </c>
    </row>
    <row r="12" spans="1:24" x14ac:dyDescent="0.25">
      <c r="A12" s="111">
        <v>2003</v>
      </c>
      <c r="B12" s="125">
        <f>[1]Results!O20</f>
        <v>1.5210301189511128</v>
      </c>
      <c r="C12" s="125">
        <f t="shared" si="2"/>
        <v>31.941632497973369</v>
      </c>
      <c r="D12" s="126">
        <f t="shared" si="0"/>
        <v>31.941632497973369</v>
      </c>
      <c r="E12" s="127"/>
      <c r="F12" s="111">
        <v>2003</v>
      </c>
      <c r="G12" s="125">
        <f>[2]Results!O20</f>
        <v>0</v>
      </c>
      <c r="H12" s="125">
        <f t="shared" si="3"/>
        <v>0</v>
      </c>
      <c r="I12" s="126">
        <f t="shared" si="1"/>
        <v>0</v>
      </c>
      <c r="K12" s="111">
        <v>2003</v>
      </c>
      <c r="L12" s="112">
        <f>[3]Results!O20</f>
        <v>1.0786273693896915</v>
      </c>
      <c r="M12" s="125">
        <f t="shared" si="4"/>
        <v>22.651174757183522</v>
      </c>
      <c r="N12" s="126">
        <f t="shared" si="5"/>
        <v>22.651174757183522</v>
      </c>
      <c r="P12" s="111">
        <v>2003</v>
      </c>
      <c r="Q12" s="112">
        <f>[4]Results!O20</f>
        <v>0</v>
      </c>
      <c r="R12" s="128">
        <f t="shared" si="6"/>
        <v>0</v>
      </c>
      <c r="S12" s="129">
        <f t="shared" si="7"/>
        <v>0</v>
      </c>
    </row>
    <row r="13" spans="1:24" x14ac:dyDescent="0.25">
      <c r="A13" s="111">
        <v>2004</v>
      </c>
      <c r="B13" s="125">
        <f>[1]Results!O21</f>
        <v>1.7961492307974549</v>
      </c>
      <c r="C13" s="125">
        <f t="shared" si="2"/>
        <v>37.719133846746551</v>
      </c>
      <c r="D13" s="126">
        <f t="shared" si="0"/>
        <v>37.719133846746551</v>
      </c>
      <c r="E13" s="127"/>
      <c r="F13" s="111">
        <v>2004</v>
      </c>
      <c r="G13" s="125">
        <f>[2]Results!O21</f>
        <v>0</v>
      </c>
      <c r="H13" s="125">
        <f t="shared" si="3"/>
        <v>0</v>
      </c>
      <c r="I13" s="126">
        <f t="shared" si="1"/>
        <v>0</v>
      </c>
      <c r="K13" s="111">
        <v>2004</v>
      </c>
      <c r="L13" s="112">
        <f>[3]Results!O21</f>
        <v>1.273726072684459</v>
      </c>
      <c r="M13" s="125">
        <f t="shared" si="4"/>
        <v>26.748247526373639</v>
      </c>
      <c r="N13" s="126">
        <f t="shared" si="5"/>
        <v>26.748247526373639</v>
      </c>
      <c r="P13" s="111">
        <v>2004</v>
      </c>
      <c r="Q13" s="112">
        <f>[4]Results!O21</f>
        <v>0</v>
      </c>
      <c r="R13" s="128">
        <f t="shared" si="6"/>
        <v>0</v>
      </c>
      <c r="S13" s="129">
        <f t="shared" si="7"/>
        <v>0</v>
      </c>
    </row>
    <row r="14" spans="1:24" x14ac:dyDescent="0.25">
      <c r="A14" s="111">
        <v>2005</v>
      </c>
      <c r="B14" s="125">
        <f>[1]Results!O22</f>
        <v>2.0015273402325739</v>
      </c>
      <c r="C14" s="125">
        <f t="shared" si="2"/>
        <v>42.032074144884049</v>
      </c>
      <c r="D14" s="126">
        <f t="shared" si="0"/>
        <v>42.032074144884049</v>
      </c>
      <c r="E14" s="127"/>
      <c r="F14" s="111">
        <v>2005</v>
      </c>
      <c r="G14" s="125">
        <f>[2]Results!O22</f>
        <v>0</v>
      </c>
      <c r="H14" s="125">
        <f t="shared" si="3"/>
        <v>0</v>
      </c>
      <c r="I14" s="126">
        <f t="shared" si="1"/>
        <v>0</v>
      </c>
      <c r="K14" s="111">
        <v>2005</v>
      </c>
      <c r="L14" s="112">
        <f>[3]Results!O22</f>
        <v>1.4193684548767282</v>
      </c>
      <c r="M14" s="125">
        <f t="shared" si="4"/>
        <v>29.806737552411292</v>
      </c>
      <c r="N14" s="126">
        <f t="shared" si="5"/>
        <v>29.806737552411292</v>
      </c>
      <c r="P14" s="111">
        <v>2005</v>
      </c>
      <c r="Q14" s="112">
        <f>[4]Results!O22</f>
        <v>0</v>
      </c>
      <c r="R14" s="128">
        <f t="shared" si="6"/>
        <v>0</v>
      </c>
      <c r="S14" s="129">
        <f t="shared" si="7"/>
        <v>0</v>
      </c>
    </row>
    <row r="15" spans="1:24" x14ac:dyDescent="0.25">
      <c r="A15" s="111">
        <v>2006</v>
      </c>
      <c r="B15" s="125">
        <f>[1]Results!O23</f>
        <v>2.1709286508689103</v>
      </c>
      <c r="C15" s="125">
        <f t="shared" si="2"/>
        <v>45.589501668247117</v>
      </c>
      <c r="D15" s="126">
        <f t="shared" si="0"/>
        <v>45.589501668247117</v>
      </c>
      <c r="E15" s="127"/>
      <c r="F15" s="111">
        <v>2006</v>
      </c>
      <c r="G15" s="125">
        <f>[2]Results!O23</f>
        <v>0</v>
      </c>
      <c r="H15" s="125">
        <f t="shared" si="3"/>
        <v>0</v>
      </c>
      <c r="I15" s="126">
        <f t="shared" si="1"/>
        <v>0</v>
      </c>
      <c r="K15" s="111">
        <v>2006</v>
      </c>
      <c r="L15" s="112">
        <f>[3]Results!O23</f>
        <v>1.539498153681667</v>
      </c>
      <c r="M15" s="125">
        <f t="shared" si="4"/>
        <v>32.329461227315008</v>
      </c>
      <c r="N15" s="126">
        <f t="shared" si="5"/>
        <v>32.329461227315008</v>
      </c>
      <c r="P15" s="111">
        <v>2006</v>
      </c>
      <c r="Q15" s="112">
        <f>[4]Results!O23</f>
        <v>0</v>
      </c>
      <c r="R15" s="128">
        <f t="shared" si="6"/>
        <v>0</v>
      </c>
      <c r="S15" s="129">
        <f t="shared" si="7"/>
        <v>0</v>
      </c>
    </row>
    <row r="16" spans="1:24" x14ac:dyDescent="0.25">
      <c r="A16" s="111">
        <v>2007</v>
      </c>
      <c r="B16" s="125">
        <f>[1]Results!O24</f>
        <v>2.303607258225024</v>
      </c>
      <c r="C16" s="125">
        <f t="shared" si="2"/>
        <v>48.375752422725505</v>
      </c>
      <c r="D16" s="126">
        <f t="shared" si="0"/>
        <v>48.375752422725505</v>
      </c>
      <c r="E16" s="127"/>
      <c r="F16" s="111">
        <v>2007</v>
      </c>
      <c r="G16" s="125">
        <f>[2]Results!O24</f>
        <v>0</v>
      </c>
      <c r="H16" s="125">
        <f t="shared" si="3"/>
        <v>0</v>
      </c>
      <c r="I16" s="126">
        <f t="shared" si="1"/>
        <v>0</v>
      </c>
      <c r="K16" s="111">
        <v>2007</v>
      </c>
      <c r="L16" s="112">
        <f>[3]Results!O24</f>
        <v>1.633586216398992</v>
      </c>
      <c r="M16" s="125">
        <f t="shared" si="4"/>
        <v>34.305310544378834</v>
      </c>
      <c r="N16" s="126">
        <f t="shared" si="5"/>
        <v>34.305310544378834</v>
      </c>
      <c r="P16" s="111">
        <v>2007</v>
      </c>
      <c r="Q16" s="112">
        <f>[4]Results!O24</f>
        <v>0</v>
      </c>
      <c r="R16" s="128">
        <f t="shared" si="6"/>
        <v>0</v>
      </c>
      <c r="S16" s="129">
        <f t="shared" si="7"/>
        <v>0</v>
      </c>
    </row>
    <row r="17" spans="1:19" x14ac:dyDescent="0.25">
      <c r="A17" s="111">
        <v>2008</v>
      </c>
      <c r="B17" s="125">
        <f>[1]Results!O25</f>
        <v>2.4104474038508412</v>
      </c>
      <c r="C17" s="125">
        <f t="shared" si="2"/>
        <v>50.619395480867666</v>
      </c>
      <c r="D17" s="130">
        <f t="shared" si="0"/>
        <v>50.619395480867666</v>
      </c>
      <c r="E17" s="127"/>
      <c r="F17" s="111">
        <v>2008</v>
      </c>
      <c r="G17" s="125">
        <f>[2]Results!O25</f>
        <v>0</v>
      </c>
      <c r="H17" s="125">
        <f t="shared" si="3"/>
        <v>0</v>
      </c>
      <c r="I17" s="126">
        <f t="shared" si="1"/>
        <v>0</v>
      </c>
      <c r="K17" s="111">
        <v>2008</v>
      </c>
      <c r="L17" s="112">
        <f>[3]Results!O25</f>
        <v>1.7093511232116565</v>
      </c>
      <c r="M17" s="125">
        <f t="shared" si="4"/>
        <v>35.896373587444785</v>
      </c>
      <c r="N17" s="126">
        <f t="shared" si="5"/>
        <v>35.896373587444785</v>
      </c>
      <c r="P17" s="111">
        <v>2008</v>
      </c>
      <c r="Q17" s="112">
        <f>[4]Results!O25</f>
        <v>0</v>
      </c>
      <c r="R17" s="128">
        <f t="shared" si="6"/>
        <v>0</v>
      </c>
      <c r="S17" s="129">
        <f t="shared" si="7"/>
        <v>0</v>
      </c>
    </row>
    <row r="18" spans="1:19" x14ac:dyDescent="0.25">
      <c r="A18" s="111">
        <v>2009</v>
      </c>
      <c r="B18" s="125">
        <f>[1]Results!O26</f>
        <v>2.4987885600459077</v>
      </c>
      <c r="C18" s="125">
        <f t="shared" si="2"/>
        <v>52.474559760964063</v>
      </c>
      <c r="D18" s="130">
        <f t="shared" si="0"/>
        <v>52.474559760964063</v>
      </c>
      <c r="E18" s="127"/>
      <c r="F18" s="111">
        <v>2009</v>
      </c>
      <c r="G18" s="125">
        <f>[2]Results!O26</f>
        <v>0</v>
      </c>
      <c r="H18" s="125">
        <f t="shared" si="3"/>
        <v>0</v>
      </c>
      <c r="I18" s="126">
        <f t="shared" si="1"/>
        <v>0</v>
      </c>
      <c r="K18" s="111">
        <v>2009</v>
      </c>
      <c r="L18" s="112">
        <f>[3]Results!O26</f>
        <v>1.7719976071492902</v>
      </c>
      <c r="M18" s="125">
        <f t="shared" si="4"/>
        <v>37.211949750135098</v>
      </c>
      <c r="N18" s="126">
        <f t="shared" si="5"/>
        <v>37.211949750135098</v>
      </c>
      <c r="P18" s="111">
        <v>2009</v>
      </c>
      <c r="Q18" s="112">
        <f>[4]Results!O26</f>
        <v>0</v>
      </c>
      <c r="R18" s="128">
        <f t="shared" si="6"/>
        <v>0</v>
      </c>
      <c r="S18" s="129">
        <f t="shared" si="7"/>
        <v>0</v>
      </c>
    </row>
    <row r="19" spans="1:19" x14ac:dyDescent="0.25">
      <c r="A19" s="111">
        <v>2010</v>
      </c>
      <c r="B19" s="125">
        <f>[1]Results!O27</f>
        <v>2.5735523564846452</v>
      </c>
      <c r="C19" s="125">
        <f t="shared" si="2"/>
        <v>54.044599486177546</v>
      </c>
      <c r="D19" s="130">
        <f t="shared" si="0"/>
        <v>54.044599486177546</v>
      </c>
      <c r="E19" s="127"/>
      <c r="F19" s="111">
        <v>2010</v>
      </c>
      <c r="G19" s="125">
        <f>[2]Results!O27</f>
        <v>0</v>
      </c>
      <c r="H19" s="125">
        <f t="shared" si="3"/>
        <v>0</v>
      </c>
      <c r="I19" s="126">
        <f t="shared" si="1"/>
        <v>0</v>
      </c>
      <c r="K19" s="111">
        <v>2010</v>
      </c>
      <c r="L19" s="112">
        <f>[3]Results!O27</f>
        <v>1.8250158058513075</v>
      </c>
      <c r="M19" s="125">
        <f t="shared" si="4"/>
        <v>38.32533192287746</v>
      </c>
      <c r="N19" s="126">
        <f t="shared" si="5"/>
        <v>38.32533192287746</v>
      </c>
      <c r="P19" s="111">
        <v>2010</v>
      </c>
      <c r="Q19" s="112">
        <f>[4]Results!O27</f>
        <v>0</v>
      </c>
      <c r="R19" s="128">
        <f t="shared" si="6"/>
        <v>0</v>
      </c>
      <c r="S19" s="129">
        <f t="shared" si="7"/>
        <v>0</v>
      </c>
    </row>
    <row r="20" spans="1:19" x14ac:dyDescent="0.25">
      <c r="B20" s="113"/>
      <c r="C20" s="113"/>
    </row>
    <row r="22" spans="1:19" ht="15.75" thickBot="1" x14ac:dyDescent="0.3">
      <c r="A22" s="131" t="s">
        <v>126</v>
      </c>
    </row>
    <row r="23" spans="1:19" ht="15.75" thickBot="1" x14ac:dyDescent="0.3">
      <c r="A23" s="219" t="s">
        <v>11</v>
      </c>
      <c r="B23" s="221" t="s">
        <v>81</v>
      </c>
      <c r="C23" s="222"/>
      <c r="D23" s="222"/>
      <c r="E23" s="222"/>
      <c r="F23" s="223"/>
    </row>
    <row r="24" spans="1:19" ht="18.75" thickBot="1" x14ac:dyDescent="0.3">
      <c r="A24" s="220"/>
      <c r="B24" s="221" t="s">
        <v>128</v>
      </c>
      <c r="C24" s="223"/>
      <c r="D24" s="221" t="s">
        <v>132</v>
      </c>
      <c r="E24" s="223"/>
      <c r="F24" s="224" t="s">
        <v>129</v>
      </c>
    </row>
    <row r="25" spans="1:19" ht="18" x14ac:dyDescent="0.25">
      <c r="A25" s="220"/>
      <c r="B25" s="132" t="s">
        <v>130</v>
      </c>
      <c r="C25" s="132" t="s">
        <v>131</v>
      </c>
      <c r="D25" s="132" t="s">
        <v>133</v>
      </c>
      <c r="E25" s="132" t="s">
        <v>131</v>
      </c>
      <c r="F25" s="225"/>
    </row>
    <row r="26" spans="1:19" x14ac:dyDescent="0.25">
      <c r="A26" s="111">
        <v>2000</v>
      </c>
      <c r="B26" s="125">
        <f>[5]REKAPITULASI!B6</f>
        <v>6.1950754800000002E-3</v>
      </c>
      <c r="C26" s="125">
        <f>B26*21</f>
        <v>0.13009658507999999</v>
      </c>
      <c r="D26" s="125">
        <f>[5]REKAPITULASI!D6</f>
        <v>4.6463066099999996E-4</v>
      </c>
      <c r="E26" s="125">
        <f>D26*310</f>
        <v>0.14403550491</v>
      </c>
      <c r="F26" s="126">
        <f>E26+C26</f>
        <v>0.27413208998999999</v>
      </c>
    </row>
    <row r="27" spans="1:19" x14ac:dyDescent="0.25">
      <c r="A27" s="111">
        <v>2001</v>
      </c>
      <c r="B27" s="125">
        <f>[5]REKAPITULASI!B7</f>
        <v>6.3191145600000002E-3</v>
      </c>
      <c r="C27" s="125">
        <f t="shared" ref="C27:C36" si="8">B27*21</f>
        <v>0.13270140576</v>
      </c>
      <c r="D27" s="125">
        <f>[5]REKAPITULASI!D7</f>
        <v>4.7393359199999997E-4</v>
      </c>
      <c r="E27" s="125">
        <f t="shared" ref="E27:E36" si="9">D27*310</f>
        <v>0.14691941351999999</v>
      </c>
      <c r="F27" s="126">
        <f t="shared" ref="F27:F36" si="10">E27+C27</f>
        <v>0.27962081927999999</v>
      </c>
    </row>
    <row r="28" spans="1:19" x14ac:dyDescent="0.25">
      <c r="A28" s="111">
        <v>2002</v>
      </c>
      <c r="B28" s="125">
        <f>[5]REKAPITULASI!B8</f>
        <v>6.4632427199999998E-3</v>
      </c>
      <c r="C28" s="125">
        <f t="shared" si="8"/>
        <v>0.13572809712</v>
      </c>
      <c r="D28" s="125">
        <f>[5]REKAPITULASI!D8</f>
        <v>4.8474320399999999E-4</v>
      </c>
      <c r="E28" s="125">
        <f t="shared" si="9"/>
        <v>0.15027039323999999</v>
      </c>
      <c r="F28" s="126">
        <f t="shared" si="10"/>
        <v>0.28599849036000002</v>
      </c>
    </row>
    <row r="29" spans="1:19" x14ac:dyDescent="0.25">
      <c r="A29" s="111">
        <v>2003</v>
      </c>
      <c r="B29" s="125">
        <f>[5]REKAPITULASI!B9</f>
        <v>6.6702754799999996E-3</v>
      </c>
      <c r="C29" s="125">
        <f t="shared" si="8"/>
        <v>0.14007578507999999</v>
      </c>
      <c r="D29" s="125">
        <f>[5]REKAPITULASI!D9</f>
        <v>5.0027066099999999E-4</v>
      </c>
      <c r="E29" s="125">
        <f t="shared" si="9"/>
        <v>0.15508390490999999</v>
      </c>
      <c r="F29" s="126">
        <f t="shared" si="10"/>
        <v>0.29515968998999997</v>
      </c>
    </row>
    <row r="30" spans="1:19" x14ac:dyDescent="0.25">
      <c r="A30" s="111">
        <v>2004</v>
      </c>
      <c r="B30" s="125">
        <f>[5]REKAPITULASI!B10</f>
        <v>6.7478043599999999E-3</v>
      </c>
      <c r="C30" s="125">
        <f t="shared" si="8"/>
        <v>0.14170389155999999</v>
      </c>
      <c r="D30" s="125">
        <f>[5]REKAPITULASI!D10</f>
        <v>5.0608532699999997E-4</v>
      </c>
      <c r="E30" s="125">
        <f t="shared" si="9"/>
        <v>0.15688645136999999</v>
      </c>
      <c r="F30" s="126">
        <f t="shared" si="10"/>
        <v>0.29859034292999997</v>
      </c>
    </row>
    <row r="31" spans="1:19" x14ac:dyDescent="0.25">
      <c r="A31" s="111">
        <v>2005</v>
      </c>
      <c r="B31" s="125">
        <f>[5]REKAPITULASI!B11</f>
        <v>6.9353776799999994E-3</v>
      </c>
      <c r="C31" s="125">
        <f t="shared" si="8"/>
        <v>0.14564293128</v>
      </c>
      <c r="D31" s="125">
        <f>[5]REKAPITULASI!D11</f>
        <v>5.2015332599999998E-4</v>
      </c>
      <c r="E31" s="125">
        <f t="shared" si="9"/>
        <v>0.16124753106</v>
      </c>
      <c r="F31" s="126">
        <f t="shared" si="10"/>
        <v>0.30689046234</v>
      </c>
    </row>
    <row r="32" spans="1:19" x14ac:dyDescent="0.25">
      <c r="A32" s="111">
        <v>2006</v>
      </c>
      <c r="B32" s="125">
        <f>[5]REKAPITULASI!B12</f>
        <v>7.0153657200000014E-3</v>
      </c>
      <c r="C32" s="125">
        <f t="shared" si="8"/>
        <v>0.14732268012000002</v>
      </c>
      <c r="D32" s="125">
        <f>[5]REKAPITULASI!D12</f>
        <v>5.2615242900000002E-4</v>
      </c>
      <c r="E32" s="125">
        <f t="shared" si="9"/>
        <v>0.16310725299000001</v>
      </c>
      <c r="F32" s="126">
        <f t="shared" si="10"/>
        <v>0.31042993311</v>
      </c>
    </row>
    <row r="33" spans="1:10" x14ac:dyDescent="0.25">
      <c r="A33" s="111">
        <v>2007</v>
      </c>
      <c r="B33" s="125">
        <f>[5]REKAPITULASI!B13</f>
        <v>7.0932510000000001E-3</v>
      </c>
      <c r="C33" s="125">
        <f t="shared" si="8"/>
        <v>0.148958271</v>
      </c>
      <c r="D33" s="125">
        <f>[5]REKAPITULASI!D13</f>
        <v>5.3199382499999998E-4</v>
      </c>
      <c r="E33" s="125">
        <f t="shared" si="9"/>
        <v>0.16491808575</v>
      </c>
      <c r="F33" s="126">
        <f t="shared" si="10"/>
        <v>0.31387635675000003</v>
      </c>
    </row>
    <row r="34" spans="1:10" x14ac:dyDescent="0.25">
      <c r="A34" s="111">
        <v>2008</v>
      </c>
      <c r="B34" s="125">
        <f>[5]REKAPITULASI!B14</f>
        <v>7.1682613199999991E-3</v>
      </c>
      <c r="C34" s="125">
        <f t="shared" si="8"/>
        <v>0.15053348771999997</v>
      </c>
      <c r="D34" s="125">
        <f>[5]REKAPITULASI!D14</f>
        <v>5.3761959899999991E-4</v>
      </c>
      <c r="E34" s="125">
        <f t="shared" si="9"/>
        <v>0.16666207568999997</v>
      </c>
      <c r="F34" s="126">
        <f t="shared" si="10"/>
        <v>0.31719556340999994</v>
      </c>
    </row>
    <row r="35" spans="1:10" x14ac:dyDescent="0.25">
      <c r="A35" s="111">
        <v>2009</v>
      </c>
      <c r="B35" s="125">
        <f>[5]REKAPITULASI!B15</f>
        <v>7.2394344000000005E-3</v>
      </c>
      <c r="C35" s="125">
        <f t="shared" si="8"/>
        <v>0.15202812240000002</v>
      </c>
      <c r="D35" s="125">
        <f>[5]REKAPITULASI!D15</f>
        <v>5.4295758000000001E-4</v>
      </c>
      <c r="E35" s="125">
        <f t="shared" si="9"/>
        <v>0.1683168498</v>
      </c>
      <c r="F35" s="126">
        <f t="shared" si="10"/>
        <v>0.32034497220000002</v>
      </c>
    </row>
    <row r="36" spans="1:10" x14ac:dyDescent="0.25">
      <c r="A36" s="111">
        <v>2010</v>
      </c>
      <c r="B36" s="125">
        <f>[5]REKAPITULASI!B16</f>
        <v>8.6427000000000014E-3</v>
      </c>
      <c r="C36" s="125">
        <f t="shared" si="8"/>
        <v>0.18149670000000004</v>
      </c>
      <c r="D36" s="125">
        <f>[5]REKAPITULASI!D16</f>
        <v>6.4820250000000013E-4</v>
      </c>
      <c r="E36" s="125">
        <f t="shared" si="9"/>
        <v>0.20094277500000005</v>
      </c>
      <c r="F36" s="126">
        <f t="shared" si="10"/>
        <v>0.38243947500000008</v>
      </c>
    </row>
    <row r="37" spans="1:10" x14ac:dyDescent="0.25">
      <c r="A37" s="111">
        <v>2011</v>
      </c>
      <c r="B37" s="125"/>
      <c r="C37" s="125">
        <f t="shared" ref="C37:C46" si="11">B37*21</f>
        <v>0</v>
      </c>
      <c r="D37" s="125"/>
      <c r="E37" s="125">
        <f t="shared" ref="E37:E46" si="12">D37*310</f>
        <v>0</v>
      </c>
      <c r="F37" s="126">
        <f t="shared" ref="F37:F46" si="13">E37+C37</f>
        <v>0</v>
      </c>
    </row>
    <row r="38" spans="1:10" x14ac:dyDescent="0.25">
      <c r="A38" s="111">
        <v>2012</v>
      </c>
      <c r="B38" s="125"/>
      <c r="C38" s="125">
        <f t="shared" si="11"/>
        <v>0</v>
      </c>
      <c r="D38" s="125"/>
      <c r="E38" s="125">
        <f t="shared" si="12"/>
        <v>0</v>
      </c>
      <c r="F38" s="126">
        <f t="shared" si="13"/>
        <v>0</v>
      </c>
    </row>
    <row r="39" spans="1:10" x14ac:dyDescent="0.25">
      <c r="A39" s="111">
        <v>2013</v>
      </c>
      <c r="B39" s="125"/>
      <c r="C39" s="125">
        <f t="shared" si="11"/>
        <v>0</v>
      </c>
      <c r="D39" s="125"/>
      <c r="E39" s="125">
        <f t="shared" si="12"/>
        <v>0</v>
      </c>
      <c r="F39" s="126">
        <f t="shared" si="13"/>
        <v>0</v>
      </c>
    </row>
    <row r="40" spans="1:10" x14ac:dyDescent="0.25">
      <c r="A40" s="111">
        <v>2014</v>
      </c>
      <c r="B40" s="125"/>
      <c r="C40" s="125">
        <f t="shared" si="11"/>
        <v>0</v>
      </c>
      <c r="D40" s="125"/>
      <c r="E40" s="125">
        <f t="shared" si="12"/>
        <v>0</v>
      </c>
      <c r="F40" s="126">
        <f t="shared" si="13"/>
        <v>0</v>
      </c>
    </row>
    <row r="41" spans="1:10" x14ac:dyDescent="0.25">
      <c r="A41" s="111">
        <v>2015</v>
      </c>
      <c r="B41" s="125"/>
      <c r="C41" s="125">
        <f t="shared" si="11"/>
        <v>0</v>
      </c>
      <c r="D41" s="125"/>
      <c r="E41" s="125">
        <f t="shared" si="12"/>
        <v>0</v>
      </c>
      <c r="F41" s="126">
        <f t="shared" si="13"/>
        <v>0</v>
      </c>
    </row>
    <row r="42" spans="1:10" x14ac:dyDescent="0.25">
      <c r="A42" s="111">
        <v>2016</v>
      </c>
      <c r="B42" s="125"/>
      <c r="C42" s="125">
        <f t="shared" si="11"/>
        <v>0</v>
      </c>
      <c r="D42" s="125"/>
      <c r="E42" s="125">
        <f t="shared" si="12"/>
        <v>0</v>
      </c>
      <c r="F42" s="126">
        <f t="shared" si="13"/>
        <v>0</v>
      </c>
    </row>
    <row r="43" spans="1:10" x14ac:dyDescent="0.25">
      <c r="A43" s="111">
        <v>2017</v>
      </c>
      <c r="B43" s="125"/>
      <c r="C43" s="125">
        <f t="shared" si="11"/>
        <v>0</v>
      </c>
      <c r="D43" s="125"/>
      <c r="E43" s="125">
        <f t="shared" si="12"/>
        <v>0</v>
      </c>
      <c r="F43" s="126">
        <f t="shared" si="13"/>
        <v>0</v>
      </c>
    </row>
    <row r="44" spans="1:10" x14ac:dyDescent="0.25">
      <c r="A44" s="111">
        <v>2018</v>
      </c>
      <c r="B44" s="125"/>
      <c r="C44" s="125">
        <f t="shared" si="11"/>
        <v>0</v>
      </c>
      <c r="D44" s="125"/>
      <c r="E44" s="125">
        <f t="shared" si="12"/>
        <v>0</v>
      </c>
      <c r="F44" s="126">
        <f t="shared" si="13"/>
        <v>0</v>
      </c>
    </row>
    <row r="45" spans="1:10" x14ac:dyDescent="0.25">
      <c r="A45" s="111">
        <v>2019</v>
      </c>
      <c r="B45" s="125"/>
      <c r="C45" s="125">
        <f t="shared" si="11"/>
        <v>0</v>
      </c>
      <c r="D45" s="125"/>
      <c r="E45" s="125">
        <f t="shared" si="12"/>
        <v>0</v>
      </c>
      <c r="F45" s="126">
        <f t="shared" si="13"/>
        <v>0</v>
      </c>
    </row>
    <row r="46" spans="1:10" x14ac:dyDescent="0.25">
      <c r="A46" s="111">
        <v>2020</v>
      </c>
      <c r="B46" s="114"/>
      <c r="C46" s="125">
        <f t="shared" si="11"/>
        <v>0</v>
      </c>
      <c r="D46" s="125"/>
      <c r="E46" s="125">
        <f t="shared" si="12"/>
        <v>0</v>
      </c>
      <c r="F46" s="126">
        <f t="shared" si="13"/>
        <v>0</v>
      </c>
    </row>
    <row r="48" spans="1:10" ht="15.75" thickBot="1" x14ac:dyDescent="0.3">
      <c r="A48" s="119" t="s">
        <v>88</v>
      </c>
      <c r="J48" s="108">
        <v>1000</v>
      </c>
    </row>
    <row r="49" spans="1:10" ht="15.75" thickBot="1" x14ac:dyDescent="0.3">
      <c r="A49" s="214" t="s">
        <v>11</v>
      </c>
      <c r="B49" s="216" t="s">
        <v>89</v>
      </c>
      <c r="C49" s="217"/>
      <c r="D49" s="217"/>
      <c r="E49" s="217"/>
      <c r="F49" s="217"/>
    </row>
    <row r="50" spans="1:10" ht="18.75" thickBot="1" x14ac:dyDescent="0.3">
      <c r="A50" s="215"/>
      <c r="B50" s="216" t="s">
        <v>128</v>
      </c>
      <c r="C50" s="218"/>
      <c r="D50" s="216" t="s">
        <v>132</v>
      </c>
      <c r="E50" s="218"/>
      <c r="F50" s="133" t="s">
        <v>134</v>
      </c>
      <c r="H50" s="228" t="s">
        <v>11</v>
      </c>
      <c r="I50" s="228" t="s">
        <v>144</v>
      </c>
      <c r="J50" s="228"/>
    </row>
    <row r="51" spans="1:10" ht="18" x14ac:dyDescent="0.25">
      <c r="A51" s="215"/>
      <c r="B51" s="134" t="s">
        <v>130</v>
      </c>
      <c r="C51" s="134" t="s">
        <v>131</v>
      </c>
      <c r="D51" s="134" t="s">
        <v>133</v>
      </c>
      <c r="E51" s="134" t="s">
        <v>131</v>
      </c>
      <c r="F51" s="134" t="s">
        <v>135</v>
      </c>
      <c r="H51" s="228"/>
      <c r="I51" s="158" t="s">
        <v>145</v>
      </c>
      <c r="J51" s="158" t="s">
        <v>146</v>
      </c>
    </row>
    <row r="52" spans="1:10" x14ac:dyDescent="0.25">
      <c r="A52" s="111">
        <v>2000</v>
      </c>
      <c r="B52" s="152">
        <f>[5]REKAPITULASI!B23</f>
        <v>5.3102666926594995E-2</v>
      </c>
      <c r="C52" s="136">
        <f>B52*21</f>
        <v>1.1151560054584948</v>
      </c>
      <c r="D52" s="152">
        <f>[5]REKAPITULASI!D23</f>
        <v>1.2254461598445001E-3</v>
      </c>
      <c r="E52" s="136">
        <f>D52*310</f>
        <v>0.37988830955179503</v>
      </c>
      <c r="F52" s="137">
        <f>SUM(C52+E52)</f>
        <v>1.4950443150102899</v>
      </c>
      <c r="H52" s="157">
        <v>2000</v>
      </c>
      <c r="I52" s="159">
        <f>D9+I9+N9+S9+F26+F52</f>
        <v>1.7691764050002898</v>
      </c>
      <c r="J52" s="160">
        <f>I52*$J$48</f>
        <v>1769.1764050002898</v>
      </c>
    </row>
    <row r="53" spans="1:10" x14ac:dyDescent="0.25">
      <c r="A53" s="111">
        <v>2001</v>
      </c>
      <c r="B53" s="152">
        <f>[5]REKAPITULASI!B24</f>
        <v>5.4165899484839998E-2</v>
      </c>
      <c r="C53" s="136">
        <f t="shared" ref="C53:C72" si="14">B53*21</f>
        <v>1.1374838891816399</v>
      </c>
      <c r="D53" s="152">
        <f>[5]REKAPITULASI!D24</f>
        <v>1.249982295804E-3</v>
      </c>
      <c r="E53" s="136">
        <f t="shared" ref="E53:E72" si="15">D53*310</f>
        <v>0.38749451169923999</v>
      </c>
      <c r="F53" s="137">
        <f t="shared" ref="F53:F72" si="16">SUM(C53+E53)</f>
        <v>1.52497840088088</v>
      </c>
      <c r="H53" s="157">
        <v>2001</v>
      </c>
      <c r="I53" s="159">
        <f t="shared" ref="I53:I62" si="17">D10+I10+N10+S10+F27+F53</f>
        <v>26.17777671922569</v>
      </c>
      <c r="J53" s="160">
        <f t="shared" ref="J53:J62" si="18">I53*$J$48</f>
        <v>26177.776719225691</v>
      </c>
    </row>
    <row r="54" spans="1:10" x14ac:dyDescent="0.25">
      <c r="A54" s="111">
        <v>2002</v>
      </c>
      <c r="B54" s="152">
        <f>[5]REKAPITULASI!B25</f>
        <v>5.5401330707580007E-2</v>
      </c>
      <c r="C54" s="136">
        <f t="shared" si="14"/>
        <v>1.1634279448591802</v>
      </c>
      <c r="D54" s="152">
        <f>[5]REKAPITULASI!D25</f>
        <v>1.2784922470980003E-3</v>
      </c>
      <c r="E54" s="136">
        <f t="shared" si="15"/>
        <v>0.39633259660038006</v>
      </c>
      <c r="F54" s="137">
        <f t="shared" si="16"/>
        <v>1.5597605414595603</v>
      </c>
      <c r="H54" s="157">
        <v>2002</v>
      </c>
      <c r="I54" s="159">
        <f t="shared" si="17"/>
        <v>43.648511168734508</v>
      </c>
      <c r="J54" s="160">
        <f t="shared" si="18"/>
        <v>43648.511168734505</v>
      </c>
    </row>
    <row r="55" spans="1:10" x14ac:dyDescent="0.25">
      <c r="A55" s="111">
        <v>2003</v>
      </c>
      <c r="B55" s="152">
        <f>[5]REKAPITULASI!B26</f>
        <v>5.7175964726594988E-2</v>
      </c>
      <c r="C55" s="136">
        <f t="shared" si="14"/>
        <v>1.2006952592584947</v>
      </c>
      <c r="D55" s="152">
        <f>[5]REKAPITULASI!D26</f>
        <v>1.3194453398444998E-3</v>
      </c>
      <c r="E55" s="136">
        <f t="shared" si="15"/>
        <v>0.40902805535179493</v>
      </c>
      <c r="F55" s="137">
        <f t="shared" si="16"/>
        <v>1.6097233146102896</v>
      </c>
      <c r="H55" s="157">
        <v>2003</v>
      </c>
      <c r="I55" s="159">
        <f t="shared" si="17"/>
        <v>56.497690259757185</v>
      </c>
      <c r="J55" s="160">
        <f t="shared" si="18"/>
        <v>56497.690259757183</v>
      </c>
    </row>
    <row r="56" spans="1:10" x14ac:dyDescent="0.25">
      <c r="A56" s="111">
        <v>2004</v>
      </c>
      <c r="B56" s="152">
        <f>[5]REKAPITULASI!B27</f>
        <v>5.7840523262664999E-2</v>
      </c>
      <c r="C56" s="136">
        <f t="shared" si="14"/>
        <v>1.2146509885159649</v>
      </c>
      <c r="D56" s="152">
        <f>[5]REKAPITULASI!D27</f>
        <v>1.3347813060614999E-3</v>
      </c>
      <c r="E56" s="136">
        <f t="shared" si="15"/>
        <v>0.41378220487906497</v>
      </c>
      <c r="F56" s="137">
        <f t="shared" si="16"/>
        <v>1.6284331933950298</v>
      </c>
      <c r="H56" s="157">
        <v>2004</v>
      </c>
      <c r="I56" s="159">
        <f t="shared" si="17"/>
        <v>66.394404909445214</v>
      </c>
      <c r="J56" s="160">
        <f t="shared" si="18"/>
        <v>66394.40490944522</v>
      </c>
    </row>
    <row r="57" spans="1:10" x14ac:dyDescent="0.25">
      <c r="A57" s="111">
        <v>2005</v>
      </c>
      <c r="B57" s="152">
        <f>[5]REKAPITULASI!B28</f>
        <v>5.9448355736770007E-2</v>
      </c>
      <c r="C57" s="136">
        <f t="shared" si="14"/>
        <v>1.2484154704721702</v>
      </c>
      <c r="D57" s="152">
        <f>[5]REKAPITULASI!D28</f>
        <v>1.371885132387E-3</v>
      </c>
      <c r="E57" s="136">
        <f t="shared" si="15"/>
        <v>0.42528439103997001</v>
      </c>
      <c r="F57" s="137">
        <f t="shared" si="16"/>
        <v>1.6736998615121401</v>
      </c>
      <c r="H57" s="157">
        <v>2005</v>
      </c>
      <c r="I57" s="159">
        <f t="shared" si="17"/>
        <v>73.819402021147468</v>
      </c>
      <c r="J57" s="160">
        <f t="shared" si="18"/>
        <v>73819.402021147471</v>
      </c>
    </row>
    <row r="58" spans="1:10" x14ac:dyDescent="0.25">
      <c r="A58" s="111">
        <v>2006</v>
      </c>
      <c r="B58" s="152">
        <f>[5]REKAPITULASI!B29</f>
        <v>6.0133993588955006E-2</v>
      </c>
      <c r="C58" s="136">
        <f t="shared" si="14"/>
        <v>1.2628138653680552</v>
      </c>
      <c r="D58" s="152">
        <f>[5]REKAPITULASI!D29</f>
        <v>1.3877075443605E-3</v>
      </c>
      <c r="E58" s="136">
        <f t="shared" si="15"/>
        <v>0.43018933875175502</v>
      </c>
      <c r="F58" s="137">
        <f t="shared" si="16"/>
        <v>1.6930032041198102</v>
      </c>
      <c r="H58" s="157">
        <v>2006</v>
      </c>
      <c r="I58" s="159">
        <f t="shared" si="17"/>
        <v>79.922396032791923</v>
      </c>
      <c r="J58" s="160">
        <f t="shared" si="18"/>
        <v>79922.396032791919</v>
      </c>
    </row>
    <row r="59" spans="1:10" x14ac:dyDescent="0.25">
      <c r="A59" s="111">
        <v>2007</v>
      </c>
      <c r="B59" s="152">
        <f>[5]REKAPITULASI!B30</f>
        <v>6.0801607098375003E-2</v>
      </c>
      <c r="C59" s="136">
        <f t="shared" si="14"/>
        <v>1.276833749065875</v>
      </c>
      <c r="D59" s="152">
        <f>[5]REKAPITULASI!D30</f>
        <v>1.4031140099625002E-3</v>
      </c>
      <c r="E59" s="136">
        <f t="shared" si="15"/>
        <v>0.43496534308837509</v>
      </c>
      <c r="F59" s="137">
        <f t="shared" si="16"/>
        <v>1.7117990921542501</v>
      </c>
      <c r="H59" s="157">
        <v>2007</v>
      </c>
      <c r="I59" s="159">
        <f t="shared" si="17"/>
        <v>84.706738416008591</v>
      </c>
      <c r="J59" s="160">
        <f t="shared" si="18"/>
        <v>84706.738416008593</v>
      </c>
    </row>
    <row r="60" spans="1:10" x14ac:dyDescent="0.25">
      <c r="A60" s="111">
        <v>2008</v>
      </c>
      <c r="B60" s="152">
        <f>[5]REKAPITULASI!B31</f>
        <v>6.1444577156104997E-2</v>
      </c>
      <c r="C60" s="136">
        <f t="shared" si="14"/>
        <v>1.2903361202782049</v>
      </c>
      <c r="D60" s="152">
        <f>[5]REKAPITULASI!D31</f>
        <v>1.4179517805254999E-3</v>
      </c>
      <c r="E60" s="136">
        <f t="shared" si="15"/>
        <v>0.43956505196290496</v>
      </c>
      <c r="F60" s="137">
        <f t="shared" si="16"/>
        <v>1.7299011722411097</v>
      </c>
      <c r="H60" s="157">
        <v>2008</v>
      </c>
      <c r="I60" s="159">
        <f t="shared" si="17"/>
        <v>88.562865803963561</v>
      </c>
      <c r="J60" s="160">
        <f t="shared" si="18"/>
        <v>88562.865803963563</v>
      </c>
    </row>
    <row r="61" spans="1:10" x14ac:dyDescent="0.25">
      <c r="A61" s="111">
        <v>2009</v>
      </c>
      <c r="B61" s="152">
        <f>[5]REKAPITULASI!B32</f>
        <v>6.2054655334099998E-2</v>
      </c>
      <c r="C61" s="136">
        <f t="shared" si="14"/>
        <v>1.3031477620161001</v>
      </c>
      <c r="D61" s="152">
        <f>[5]REKAPITULASI!D32</f>
        <v>1.4320305077099998E-3</v>
      </c>
      <c r="E61" s="136">
        <f t="shared" si="15"/>
        <v>0.44392945739009992</v>
      </c>
      <c r="F61" s="137">
        <f t="shared" si="16"/>
        <v>1.7470772194061999</v>
      </c>
      <c r="H61" s="157">
        <v>2009</v>
      </c>
      <c r="I61" s="159">
        <f t="shared" si="17"/>
        <v>91.753931702705358</v>
      </c>
      <c r="J61" s="160">
        <f t="shared" si="18"/>
        <v>91753.931702705362</v>
      </c>
    </row>
    <row r="62" spans="1:10" x14ac:dyDescent="0.25">
      <c r="A62" s="111">
        <v>2010</v>
      </c>
      <c r="B62" s="152">
        <f>[5]REKAPITULASI!B33</f>
        <v>7.4083103737500017E-2</v>
      </c>
      <c r="C62" s="136">
        <f t="shared" si="14"/>
        <v>1.5557451784875003</v>
      </c>
      <c r="D62" s="152">
        <f>[5]REKAPITULASI!D33</f>
        <v>1.7096100862500005E-3</v>
      </c>
      <c r="E62" s="136">
        <f t="shared" si="15"/>
        <v>0.52997912673750014</v>
      </c>
      <c r="F62" s="137">
        <f t="shared" si="16"/>
        <v>2.0857243052250003</v>
      </c>
      <c r="H62" s="157">
        <v>2010</v>
      </c>
      <c r="I62" s="159">
        <f t="shared" si="17"/>
        <v>94.838095189279997</v>
      </c>
      <c r="J62" s="160">
        <f t="shared" si="18"/>
        <v>94838.095189279993</v>
      </c>
    </row>
    <row r="63" spans="1:10" x14ac:dyDescent="0.25">
      <c r="A63" s="111">
        <v>2011</v>
      </c>
      <c r="B63" s="135"/>
      <c r="C63" s="136">
        <f t="shared" si="14"/>
        <v>0</v>
      </c>
      <c r="D63" s="135"/>
      <c r="E63" s="136">
        <f t="shared" si="15"/>
        <v>0</v>
      </c>
      <c r="F63" s="137">
        <f t="shared" si="16"/>
        <v>0</v>
      </c>
    </row>
    <row r="64" spans="1:10" x14ac:dyDescent="0.25">
      <c r="A64" s="111">
        <v>2012</v>
      </c>
      <c r="B64" s="135"/>
      <c r="C64" s="136">
        <f t="shared" si="14"/>
        <v>0</v>
      </c>
      <c r="D64" s="135"/>
      <c r="E64" s="136">
        <f t="shared" si="15"/>
        <v>0</v>
      </c>
      <c r="F64" s="137">
        <f t="shared" si="16"/>
        <v>0</v>
      </c>
    </row>
    <row r="65" spans="1:7" x14ac:dyDescent="0.25">
      <c r="A65" s="111">
        <v>2013</v>
      </c>
      <c r="B65" s="135"/>
      <c r="C65" s="136">
        <f t="shared" si="14"/>
        <v>0</v>
      </c>
      <c r="D65" s="135"/>
      <c r="E65" s="136">
        <f t="shared" si="15"/>
        <v>0</v>
      </c>
      <c r="F65" s="137">
        <f t="shared" si="16"/>
        <v>0</v>
      </c>
    </row>
    <row r="66" spans="1:7" x14ac:dyDescent="0.25">
      <c r="A66" s="111">
        <v>2014</v>
      </c>
      <c r="B66" s="135"/>
      <c r="C66" s="136">
        <f t="shared" si="14"/>
        <v>0</v>
      </c>
      <c r="D66" s="135"/>
      <c r="E66" s="136">
        <f t="shared" si="15"/>
        <v>0</v>
      </c>
      <c r="F66" s="137">
        <f t="shared" si="16"/>
        <v>0</v>
      </c>
    </row>
    <row r="67" spans="1:7" x14ac:dyDescent="0.25">
      <c r="A67" s="111">
        <v>2015</v>
      </c>
      <c r="B67" s="135"/>
      <c r="C67" s="136">
        <f t="shared" si="14"/>
        <v>0</v>
      </c>
      <c r="D67" s="135"/>
      <c r="E67" s="136">
        <f t="shared" si="15"/>
        <v>0</v>
      </c>
      <c r="F67" s="137">
        <f t="shared" si="16"/>
        <v>0</v>
      </c>
    </row>
    <row r="68" spans="1:7" x14ac:dyDescent="0.25">
      <c r="A68" s="111">
        <v>2016</v>
      </c>
      <c r="B68" s="135"/>
      <c r="C68" s="136">
        <f t="shared" si="14"/>
        <v>0</v>
      </c>
      <c r="D68" s="135"/>
      <c r="E68" s="136">
        <f t="shared" si="15"/>
        <v>0</v>
      </c>
      <c r="F68" s="137">
        <f t="shared" si="16"/>
        <v>0</v>
      </c>
    </row>
    <row r="69" spans="1:7" x14ac:dyDescent="0.25">
      <c r="A69" s="111">
        <v>2017</v>
      </c>
      <c r="B69" s="135"/>
      <c r="C69" s="136">
        <f t="shared" si="14"/>
        <v>0</v>
      </c>
      <c r="D69" s="135"/>
      <c r="E69" s="136">
        <f t="shared" si="15"/>
        <v>0</v>
      </c>
      <c r="F69" s="137">
        <f t="shared" si="16"/>
        <v>0</v>
      </c>
    </row>
    <row r="70" spans="1:7" x14ac:dyDescent="0.25">
      <c r="A70" s="111">
        <v>2018</v>
      </c>
      <c r="B70" s="135"/>
      <c r="C70" s="136">
        <f t="shared" si="14"/>
        <v>0</v>
      </c>
      <c r="D70" s="135"/>
      <c r="E70" s="136">
        <f t="shared" si="15"/>
        <v>0</v>
      </c>
      <c r="F70" s="137">
        <f t="shared" si="16"/>
        <v>0</v>
      </c>
    </row>
    <row r="71" spans="1:7" x14ac:dyDescent="0.25">
      <c r="A71" s="111">
        <v>2019</v>
      </c>
      <c r="B71" s="135"/>
      <c r="C71" s="136">
        <f t="shared" si="14"/>
        <v>0</v>
      </c>
      <c r="D71" s="135"/>
      <c r="E71" s="136">
        <f t="shared" si="15"/>
        <v>0</v>
      </c>
      <c r="F71" s="137">
        <f t="shared" si="16"/>
        <v>0</v>
      </c>
    </row>
    <row r="72" spans="1:7" x14ac:dyDescent="0.25">
      <c r="A72" s="111">
        <v>2020</v>
      </c>
      <c r="B72" s="135"/>
      <c r="C72" s="136">
        <f t="shared" si="14"/>
        <v>0</v>
      </c>
      <c r="D72" s="135"/>
      <c r="E72" s="136">
        <f t="shared" si="15"/>
        <v>0</v>
      </c>
      <c r="F72" s="137">
        <f t="shared" si="16"/>
        <v>0</v>
      </c>
    </row>
    <row r="75" spans="1:7" x14ac:dyDescent="0.25">
      <c r="A75" s="138"/>
      <c r="B75" s="115"/>
      <c r="C75" s="116"/>
      <c r="D75" s="115"/>
      <c r="E75" s="116"/>
      <c r="F75" s="116"/>
    </row>
    <row r="76" spans="1:7" ht="15.75" thickBot="1" x14ac:dyDescent="0.3">
      <c r="A76" s="139" t="s">
        <v>143</v>
      </c>
      <c r="B76" s="116"/>
      <c r="C76" s="115"/>
      <c r="D76" s="116"/>
      <c r="G76" s="108">
        <v>1000</v>
      </c>
    </row>
    <row r="77" spans="1:7" ht="18.75" thickBot="1" x14ac:dyDescent="0.3">
      <c r="A77" s="231" t="s">
        <v>11</v>
      </c>
      <c r="B77" s="233" t="s">
        <v>136</v>
      </c>
      <c r="C77" s="234"/>
      <c r="D77" s="226" t="s">
        <v>137</v>
      </c>
      <c r="E77" s="227"/>
      <c r="F77" s="229" t="s">
        <v>95</v>
      </c>
      <c r="G77" s="230"/>
    </row>
    <row r="78" spans="1:7" ht="81.75" thickBot="1" x14ac:dyDescent="0.3">
      <c r="A78" s="232"/>
      <c r="B78" s="140" t="s">
        <v>138</v>
      </c>
      <c r="C78" s="140" t="s">
        <v>139</v>
      </c>
      <c r="D78" s="141" t="s">
        <v>140</v>
      </c>
      <c r="E78" s="141" t="s">
        <v>141</v>
      </c>
      <c r="F78" s="142" t="s">
        <v>142</v>
      </c>
      <c r="G78" s="142" t="s">
        <v>147</v>
      </c>
    </row>
    <row r="79" spans="1:7" ht="15.75" thickBot="1" x14ac:dyDescent="0.3">
      <c r="A79" s="232"/>
      <c r="B79" s="235" t="s">
        <v>101</v>
      </c>
      <c r="C79" s="143" t="s">
        <v>102</v>
      </c>
      <c r="D79" s="144" t="s">
        <v>103</v>
      </c>
      <c r="E79" s="145" t="s">
        <v>104</v>
      </c>
      <c r="F79" s="146" t="s">
        <v>105</v>
      </c>
      <c r="G79" s="146" t="s">
        <v>105</v>
      </c>
    </row>
    <row r="80" spans="1:7" x14ac:dyDescent="0.25">
      <c r="A80" s="232"/>
      <c r="B80" s="236"/>
      <c r="C80" s="147" t="s">
        <v>106</v>
      </c>
      <c r="D80" s="148"/>
      <c r="E80" s="149" t="s">
        <v>107</v>
      </c>
      <c r="F80" s="150" t="s">
        <v>108</v>
      </c>
      <c r="G80" s="150" t="s">
        <v>108</v>
      </c>
    </row>
    <row r="81" spans="1:7" x14ac:dyDescent="0.25">
      <c r="A81" s="111">
        <v>2000</v>
      </c>
      <c r="B81" s="153">
        <f>[5]REKAPITULASI!B43</f>
        <v>0.54478993158959998</v>
      </c>
      <c r="C81" s="156">
        <f>B81*21</f>
        <v>11.440588563381599</v>
      </c>
      <c r="D81" s="155">
        <f>[5]REKAPITULASI!D43</f>
        <v>1.9055593281999999E-2</v>
      </c>
      <c r="E81" s="151">
        <f>D81*310</f>
        <v>5.9072339174199993</v>
      </c>
      <c r="F81" s="154">
        <f>C81+E81</f>
        <v>17.347822480801597</v>
      </c>
      <c r="G81" s="161">
        <f>F81*$G$76</f>
        <v>17347.822480801595</v>
      </c>
    </row>
    <row r="82" spans="1:7" x14ac:dyDescent="0.25">
      <c r="A82" s="111">
        <v>2001</v>
      </c>
      <c r="B82" s="153">
        <f>[5]REKAPITULASI!B44</f>
        <v>0.55569782805120005</v>
      </c>
      <c r="C82" s="156">
        <f t="shared" ref="C82:C101" si="19">B82*21</f>
        <v>11.669654389075202</v>
      </c>
      <c r="D82" s="155">
        <f>[5]REKAPITULASI!D44</f>
        <v>1.9437128304E-2</v>
      </c>
      <c r="E82" s="151">
        <f t="shared" ref="E82:E101" si="20">D82*310</f>
        <v>6.0255097742399997</v>
      </c>
      <c r="F82" s="154">
        <f t="shared" ref="F82:F101" si="21">C82+E82</f>
        <v>17.695164163315201</v>
      </c>
      <c r="G82" s="161">
        <f t="shared" ref="G82:G91" si="22">F82*$G$76</f>
        <v>17695.164163315203</v>
      </c>
    </row>
    <row r="83" spans="1:7" x14ac:dyDescent="0.25">
      <c r="A83" s="111">
        <v>2002</v>
      </c>
      <c r="B83" s="153">
        <f>[5]REKAPITULASI!B45</f>
        <v>0.56837234197440001</v>
      </c>
      <c r="C83" s="156">
        <f t="shared" si="19"/>
        <v>11.935819181462399</v>
      </c>
      <c r="D83" s="155">
        <f>[5]REKAPITULASI!D45</f>
        <v>1.9880455848000002E-2</v>
      </c>
      <c r="E83" s="151">
        <f t="shared" si="20"/>
        <v>6.1629413128800001</v>
      </c>
      <c r="F83" s="154">
        <f t="shared" si="21"/>
        <v>18.0987604943424</v>
      </c>
      <c r="G83" s="161">
        <f t="shared" si="22"/>
        <v>18098.760494342401</v>
      </c>
    </row>
    <row r="84" spans="1:7" x14ac:dyDescent="0.25">
      <c r="A84" s="111">
        <v>2003</v>
      </c>
      <c r="B84" s="153">
        <f>[5]REKAPITULASI!B46</f>
        <v>0.58657863558960011</v>
      </c>
      <c r="C84" s="156">
        <f t="shared" si="19"/>
        <v>12.318151347381603</v>
      </c>
      <c r="D84" s="155">
        <f>[5]REKAPITULASI!D46</f>
        <v>2.0517273282000002E-2</v>
      </c>
      <c r="E84" s="151">
        <f t="shared" si="20"/>
        <v>6.3603547174200008</v>
      </c>
      <c r="F84" s="154">
        <f t="shared" si="21"/>
        <v>18.678506064801603</v>
      </c>
      <c r="G84" s="161">
        <f t="shared" si="22"/>
        <v>18678.506064801604</v>
      </c>
    </row>
    <row r="85" spans="1:7" x14ac:dyDescent="0.25">
      <c r="A85" s="111">
        <v>2004</v>
      </c>
      <c r="B85" s="153">
        <f>[5]REKAPITULASI!B47</f>
        <v>0.59339646264720003</v>
      </c>
      <c r="C85" s="156">
        <f t="shared" si="19"/>
        <v>12.461325715591201</v>
      </c>
      <c r="D85" s="155">
        <f>[5]REKAPITULASI!D47</f>
        <v>2.0755746374E-2</v>
      </c>
      <c r="E85" s="151">
        <f t="shared" si="20"/>
        <v>6.4342813759399995</v>
      </c>
      <c r="F85" s="154">
        <f t="shared" si="21"/>
        <v>18.8956070915312</v>
      </c>
      <c r="G85" s="161">
        <f t="shared" si="22"/>
        <v>18895.607091531201</v>
      </c>
    </row>
    <row r="86" spans="1:7" x14ac:dyDescent="0.25">
      <c r="A86" s="111">
        <v>2005</v>
      </c>
      <c r="B86" s="153">
        <f>[5]REKAPITULASI!B48</f>
        <v>0.6098915088336001</v>
      </c>
      <c r="C86" s="156">
        <f t="shared" si="19"/>
        <v>12.807721685505602</v>
      </c>
      <c r="D86" s="155">
        <f>[5]REKAPITULASI!D48</f>
        <v>2.1332708012000004E-2</v>
      </c>
      <c r="E86" s="151">
        <f t="shared" si="20"/>
        <v>6.6131394837200013</v>
      </c>
      <c r="F86" s="154">
        <f t="shared" si="21"/>
        <v>19.420861169225603</v>
      </c>
      <c r="G86" s="161">
        <f t="shared" si="22"/>
        <v>19420.861169225602</v>
      </c>
    </row>
    <row r="87" spans="1:7" x14ac:dyDescent="0.25">
      <c r="A87" s="111">
        <v>2006</v>
      </c>
      <c r="B87" s="153">
        <f>[5]REKAPITULASI!B49</f>
        <v>0.61692559243440004</v>
      </c>
      <c r="C87" s="156">
        <f t="shared" si="19"/>
        <v>12.955437441122401</v>
      </c>
      <c r="D87" s="155">
        <f>[5]REKAPITULASI!D49</f>
        <v>2.1578745298000003E-2</v>
      </c>
      <c r="E87" s="151">
        <f t="shared" si="20"/>
        <v>6.6894110423800006</v>
      </c>
      <c r="F87" s="154">
        <f t="shared" si="21"/>
        <v>19.6448484835024</v>
      </c>
      <c r="G87" s="161">
        <f t="shared" si="22"/>
        <v>19644.848483502399</v>
      </c>
    </row>
    <row r="88" spans="1:7" x14ac:dyDescent="0.25">
      <c r="A88" s="111">
        <v>2007</v>
      </c>
      <c r="B88" s="153">
        <f>[5]REKAPITULASI!B50</f>
        <v>0.62377476102000007</v>
      </c>
      <c r="C88" s="156">
        <f t="shared" si="19"/>
        <v>13.099269981420001</v>
      </c>
      <c r="D88" s="155">
        <f>[5]REKAPITULASI!D50</f>
        <v>2.181831465E-2</v>
      </c>
      <c r="E88" s="151">
        <f t="shared" si="20"/>
        <v>6.7636775414999999</v>
      </c>
      <c r="F88" s="154">
        <f t="shared" si="21"/>
        <v>19.862947522920003</v>
      </c>
      <c r="G88" s="161">
        <f t="shared" si="22"/>
        <v>19862.947522920003</v>
      </c>
    </row>
    <row r="89" spans="1:7" x14ac:dyDescent="0.25">
      <c r="A89" s="111">
        <v>2008</v>
      </c>
      <c r="B89" s="153">
        <f>[5]REKAPITULASI!B51</f>
        <v>0.63037110794640006</v>
      </c>
      <c r="C89" s="156">
        <f t="shared" si="19"/>
        <v>13.237793266874402</v>
      </c>
      <c r="D89" s="155">
        <f>[5]REKAPITULASI!D51</f>
        <v>2.2049040838000005E-2</v>
      </c>
      <c r="E89" s="151">
        <f t="shared" si="20"/>
        <v>6.835202659780002</v>
      </c>
      <c r="F89" s="154">
        <f t="shared" si="21"/>
        <v>20.072995926654404</v>
      </c>
      <c r="G89" s="161">
        <f t="shared" si="22"/>
        <v>20072.995926654403</v>
      </c>
    </row>
    <row r="90" spans="1:7" x14ac:dyDescent="0.25">
      <c r="A90" s="111">
        <v>2009</v>
      </c>
      <c r="B90" s="153">
        <f>[5]REKAPITULASI!B52</f>
        <v>0.6366300110880001</v>
      </c>
      <c r="C90" s="156">
        <f t="shared" si="19"/>
        <v>13.369230232848002</v>
      </c>
      <c r="D90" s="155">
        <f>[5]REKAPITULASI!D52</f>
        <v>2.2267963960000001E-2</v>
      </c>
      <c r="E90" s="151">
        <f t="shared" si="20"/>
        <v>6.9030688276000003</v>
      </c>
      <c r="F90" s="154">
        <f t="shared" si="21"/>
        <v>20.272299060448002</v>
      </c>
      <c r="G90" s="161">
        <f t="shared" si="22"/>
        <v>20272.299060448004</v>
      </c>
    </row>
    <row r="91" spans="1:7" x14ac:dyDescent="0.25">
      <c r="A91" s="111">
        <v>2010</v>
      </c>
      <c r="B91" s="153">
        <f>[5]REKAPITULASI!B53</f>
        <v>0.76003205400000007</v>
      </c>
      <c r="C91" s="156">
        <f t="shared" si="19"/>
        <v>15.960673134000002</v>
      </c>
      <c r="D91" s="155">
        <f>[5]REKAPITULASI!D53</f>
        <v>2.6584304999999999E-2</v>
      </c>
      <c r="E91" s="151">
        <f t="shared" si="20"/>
        <v>8.2411345499999999</v>
      </c>
      <c r="F91" s="154">
        <f t="shared" si="21"/>
        <v>24.201807684000002</v>
      </c>
      <c r="G91" s="161">
        <f t="shared" si="22"/>
        <v>24201.807684000003</v>
      </c>
    </row>
    <row r="92" spans="1:7" x14ac:dyDescent="0.25">
      <c r="A92" s="111">
        <v>2011</v>
      </c>
      <c r="B92" s="153">
        <f>[6]REKAPITULASI!B54</f>
        <v>0</v>
      </c>
      <c r="C92" s="156">
        <f t="shared" si="19"/>
        <v>0</v>
      </c>
      <c r="D92" s="155">
        <f>[6]REKAPITULASI!D54</f>
        <v>0</v>
      </c>
      <c r="E92" s="151">
        <f t="shared" si="20"/>
        <v>0</v>
      </c>
      <c r="F92" s="154">
        <f t="shared" si="21"/>
        <v>0</v>
      </c>
      <c r="G92" s="113"/>
    </row>
    <row r="93" spans="1:7" x14ac:dyDescent="0.25">
      <c r="A93" s="111">
        <v>2012</v>
      </c>
      <c r="B93" s="153">
        <f>[6]REKAPITULASI!B55</f>
        <v>0</v>
      </c>
      <c r="C93" s="156">
        <f t="shared" si="19"/>
        <v>0</v>
      </c>
      <c r="D93" s="155">
        <f>[6]REKAPITULASI!D55</f>
        <v>0</v>
      </c>
      <c r="E93" s="151">
        <f t="shared" si="20"/>
        <v>0</v>
      </c>
      <c r="F93" s="154">
        <f t="shared" si="21"/>
        <v>0</v>
      </c>
      <c r="G93" s="113"/>
    </row>
    <row r="94" spans="1:7" x14ac:dyDescent="0.25">
      <c r="A94" s="111">
        <v>2013</v>
      </c>
      <c r="B94" s="153">
        <f>[6]REKAPITULASI!B56</f>
        <v>0</v>
      </c>
      <c r="C94" s="156">
        <f t="shared" si="19"/>
        <v>0</v>
      </c>
      <c r="D94" s="155">
        <f>[6]REKAPITULASI!D56</f>
        <v>0</v>
      </c>
      <c r="E94" s="151">
        <f t="shared" si="20"/>
        <v>0</v>
      </c>
      <c r="F94" s="154">
        <f t="shared" si="21"/>
        <v>0</v>
      </c>
      <c r="G94" s="113"/>
    </row>
    <row r="95" spans="1:7" x14ac:dyDescent="0.25">
      <c r="A95" s="111">
        <v>2014</v>
      </c>
      <c r="B95" s="153">
        <f>[6]REKAPITULASI!B57</f>
        <v>0</v>
      </c>
      <c r="C95" s="156">
        <f t="shared" si="19"/>
        <v>0</v>
      </c>
      <c r="D95" s="155">
        <f>[6]REKAPITULASI!D57</f>
        <v>0</v>
      </c>
      <c r="E95" s="151">
        <f t="shared" si="20"/>
        <v>0</v>
      </c>
      <c r="F95" s="154">
        <f t="shared" si="21"/>
        <v>0</v>
      </c>
      <c r="G95" s="113"/>
    </row>
    <row r="96" spans="1:7" x14ac:dyDescent="0.25">
      <c r="A96" s="111">
        <v>2015</v>
      </c>
      <c r="B96" s="153">
        <f>[6]REKAPITULASI!B58</f>
        <v>0</v>
      </c>
      <c r="C96" s="156">
        <f t="shared" si="19"/>
        <v>0</v>
      </c>
      <c r="D96" s="155">
        <f>[6]REKAPITULASI!D58</f>
        <v>0</v>
      </c>
      <c r="E96" s="151">
        <f t="shared" si="20"/>
        <v>0</v>
      </c>
      <c r="F96" s="154">
        <f t="shared" si="21"/>
        <v>0</v>
      </c>
      <c r="G96" s="113"/>
    </row>
    <row r="97" spans="1:7" x14ac:dyDescent="0.25">
      <c r="A97" s="111">
        <v>2016</v>
      </c>
      <c r="B97" s="153">
        <f>[6]REKAPITULASI!B59</f>
        <v>0</v>
      </c>
      <c r="C97" s="156">
        <f t="shared" si="19"/>
        <v>0</v>
      </c>
      <c r="D97" s="155">
        <f>[6]REKAPITULASI!D59</f>
        <v>0</v>
      </c>
      <c r="E97" s="151">
        <f t="shared" si="20"/>
        <v>0</v>
      </c>
      <c r="F97" s="154">
        <f t="shared" si="21"/>
        <v>0</v>
      </c>
      <c r="G97" s="113"/>
    </row>
    <row r="98" spans="1:7" x14ac:dyDescent="0.25">
      <c r="A98" s="111">
        <v>2017</v>
      </c>
      <c r="B98" s="153">
        <f>[6]REKAPITULASI!B60</f>
        <v>0</v>
      </c>
      <c r="C98" s="156">
        <f t="shared" si="19"/>
        <v>0</v>
      </c>
      <c r="D98" s="155">
        <f>[6]REKAPITULASI!D60</f>
        <v>0</v>
      </c>
      <c r="E98" s="151">
        <f t="shared" si="20"/>
        <v>0</v>
      </c>
      <c r="F98" s="154">
        <f t="shared" si="21"/>
        <v>0</v>
      </c>
      <c r="G98" s="113"/>
    </row>
    <row r="99" spans="1:7" x14ac:dyDescent="0.25">
      <c r="A99" s="111">
        <v>2018</v>
      </c>
      <c r="B99" s="153">
        <f>[6]REKAPITULASI!B61</f>
        <v>0</v>
      </c>
      <c r="C99" s="156">
        <f t="shared" si="19"/>
        <v>0</v>
      </c>
      <c r="D99" s="155">
        <f>[6]REKAPITULASI!D61</f>
        <v>0</v>
      </c>
      <c r="E99" s="151">
        <f t="shared" si="20"/>
        <v>0</v>
      </c>
      <c r="F99" s="154">
        <f t="shared" si="21"/>
        <v>0</v>
      </c>
      <c r="G99" s="113"/>
    </row>
    <row r="100" spans="1:7" x14ac:dyDescent="0.25">
      <c r="A100" s="111">
        <v>2019</v>
      </c>
      <c r="B100" s="153">
        <f>[6]REKAPITULASI!B62</f>
        <v>0</v>
      </c>
      <c r="C100" s="156">
        <f t="shared" si="19"/>
        <v>0</v>
      </c>
      <c r="D100" s="155">
        <f>[6]REKAPITULASI!D62</f>
        <v>0</v>
      </c>
      <c r="E100" s="151">
        <f t="shared" si="20"/>
        <v>0</v>
      </c>
      <c r="F100" s="154">
        <f t="shared" si="21"/>
        <v>0</v>
      </c>
      <c r="G100" s="113"/>
    </row>
    <row r="101" spans="1:7" x14ac:dyDescent="0.25">
      <c r="A101" s="111">
        <v>2020</v>
      </c>
      <c r="B101" s="153">
        <f>[6]REKAPITULASI!B63</f>
        <v>0</v>
      </c>
      <c r="C101" s="156">
        <f t="shared" si="19"/>
        <v>0</v>
      </c>
      <c r="D101" s="155">
        <f>[6]REKAPITULASI!D63</f>
        <v>0</v>
      </c>
      <c r="E101" s="151">
        <f t="shared" si="20"/>
        <v>0</v>
      </c>
      <c r="F101" s="154">
        <f t="shared" si="21"/>
        <v>0</v>
      </c>
      <c r="G101" s="113"/>
    </row>
  </sheetData>
  <mergeCells count="32">
    <mergeCell ref="D77:E77"/>
    <mergeCell ref="H50:H51"/>
    <mergeCell ref="I50:J50"/>
    <mergeCell ref="F77:G77"/>
    <mergeCell ref="A77:A80"/>
    <mergeCell ref="B77:C77"/>
    <mergeCell ref="B79:B80"/>
    <mergeCell ref="A6:A8"/>
    <mergeCell ref="B7:C7"/>
    <mergeCell ref="A49:A51"/>
    <mergeCell ref="B49:F49"/>
    <mergeCell ref="B50:C50"/>
    <mergeCell ref="D50:E50"/>
    <mergeCell ref="D7:D8"/>
    <mergeCell ref="B6:D6"/>
    <mergeCell ref="A23:A25"/>
    <mergeCell ref="B23:F23"/>
    <mergeCell ref="B24:C24"/>
    <mergeCell ref="D24:E24"/>
    <mergeCell ref="F24:F25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tabSelected="1" workbookViewId="0">
      <selection activeCell="G15" sqref="G15"/>
    </sheetView>
  </sheetViews>
  <sheetFormatPr defaultRowHeight="15" x14ac:dyDescent="0.25"/>
  <cols>
    <col min="3" max="3" width="12.42578125" bestFit="1" customWidth="1"/>
    <col min="4" max="4" width="10" bestFit="1" customWidth="1"/>
  </cols>
  <sheetData>
    <row r="3" spans="2:4" x14ac:dyDescent="0.25">
      <c r="B3" s="237" t="s">
        <v>11</v>
      </c>
      <c r="C3" s="237" t="s">
        <v>149</v>
      </c>
      <c r="D3" s="237"/>
    </row>
    <row r="4" spans="2:4" x14ac:dyDescent="0.25">
      <c r="B4" s="237"/>
      <c r="C4" s="162" t="s">
        <v>150</v>
      </c>
      <c r="D4" s="162" t="s">
        <v>146</v>
      </c>
    </row>
    <row r="5" spans="2:4" x14ac:dyDescent="0.25">
      <c r="B5" s="163">
        <v>2000</v>
      </c>
      <c r="C5" s="164">
        <f>'[7]4D2_CH4_Industrial_Wastewater'!G12</f>
        <v>0</v>
      </c>
      <c r="D5" s="164">
        <f>(C5*21)/1000</f>
        <v>0</v>
      </c>
    </row>
    <row r="6" spans="2:4" x14ac:dyDescent="0.25">
      <c r="B6" s="163">
        <v>2001</v>
      </c>
      <c r="C6" s="164">
        <f>'[7]4D2_CH4_Industrial_Wastewater'!G13</f>
        <v>0</v>
      </c>
      <c r="D6" s="164">
        <f t="shared" ref="D6:D15" si="0">(C6*21)/1000</f>
        <v>0</v>
      </c>
    </row>
    <row r="7" spans="2:4" x14ac:dyDescent="0.25">
      <c r="B7" s="163">
        <v>2002</v>
      </c>
      <c r="C7" s="164">
        <f>'[7]4D2_CH4_Industrial_Wastewater'!G14</f>
        <v>0</v>
      </c>
      <c r="D7" s="164">
        <f t="shared" si="0"/>
        <v>0</v>
      </c>
    </row>
    <row r="8" spans="2:4" x14ac:dyDescent="0.25">
      <c r="B8" s="163">
        <v>2003</v>
      </c>
      <c r="C8" s="164">
        <f>'[7]4D2_CH4_Industrial_Wastewater'!G15</f>
        <v>0</v>
      </c>
      <c r="D8" s="164">
        <f t="shared" si="0"/>
        <v>0</v>
      </c>
    </row>
    <row r="9" spans="2:4" x14ac:dyDescent="0.25">
      <c r="B9" s="163">
        <v>2004</v>
      </c>
      <c r="C9" s="164">
        <f>'[7]4D2_CH4_Industrial_Wastewater'!G16</f>
        <v>0</v>
      </c>
      <c r="D9" s="164">
        <f t="shared" si="0"/>
        <v>0</v>
      </c>
    </row>
    <row r="10" spans="2:4" x14ac:dyDescent="0.25">
      <c r="B10" s="163">
        <v>2005</v>
      </c>
      <c r="C10" s="164">
        <f>'[7]4D2_CH4_Industrial_Wastewater'!G17</f>
        <v>0</v>
      </c>
      <c r="D10" s="164">
        <f t="shared" si="0"/>
        <v>0</v>
      </c>
    </row>
    <row r="11" spans="2:4" x14ac:dyDescent="0.25">
      <c r="B11" s="163">
        <v>2006</v>
      </c>
      <c r="C11" s="164">
        <f>'[7]4D2_CH4_Industrial_Wastewater'!G18</f>
        <v>0</v>
      </c>
      <c r="D11" s="164">
        <f t="shared" si="0"/>
        <v>0</v>
      </c>
    </row>
    <row r="12" spans="2:4" x14ac:dyDescent="0.25">
      <c r="B12" s="163">
        <v>2007</v>
      </c>
      <c r="C12" s="164">
        <f>'[7]4D2_CH4_Industrial_Wastewater'!G19</f>
        <v>0</v>
      </c>
      <c r="D12" s="164">
        <f t="shared" si="0"/>
        <v>0</v>
      </c>
    </row>
    <row r="13" spans="2:4" x14ac:dyDescent="0.25">
      <c r="B13" s="163">
        <v>2008</v>
      </c>
      <c r="C13" s="164">
        <f>'[7]4D2_CH4_Industrial_Wastewater'!G20</f>
        <v>981</v>
      </c>
      <c r="D13" s="164">
        <f t="shared" si="0"/>
        <v>20.600999999999999</v>
      </c>
    </row>
    <row r="14" spans="2:4" x14ac:dyDescent="0.25">
      <c r="B14" s="163">
        <v>2009</v>
      </c>
      <c r="C14" s="164">
        <f>'[7]4D2_CH4_Industrial_Wastewater'!G21</f>
        <v>1836</v>
      </c>
      <c r="D14" s="164">
        <f t="shared" si="0"/>
        <v>38.555999999999997</v>
      </c>
    </row>
    <row r="15" spans="2:4" x14ac:dyDescent="0.25">
      <c r="B15" s="163">
        <v>2010</v>
      </c>
      <c r="C15" s="164">
        <f>'[7]4D2_CH4_Industrial_Wastewater'!G22</f>
        <v>4956</v>
      </c>
      <c r="D15" s="164">
        <f t="shared" si="0"/>
        <v>104.07599999999999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3" t="s">
        <v>11</v>
      </c>
      <c r="B6" s="254" t="s">
        <v>110</v>
      </c>
      <c r="C6" s="254"/>
      <c r="D6" s="254"/>
      <c r="E6" s="71" t="s">
        <v>114</v>
      </c>
      <c r="F6" s="253" t="s">
        <v>11</v>
      </c>
      <c r="G6" s="254" t="s">
        <v>111</v>
      </c>
      <c r="H6" s="254"/>
      <c r="I6" s="254"/>
      <c r="J6" s="72" t="s">
        <v>115</v>
      </c>
      <c r="K6" s="253" t="s">
        <v>11</v>
      </c>
      <c r="L6" s="254" t="s">
        <v>112</v>
      </c>
      <c r="M6" s="254"/>
      <c r="N6" s="254"/>
      <c r="O6" s="72" t="s">
        <v>115</v>
      </c>
      <c r="P6" s="253" t="s">
        <v>11</v>
      </c>
      <c r="Q6" s="254" t="s">
        <v>113</v>
      </c>
      <c r="R6" s="254"/>
      <c r="S6" s="254"/>
    </row>
    <row r="7" spans="1:19" x14ac:dyDescent="0.25">
      <c r="A7" s="253"/>
      <c r="B7" s="253" t="s">
        <v>82</v>
      </c>
      <c r="C7" s="253"/>
      <c r="D7" s="254" t="s">
        <v>84</v>
      </c>
      <c r="E7" s="69"/>
      <c r="F7" s="253"/>
      <c r="G7" s="253" t="s">
        <v>82</v>
      </c>
      <c r="H7" s="253"/>
      <c r="I7" s="254" t="s">
        <v>84</v>
      </c>
      <c r="K7" s="253"/>
      <c r="L7" s="253" t="s">
        <v>82</v>
      </c>
      <c r="M7" s="253"/>
      <c r="N7" s="254" t="s">
        <v>84</v>
      </c>
      <c r="P7" s="253"/>
      <c r="Q7" s="253" t="s">
        <v>82</v>
      </c>
      <c r="R7" s="253"/>
      <c r="S7" s="254" t="s">
        <v>84</v>
      </c>
    </row>
    <row r="8" spans="1:19" x14ac:dyDescent="0.25">
      <c r="A8" s="253"/>
      <c r="B8" s="74" t="s">
        <v>85</v>
      </c>
      <c r="C8" s="74" t="s">
        <v>86</v>
      </c>
      <c r="D8" s="254"/>
      <c r="E8" s="6"/>
      <c r="F8" s="253"/>
      <c r="G8" s="74" t="s">
        <v>85</v>
      </c>
      <c r="H8" s="74" t="s">
        <v>86</v>
      </c>
      <c r="I8" s="254"/>
      <c r="K8" s="253"/>
      <c r="L8" s="74" t="s">
        <v>85</v>
      </c>
      <c r="M8" s="74" t="s">
        <v>86</v>
      </c>
      <c r="N8" s="254"/>
      <c r="P8" s="253"/>
      <c r="Q8" s="74" t="s">
        <v>85</v>
      </c>
      <c r="R8" s="74" t="s">
        <v>86</v>
      </c>
      <c r="S8" s="254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4" t="s">
        <v>11</v>
      </c>
      <c r="B23" s="246" t="s">
        <v>81</v>
      </c>
      <c r="C23" s="247"/>
      <c r="D23" s="247"/>
      <c r="E23" s="247"/>
      <c r="F23" s="248"/>
      <c r="K23" t="s">
        <v>121</v>
      </c>
      <c r="L23">
        <v>280</v>
      </c>
      <c r="M23" t="s">
        <v>123</v>
      </c>
    </row>
    <row r="24" spans="1:19" ht="15.75" thickBot="1" x14ac:dyDescent="0.3">
      <c r="A24" s="245"/>
      <c r="B24" s="246" t="s">
        <v>82</v>
      </c>
      <c r="C24" s="248"/>
      <c r="D24" s="246" t="s">
        <v>83</v>
      </c>
      <c r="E24" s="248"/>
      <c r="F24" s="249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5"/>
      <c r="B25" s="36" t="s">
        <v>85</v>
      </c>
      <c r="C25" s="36" t="s">
        <v>86</v>
      </c>
      <c r="D25" s="36" t="s">
        <v>87</v>
      </c>
      <c r="E25" s="36" t="s">
        <v>86</v>
      </c>
      <c r="F25" s="250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1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2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2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0.33665653641995902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0.35570334418972999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0.36221521260032469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0.3821608645919084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0.40964485966431397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0.42631556866041098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0.44347235957706521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0.46107993037535372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0.47908125468470808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0.48629644833231028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38" t="s">
        <v>11</v>
      </c>
      <c r="B58" s="240" t="s">
        <v>93</v>
      </c>
      <c r="C58" s="241"/>
      <c r="D58" s="53" t="s">
        <v>94</v>
      </c>
      <c r="E58" s="54"/>
      <c r="F58" s="55" t="s">
        <v>95</v>
      </c>
    </row>
    <row r="59" spans="1:6" ht="63.75" thickBot="1" x14ac:dyDescent="0.3">
      <c r="A59" s="239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39"/>
      <c r="B60" s="242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39"/>
      <c r="B61" s="243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Frksi pengelolaan smph Mitigasi</vt:lpstr>
      <vt:lpstr>Rekapitulasi BaU Emisi GRK</vt:lpstr>
      <vt:lpstr>Rekap Emisi GRK dari Sawit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2017-09-19T06:16:10Z</dcterms:modified>
</cp:coreProperties>
</file>