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Historis_IW\Samarinda\"/>
    </mc:Choice>
  </mc:AlternateContent>
  <bookViews>
    <workbookView xWindow="0" yWindow="0" windowWidth="20490" windowHeight="7755" tabRatio="820" activeTab="1"/>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25" i="4" l="1"/>
  <c r="E24" i="4"/>
  <c r="E23" i="4"/>
  <c r="E22" i="4"/>
  <c r="E21" i="4"/>
  <c r="E20" i="4"/>
  <c r="E19" i="4"/>
  <c r="E18" i="4"/>
  <c r="E17" i="4"/>
  <c r="E16" i="4"/>
  <c r="E15" i="4"/>
  <c r="C23" i="6" l="1"/>
  <c r="C22" i="6"/>
  <c r="C21" i="6"/>
  <c r="C20" i="6"/>
  <c r="C19" i="6"/>
  <c r="C18" i="6"/>
  <c r="C17" i="6"/>
  <c r="C16" i="6"/>
  <c r="C15" i="6"/>
  <c r="C14" i="6"/>
  <c r="C13" i="6"/>
  <c r="C116" i="4" l="1"/>
  <c r="E116" i="4" s="1"/>
  <c r="C115" i="4"/>
  <c r="E115" i="4" s="1"/>
  <c r="C114" i="4"/>
  <c r="E114" i="4" s="1"/>
  <c r="C113" i="4"/>
  <c r="E113" i="4" s="1"/>
  <c r="E112" i="4"/>
  <c r="E111" i="4"/>
  <c r="C111" i="4"/>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S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c r="O28" i="4" s="1"/>
  <c r="K6" i="40" s="1"/>
  <c r="L28" i="4"/>
  <c r="B28" i="4"/>
  <c r="V93" i="6"/>
  <c r="X93" i="6"/>
  <c r="P94" i="7" s="1"/>
  <c r="V92" i="6"/>
  <c r="X92" i="6" s="1"/>
  <c r="P93" i="7"/>
  <c r="P98" i="40" s="1"/>
  <c r="V91" i="6"/>
  <c r="X91" i="6"/>
  <c r="P92" i="7" s="1"/>
  <c r="V90" i="6"/>
  <c r="X90" i="6" s="1"/>
  <c r="P91" i="7"/>
  <c r="P96" i="40" s="1"/>
  <c r="V89" i="6"/>
  <c r="X89" i="6"/>
  <c r="P90" i="7" s="1"/>
  <c r="V88" i="6"/>
  <c r="X88" i="6" s="1"/>
  <c r="P89" i="7"/>
  <c r="P94" i="40" s="1"/>
  <c r="V87" i="6"/>
  <c r="X87" i="6"/>
  <c r="P88" i="7" s="1"/>
  <c r="V86" i="6"/>
  <c r="X86" i="6" s="1"/>
  <c r="P87" i="7"/>
  <c r="P92" i="40" s="1"/>
  <c r="V85" i="6"/>
  <c r="X85" i="6"/>
  <c r="P86" i="7" s="1"/>
  <c r="V84" i="6"/>
  <c r="X84" i="6" s="1"/>
  <c r="P85" i="7"/>
  <c r="P90" i="40" s="1"/>
  <c r="V83" i="6"/>
  <c r="X83" i="6"/>
  <c r="P84" i="7" s="1"/>
  <c r="V82" i="6"/>
  <c r="X82" i="6" s="1"/>
  <c r="P83" i="7"/>
  <c r="P88" i="40" s="1"/>
  <c r="V81" i="6"/>
  <c r="X81" i="6"/>
  <c r="P82" i="7" s="1"/>
  <c r="V80" i="6"/>
  <c r="X80" i="6" s="1"/>
  <c r="P81" i="7"/>
  <c r="P86" i="40" s="1"/>
  <c r="V79" i="6"/>
  <c r="X79" i="6"/>
  <c r="P80" i="7" s="1"/>
  <c r="V78" i="6"/>
  <c r="X78" i="6" s="1"/>
  <c r="P79" i="7"/>
  <c r="P84" i="40" s="1"/>
  <c r="V77" i="6"/>
  <c r="X77" i="6"/>
  <c r="P78" i="7" s="1"/>
  <c r="V76" i="6"/>
  <c r="X76" i="6" s="1"/>
  <c r="P77" i="7"/>
  <c r="P82" i="40" s="1"/>
  <c r="V75" i="6"/>
  <c r="X75" i="6"/>
  <c r="P76" i="7" s="1"/>
  <c r="V74" i="6"/>
  <c r="X74" i="6" s="1"/>
  <c r="P75" i="7"/>
  <c r="P80" i="40" s="1"/>
  <c r="V73" i="6"/>
  <c r="X73" i="6"/>
  <c r="P74" i="7" s="1"/>
  <c r="V72" i="6"/>
  <c r="X72" i="6" s="1"/>
  <c r="P73" i="7"/>
  <c r="P78" i="40" s="1"/>
  <c r="V71" i="6"/>
  <c r="X71" i="6"/>
  <c r="P72" i="7" s="1"/>
  <c r="V70" i="6"/>
  <c r="X70" i="6" s="1"/>
  <c r="P71" i="7"/>
  <c r="P76" i="40" s="1"/>
  <c r="V69" i="6"/>
  <c r="X69" i="6"/>
  <c r="P70" i="7" s="1"/>
  <c r="V68" i="6"/>
  <c r="X68" i="6" s="1"/>
  <c r="P69" i="7"/>
  <c r="P74" i="40" s="1"/>
  <c r="V67" i="6"/>
  <c r="X67" i="6"/>
  <c r="P68" i="7" s="1"/>
  <c r="V66" i="6"/>
  <c r="X66" i="6" s="1"/>
  <c r="P67" i="7"/>
  <c r="P72" i="40" s="1"/>
  <c r="V65" i="6"/>
  <c r="X65" i="6"/>
  <c r="P66" i="7" s="1"/>
  <c r="V64" i="6"/>
  <c r="X64" i="6" s="1"/>
  <c r="P65" i="7"/>
  <c r="P70" i="40" s="1"/>
  <c r="V63" i="6"/>
  <c r="X63" i="6"/>
  <c r="P64" i="7" s="1"/>
  <c r="V62" i="6"/>
  <c r="X62" i="6" s="1"/>
  <c r="P63" i="7"/>
  <c r="P68" i="40" s="1"/>
  <c r="V61" i="6"/>
  <c r="X61" i="6"/>
  <c r="P62" i="7" s="1"/>
  <c r="V60" i="6"/>
  <c r="X60" i="6" s="1"/>
  <c r="P61" i="7"/>
  <c r="P66" i="40" s="1"/>
  <c r="V59" i="6"/>
  <c r="X59" i="6"/>
  <c r="P60" i="7" s="1"/>
  <c r="V58" i="6"/>
  <c r="X58" i="6" s="1"/>
  <c r="P59" i="7"/>
  <c r="P64" i="40" s="1"/>
  <c r="V57" i="6"/>
  <c r="X57" i="6"/>
  <c r="P58" i="7" s="1"/>
  <c r="V56" i="6"/>
  <c r="X56" i="6" s="1"/>
  <c r="P57" i="7"/>
  <c r="P62" i="40" s="1"/>
  <c r="V55" i="6"/>
  <c r="X55" i="6"/>
  <c r="P56" i="7" s="1"/>
  <c r="V54" i="6"/>
  <c r="X54" i="6" s="1"/>
  <c r="P55" i="7"/>
  <c r="P60" i="40" s="1"/>
  <c r="V53" i="6"/>
  <c r="X53" i="6"/>
  <c r="P54" i="7" s="1"/>
  <c r="V52" i="6"/>
  <c r="X52" i="6" s="1"/>
  <c r="P53" i="7"/>
  <c r="P58" i="40" s="1"/>
  <c r="V51" i="6"/>
  <c r="X51" i="6"/>
  <c r="P52" i="7" s="1"/>
  <c r="V50" i="6"/>
  <c r="X50" i="6"/>
  <c r="P51" i="7" s="1"/>
  <c r="P56" i="40" s="1"/>
  <c r="V49" i="6"/>
  <c r="X49" i="6" s="1"/>
  <c r="P50" i="7"/>
  <c r="V48" i="6"/>
  <c r="X48" i="6"/>
  <c r="P49" i="7" s="1"/>
  <c r="P54" i="40" s="1"/>
  <c r="V47" i="6"/>
  <c r="X47" i="6" s="1"/>
  <c r="P48" i="7"/>
  <c r="V46" i="6"/>
  <c r="X46" i="6"/>
  <c r="P47" i="7" s="1"/>
  <c r="P52" i="40" s="1"/>
  <c r="V45" i="6"/>
  <c r="X45" i="6" s="1"/>
  <c r="P46" i="7"/>
  <c r="V44" i="6"/>
  <c r="X44" i="6"/>
  <c r="P45" i="7" s="1"/>
  <c r="P50" i="40" s="1"/>
  <c r="V43" i="6"/>
  <c r="X43" i="6" s="1"/>
  <c r="P44" i="7"/>
  <c r="V42" i="6"/>
  <c r="X42" i="6"/>
  <c r="P43" i="7" s="1"/>
  <c r="P48" i="40" s="1"/>
  <c r="V41" i="6"/>
  <c r="X41" i="6" s="1"/>
  <c r="P42" i="7"/>
  <c r="V40" i="6"/>
  <c r="X40" i="6"/>
  <c r="P41" i="7" s="1"/>
  <c r="P46" i="40" s="1"/>
  <c r="V39" i="6"/>
  <c r="X39" i="6" s="1"/>
  <c r="P40" i="7"/>
  <c r="V38" i="6"/>
  <c r="X38" i="6"/>
  <c r="P39" i="7" s="1"/>
  <c r="P44" i="40" s="1"/>
  <c r="V37" i="6"/>
  <c r="X37" i="6" s="1"/>
  <c r="P38" i="7"/>
  <c r="V36" i="6"/>
  <c r="X36" i="6"/>
  <c r="P37" i="7" s="1"/>
  <c r="P42" i="40" s="1"/>
  <c r="V35" i="6"/>
  <c r="X35" i="6" s="1"/>
  <c r="P36" i="7"/>
  <c r="V34" i="6"/>
  <c r="X34" i="6"/>
  <c r="P35" i="7" s="1"/>
  <c r="P40" i="40" s="1"/>
  <c r="V33" i="6"/>
  <c r="X33" i="6" s="1"/>
  <c r="P34" i="7"/>
  <c r="V32" i="6"/>
  <c r="X32" i="6"/>
  <c r="P33" i="7" s="1"/>
  <c r="P38" i="40" s="1"/>
  <c r="V31" i="6"/>
  <c r="X31" i="6" s="1"/>
  <c r="P32" i="7"/>
  <c r="V30" i="6"/>
  <c r="X30" i="6"/>
  <c r="P31" i="7" s="1"/>
  <c r="P36" i="40" s="1"/>
  <c r="V29" i="6"/>
  <c r="X29" i="6" s="1"/>
  <c r="P30" i="7"/>
  <c r="V28" i="6"/>
  <c r="X28" i="6"/>
  <c r="P29" i="7" s="1"/>
  <c r="P34" i="40" s="1"/>
  <c r="V27" i="6"/>
  <c r="X27" i="6" s="1"/>
  <c r="P28" i="7"/>
  <c r="V26" i="6"/>
  <c r="X26" i="6"/>
  <c r="P27" i="7" s="1"/>
  <c r="P32" i="40" s="1"/>
  <c r="V25" i="6"/>
  <c r="X25" i="6" s="1"/>
  <c r="P26" i="7"/>
  <c r="V24" i="6"/>
  <c r="X24" i="6"/>
  <c r="P25" i="7" s="1"/>
  <c r="P30" i="40" s="1"/>
  <c r="V23" i="6"/>
  <c r="X23" i="6" s="1"/>
  <c r="P24" i="7"/>
  <c r="V22" i="6"/>
  <c r="X22" i="6"/>
  <c r="P23" i="7" s="1"/>
  <c r="P28" i="40" s="1"/>
  <c r="V21" i="6"/>
  <c r="X21" i="6" s="1"/>
  <c r="P22" i="7"/>
  <c r="V20" i="6"/>
  <c r="X20" i="6"/>
  <c r="P21" i="7" s="1"/>
  <c r="P26" i="40" s="1"/>
  <c r="V19" i="6"/>
  <c r="X19" i="6" s="1"/>
  <c r="P20" i="7"/>
  <c r="V18" i="6"/>
  <c r="X18" i="6"/>
  <c r="P19" i="7" s="1"/>
  <c r="P24" i="40" s="1"/>
  <c r="V17" i="6"/>
  <c r="X17" i="6" s="1"/>
  <c r="P18" i="7"/>
  <c r="V16" i="6"/>
  <c r="X16" i="6"/>
  <c r="P17" i="7" s="1"/>
  <c r="P22" i="40" s="1"/>
  <c r="V15" i="6"/>
  <c r="X15" i="6" s="1"/>
  <c r="P16" i="7"/>
  <c r="V14" i="6"/>
  <c r="X14" i="6"/>
  <c r="P15" i="7" s="1"/>
  <c r="P20" i="40" s="1"/>
  <c r="V13" i="6"/>
  <c r="X13" i="6" s="1"/>
  <c r="P14" i="7"/>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B19" i="39"/>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I79" i="6"/>
  <c r="I78" i="6"/>
  <c r="I77" i="6"/>
  <c r="I76" i="6"/>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I45" i="6"/>
  <c r="I44" i="6"/>
  <c r="I43" i="6"/>
  <c r="I42" i="6"/>
  <c r="G43" i="7" s="1"/>
  <c r="P48" i="34" s="1"/>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E35" i="7" s="1"/>
  <c r="P40" i="35" s="1"/>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D21" i="4"/>
  <c r="O21" i="4"/>
  <c r="K6" i="35" s="1"/>
  <c r="D20" i="4"/>
  <c r="O20" i="4" s="1"/>
  <c r="K6" i="34" s="1"/>
  <c r="C15" i="4"/>
  <c r="I21" i="4"/>
  <c r="J21" i="4" s="1"/>
  <c r="R21" i="4" s="1"/>
  <c r="I20" i="4"/>
  <c r="J20" i="4" s="1"/>
  <c r="R20" i="4" s="1"/>
  <c r="H21" i="4"/>
  <c r="H20" i="4"/>
  <c r="C21" i="4"/>
  <c r="C20"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J15" i="4"/>
  <c r="R26" i="4"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L16" i="7" s="1"/>
  <c r="M16" i="6"/>
  <c r="N16" i="6"/>
  <c r="M17" i="6"/>
  <c r="N17" i="6"/>
  <c r="L18" i="7" s="1"/>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M43" i="6"/>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H58" i="7"/>
  <c r="M58" i="6"/>
  <c r="N58" i="6"/>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N81" i="6"/>
  <c r="M82" i="6"/>
  <c r="N82" i="6"/>
  <c r="M83" i="6"/>
  <c r="N83" i="6"/>
  <c r="M84" i="6"/>
  <c r="N84" i="6"/>
  <c r="M85" i="6"/>
  <c r="N85" i="6"/>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E53" i="4"/>
  <c r="W4" i="5"/>
  <c r="X4" i="5"/>
  <c r="Y4" i="5"/>
  <c r="AA4" i="5"/>
  <c r="AH15" i="5" s="1"/>
  <c r="AD4" i="5"/>
  <c r="E58" i="4"/>
  <c r="E59" i="4"/>
  <c r="E55" i="4"/>
  <c r="F70" i="28" s="1"/>
  <c r="C94" i="8"/>
  <c r="D94" i="8"/>
  <c r="E94" i="8"/>
  <c r="F94" i="8"/>
  <c r="G94" i="8"/>
  <c r="C95" i="8"/>
  <c r="D95" i="8"/>
  <c r="E95" i="8"/>
  <c r="F95" i="8"/>
  <c r="G95" i="8"/>
  <c r="C96" i="8"/>
  <c r="D96" i="8"/>
  <c r="E96" i="8"/>
  <c r="F96" i="8"/>
  <c r="G96" i="8"/>
  <c r="C97" i="8"/>
  <c r="D97" i="8"/>
  <c r="E97" i="8"/>
  <c r="F97" i="8"/>
  <c r="G97" i="8"/>
  <c r="C98" i="8"/>
  <c r="D98" i="8"/>
  <c r="E98" i="8"/>
  <c r="F98" i="8"/>
  <c r="G98" i="8"/>
  <c r="B14" i="7"/>
  <c r="O19" i="18" s="1"/>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H76" i="6"/>
  <c r="J46" i="6"/>
  <c r="E70" i="6"/>
  <c r="E29" i="6"/>
  <c r="E18" i="6"/>
  <c r="E43" i="6"/>
  <c r="F43" i="6"/>
  <c r="H43" i="6"/>
  <c r="J43" i="6"/>
  <c r="K43" i="6"/>
  <c r="L43" i="6"/>
  <c r="E44" i="6"/>
  <c r="E35" i="6"/>
  <c r="E34" i="6"/>
  <c r="E37" i="6"/>
  <c r="E28" i="6"/>
  <c r="E20" i="6"/>
  <c r="E58" i="6"/>
  <c r="J41" i="6"/>
  <c r="E67" i="6"/>
  <c r="E23" i="6"/>
  <c r="J80" i="6"/>
  <c r="E63" i="6"/>
  <c r="F63" i="6"/>
  <c r="H63" i="6"/>
  <c r="J63" i="6"/>
  <c r="K63" i="6"/>
  <c r="L63" i="6"/>
  <c r="J53" i="6"/>
  <c r="E46" i="6"/>
  <c r="L65" i="6"/>
  <c r="E82" i="6"/>
  <c r="E64" i="6"/>
  <c r="E76" i="6"/>
  <c r="E60" i="6"/>
  <c r="L13" i="6"/>
  <c r="J67" i="6"/>
  <c r="E55" i="6"/>
  <c r="E36" i="6"/>
  <c r="E21" i="6"/>
  <c r="K51" i="6"/>
  <c r="E54" i="6"/>
  <c r="E13" i="6"/>
  <c r="E66" i="6"/>
  <c r="E79" i="6"/>
  <c r="F79" i="6"/>
  <c r="H79" i="6"/>
  <c r="J79" i="6"/>
  <c r="K79" i="6"/>
  <c r="L79" i="6"/>
  <c r="J42" i="6"/>
  <c r="E88" i="6"/>
  <c r="J22" i="6"/>
  <c r="J92" i="6"/>
  <c r="E87" i="6"/>
  <c r="E51" i="6"/>
  <c r="E33" i="6"/>
  <c r="J82" i="6"/>
  <c r="E45" i="6"/>
  <c r="E27" i="6"/>
  <c r="E74" i="6"/>
  <c r="E57" i="6"/>
  <c r="E78" i="7"/>
  <c r="P83" i="35" s="1"/>
  <c r="L89" i="6"/>
  <c r="I50" i="7"/>
  <c r="K38" i="6"/>
  <c r="K28" i="6"/>
  <c r="L38" i="6"/>
  <c r="E38" i="6"/>
  <c r="F38" i="6"/>
  <c r="H38" i="6"/>
  <c r="J38" i="6"/>
  <c r="K17" i="6"/>
  <c r="F91" i="6"/>
  <c r="D92" i="7" s="1"/>
  <c r="C97" i="35" s="1"/>
  <c r="K42" i="6"/>
  <c r="L93" i="6"/>
  <c r="L54" i="6"/>
  <c r="K23" i="6"/>
  <c r="K88" i="6"/>
  <c r="I89" i="7" s="1"/>
  <c r="L40" i="6"/>
  <c r="L24" i="6"/>
  <c r="L42" i="6"/>
  <c r="K65" i="6"/>
  <c r="F18" i="6"/>
  <c r="K26" i="6"/>
  <c r="I27" i="7" s="1"/>
  <c r="L34" i="6"/>
  <c r="F41" i="6"/>
  <c r="F93" i="6"/>
  <c r="O23" i="7"/>
  <c r="L43" i="7"/>
  <c r="F20" i="6"/>
  <c r="L71" i="6"/>
  <c r="G72" i="7"/>
  <c r="P77" i="34" s="1"/>
  <c r="I49" i="7"/>
  <c r="C29" i="7"/>
  <c r="C34" i="18" s="1"/>
  <c r="L55" i="6"/>
  <c r="L25" i="6"/>
  <c r="K22" i="6"/>
  <c r="E22" i="6"/>
  <c r="F22" i="6"/>
  <c r="H22" i="6"/>
  <c r="L22" i="6"/>
  <c r="F92" i="6"/>
  <c r="K47" i="6"/>
  <c r="F26" i="6"/>
  <c r="L17" i="6"/>
  <c r="L75" i="6"/>
  <c r="G85" i="7"/>
  <c r="P90" i="34" s="1"/>
  <c r="E26" i="7"/>
  <c r="P31" i="35" s="1"/>
  <c r="G45" i="7"/>
  <c r="P50" i="34" s="1"/>
  <c r="F77" i="6"/>
  <c r="L52" i="6"/>
  <c r="L57" i="6"/>
  <c r="L70" i="6"/>
  <c r="L72" i="6"/>
  <c r="K25" i="6"/>
  <c r="K72" i="6"/>
  <c r="E72" i="6"/>
  <c r="F72" i="6"/>
  <c r="H72" i="6"/>
  <c r="J72" i="6"/>
  <c r="K46" i="6"/>
  <c r="F53" i="6"/>
  <c r="L86" i="6"/>
  <c r="K92" i="6"/>
  <c r="F59" i="6"/>
  <c r="C46" i="7"/>
  <c r="C51" i="18" s="1"/>
  <c r="K48" i="6"/>
  <c r="L46" i="6"/>
  <c r="O68" i="7"/>
  <c r="I47" i="7"/>
  <c r="K63" i="7"/>
  <c r="F19" i="6"/>
  <c r="L68" i="6"/>
  <c r="L39" i="6"/>
  <c r="L29" i="6"/>
  <c r="J30" i="7" s="1"/>
  <c r="K77" i="6"/>
  <c r="K55" i="6"/>
  <c r="K81" i="6"/>
  <c r="K59" i="6"/>
  <c r="K74" i="6"/>
  <c r="L64" i="7"/>
  <c r="F86" i="6"/>
  <c r="H14" i="6"/>
  <c r="K68" i="6"/>
  <c r="L31" i="6"/>
  <c r="L59" i="6"/>
  <c r="L83" i="6"/>
  <c r="H86" i="6"/>
  <c r="H26" i="6"/>
  <c r="L18" i="6"/>
  <c r="L80" i="6"/>
  <c r="L81" i="6"/>
  <c r="L44" i="6"/>
  <c r="L82" i="6"/>
  <c r="L45" i="6"/>
  <c r="L78" i="6"/>
  <c r="K53" i="6"/>
  <c r="I54" i="7"/>
  <c r="K87" i="6"/>
  <c r="K33" i="6"/>
  <c r="K78" i="6"/>
  <c r="K19" i="6"/>
  <c r="K75" i="6"/>
  <c r="K52" i="6"/>
  <c r="K18" i="6"/>
  <c r="I19" i="7" s="1"/>
  <c r="L23" i="6"/>
  <c r="H67" i="6"/>
  <c r="H80" i="6"/>
  <c r="H71" i="6"/>
  <c r="H53" i="6"/>
  <c r="K36" i="6"/>
  <c r="K70" i="6"/>
  <c r="L87" i="6"/>
  <c r="H36" i="6"/>
  <c r="F37" i="7" s="1"/>
  <c r="H48" i="6"/>
  <c r="L26" i="6"/>
  <c r="L27" i="6"/>
  <c r="L20" i="6"/>
  <c r="L49" i="6"/>
  <c r="L16" i="6"/>
  <c r="L50" i="6"/>
  <c r="L90" i="6"/>
  <c r="K34" i="6"/>
  <c r="K45" i="6"/>
  <c r="K84" i="6"/>
  <c r="K57" i="6"/>
  <c r="K54" i="6"/>
  <c r="K27" i="6"/>
  <c r="I28" i="7" s="1"/>
  <c r="K91" i="6"/>
  <c r="K16" i="6"/>
  <c r="I17" i="7" s="1"/>
  <c r="H32" i="6"/>
  <c r="F32" i="6"/>
  <c r="F69" i="6"/>
  <c r="F48" i="6"/>
  <c r="F30" i="6"/>
  <c r="F84" i="6"/>
  <c r="F29" i="6"/>
  <c r="F60" i="6"/>
  <c r="F90" i="6"/>
  <c r="F27" i="6"/>
  <c r="D28" i="7" s="1"/>
  <c r="C33" i="35" s="1"/>
  <c r="F49" i="6"/>
  <c r="F73" i="6"/>
  <c r="F62" i="6"/>
  <c r="F46" i="6"/>
  <c r="F89" i="6"/>
  <c r="F28" i="6"/>
  <c r="F54" i="6"/>
  <c r="F51" i="6"/>
  <c r="F58" i="6"/>
  <c r="F67" i="6"/>
  <c r="F35" i="6"/>
  <c r="D36" i="7" s="1"/>
  <c r="C41" i="31" s="1"/>
  <c r="F15" i="6"/>
  <c r="D16" i="7" s="1"/>
  <c r="C21" i="35" s="1"/>
  <c r="F82" i="6"/>
  <c r="D83" i="7" s="1"/>
  <c r="F13" i="6"/>
  <c r="F33" i="6"/>
  <c r="F87" i="6"/>
  <c r="F61" i="6"/>
  <c r="F31" i="6"/>
  <c r="F75" i="6"/>
  <c r="F34" i="6"/>
  <c r="F55" i="6"/>
  <c r="L62" i="6"/>
  <c r="L51" i="6"/>
  <c r="L84" i="6"/>
  <c r="L60" i="6"/>
  <c r="L41" i="6"/>
  <c r="L21" i="6"/>
  <c r="L76" i="6"/>
  <c r="L53" i="6"/>
  <c r="J54" i="7" s="1"/>
  <c r="L33" i="6"/>
  <c r="L14" i="6"/>
  <c r="L48" i="6"/>
  <c r="L91" i="6"/>
  <c r="L47" i="6"/>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J29" i="7" s="1"/>
  <c r="L58" i="6"/>
  <c r="L88" i="6"/>
  <c r="J89" i="7" s="1"/>
  <c r="L35" i="6"/>
  <c r="L66" i="6"/>
  <c r="L92" i="6"/>
  <c r="K31" i="6"/>
  <c r="K85" i="6"/>
  <c r="K39" i="6"/>
  <c r="K30" i="6"/>
  <c r="K49" i="6"/>
  <c r="K89" i="6"/>
  <c r="K13" i="6"/>
  <c r="K83" i="6"/>
  <c r="K14" i="6"/>
  <c r="K60" i="6"/>
  <c r="K64" i="6"/>
  <c r="F68" i="6"/>
  <c r="F24" i="6"/>
  <c r="K69" i="6"/>
  <c r="F39" i="6"/>
  <c r="F50" i="6"/>
  <c r="K15" i="6"/>
  <c r="F21" i="6"/>
  <c r="F37" i="6"/>
  <c r="E81" i="6"/>
  <c r="E42" i="6"/>
  <c r="E90" i="6"/>
  <c r="E15" i="6"/>
  <c r="E52" i="6"/>
  <c r="E85" i="6"/>
  <c r="E89" i="6"/>
  <c r="E69" i="6"/>
  <c r="E47" i="6"/>
  <c r="C48" i="7" s="1"/>
  <c r="E16" i="6"/>
  <c r="C17" i="7" s="1"/>
  <c r="C22" i="18" s="1"/>
  <c r="E86" i="6"/>
  <c r="E84" i="6"/>
  <c r="E41" i="6"/>
  <c r="E59" i="6"/>
  <c r="E26" i="6"/>
  <c r="E39" i="6"/>
  <c r="E48" i="6"/>
  <c r="E61" i="6"/>
  <c r="E91" i="6"/>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H76" i="7" s="1"/>
  <c r="P81" i="33" s="1"/>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H85" i="6"/>
  <c r="H66" i="6"/>
  <c r="H59" i="6"/>
  <c r="H49" i="6"/>
  <c r="H78" i="6"/>
  <c r="H15" i="6"/>
  <c r="H51" i="6"/>
  <c r="H19" i="6"/>
  <c r="H89" i="6"/>
  <c r="H77" i="6"/>
  <c r="H37" i="6"/>
  <c r="H44" i="6"/>
  <c r="H68" i="6"/>
  <c r="H35" i="6"/>
  <c r="H24" i="6"/>
  <c r="H16" i="6"/>
  <c r="H90" i="6"/>
  <c r="H58" i="6"/>
  <c r="H33" i="6"/>
  <c r="H25" i="6"/>
  <c r="H75" i="6"/>
  <c r="H23" i="6"/>
  <c r="F24" i="7" s="1"/>
  <c r="P29" i="32" s="1"/>
  <c r="H54" i="6"/>
  <c r="H61" i="6"/>
  <c r="F62" i="7" s="1"/>
  <c r="H56" i="6"/>
  <c r="H87" i="6"/>
  <c r="H17" i="6"/>
  <c r="H60" i="6"/>
  <c r="H28" i="6"/>
  <c r="H18" i="6"/>
  <c r="H82" i="6"/>
  <c r="H42" i="6"/>
  <c r="H13" i="6"/>
  <c r="H73" i="6"/>
  <c r="H83" i="6"/>
  <c r="H57" i="6"/>
  <c r="H50" i="6"/>
  <c r="H62" i="6"/>
  <c r="H88" i="6"/>
  <c r="H40" i="6"/>
  <c r="H93" i="6"/>
  <c r="H70" i="6"/>
  <c r="H29" i="6"/>
  <c r="H64" i="6"/>
  <c r="H65" i="6"/>
  <c r="J33" i="6"/>
  <c r="J61" i="6"/>
  <c r="J90" i="6"/>
  <c r="H81" i="6"/>
  <c r="H21" i="6"/>
  <c r="H92" i="6"/>
  <c r="H30" i="6"/>
  <c r="H31" i="6"/>
  <c r="J32" i="6"/>
  <c r="H47" i="6"/>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F36" i="6"/>
  <c r="F40" i="6"/>
  <c r="F25" i="6"/>
  <c r="F76" i="6"/>
  <c r="E19" i="6"/>
  <c r="E56" i="6"/>
  <c r="E24" i="6"/>
  <c r="E40" i="6"/>
  <c r="E49" i="6"/>
  <c r="E32" i="6"/>
  <c r="E31" i="6"/>
  <c r="E71" i="6"/>
  <c r="E92" i="6"/>
  <c r="H69" i="6"/>
  <c r="J89" i="6"/>
  <c r="J48" i="6"/>
  <c r="J23" i="6"/>
  <c r="J81" i="6"/>
  <c r="J69" i="6"/>
  <c r="J36" i="6"/>
  <c r="O81" i="7"/>
  <c r="C86" i="37" s="1"/>
  <c r="L89" i="7"/>
  <c r="L45" i="7"/>
  <c r="I83" i="7"/>
  <c r="C47" i="7"/>
  <c r="P52" i="18" s="1"/>
  <c r="O43" i="7"/>
  <c r="P48" i="37" s="1"/>
  <c r="F29" i="7"/>
  <c r="P34" i="32" s="1"/>
  <c r="F48" i="28"/>
  <c r="F68" i="28"/>
  <c r="F34" i="28"/>
  <c r="F86" i="28"/>
  <c r="F32" i="28"/>
  <c r="F89" i="28"/>
  <c r="F67" i="28"/>
  <c r="F63" i="28"/>
  <c r="F23" i="28"/>
  <c r="F91" i="28"/>
  <c r="K7" i="18"/>
  <c r="W7" i="18"/>
  <c r="F60" i="28"/>
  <c r="K7" i="31"/>
  <c r="W7" i="31"/>
  <c r="K13" i="31"/>
  <c r="K7" i="32"/>
  <c r="W7" i="32"/>
  <c r="K13" i="32"/>
  <c r="K7" i="33"/>
  <c r="E81" i="7"/>
  <c r="P86" i="35" s="1"/>
  <c r="E74" i="7"/>
  <c r="P79" i="35" s="1"/>
  <c r="E54" i="7"/>
  <c r="P59" i="35" s="1"/>
  <c r="E46" i="7"/>
  <c r="P51" i="35" s="1"/>
  <c r="E28" i="7"/>
  <c r="P33" i="35" s="1"/>
  <c r="O46" i="4"/>
  <c r="K7" i="34"/>
  <c r="W7" i="34"/>
  <c r="K13" i="34"/>
  <c r="K7" i="35"/>
  <c r="O73" i="7"/>
  <c r="D73" i="7"/>
  <c r="C78" i="35" s="1"/>
  <c r="K47" i="7"/>
  <c r="L17" i="7"/>
  <c r="G48" i="7"/>
  <c r="P53" i="34" s="1"/>
  <c r="J48" i="7"/>
  <c r="D24" i="7"/>
  <c r="O52" i="7"/>
  <c r="C57" i="37" s="1"/>
  <c r="G22" i="7"/>
  <c r="P27" i="34" s="1"/>
  <c r="L26" i="7"/>
  <c r="D26" i="7"/>
  <c r="C31" i="31" s="1"/>
  <c r="I29" i="7"/>
  <c r="L93" i="7"/>
  <c r="L77" i="7"/>
  <c r="H50" i="7"/>
  <c r="L30" i="7"/>
  <c r="K89" i="7"/>
  <c r="O89" i="7"/>
  <c r="P94" i="37" s="1"/>
  <c r="O79" i="7"/>
  <c r="C84" i="37" s="1"/>
  <c r="L37" i="7"/>
  <c r="G16" i="7"/>
  <c r="P21" i="34" s="1"/>
  <c r="J16" i="7"/>
  <c r="J17" i="7"/>
  <c r="H17" i="7"/>
  <c r="P22" i="33" s="1"/>
  <c r="I46" i="7"/>
  <c r="O46" i="7"/>
  <c r="C51" i="37" s="1"/>
  <c r="G88" i="7"/>
  <c r="P93" i="34" s="1"/>
  <c r="O21" i="7"/>
  <c r="C26" i="37" s="1"/>
  <c r="L57" i="7"/>
  <c r="G30" i="7"/>
  <c r="P35" i="34" s="1"/>
  <c r="I30" i="7"/>
  <c r="H35" i="7"/>
  <c r="P40" i="33" s="1"/>
  <c r="K44" i="7"/>
  <c r="I56" i="7"/>
  <c r="G28" i="7"/>
  <c r="P33" i="34" s="1"/>
  <c r="K28" i="7"/>
  <c r="O28" i="7"/>
  <c r="P33" i="37" s="1"/>
  <c r="F28" i="7"/>
  <c r="F65" i="7"/>
  <c r="P70" i="32" s="1"/>
  <c r="C75" i="7"/>
  <c r="C80" i="18" s="1"/>
  <c r="G33" i="7"/>
  <c r="P38" i="34" s="1"/>
  <c r="L74" i="7"/>
  <c r="O45" i="7"/>
  <c r="L72" i="7"/>
  <c r="I85" i="7"/>
  <c r="G92" i="7"/>
  <c r="P97" i="34" s="1"/>
  <c r="J92" i="7"/>
  <c r="P97" i="31"/>
  <c r="K92" i="7"/>
  <c r="C92" i="7"/>
  <c r="P97" i="18" s="1"/>
  <c r="O92" i="7"/>
  <c r="P97" i="37" s="1"/>
  <c r="L49" i="7"/>
  <c r="J81" i="7"/>
  <c r="F81" i="7"/>
  <c r="D81" i="7"/>
  <c r="C86" i="31" s="1"/>
  <c r="H81" i="7"/>
  <c r="C83" i="7"/>
  <c r="C54" i="7"/>
  <c r="D78" i="7"/>
  <c r="C83" i="35" s="1"/>
  <c r="W7" i="36"/>
  <c r="W7" i="37"/>
  <c r="K7" i="36"/>
  <c r="C97" i="37"/>
  <c r="P27" i="40"/>
  <c r="C27" i="40"/>
  <c r="P29" i="40"/>
  <c r="C29" i="40"/>
  <c r="P31" i="40"/>
  <c r="C31" i="40"/>
  <c r="P33" i="40"/>
  <c r="C33" i="40"/>
  <c r="P35" i="40"/>
  <c r="C35" i="40"/>
  <c r="P37" i="40"/>
  <c r="C37" i="40"/>
  <c r="P39" i="40"/>
  <c r="C39" i="40"/>
  <c r="P41" i="40"/>
  <c r="C41" i="40"/>
  <c r="P43" i="40"/>
  <c r="C43" i="40"/>
  <c r="P45" i="40"/>
  <c r="C45" i="40"/>
  <c r="P47" i="40"/>
  <c r="C47" i="40"/>
  <c r="P49" i="40"/>
  <c r="C49" i="40"/>
  <c r="P51" i="40"/>
  <c r="C51" i="40"/>
  <c r="P53" i="40"/>
  <c r="C53" i="40"/>
  <c r="P55" i="40"/>
  <c r="C55" i="40"/>
  <c r="P57" i="40"/>
  <c r="C57" i="40"/>
  <c r="C60" i="40"/>
  <c r="C68" i="40"/>
  <c r="C76" i="40"/>
  <c r="C84" i="40"/>
  <c r="P93" i="40"/>
  <c r="C93" i="40"/>
  <c r="P95" i="40"/>
  <c r="C95" i="40"/>
  <c r="P97" i="40"/>
  <c r="C97" i="40"/>
  <c r="P99" i="40"/>
  <c r="C99" i="40"/>
  <c r="P51" i="37"/>
  <c r="P19" i="40"/>
  <c r="C19" i="40"/>
  <c r="P21" i="40"/>
  <c r="C21" i="40"/>
  <c r="P23" i="40"/>
  <c r="C23" i="40"/>
  <c r="P25" i="40"/>
  <c r="C25" i="40"/>
  <c r="C30" i="40"/>
  <c r="C38" i="40"/>
  <c r="C46" i="40"/>
  <c r="C54" i="40"/>
  <c r="C58" i="40"/>
  <c r="P59" i="40"/>
  <c r="C59" i="40"/>
  <c r="P61" i="40"/>
  <c r="C61" i="40"/>
  <c r="P63" i="40"/>
  <c r="C63" i="40"/>
  <c r="P65" i="40"/>
  <c r="C65" i="40"/>
  <c r="P67" i="40"/>
  <c r="C67" i="40"/>
  <c r="P69" i="40"/>
  <c r="C69" i="40"/>
  <c r="P71" i="40"/>
  <c r="C71" i="40"/>
  <c r="P73" i="40"/>
  <c r="C73" i="40"/>
  <c r="P75" i="40"/>
  <c r="C75" i="40"/>
  <c r="P77" i="40"/>
  <c r="C77" i="40"/>
  <c r="P79" i="40"/>
  <c r="C79" i="40"/>
  <c r="P81" i="40"/>
  <c r="C81" i="40"/>
  <c r="P83" i="40"/>
  <c r="C83" i="40"/>
  <c r="P85" i="40"/>
  <c r="C85" i="40"/>
  <c r="P87" i="40"/>
  <c r="C87" i="40"/>
  <c r="P89" i="40"/>
  <c r="C89" i="40"/>
  <c r="P91" i="40"/>
  <c r="C91" i="40"/>
  <c r="C92" i="40"/>
  <c r="C96" i="40"/>
  <c r="W6" i="37"/>
  <c r="D10" i="39"/>
  <c r="F12" i="39"/>
  <c r="R16" i="4"/>
  <c r="O17" i="4"/>
  <c r="K6" i="32" s="1"/>
  <c r="W8" i="34"/>
  <c r="B19" i="34"/>
  <c r="B19" i="18"/>
  <c r="B19" i="40"/>
  <c r="W6" i="36"/>
  <c r="W8" i="35"/>
  <c r="R15" i="4"/>
  <c r="F10" i="39" s="1"/>
  <c r="K8" i="33"/>
  <c r="K8" i="37"/>
  <c r="K12" i="37" s="1"/>
  <c r="W8" i="37"/>
  <c r="W10" i="35"/>
  <c r="K12" i="34"/>
  <c r="K9" i="34"/>
  <c r="K12" i="35"/>
  <c r="K9" i="37"/>
  <c r="W10" i="37"/>
  <c r="W12" i="37"/>
  <c r="W9" i="37"/>
  <c r="P57" i="37" l="1"/>
  <c r="C40" i="33"/>
  <c r="O19" i="32"/>
  <c r="O19" i="37"/>
  <c r="B19" i="36"/>
  <c r="B19" i="33"/>
  <c r="O19" i="31"/>
  <c r="B15" i="7"/>
  <c r="O19" i="40"/>
  <c r="B19" i="31"/>
  <c r="B19" i="37"/>
  <c r="B19" i="32"/>
  <c r="O19" i="34"/>
  <c r="O19" i="36"/>
  <c r="O19" i="35"/>
  <c r="O19" i="33"/>
  <c r="B19" i="35"/>
  <c r="C52" i="40"/>
  <c r="C44" i="40"/>
  <c r="C36" i="40"/>
  <c r="C28" i="40"/>
  <c r="C90" i="40"/>
  <c r="C82" i="40"/>
  <c r="C74" i="40"/>
  <c r="C66" i="40"/>
  <c r="C24" i="40"/>
  <c r="C94" i="37"/>
  <c r="F24" i="28"/>
  <c r="F45" i="28"/>
  <c r="F62" i="28"/>
  <c r="F19" i="28"/>
  <c r="F79" i="28"/>
  <c r="F81" i="28"/>
  <c r="F38" i="28"/>
  <c r="F58" i="28"/>
  <c r="F49" i="28"/>
  <c r="AH24" i="5"/>
  <c r="P42" i="32"/>
  <c r="C42" i="32"/>
  <c r="G56" i="7"/>
  <c r="P61" i="34" s="1"/>
  <c r="O56" i="7"/>
  <c r="K56" i="7"/>
  <c r="K73" i="7"/>
  <c r="H73" i="7"/>
  <c r="C78" i="33" s="1"/>
  <c r="E79" i="7"/>
  <c r="P84" i="35" s="1"/>
  <c r="L79" i="7"/>
  <c r="D79" i="7"/>
  <c r="C84" i="31" s="1"/>
  <c r="K65" i="7"/>
  <c r="O65" i="7"/>
  <c r="I75" i="7"/>
  <c r="K75" i="7"/>
  <c r="L33" i="7"/>
  <c r="F33" i="7"/>
  <c r="C38" i="34" s="1"/>
  <c r="H74" i="7"/>
  <c r="P79" i="33" s="1"/>
  <c r="G74" i="7"/>
  <c r="P79" i="34" s="1"/>
  <c r="O74" i="7"/>
  <c r="F48" i="7"/>
  <c r="K48" i="7"/>
  <c r="G62" i="7"/>
  <c r="P67" i="34" s="1"/>
  <c r="E62" i="7"/>
  <c r="P67" i="35" s="1"/>
  <c r="O62" i="7"/>
  <c r="C67" i="37" s="1"/>
  <c r="I57" i="7"/>
  <c r="G57" i="7"/>
  <c r="P62" i="34" s="1"/>
  <c r="F57" i="7"/>
  <c r="C62" i="32" s="1"/>
  <c r="H30" i="7"/>
  <c r="P35" i="33" s="1"/>
  <c r="F30" i="7"/>
  <c r="E30" i="7"/>
  <c r="P35" i="35" s="1"/>
  <c r="C30" i="7"/>
  <c r="O54" i="7"/>
  <c r="G54" i="7"/>
  <c r="P59" i="34" s="1"/>
  <c r="AH16" i="5"/>
  <c r="AH25" i="5"/>
  <c r="F12" i="28"/>
  <c r="F74" i="28"/>
  <c r="F28" i="28"/>
  <c r="F50" i="28"/>
  <c r="F69" i="28"/>
  <c r="F33" i="28"/>
  <c r="F37" i="28"/>
  <c r="F88" i="28"/>
  <c r="F80" i="28"/>
  <c r="F54" i="28"/>
  <c r="F90" i="28"/>
  <c r="F42" i="28"/>
  <c r="F51" i="28"/>
  <c r="F77" i="28"/>
  <c r="F30" i="28"/>
  <c r="F25" i="28"/>
  <c r="F82" i="28"/>
  <c r="F35" i="28"/>
  <c r="F56" i="28"/>
  <c r="F57" i="28"/>
  <c r="F61" i="28"/>
  <c r="F13" i="28"/>
  <c r="F71" i="28"/>
  <c r="F27" i="28"/>
  <c r="F43" i="28"/>
  <c r="F22" i="28"/>
  <c r="F84" i="28"/>
  <c r="F65" i="28"/>
  <c r="F87" i="28"/>
  <c r="F31" i="28"/>
  <c r="F41" i="28"/>
  <c r="F76" i="28"/>
  <c r="F29" i="28"/>
  <c r="F52" i="28"/>
  <c r="F15" i="28"/>
  <c r="F26" i="28"/>
  <c r="F55" i="28"/>
  <c r="F83" i="28"/>
  <c r="F36" i="28"/>
  <c r="F59" i="28"/>
  <c r="K10" i="37"/>
  <c r="C94" i="40"/>
  <c r="C56" i="40"/>
  <c r="C50" i="40"/>
  <c r="C42" i="40"/>
  <c r="C34" i="40"/>
  <c r="C26" i="40"/>
  <c r="C88" i="40"/>
  <c r="C80" i="40"/>
  <c r="C72" i="40"/>
  <c r="C64" i="40"/>
  <c r="C22" i="40"/>
  <c r="P78" i="37"/>
  <c r="C78" i="37"/>
  <c r="F46" i="28"/>
  <c r="F72" i="28"/>
  <c r="F20" i="28"/>
  <c r="F39" i="28"/>
  <c r="F78" i="28"/>
  <c r="F53" i="28"/>
  <c r="F85" i="28"/>
  <c r="F44" i="28"/>
  <c r="F18" i="28"/>
  <c r="G82" i="7"/>
  <c r="P87" i="34" s="1"/>
  <c r="K82" i="7"/>
  <c r="W13" i="40"/>
  <c r="W13" i="18"/>
  <c r="K13" i="33"/>
  <c r="K13" i="35"/>
  <c r="W13" i="36"/>
  <c r="K13" i="36"/>
  <c r="K13" i="40"/>
  <c r="K13" i="37"/>
  <c r="W13" i="33"/>
  <c r="K13" i="18"/>
  <c r="W13" i="31"/>
  <c r="W13" i="32"/>
  <c r="W13" i="34"/>
  <c r="W13" i="35"/>
  <c r="W13" i="37"/>
  <c r="C98" i="40"/>
  <c r="W6" i="18"/>
  <c r="C48" i="40"/>
  <c r="C40" i="40"/>
  <c r="C32" i="40"/>
  <c r="C86" i="40"/>
  <c r="C78" i="40"/>
  <c r="C70" i="40"/>
  <c r="C62" i="40"/>
  <c r="C20" i="40"/>
  <c r="F17" i="28"/>
  <c r="F16" i="28"/>
  <c r="F73" i="28"/>
  <c r="F14" i="28"/>
  <c r="F40" i="28"/>
  <c r="F66" i="28"/>
  <c r="F92" i="28"/>
  <c r="F64" i="28"/>
  <c r="F21" i="28"/>
  <c r="F47" i="28"/>
  <c r="O48" i="7"/>
  <c r="C53" i="37" s="1"/>
  <c r="H75" i="7"/>
  <c r="I33" i="7"/>
  <c r="O26" i="7"/>
  <c r="C31" i="37" s="1"/>
  <c r="C33" i="7"/>
  <c r="C38" i="18" s="1"/>
  <c r="C57" i="7"/>
  <c r="D48" i="7"/>
  <c r="C53" i="35" s="1"/>
  <c r="E71" i="7"/>
  <c r="P76" i="35" s="1"/>
  <c r="H39" i="7"/>
  <c r="C44" i="33" s="1"/>
  <c r="J55" i="7"/>
  <c r="H21" i="7"/>
  <c r="C26" i="33" s="1"/>
  <c r="F83" i="7"/>
  <c r="C88" i="34" s="1"/>
  <c r="L20" i="7"/>
  <c r="R81" i="8"/>
  <c r="E82" i="33" s="1"/>
  <c r="L65" i="7"/>
  <c r="E59" i="7"/>
  <c r="P64" i="35" s="1"/>
  <c r="L56" i="7"/>
  <c r="L54" i="7"/>
  <c r="L48" i="7"/>
  <c r="K33" i="7"/>
  <c r="K26" i="7"/>
  <c r="K24" i="7"/>
  <c r="E24" i="7"/>
  <c r="P29" i="35" s="1"/>
  <c r="E48" i="7"/>
  <c r="P53" i="35" s="1"/>
  <c r="E92" i="7"/>
  <c r="P97" i="35" s="1"/>
  <c r="I25" i="7"/>
  <c r="L24" i="7"/>
  <c r="L86" i="7"/>
  <c r="F40" i="7"/>
  <c r="P45" i="32" s="1"/>
  <c r="F80" i="7"/>
  <c r="G81" i="7"/>
  <c r="P86" i="34" s="1"/>
  <c r="G89" i="7"/>
  <c r="P94" i="34" s="1"/>
  <c r="G26" i="7"/>
  <c r="P31" i="34" s="1"/>
  <c r="O24" i="7"/>
  <c r="P29" i="37" s="1"/>
  <c r="H56" i="7"/>
  <c r="C74" i="7"/>
  <c r="P79" i="18" s="1"/>
  <c r="C62" i="7"/>
  <c r="C43" i="7"/>
  <c r="C48" i="18" s="1"/>
  <c r="J65" i="7"/>
  <c r="F36" i="7"/>
  <c r="P41" i="32" s="1"/>
  <c r="H96" i="8"/>
  <c r="H20" i="8"/>
  <c r="L81" i="7"/>
  <c r="P73" i="37"/>
  <c r="C73" i="37"/>
  <c r="C28" i="37"/>
  <c r="P28" i="37"/>
  <c r="L71" i="7"/>
  <c r="L63" i="7"/>
  <c r="E68" i="7"/>
  <c r="P73" i="35" s="1"/>
  <c r="E72" i="7"/>
  <c r="P77" i="35" s="1"/>
  <c r="G68" i="7"/>
  <c r="P73" i="34" s="1"/>
  <c r="P86" i="37"/>
  <c r="I78" i="7"/>
  <c r="D23" i="7"/>
  <c r="G21" i="7"/>
  <c r="P26" i="34" s="1"/>
  <c r="C23" i="7"/>
  <c r="C28" i="18" s="1"/>
  <c r="K21" i="7"/>
  <c r="L29" i="7"/>
  <c r="I39" i="7"/>
  <c r="H47" i="7"/>
  <c r="C52" i="33" s="1"/>
  <c r="E83" i="7"/>
  <c r="P88" i="35" s="1"/>
  <c r="L47" i="7"/>
  <c r="C72" i="7"/>
  <c r="C77" i="18" s="1"/>
  <c r="D72" i="7"/>
  <c r="P77" i="31" s="1"/>
  <c r="F63" i="7"/>
  <c r="C68" i="32" s="1"/>
  <c r="F78" i="7"/>
  <c r="J39" i="7"/>
  <c r="H83" i="7"/>
  <c r="C88" i="33" s="1"/>
  <c r="H42" i="7"/>
  <c r="C47" i="33" s="1"/>
  <c r="C71" i="7"/>
  <c r="P76" i="18" s="1"/>
  <c r="K29" i="7"/>
  <c r="L21" i="7"/>
  <c r="E21" i="7"/>
  <c r="P26" i="35" s="1"/>
  <c r="G29" i="7"/>
  <c r="P34" i="34" s="1"/>
  <c r="L78" i="7"/>
  <c r="K83" i="7"/>
  <c r="O72" i="7"/>
  <c r="C77" i="37" s="1"/>
  <c r="C70" i="32"/>
  <c r="H23" i="7"/>
  <c r="P28" i="33" s="1"/>
  <c r="G24" i="7"/>
  <c r="P29" i="34" s="1"/>
  <c r="J71" i="7"/>
  <c r="F26" i="7"/>
  <c r="C31" i="32" s="1"/>
  <c r="I26" i="7"/>
  <c r="C39" i="7"/>
  <c r="P44" i="18" s="1"/>
  <c r="H68" i="7"/>
  <c r="J47" i="7"/>
  <c r="E47" i="7"/>
  <c r="P52" i="35" s="1"/>
  <c r="I71" i="7"/>
  <c r="F47" i="7"/>
  <c r="C52" i="32" s="1"/>
  <c r="H60" i="7"/>
  <c r="C26" i="7"/>
  <c r="P31" i="18" s="1"/>
  <c r="D29" i="7"/>
  <c r="C34" i="35" s="1"/>
  <c r="J24" i="7"/>
  <c r="J83" i="7"/>
  <c r="J23" i="7"/>
  <c r="I23" i="7"/>
  <c r="C24" i="7"/>
  <c r="P29" i="18" s="1"/>
  <c r="C21" i="7"/>
  <c r="P26" i="18" s="1"/>
  <c r="K94" i="7"/>
  <c r="K78" i="7"/>
  <c r="K68" i="7"/>
  <c r="K51" i="7"/>
  <c r="K49" i="7"/>
  <c r="K45" i="7"/>
  <c r="K37" i="7"/>
  <c r="K35" i="7"/>
  <c r="K30" i="7"/>
  <c r="G23" i="7"/>
  <c r="P28" i="34" s="1"/>
  <c r="G35" i="7"/>
  <c r="P40" i="34" s="1"/>
  <c r="G39" i="7"/>
  <c r="P44" i="34" s="1"/>
  <c r="G47" i="7"/>
  <c r="P52" i="34" s="1"/>
  <c r="G63" i="7"/>
  <c r="P68" i="34" s="1"/>
  <c r="G71" i="7"/>
  <c r="P76" i="34" s="1"/>
  <c r="G75" i="7"/>
  <c r="P80" i="34" s="1"/>
  <c r="G79" i="7"/>
  <c r="P84" i="34" s="1"/>
  <c r="C70" i="34"/>
  <c r="G78" i="7"/>
  <c r="P83" i="34" s="1"/>
  <c r="H72" i="7"/>
  <c r="K23" i="7"/>
  <c r="D39" i="7"/>
  <c r="C44" i="31" s="1"/>
  <c r="O71" i="7"/>
  <c r="P76" i="37" s="1"/>
  <c r="H26" i="7"/>
  <c r="P31" i="33" s="1"/>
  <c r="C68" i="7"/>
  <c r="P73" i="18" s="1"/>
  <c r="O47" i="7"/>
  <c r="O40" i="7"/>
  <c r="P45" i="37" s="1"/>
  <c r="O78" i="7"/>
  <c r="I63" i="7"/>
  <c r="J63" i="7"/>
  <c r="D63" i="7"/>
  <c r="C68" i="35" s="1"/>
  <c r="C73" i="7"/>
  <c r="I24" i="7"/>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P35" i="18"/>
  <c r="C35" i="18"/>
  <c r="C45" i="32"/>
  <c r="C48" i="37"/>
  <c r="J82" i="7"/>
  <c r="O50" i="7"/>
  <c r="E82" i="7"/>
  <c r="P87" i="35" s="1"/>
  <c r="F58" i="7"/>
  <c r="C63" i="34" s="1"/>
  <c r="H40" i="7"/>
  <c r="P45" i="33" s="1"/>
  <c r="K27" i="7"/>
  <c r="O27" i="7"/>
  <c r="C32" i="37" s="1"/>
  <c r="D37" i="7"/>
  <c r="C42" i="35" s="1"/>
  <c r="I37" i="7"/>
  <c r="H16" i="7"/>
  <c r="K16" i="7"/>
  <c r="K17" i="7"/>
  <c r="D17" i="7"/>
  <c r="C22" i="31" s="1"/>
  <c r="F17" i="7"/>
  <c r="O17" i="7"/>
  <c r="C22" i="37" s="1"/>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O16" i="7"/>
  <c r="C21" i="37" s="1"/>
  <c r="J37" i="7"/>
  <c r="L27" i="7"/>
  <c r="F50" i="7"/>
  <c r="P55" i="32" s="1"/>
  <c r="O77" i="7"/>
  <c r="C29" i="31"/>
  <c r="C29" i="35"/>
  <c r="H37" i="7"/>
  <c r="C42" i="33" s="1"/>
  <c r="E27" i="7"/>
  <c r="P32" i="35" s="1"/>
  <c r="L85" i="7"/>
  <c r="C37" i="7"/>
  <c r="C42" i="18" s="1"/>
  <c r="I58" i="7"/>
  <c r="I73" i="7"/>
  <c r="G49" i="7"/>
  <c r="P54" i="34" s="1"/>
  <c r="O49" i="7"/>
  <c r="C54" i="37" s="1"/>
  <c r="J43" i="7"/>
  <c r="F43" i="7"/>
  <c r="K77" i="7"/>
  <c r="K54" i="7"/>
  <c r="K52" i="7"/>
  <c r="K40" i="7"/>
  <c r="E17" i="7"/>
  <c r="P22" i="35" s="1"/>
  <c r="E45" i="7"/>
  <c r="P50" i="35" s="1"/>
  <c r="E57" i="7"/>
  <c r="P62" i="35" s="1"/>
  <c r="E77" i="7"/>
  <c r="P82" i="35" s="1"/>
  <c r="G65" i="7"/>
  <c r="P70" i="34" s="1"/>
  <c r="P84" i="37"/>
  <c r="F82" i="7"/>
  <c r="H54" i="7"/>
  <c r="C49" i="7"/>
  <c r="C54" i="18" s="1"/>
  <c r="O85" i="7"/>
  <c r="P90" i="37" s="1"/>
  <c r="L75" i="7"/>
  <c r="C56" i="7"/>
  <c r="H57" i="7"/>
  <c r="C62" i="33" s="1"/>
  <c r="L62" i="7"/>
  <c r="O88" i="7"/>
  <c r="H46" i="7"/>
  <c r="C51" i="33" s="1"/>
  <c r="G46" i="7"/>
  <c r="P51" i="34" s="1"/>
  <c r="G17" i="7"/>
  <c r="P22" i="34" s="1"/>
  <c r="I16" i="7"/>
  <c r="G37" i="7"/>
  <c r="P42" i="34" s="1"/>
  <c r="G27" i="7"/>
  <c r="P32" i="34" s="1"/>
  <c r="G50" i="7"/>
  <c r="P55" i="34" s="1"/>
  <c r="F77" i="7"/>
  <c r="C82" i="34" s="1"/>
  <c r="H88" i="7"/>
  <c r="J46" i="7"/>
  <c r="L73" i="7"/>
  <c r="E43" i="7"/>
  <c r="P48" i="35" s="1"/>
  <c r="E85" i="7"/>
  <c r="P90" i="35" s="1"/>
  <c r="K50" i="7"/>
  <c r="J85" i="7"/>
  <c r="K85" i="7"/>
  <c r="D77" i="7"/>
  <c r="P82" i="31" s="1"/>
  <c r="C77" i="35"/>
  <c r="F56" i="7"/>
  <c r="C61" i="32" s="1"/>
  <c r="F74" i="7"/>
  <c r="F88" i="7"/>
  <c r="C93" i="32" s="1"/>
  <c r="F38" i="7"/>
  <c r="P43" i="32" s="1"/>
  <c r="F52" i="7"/>
  <c r="C57" i="34" s="1"/>
  <c r="F75" i="7"/>
  <c r="C80" i="32" s="1"/>
  <c r="F85" i="7"/>
  <c r="C90" i="32" s="1"/>
  <c r="H52" i="7"/>
  <c r="C40" i="7"/>
  <c r="C45" i="18" s="1"/>
  <c r="C16" i="7"/>
  <c r="C21" i="18" s="1"/>
  <c r="D40" i="7"/>
  <c r="C45" i="35" s="1"/>
  <c r="I65" i="7"/>
  <c r="I40" i="7"/>
  <c r="I62" i="7"/>
  <c r="I45" i="7"/>
  <c r="J49" i="7"/>
  <c r="D56" i="7"/>
  <c r="P61" i="31" s="1"/>
  <c r="D50" i="7"/>
  <c r="D30" i="7"/>
  <c r="P35" i="31" s="1"/>
  <c r="J40" i="7"/>
  <c r="E63" i="7"/>
  <c r="P68" i="35" s="1"/>
  <c r="O63" i="7"/>
  <c r="F68" i="7"/>
  <c r="L68" i="7"/>
  <c r="F39" i="7"/>
  <c r="P44" i="32" s="1"/>
  <c r="E39" i="7"/>
  <c r="P44" i="35" s="1"/>
  <c r="L39" i="7"/>
  <c r="O39" i="7"/>
  <c r="C44" i="37" s="1"/>
  <c r="J87" i="7"/>
  <c r="D27" i="7"/>
  <c r="P32" i="31" s="1"/>
  <c r="H29" i="7"/>
  <c r="C34" i="33" s="1"/>
  <c r="E29" i="7"/>
  <c r="P34" i="35" s="1"/>
  <c r="O29" i="7"/>
  <c r="E23" i="7"/>
  <c r="P28" i="35" s="1"/>
  <c r="F23" i="7"/>
  <c r="C28" i="34" s="1"/>
  <c r="L23" i="7"/>
  <c r="L83" i="7"/>
  <c r="G83" i="7"/>
  <c r="P88" i="34" s="1"/>
  <c r="O83" i="7"/>
  <c r="F51" i="7"/>
  <c r="P56" i="32" s="1"/>
  <c r="F16" i="7"/>
  <c r="C21" i="32" s="1"/>
  <c r="H71" i="7"/>
  <c r="C76" i="33" s="1"/>
  <c r="H45" i="7"/>
  <c r="C50" i="33" s="1"/>
  <c r="C79" i="7"/>
  <c r="C84" i="18" s="1"/>
  <c r="J36" i="7"/>
  <c r="I21" i="7"/>
  <c r="I74" i="7"/>
  <c r="I68" i="7"/>
  <c r="D52" i="7"/>
  <c r="C57" i="31" s="1"/>
  <c r="D47" i="7"/>
  <c r="D33" i="7"/>
  <c r="C38" i="35" s="1"/>
  <c r="D54" i="7"/>
  <c r="C59" i="31" s="1"/>
  <c r="J73" i="7"/>
  <c r="J56" i="7"/>
  <c r="H43" i="7"/>
  <c r="P48" i="33" s="1"/>
  <c r="C14" i="7"/>
  <c r="C19" i="18"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D75" i="39" s="1"/>
  <c r="H79" i="8"/>
  <c r="H82" i="8"/>
  <c r="H84" i="8"/>
  <c r="H86" i="8"/>
  <c r="H90" i="8"/>
  <c r="H92" i="8"/>
  <c r="Q84" i="40"/>
  <c r="Q20" i="32"/>
  <c r="E82" i="40"/>
  <c r="F82" i="40" s="1"/>
  <c r="R23" i="8"/>
  <c r="E24" i="18" s="1"/>
  <c r="Q82" i="18"/>
  <c r="Q52" i="33"/>
  <c r="R69" i="8"/>
  <c r="E70" i="33" s="1"/>
  <c r="Q96" i="32"/>
  <c r="Q96" i="31"/>
  <c r="R73" i="8"/>
  <c r="R55" i="8"/>
  <c r="H55" i="8"/>
  <c r="R59" i="8"/>
  <c r="Q60" i="40" s="1"/>
  <c r="H59" i="8"/>
  <c r="E82" i="36"/>
  <c r="J81" i="39" s="1"/>
  <c r="E82" i="18"/>
  <c r="Q82" i="33"/>
  <c r="E82" i="34"/>
  <c r="Q82" i="37"/>
  <c r="Q82" i="32"/>
  <c r="Q20" i="40"/>
  <c r="E82" i="32"/>
  <c r="H77" i="8"/>
  <c r="R77" i="8"/>
  <c r="R93" i="8"/>
  <c r="Q94" i="35" s="1"/>
  <c r="H93" i="8"/>
  <c r="Q82" i="34"/>
  <c r="E82" i="37"/>
  <c r="C81" i="39" s="1"/>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18"/>
  <c r="R76" i="18" s="1"/>
  <c r="E58" i="31"/>
  <c r="E35" i="18"/>
  <c r="E35" i="34"/>
  <c r="E35" i="33"/>
  <c r="E35" i="32"/>
  <c r="R85" i="8"/>
  <c r="H85" i="8"/>
  <c r="E35" i="40"/>
  <c r="F35" i="40" s="1"/>
  <c r="Q96" i="40"/>
  <c r="Q96" i="34"/>
  <c r="E96" i="36"/>
  <c r="J95" i="39" s="1"/>
  <c r="R89" i="8"/>
  <c r="R27" i="8"/>
  <c r="R53" i="8"/>
  <c r="H53" i="8"/>
  <c r="E83" i="32"/>
  <c r="Q96" i="33"/>
  <c r="Q96" i="37"/>
  <c r="E96" i="34"/>
  <c r="E52" i="34"/>
  <c r="Q82" i="40"/>
  <c r="E82" i="35"/>
  <c r="E82" i="31"/>
  <c r="Q82" i="35"/>
  <c r="Q82" i="31"/>
  <c r="E34" i="40"/>
  <c r="F34" i="40" s="1"/>
  <c r="Q92" i="34"/>
  <c r="H87" i="8"/>
  <c r="I88" i="7"/>
  <c r="P79" i="32"/>
  <c r="C79" i="34"/>
  <c r="C79" i="32"/>
  <c r="C83" i="34"/>
  <c r="P83" i="32"/>
  <c r="C67" i="32"/>
  <c r="P67" i="32"/>
  <c r="C67" i="34"/>
  <c r="P52" i="32"/>
  <c r="C42" i="34"/>
  <c r="C34" i="32"/>
  <c r="F46" i="7"/>
  <c r="E16" i="7"/>
  <c r="P21" i="35" s="1"/>
  <c r="E56" i="7"/>
  <c r="P61" i="35" s="1"/>
  <c r="O62" i="6"/>
  <c r="M63" i="7" s="1"/>
  <c r="O74" i="6"/>
  <c r="M75" i="7" s="1"/>
  <c r="O23" i="6"/>
  <c r="M24" i="7" s="1"/>
  <c r="J26" i="7"/>
  <c r="P61" i="33"/>
  <c r="C61" i="33"/>
  <c r="P82" i="33"/>
  <c r="C82" i="33"/>
  <c r="P88" i="33"/>
  <c r="P51" i="33"/>
  <c r="O89" i="6"/>
  <c r="M90" i="7" s="1"/>
  <c r="O76" i="6"/>
  <c r="M77" i="7" s="1"/>
  <c r="O82" i="6"/>
  <c r="M83" i="7" s="1"/>
  <c r="O30" i="6"/>
  <c r="M31" i="7" s="1"/>
  <c r="O24" i="6"/>
  <c r="M25" i="7" s="1"/>
  <c r="H15" i="7"/>
  <c r="C20" i="33" s="1"/>
  <c r="C79" i="33"/>
  <c r="O83" i="6"/>
  <c r="P83" i="6" s="1"/>
  <c r="O42" i="6"/>
  <c r="M43" i="7" s="1"/>
  <c r="O72" i="6"/>
  <c r="M73" i="7" s="1"/>
  <c r="D49" i="7"/>
  <c r="P54" i="31" s="1"/>
  <c r="P21" i="6"/>
  <c r="D81" i="39"/>
  <c r="P52" i="31"/>
  <c r="C52" i="35"/>
  <c r="C52" i="31"/>
  <c r="C88" i="31"/>
  <c r="P88" i="31"/>
  <c r="C88" i="35"/>
  <c r="D65" i="7"/>
  <c r="C70" i="31" s="1"/>
  <c r="C42" i="31"/>
  <c r="P42" i="31"/>
  <c r="O88" i="6"/>
  <c r="M89" i="7" s="1"/>
  <c r="O50" i="6"/>
  <c r="P50" i="6" s="1"/>
  <c r="O20" i="6"/>
  <c r="M21" i="7" s="1"/>
  <c r="O14" i="6"/>
  <c r="M15" i="7" s="1"/>
  <c r="C97" i="31"/>
  <c r="O64" i="6"/>
  <c r="M65" i="7" s="1"/>
  <c r="O31" i="6"/>
  <c r="M32" i="7" s="1"/>
  <c r="O49" i="6"/>
  <c r="M50" i="7" s="1"/>
  <c r="C62" i="18"/>
  <c r="P62" i="18"/>
  <c r="P78" i="18"/>
  <c r="C78" i="18"/>
  <c r="P67" i="18"/>
  <c r="C67" i="18"/>
  <c r="P23" i="6"/>
  <c r="C76" i="18"/>
  <c r="P8" i="6"/>
  <c r="O61" i="6"/>
  <c r="P61" i="6" s="1"/>
  <c r="O43" i="6"/>
  <c r="M44" i="7" s="1"/>
  <c r="O38" i="6"/>
  <c r="M39" i="7" s="1"/>
  <c r="O59" i="6"/>
  <c r="P59" i="6" s="1"/>
  <c r="O78" i="6"/>
  <c r="P78" i="6" s="1"/>
  <c r="O16" i="6"/>
  <c r="M17" i="7" s="1"/>
  <c r="O90" i="6"/>
  <c r="P90" i="6" s="1"/>
  <c r="O47" i="6"/>
  <c r="M48" i="7" s="1"/>
  <c r="O52" i="6"/>
  <c r="P52" i="6" s="1"/>
  <c r="O32" i="6"/>
  <c r="M33" i="7" s="1"/>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M14" i="7" s="1"/>
  <c r="O25" i="6"/>
  <c r="M26" i="7" s="1"/>
  <c r="O39" i="6"/>
  <c r="P39" i="6" s="1"/>
  <c r="O56" i="6"/>
  <c r="M57" i="7" s="1"/>
  <c r="O53" i="6"/>
  <c r="M54" i="7" s="1"/>
  <c r="O37" i="6"/>
  <c r="M38" i="7" s="1"/>
  <c r="O29" i="6"/>
  <c r="P29" i="6" s="1"/>
  <c r="O15" i="6"/>
  <c r="M16" i="7" s="1"/>
  <c r="O41" i="6"/>
  <c r="M42" i="7" s="1"/>
  <c r="O65" i="6"/>
  <c r="M66" i="7" s="1"/>
  <c r="O71" i="6"/>
  <c r="P71" i="6" s="1"/>
  <c r="O68" i="6"/>
  <c r="P68" i="6" s="1"/>
  <c r="O45" i="6"/>
  <c r="M46" i="7" s="1"/>
  <c r="O28" i="6"/>
  <c r="O75" i="6"/>
  <c r="P75" i="6" s="1"/>
  <c r="C88" i="18"/>
  <c r="P86" i="18"/>
  <c r="C86" i="18"/>
  <c r="C50" i="7"/>
  <c r="C55" i="18" s="1"/>
  <c r="O19" i="6"/>
  <c r="P19" i="6" s="1"/>
  <c r="O58" i="6"/>
  <c r="M59" i="7" s="1"/>
  <c r="O27" i="6"/>
  <c r="M28" i="7" s="1"/>
  <c r="O67" i="6"/>
  <c r="M68" i="7" s="1"/>
  <c r="O69" i="6"/>
  <c r="M70" i="7" s="1"/>
  <c r="O92" i="6"/>
  <c r="M93" i="7" s="1"/>
  <c r="O44" i="6"/>
  <c r="M45" i="7" s="1"/>
  <c r="O93" i="6"/>
  <c r="P93" i="6" s="1"/>
  <c r="O35" i="6"/>
  <c r="P35" i="6" s="1"/>
  <c r="O79" i="6"/>
  <c r="P79" i="6" s="1"/>
  <c r="O63" i="6"/>
  <c r="M64" i="7" s="1"/>
  <c r="P72" i="6"/>
  <c r="P26" i="37"/>
  <c r="C22" i="33"/>
  <c r="P22" i="18"/>
  <c r="C59" i="18"/>
  <c r="P59" i="18"/>
  <c r="P65" i="33"/>
  <c r="C65" i="33"/>
  <c r="C55" i="31"/>
  <c r="C55" i="35"/>
  <c r="P55" i="31"/>
  <c r="P82" i="37"/>
  <c r="D19" i="7"/>
  <c r="C19" i="7"/>
  <c r="C24" i="18" s="1"/>
  <c r="K19" i="7"/>
  <c r="E19" i="7"/>
  <c r="P24" i="35" s="1"/>
  <c r="J19" i="7"/>
  <c r="F19" i="7"/>
  <c r="O19" i="7"/>
  <c r="H19" i="7"/>
  <c r="F14" i="7"/>
  <c r="C19" i="34" s="1"/>
  <c r="O14" i="7"/>
  <c r="E14" i="7"/>
  <c r="P19" i="35" s="1"/>
  <c r="G14" i="7"/>
  <c r="P19" i="34" s="1"/>
  <c r="L14" i="7"/>
  <c r="K14" i="7"/>
  <c r="I22" i="7"/>
  <c r="E22" i="7"/>
  <c r="P27" i="35" s="1"/>
  <c r="K22" i="7"/>
  <c r="D22" i="7"/>
  <c r="L22" i="7"/>
  <c r="J22" i="7"/>
  <c r="O22" i="7"/>
  <c r="H22" i="7"/>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O20" i="7"/>
  <c r="E20" i="7"/>
  <c r="P25" i="35" s="1"/>
  <c r="J20" i="7"/>
  <c r="C20" i="7"/>
  <c r="F20" i="7"/>
  <c r="C25" i="32" s="1"/>
  <c r="H20" i="7"/>
  <c r="G20" i="7"/>
  <c r="P25" i="34" s="1"/>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P33" i="32"/>
  <c r="C33" i="34"/>
  <c r="G19" i="7"/>
  <c r="P24" i="34" s="1"/>
  <c r="G84" i="7"/>
  <c r="P89" i="34" s="1"/>
  <c r="C87" i="7"/>
  <c r="K59" i="7"/>
  <c r="D20"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E25" i="7"/>
  <c r="P30" i="35" s="1"/>
  <c r="J25" i="7"/>
  <c r="F25" i="7"/>
  <c r="C30" i="34" s="1"/>
  <c r="H25" i="7"/>
  <c r="P30" i="33" s="1"/>
  <c r="O55" i="7"/>
  <c r="G55" i="7"/>
  <c r="P60" i="34" s="1"/>
  <c r="D55" i="7"/>
  <c r="C60" i="31" s="1"/>
  <c r="I55" i="7"/>
  <c r="E55" i="7"/>
  <c r="P60" i="35" s="1"/>
  <c r="K55" i="7"/>
  <c r="F55" i="7"/>
  <c r="L55" i="7"/>
  <c r="K60" i="7"/>
  <c r="E60" i="7"/>
  <c r="P65" i="35" s="1"/>
  <c r="G60" i="7"/>
  <c r="P65" i="34" s="1"/>
  <c r="I60" i="7"/>
  <c r="L60" i="7"/>
  <c r="O60" i="7"/>
  <c r="F31" i="7"/>
  <c r="P36" i="32" s="1"/>
  <c r="E31" i="7"/>
  <c r="P36" i="35" s="1"/>
  <c r="G31" i="7"/>
  <c r="P36" i="34" s="1"/>
  <c r="H31" i="7"/>
  <c r="C36" i="33" s="1"/>
  <c r="O31"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J18" i="7"/>
  <c r="I18" i="7"/>
  <c r="E18" i="7"/>
  <c r="P23" i="35" s="1"/>
  <c r="C18" i="7"/>
  <c r="G18" i="7"/>
  <c r="P23" i="34" s="1"/>
  <c r="D18" i="7"/>
  <c r="C23" i="31" s="1"/>
  <c r="O18" i="7"/>
  <c r="H18" i="7"/>
  <c r="E44" i="7"/>
  <c r="P49" i="35" s="1"/>
  <c r="O44" i="7"/>
  <c r="L44" i="7"/>
  <c r="F44" i="7"/>
  <c r="C49" i="32" s="1"/>
  <c r="G44" i="7"/>
  <c r="P49" i="34" s="1"/>
  <c r="H44" i="7"/>
  <c r="C49" i="33" s="1"/>
  <c r="C44" i="7"/>
  <c r="C49" i="18" s="1"/>
  <c r="D66" i="7"/>
  <c r="C71" i="35" s="1"/>
  <c r="I66" i="7"/>
  <c r="J66" i="7"/>
  <c r="F66" i="7"/>
  <c r="K66" i="7"/>
  <c r="G66" i="7"/>
  <c r="P71" i="34" s="1"/>
  <c r="L66" i="7"/>
  <c r="H66" i="7"/>
  <c r="O66" i="7"/>
  <c r="E94" i="7"/>
  <c r="P99" i="35" s="1"/>
  <c r="I94" i="7"/>
  <c r="H94" i="7"/>
  <c r="F94" i="7"/>
  <c r="K93" i="7"/>
  <c r="K67" i="7"/>
  <c r="K61" i="7"/>
  <c r="I32" i="7"/>
  <c r="H32" i="7"/>
  <c r="P37" i="33" s="1"/>
  <c r="C82" i="37"/>
  <c r="C82" i="31"/>
  <c r="P47" i="33"/>
  <c r="G94" i="7"/>
  <c r="P99" i="34" s="1"/>
  <c r="O90" i="7"/>
  <c r="P54" i="37"/>
  <c r="C31" i="7"/>
  <c r="G25" i="7"/>
  <c r="P30" i="34" s="1"/>
  <c r="C66" i="7"/>
  <c r="J61" i="7"/>
  <c r="O38" i="7"/>
  <c r="P68" i="37"/>
  <c r="C68" i="37"/>
  <c r="C38" i="7"/>
  <c r="O36" i="7"/>
  <c r="P41" i="37" s="1"/>
  <c r="P83" i="18"/>
  <c r="C83" i="18"/>
  <c r="C53" i="33"/>
  <c r="P53" i="33"/>
  <c r="I64" i="7"/>
  <c r="J67" i="7"/>
  <c r="I14" i="7"/>
  <c r="C59" i="37"/>
  <c r="P59" i="37"/>
  <c r="F41" i="7"/>
  <c r="J41" i="7"/>
  <c r="K18" i="7"/>
  <c r="I86" i="7"/>
  <c r="L90" i="7"/>
  <c r="C81" i="33"/>
  <c r="J31" i="7"/>
  <c r="C77" i="33"/>
  <c r="P77" i="33"/>
  <c r="H55" i="7"/>
  <c r="C60" i="33" s="1"/>
  <c r="G70" i="7"/>
  <c r="P75" i="34" s="1"/>
  <c r="G53" i="7"/>
  <c r="P58" i="34" s="1"/>
  <c r="P70" i="37"/>
  <c r="C70" i="37"/>
  <c r="K20" i="7"/>
  <c r="J44" i="7"/>
  <c r="C40" i="34"/>
  <c r="P40" i="32"/>
  <c r="O61" i="7"/>
  <c r="L19" i="7"/>
  <c r="D41" i="7"/>
  <c r="O91" i="7"/>
  <c r="F22" i="7"/>
  <c r="P53" i="18"/>
  <c r="C53" i="18"/>
  <c r="L67" i="7"/>
  <c r="E66" i="7"/>
  <c r="P71" i="35" s="1"/>
  <c r="O15" i="7"/>
  <c r="P20" i="37" s="1"/>
  <c r="C52" i="18"/>
  <c r="M22" i="7"/>
  <c r="F64" i="7"/>
  <c r="O80" i="7"/>
  <c r="C59" i="33"/>
  <c r="P59" i="33"/>
  <c r="P38" i="31"/>
  <c r="P50" i="33"/>
  <c r="C80" i="34"/>
  <c r="C78" i="31"/>
  <c r="C86" i="34"/>
  <c r="P86" i="32"/>
  <c r="C86" i="32"/>
  <c r="C62" i="35"/>
  <c r="C62" i="31"/>
  <c r="H14" i="7"/>
  <c r="C51" i="7"/>
  <c r="J86" i="7"/>
  <c r="I20" i="7"/>
  <c r="M37" i="7"/>
  <c r="E37" i="7"/>
  <c r="P42" i="35" s="1"/>
  <c r="E40" i="7"/>
  <c r="P45" i="35" s="1"/>
  <c r="H89" i="7"/>
  <c r="C94" i="33" s="1"/>
  <c r="E89" i="7"/>
  <c r="P94" i="35" s="1"/>
  <c r="L92" i="7"/>
  <c r="I92" i="7"/>
  <c r="F92" i="7"/>
  <c r="L28" i="7"/>
  <c r="H28" i="7"/>
  <c r="E88" i="7"/>
  <c r="P93" i="35" s="1"/>
  <c r="H24" i="7"/>
  <c r="P29" i="33" s="1"/>
  <c r="D43" i="7"/>
  <c r="P48" i="31" s="1"/>
  <c r="I35" i="7"/>
  <c r="O37" i="7"/>
  <c r="D46" i="7"/>
  <c r="C51" i="31" s="1"/>
  <c r="F89" i="7"/>
  <c r="F18" i="7"/>
  <c r="H67" i="7"/>
  <c r="C72" i="33" s="1"/>
  <c r="I90" i="7"/>
  <c r="D88" i="7"/>
  <c r="J28" i="7"/>
  <c r="J60" i="7"/>
  <c r="E73" i="7"/>
  <c r="P78" i="35" s="1"/>
  <c r="G73" i="7"/>
  <c r="P78" i="34" s="1"/>
  <c r="F73" i="7"/>
  <c r="H33" i="7"/>
  <c r="E33" i="7"/>
  <c r="P38" i="35" s="1"/>
  <c r="C93" i="7"/>
  <c r="F93" i="7"/>
  <c r="C98" i="32" s="1"/>
  <c r="F90" i="7"/>
  <c r="P95" i="32" s="1"/>
  <c r="I81" i="7"/>
  <c r="I34" i="7"/>
  <c r="C22" i="7"/>
  <c r="J14" i="7"/>
  <c r="D44" i="7"/>
  <c r="K64" i="7"/>
  <c r="P39" i="37"/>
  <c r="C35" i="31"/>
  <c r="P29" i="31"/>
  <c r="C34" i="34"/>
  <c r="C33" i="37"/>
  <c r="C39" i="32"/>
  <c r="C33" i="32"/>
  <c r="C29" i="34"/>
  <c r="P34" i="18"/>
  <c r="P35" i="32"/>
  <c r="B20" i="32"/>
  <c r="O20" i="35"/>
  <c r="B20" i="40"/>
  <c r="O20" i="37"/>
  <c r="B20" i="36"/>
  <c r="O20" i="18"/>
  <c r="B20" i="37"/>
  <c r="B20" i="34"/>
  <c r="B20" i="31"/>
  <c r="O20" i="40"/>
  <c r="O20" i="32"/>
  <c r="O20" i="36"/>
  <c r="B20" i="35"/>
  <c r="O20" i="34"/>
  <c r="B20" i="18"/>
  <c r="P54" i="18"/>
  <c r="P80" i="32"/>
  <c r="P80" i="18"/>
  <c r="P28" i="31"/>
  <c r="P84" i="31"/>
  <c r="C84" i="35"/>
  <c r="C21" i="31"/>
  <c r="P21" i="31"/>
  <c r="C55" i="33"/>
  <c r="P55" i="33"/>
  <c r="P55" i="18"/>
  <c r="C80" i="33"/>
  <c r="P80" i="33"/>
  <c r="C41" i="32"/>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O25" i="7"/>
  <c r="L25" i="7"/>
  <c r="C25" i="7"/>
  <c r="K25" i="7"/>
  <c r="D25" i="7"/>
  <c r="C30" i="35" s="1"/>
  <c r="E91" i="7"/>
  <c r="P96" i="35" s="1"/>
  <c r="K91" i="7"/>
  <c r="C91" i="7"/>
  <c r="P96" i="18" s="1"/>
  <c r="I91" i="7"/>
  <c r="R24" i="8"/>
  <c r="H24" i="8"/>
  <c r="H25" i="8"/>
  <c r="H26" i="8"/>
  <c r="R58" i="8"/>
  <c r="H58" i="8"/>
  <c r="Q61" i="35"/>
  <c r="H60" i="8"/>
  <c r="H61" i="8"/>
  <c r="R80" i="8"/>
  <c r="H80" i="8"/>
  <c r="H81" i="8"/>
  <c r="E83" i="37"/>
  <c r="C82" i="39" s="1"/>
  <c r="Q83" i="33"/>
  <c r="P53" i="31"/>
  <c r="C53" i="31"/>
  <c r="C89" i="33"/>
  <c r="C63" i="33"/>
  <c r="P63" i="33"/>
  <c r="H78" i="7"/>
  <c r="D14" i="7"/>
  <c r="D68" i="7"/>
  <c r="F54" i="7"/>
  <c r="D62" i="7"/>
  <c r="J62" i="7"/>
  <c r="K62" i="7"/>
  <c r="H62" i="7"/>
  <c r="J76" i="7"/>
  <c r="C76" i="7"/>
  <c r="P81" i="18" s="1"/>
  <c r="F76" i="7"/>
  <c r="C81" i="34" s="1"/>
  <c r="I76" i="7"/>
  <c r="D76" i="7"/>
  <c r="C81" i="31" s="1"/>
  <c r="F49" i="7"/>
  <c r="H49" i="7"/>
  <c r="P54" i="33" s="1"/>
  <c r="E49" i="7"/>
  <c r="P54" i="35" s="1"/>
  <c r="O57" i="7"/>
  <c r="K57" i="7"/>
  <c r="J57" i="7"/>
  <c r="C28" i="7"/>
  <c r="C52" i="7"/>
  <c r="C89" i="7"/>
  <c r="C67" i="7"/>
  <c r="C55" i="7"/>
  <c r="AE29" i="5"/>
  <c r="E99" i="36"/>
  <c r="J98" i="39" s="1"/>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L32" i="7"/>
  <c r="G32" i="7"/>
  <c r="P37" i="34" s="1"/>
  <c r="J32" i="7"/>
  <c r="F32" i="7"/>
  <c r="P37" i="32" s="1"/>
  <c r="O32" i="7"/>
  <c r="C32" i="7"/>
  <c r="K32" i="7"/>
  <c r="D32" i="7"/>
  <c r="E32" i="7"/>
  <c r="P37" i="35" s="1"/>
  <c r="L15" i="7"/>
  <c r="G15" i="7"/>
  <c r="P20" i="34" s="1"/>
  <c r="K15" i="7"/>
  <c r="C15" i="7"/>
  <c r="D15" i="7"/>
  <c r="F15" i="7"/>
  <c r="J15" i="7"/>
  <c r="I15" i="7"/>
  <c r="E15" i="7"/>
  <c r="P20" i="35" s="1"/>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F27" i="7"/>
  <c r="J27" i="7"/>
  <c r="H27" i="7"/>
  <c r="C27" i="7"/>
  <c r="K71" i="7"/>
  <c r="F71" i="7"/>
  <c r="P76" i="32" s="1"/>
  <c r="G69" i="7"/>
  <c r="P74" i="34" s="1"/>
  <c r="J69" i="7"/>
  <c r="M69" i="7"/>
  <c r="L69" i="7"/>
  <c r="D69" i="7"/>
  <c r="P74" i="31" s="1"/>
  <c r="C69" i="7"/>
  <c r="O69" i="7"/>
  <c r="J33" i="7"/>
  <c r="O33" i="7"/>
  <c r="D74" i="7"/>
  <c r="J74" i="7"/>
  <c r="I48" i="7"/>
  <c r="J45" i="7"/>
  <c r="C45" i="7"/>
  <c r="C50" i="18" s="1"/>
  <c r="D45" i="7"/>
  <c r="J52" i="7"/>
  <c r="F60" i="7"/>
  <c r="D60" i="7"/>
  <c r="C60" i="7"/>
  <c r="D85" i="7"/>
  <c r="C85" i="7"/>
  <c r="P90" i="18" s="1"/>
  <c r="K31" i="7"/>
  <c r="D31" i="7"/>
  <c r="I31" i="7"/>
  <c r="L31" i="7"/>
  <c r="J72" i="7"/>
  <c r="F72" i="7"/>
  <c r="K72" i="7"/>
  <c r="I72" i="7"/>
  <c r="I36" i="7"/>
  <c r="H36" i="7"/>
  <c r="C41" i="33" s="1"/>
  <c r="D21" i="7"/>
  <c r="J21" i="7"/>
  <c r="F21" i="7"/>
  <c r="O30" i="7"/>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90" i="39" s="1"/>
  <c r="W8" i="36"/>
  <c r="K8" i="36"/>
  <c r="W6" i="35"/>
  <c r="H10" i="39"/>
  <c r="R17" i="4"/>
  <c r="W8" i="18"/>
  <c r="K8" i="18"/>
  <c r="W9" i="34"/>
  <c r="W12" i="34"/>
  <c r="W10" i="34"/>
  <c r="F82" i="33"/>
  <c r="H81" i="39"/>
  <c r="K10" i="31"/>
  <c r="K12" i="31"/>
  <c r="K9" i="31"/>
  <c r="W12" i="33"/>
  <c r="W10" i="33"/>
  <c r="D12" i="39"/>
  <c r="W6" i="34"/>
  <c r="K98" i="39"/>
  <c r="K66" i="39"/>
  <c r="K34" i="39"/>
  <c r="K75" i="39"/>
  <c r="K43" i="39"/>
  <c r="K9" i="18"/>
  <c r="C31" i="35"/>
  <c r="C29" i="32"/>
  <c r="C45" i="31"/>
  <c r="P51" i="18"/>
  <c r="P93" i="32"/>
  <c r="P33" i="31"/>
  <c r="P86" i="31"/>
  <c r="C88" i="32"/>
  <c r="C83" i="32"/>
  <c r="P76" i="33"/>
  <c r="P88" i="18"/>
  <c r="C86" i="35"/>
  <c r="C97" i="18"/>
  <c r="C33" i="31"/>
  <c r="C35" i="33"/>
  <c r="C93" i="34"/>
  <c r="C68" i="18"/>
  <c r="P77" i="18"/>
  <c r="P82" i="18"/>
  <c r="P31" i="31"/>
  <c r="P90" i="32"/>
  <c r="P48" i="18"/>
  <c r="C58" i="33"/>
  <c r="C94" i="31"/>
  <c r="P85" i="32"/>
  <c r="C63" i="37"/>
  <c r="P78" i="31"/>
  <c r="P68" i="32"/>
  <c r="C82" i="35"/>
  <c r="P94" i="31"/>
  <c r="C90" i="34"/>
  <c r="P41" i="31"/>
  <c r="C41" i="35"/>
  <c r="P63" i="32"/>
  <c r="C63" i="32"/>
  <c r="P21" i="18" l="1"/>
  <c r="P22" i="31"/>
  <c r="C29" i="37"/>
  <c r="C26" i="18"/>
  <c r="P21" i="37"/>
  <c r="C19" i="32"/>
  <c r="P26" i="33"/>
  <c r="H25" i="39"/>
  <c r="C31" i="18"/>
  <c r="P31" i="37"/>
  <c r="C32" i="35"/>
  <c r="C28" i="33"/>
  <c r="D34" i="39"/>
  <c r="C48" i="35"/>
  <c r="C31" i="34"/>
  <c r="C32" i="31"/>
  <c r="C45" i="33"/>
  <c r="P42" i="18"/>
  <c r="C41" i="34"/>
  <c r="P41" i="33"/>
  <c r="C31" i="33"/>
  <c r="P31" i="32"/>
  <c r="C50" i="32"/>
  <c r="P88" i="32"/>
  <c r="C62" i="34"/>
  <c r="C73" i="18"/>
  <c r="P78" i="33"/>
  <c r="C50" i="34"/>
  <c r="C64" i="33"/>
  <c r="C95" i="32"/>
  <c r="C79" i="18"/>
  <c r="P62" i="32"/>
  <c r="P32" i="37"/>
  <c r="C30" i="32"/>
  <c r="P28" i="18"/>
  <c r="P22" i="37"/>
  <c r="E32" i="36"/>
  <c r="J31" i="39" s="1"/>
  <c r="P45" i="31"/>
  <c r="P38" i="32"/>
  <c r="C39" i="35"/>
  <c r="C38" i="31"/>
  <c r="C48" i="33"/>
  <c r="P38" i="18"/>
  <c r="C38" i="32"/>
  <c r="H34" i="39"/>
  <c r="P34" i="33"/>
  <c r="P44" i="33"/>
  <c r="C35" i="35"/>
  <c r="F35" i="35" s="1"/>
  <c r="C34" i="31"/>
  <c r="P28" i="32"/>
  <c r="C45" i="34"/>
  <c r="C28" i="32"/>
  <c r="C44" i="18"/>
  <c r="B20" i="33"/>
  <c r="B16" i="7"/>
  <c r="O20" i="33"/>
  <c r="O20" i="31"/>
  <c r="F88" i="31"/>
  <c r="G88" i="31" s="1"/>
  <c r="H69" i="39"/>
  <c r="C53" i="34"/>
  <c r="P53" i="32"/>
  <c r="C53" i="32"/>
  <c r="C61" i="37"/>
  <c r="P61" i="37"/>
  <c r="K19" i="39"/>
  <c r="K51" i="39"/>
  <c r="K83" i="39"/>
  <c r="K42" i="39"/>
  <c r="K74" i="39"/>
  <c r="M76" i="7"/>
  <c r="P82" i="6"/>
  <c r="R82" i="31"/>
  <c r="Q58" i="35"/>
  <c r="E76" i="31"/>
  <c r="Q20" i="31"/>
  <c r="E83" i="40"/>
  <c r="F83" i="40" s="1"/>
  <c r="Q34" i="40"/>
  <c r="P79" i="37"/>
  <c r="C79" i="37"/>
  <c r="K59" i="39"/>
  <c r="K82" i="39"/>
  <c r="P76" i="6"/>
  <c r="Q58" i="37"/>
  <c r="K27" i="39"/>
  <c r="K91" i="39"/>
  <c r="K50" i="39"/>
  <c r="K35" i="39"/>
  <c r="K67" i="39"/>
  <c r="K26" i="39"/>
  <c r="K58" i="39"/>
  <c r="M94" i="7"/>
  <c r="E83" i="31"/>
  <c r="E68" i="36"/>
  <c r="J67" i="39" s="1"/>
  <c r="Q76" i="33"/>
  <c r="E52" i="33"/>
  <c r="P67" i="37"/>
  <c r="C35" i="32"/>
  <c r="F35" i="32" s="1"/>
  <c r="C35" i="34"/>
  <c r="F35" i="34" s="1"/>
  <c r="P73" i="33"/>
  <c r="C73" i="33"/>
  <c r="P68" i="31"/>
  <c r="F82" i="34"/>
  <c r="H82" i="34" s="1"/>
  <c r="C52" i="34"/>
  <c r="C52" i="37"/>
  <c r="P52" i="37"/>
  <c r="R52" i="37" s="1"/>
  <c r="C69" i="18"/>
  <c r="C68" i="31"/>
  <c r="P44" i="31"/>
  <c r="P96" i="32"/>
  <c r="P34" i="31"/>
  <c r="C61" i="34"/>
  <c r="C43" i="32"/>
  <c r="C61" i="31"/>
  <c r="C92" i="33"/>
  <c r="C56" i="34"/>
  <c r="C90" i="37"/>
  <c r="C56" i="32"/>
  <c r="P52" i="33"/>
  <c r="R52" i="33" s="1"/>
  <c r="T52" i="33" s="1"/>
  <c r="P42" i="33"/>
  <c r="C68" i="34"/>
  <c r="F52" i="34"/>
  <c r="H52" i="34" s="1"/>
  <c r="D35" i="39"/>
  <c r="P57" i="31"/>
  <c r="P44" i="37"/>
  <c r="P20" i="33"/>
  <c r="P59" i="31"/>
  <c r="C44" i="35"/>
  <c r="C92" i="34"/>
  <c r="C82" i="32"/>
  <c r="F82" i="32" s="1"/>
  <c r="C39" i="31"/>
  <c r="C29" i="18"/>
  <c r="C37" i="33"/>
  <c r="C77" i="31"/>
  <c r="C55" i="32"/>
  <c r="H51" i="39"/>
  <c r="C83" i="37"/>
  <c r="P83" i="37"/>
  <c r="C28" i="31"/>
  <c r="C28" i="35"/>
  <c r="R82" i="37"/>
  <c r="P98" i="32"/>
  <c r="P49" i="33"/>
  <c r="F68" i="34"/>
  <c r="G68" i="34" s="1"/>
  <c r="C51" i="39"/>
  <c r="C45" i="37"/>
  <c r="C76" i="37"/>
  <c r="F76" i="37" s="1"/>
  <c r="H76" i="37" s="1"/>
  <c r="Q35" i="33"/>
  <c r="R35" i="33" s="1"/>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R96" i="18"/>
  <c r="Q35" i="18"/>
  <c r="R35" i="18" s="1"/>
  <c r="Q35" i="35"/>
  <c r="E68" i="31"/>
  <c r="E35" i="35"/>
  <c r="Q96" i="36"/>
  <c r="R96" i="36" s="1"/>
  <c r="Q35" i="31"/>
  <c r="R35" i="31" s="1"/>
  <c r="Q96" i="18"/>
  <c r="E96" i="40"/>
  <c r="F96" i="40" s="1"/>
  <c r="E35" i="36"/>
  <c r="J34" i="39" s="1"/>
  <c r="Q76" i="36"/>
  <c r="R76" i="36" s="1"/>
  <c r="E96" i="35"/>
  <c r="Q20" i="33"/>
  <c r="E96" i="37"/>
  <c r="E61" i="18"/>
  <c r="D60" i="39" s="1"/>
  <c r="Q70" i="36"/>
  <c r="R70" i="36" s="1"/>
  <c r="Q92" i="32"/>
  <c r="Q32" i="33"/>
  <c r="Q32" i="37"/>
  <c r="R32" i="37" s="1"/>
  <c r="T32" i="37" s="1"/>
  <c r="Q32" i="31"/>
  <c r="Q80" i="31"/>
  <c r="E32" i="40"/>
  <c r="F32" i="40" s="1"/>
  <c r="Q53" i="33"/>
  <c r="R53" i="33" s="1"/>
  <c r="S53" i="33" s="1"/>
  <c r="Q61" i="31"/>
  <c r="R61" i="31" s="1"/>
  <c r="E94" i="32"/>
  <c r="Q61" i="40"/>
  <c r="Q36" i="33"/>
  <c r="E36" i="33"/>
  <c r="F36" i="33" s="1"/>
  <c r="Q36" i="40"/>
  <c r="R36" i="40" s="1"/>
  <c r="Q64" i="31"/>
  <c r="Q61" i="32"/>
  <c r="E61" i="37"/>
  <c r="E94" i="40"/>
  <c r="F94" i="40" s="1"/>
  <c r="Q80" i="34"/>
  <c r="R80" i="34" s="1"/>
  <c r="Q32" i="36"/>
  <c r="R32" i="36" s="1"/>
  <c r="E61" i="32"/>
  <c r="F61" i="32" s="1"/>
  <c r="E32" i="34"/>
  <c r="G31" i="39" s="1"/>
  <c r="E32" i="31"/>
  <c r="F31" i="39" s="1"/>
  <c r="Q64" i="36"/>
  <c r="R64" i="36" s="1"/>
  <c r="E61" i="36"/>
  <c r="J60" i="39" s="1"/>
  <c r="Q69" i="32"/>
  <c r="Q61" i="33"/>
  <c r="R61" i="33" s="1"/>
  <c r="T61" i="33" s="1"/>
  <c r="Q61" i="36"/>
  <c r="R61" i="36" s="1"/>
  <c r="E32" i="32"/>
  <c r="E26" i="32"/>
  <c r="E61" i="33"/>
  <c r="H60" i="39" s="1"/>
  <c r="Q32" i="35"/>
  <c r="R32" i="35" s="1"/>
  <c r="E32" i="35"/>
  <c r="E61" i="31"/>
  <c r="F60" i="39" s="1"/>
  <c r="R76" i="33"/>
  <c r="T76" i="33" s="1"/>
  <c r="Q61" i="18"/>
  <c r="Q61" i="34"/>
  <c r="Q61" i="37"/>
  <c r="R61" i="37" s="1"/>
  <c r="S61" i="37" s="1"/>
  <c r="E52" i="40"/>
  <c r="F52" i="40" s="1"/>
  <c r="Q32" i="32"/>
  <c r="E61" i="35"/>
  <c r="E32" i="18"/>
  <c r="D31" i="39" s="1"/>
  <c r="E61" i="34"/>
  <c r="F61" i="34" s="1"/>
  <c r="G61" i="34" s="1"/>
  <c r="Q32" i="18"/>
  <c r="E68" i="40"/>
  <c r="E32" i="37"/>
  <c r="C31" i="39" s="1"/>
  <c r="Q32" i="40"/>
  <c r="R32" i="40" s="1"/>
  <c r="Q76" i="40"/>
  <c r="E76" i="40"/>
  <c r="L75" i="39" s="1"/>
  <c r="Q36" i="36"/>
  <c r="R36" i="36" s="1"/>
  <c r="Q36" i="31"/>
  <c r="E36" i="31"/>
  <c r="F35" i="39" s="1"/>
  <c r="E22" i="35"/>
  <c r="E68" i="32"/>
  <c r="F68" i="32" s="1"/>
  <c r="Q52" i="35"/>
  <c r="R52" i="35" s="1"/>
  <c r="E20" i="34"/>
  <c r="G19" i="39" s="1"/>
  <c r="E32" i="33"/>
  <c r="E22" i="40"/>
  <c r="M21" i="39" s="1"/>
  <c r="E19" i="31"/>
  <c r="F18" i="39" s="1"/>
  <c r="Q52" i="18"/>
  <c r="R52" i="18" s="1"/>
  <c r="Q52" i="40"/>
  <c r="R52" i="40" s="1"/>
  <c r="Q68" i="33"/>
  <c r="E68" i="35"/>
  <c r="F68" i="35" s="1"/>
  <c r="G68" i="35" s="1"/>
  <c r="Q68" i="36"/>
  <c r="R68" i="36" s="1"/>
  <c r="Q68" i="18"/>
  <c r="R68" i="18" s="1"/>
  <c r="E53" i="37"/>
  <c r="Q94" i="31"/>
  <c r="Q52" i="34"/>
  <c r="Q68" i="32"/>
  <c r="Q68" i="31"/>
  <c r="Q68" i="34"/>
  <c r="R68" i="34" s="1"/>
  <c r="E76" i="37"/>
  <c r="C75" i="39" s="1"/>
  <c r="Q76" i="31"/>
  <c r="R76" i="31" s="1"/>
  <c r="E76" i="34"/>
  <c r="G75" i="39" s="1"/>
  <c r="Q22" i="35"/>
  <c r="R22" i="35" s="1"/>
  <c r="E20" i="36"/>
  <c r="J19" i="39" s="1"/>
  <c r="E52" i="36"/>
  <c r="Q20" i="34"/>
  <c r="R20" i="34" s="1"/>
  <c r="E20" i="35"/>
  <c r="Q76" i="34"/>
  <c r="E76" i="33"/>
  <c r="Q76" i="37"/>
  <c r="R76" i="37" s="1"/>
  <c r="S76" i="37" s="1"/>
  <c r="E22" i="31"/>
  <c r="F21" i="39" s="1"/>
  <c r="Q52" i="31"/>
  <c r="R52" i="31" s="1"/>
  <c r="T52" i="31" s="1"/>
  <c r="Q20" i="18"/>
  <c r="Q20" i="35"/>
  <c r="R20" i="35" s="1"/>
  <c r="F83" i="32"/>
  <c r="F76" i="40"/>
  <c r="E72" i="34"/>
  <c r="G71" i="39" s="1"/>
  <c r="E22" i="36"/>
  <c r="J21" i="39" s="1"/>
  <c r="E22" i="37"/>
  <c r="C21" i="39" s="1"/>
  <c r="Q22" i="40"/>
  <c r="R22" i="40" s="1"/>
  <c r="Q68" i="40"/>
  <c r="R68" i="40" s="1"/>
  <c r="Q38" i="40"/>
  <c r="E19" i="34"/>
  <c r="G18" i="39" s="1"/>
  <c r="E94" i="36"/>
  <c r="J93" i="39" s="1"/>
  <c r="E52" i="18"/>
  <c r="D51" i="39" s="1"/>
  <c r="Q68" i="37"/>
  <c r="R68" i="37" s="1"/>
  <c r="T68" i="37" s="1"/>
  <c r="E68" i="33"/>
  <c r="H67" i="39" s="1"/>
  <c r="Q76" i="32"/>
  <c r="E76" i="32"/>
  <c r="Q76" i="35"/>
  <c r="R76" i="35" s="1"/>
  <c r="T76" i="35" s="1"/>
  <c r="E76" i="35"/>
  <c r="I75" i="39" s="1"/>
  <c r="E22" i="34"/>
  <c r="G21" i="39" s="1"/>
  <c r="Q22" i="31"/>
  <c r="R22" i="31" s="1"/>
  <c r="Q20" i="36"/>
  <c r="R20" i="36" s="1"/>
  <c r="E20" i="32"/>
  <c r="E20" i="18"/>
  <c r="D19" i="39" s="1"/>
  <c r="E40" i="33"/>
  <c r="H39" i="39" s="1"/>
  <c r="E40" i="40"/>
  <c r="F40" i="40" s="1"/>
  <c r="Q40" i="31"/>
  <c r="Q74" i="40"/>
  <c r="R74" i="40" s="1"/>
  <c r="E74" i="32"/>
  <c r="F74" i="32" s="1"/>
  <c r="Q74" i="36"/>
  <c r="R74" i="36" s="1"/>
  <c r="E70" i="40"/>
  <c r="F70" i="40" s="1"/>
  <c r="E70" i="37"/>
  <c r="C69" i="39" s="1"/>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R53" i="31" s="1"/>
  <c r="Q53" i="34"/>
  <c r="R53" i="34" s="1"/>
  <c r="Q27" i="32"/>
  <c r="E74" i="36"/>
  <c r="J73" i="39" s="1"/>
  <c r="Q84" i="33"/>
  <c r="R84" i="33" s="1"/>
  <c r="E53" i="18"/>
  <c r="D52" i="39" s="1"/>
  <c r="E53" i="32"/>
  <c r="F53" i="32" s="1"/>
  <c r="E24" i="34"/>
  <c r="G23" i="39" s="1"/>
  <c r="E24" i="36"/>
  <c r="J23" i="39" s="1"/>
  <c r="Q24" i="18"/>
  <c r="E24" i="35"/>
  <c r="I23" i="39" s="1"/>
  <c r="E72" i="31"/>
  <c r="Q72" i="40"/>
  <c r="R72" i="40" s="1"/>
  <c r="E72" i="36"/>
  <c r="J71" i="39" s="1"/>
  <c r="E72" i="33"/>
  <c r="F72" i="33" s="1"/>
  <c r="Q72" i="34"/>
  <c r="R72" i="34" s="1"/>
  <c r="E72" i="40"/>
  <c r="F72" i="40" s="1"/>
  <c r="Q64" i="40"/>
  <c r="R64" i="40" s="1"/>
  <c r="Q64" i="34"/>
  <c r="R64" i="34" s="1"/>
  <c r="E64" i="37"/>
  <c r="C63" i="39" s="1"/>
  <c r="E64" i="35"/>
  <c r="I63" i="39" s="1"/>
  <c r="Q64" i="18"/>
  <c r="E64" i="32"/>
  <c r="E69" i="31"/>
  <c r="F68" i="39" s="1"/>
  <c r="E69" i="18"/>
  <c r="D68" i="39" s="1"/>
  <c r="E69" i="40"/>
  <c r="F69" i="40" s="1"/>
  <c r="E69" i="37"/>
  <c r="C68" i="39" s="1"/>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C57" i="39" s="1"/>
  <c r="Q58" i="18"/>
  <c r="E34" i="32"/>
  <c r="F34" i="32" s="1"/>
  <c r="Q34" i="31"/>
  <c r="E34" i="18"/>
  <c r="D33" i="39" s="1"/>
  <c r="Q34" i="33"/>
  <c r="E34" i="36"/>
  <c r="J33" i="39" s="1"/>
  <c r="Q34" i="32"/>
  <c r="F83" i="37"/>
  <c r="H83" i="37" s="1"/>
  <c r="C34" i="39"/>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33" i="39" s="1"/>
  <c r="F68" i="36"/>
  <c r="R96" i="31"/>
  <c r="E80" i="18"/>
  <c r="E26" i="35"/>
  <c r="I25" i="39" s="1"/>
  <c r="C34" i="37"/>
  <c r="P34" i="37"/>
  <c r="C93" i="37"/>
  <c r="P93" i="37"/>
  <c r="C87" i="34"/>
  <c r="C87" i="32"/>
  <c r="C22" i="34"/>
  <c r="P22" i="32"/>
  <c r="C22" i="32"/>
  <c r="F22" i="32" s="1"/>
  <c r="P81" i="32"/>
  <c r="P61" i="32"/>
  <c r="P91" i="32"/>
  <c r="C21" i="34"/>
  <c r="R82" i="33"/>
  <c r="T82" i="33" s="1"/>
  <c r="P48" i="32"/>
  <c r="C48" i="34"/>
  <c r="C48" i="32"/>
  <c r="C58" i="35"/>
  <c r="C43" i="34"/>
  <c r="C98" i="34"/>
  <c r="C33" i="39"/>
  <c r="C22" i="35"/>
  <c r="P45" i="18"/>
  <c r="P21" i="32"/>
  <c r="P93" i="18"/>
  <c r="C40" i="18"/>
  <c r="P84" i="18"/>
  <c r="P87" i="32"/>
  <c r="P57" i="32"/>
  <c r="R80" i="33"/>
  <c r="S80" i="33" s="1"/>
  <c r="C88" i="37"/>
  <c r="P88" i="37"/>
  <c r="P73" i="32"/>
  <c r="C73" i="32"/>
  <c r="C73" i="34"/>
  <c r="C40" i="37"/>
  <c r="P40" i="37"/>
  <c r="C44" i="34"/>
  <c r="C44" i="32"/>
  <c r="C21" i="33"/>
  <c r="P21" i="33"/>
  <c r="P55" i="37"/>
  <c r="C55" i="37"/>
  <c r="C57" i="35"/>
  <c r="C55" i="34"/>
  <c r="C57" i="32"/>
  <c r="C57" i="33"/>
  <c r="P57" i="33"/>
  <c r="P94" i="33"/>
  <c r="C49" i="34"/>
  <c r="P19" i="18"/>
  <c r="C81" i="32"/>
  <c r="C90" i="33"/>
  <c r="C59" i="35"/>
  <c r="C37" i="32"/>
  <c r="R53" i="18"/>
  <c r="C54" i="31"/>
  <c r="F54" i="31" s="1"/>
  <c r="H54" i="31" s="1"/>
  <c r="C95" i="34"/>
  <c r="C61" i="35"/>
  <c r="P82" i="32"/>
  <c r="C96" i="34"/>
  <c r="F96" i="34" s="1"/>
  <c r="P62" i="33"/>
  <c r="F61" i="35"/>
  <c r="H35" i="39"/>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C39" i="39" s="1"/>
  <c r="Q40" i="36"/>
  <c r="R40" i="36" s="1"/>
  <c r="Q40" i="18"/>
  <c r="R40" i="18" s="1"/>
  <c r="Q40" i="33"/>
  <c r="R40" i="33" s="1"/>
  <c r="S40" i="33" s="1"/>
  <c r="Q40" i="34"/>
  <c r="R40" i="34" s="1"/>
  <c r="E40" i="34"/>
  <c r="Q40" i="40"/>
  <c r="E40" i="32"/>
  <c r="F40" i="32" s="1"/>
  <c r="E26" i="34"/>
  <c r="G25" i="39" s="1"/>
  <c r="E26" i="36"/>
  <c r="J25" i="39" s="1"/>
  <c r="Q26" i="37"/>
  <c r="R26" i="37" s="1"/>
  <c r="Q26" i="35"/>
  <c r="R26" i="35" s="1"/>
  <c r="Q26" i="33"/>
  <c r="E26" i="37"/>
  <c r="E26" i="40"/>
  <c r="F26" i="40" s="1"/>
  <c r="Q26" i="34"/>
  <c r="Q26" i="40"/>
  <c r="R26" i="40" s="1"/>
  <c r="E26" i="31"/>
  <c r="F25" i="39" s="1"/>
  <c r="Q26" i="18"/>
  <c r="R26" i="18" s="1"/>
  <c r="Q26" i="32"/>
  <c r="Q26" i="31"/>
  <c r="E26" i="18"/>
  <c r="D25" i="39" s="1"/>
  <c r="Q80" i="35"/>
  <c r="Q80" i="18"/>
  <c r="R80" i="18" s="1"/>
  <c r="E80" i="40"/>
  <c r="E80" i="33"/>
  <c r="Q80" i="32"/>
  <c r="E80" i="31"/>
  <c r="F79" i="39" s="1"/>
  <c r="Q80" i="37"/>
  <c r="E80" i="36"/>
  <c r="J79" i="39" s="1"/>
  <c r="E80" i="37"/>
  <c r="Q80" i="36"/>
  <c r="R80" i="36" s="1"/>
  <c r="E80" i="35"/>
  <c r="I79" i="39" s="1"/>
  <c r="Q80" i="40"/>
  <c r="R80" i="40" s="1"/>
  <c r="E80" i="32"/>
  <c r="F80" i="32" s="1"/>
  <c r="E80" i="34"/>
  <c r="G79" i="39" s="1"/>
  <c r="E50" i="35"/>
  <c r="I49" i="39" s="1"/>
  <c r="E50" i="34"/>
  <c r="F50" i="34" s="1"/>
  <c r="H50" i="34" s="1"/>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R84" i="18" s="1"/>
  <c r="E98" i="35"/>
  <c r="I97" i="39" s="1"/>
  <c r="Q98" i="33"/>
  <c r="E98" i="32"/>
  <c r="F98" i="32" s="1"/>
  <c r="E98" i="37"/>
  <c r="C97" i="39" s="1"/>
  <c r="E98" i="36"/>
  <c r="J97" i="39" s="1"/>
  <c r="E98" i="40"/>
  <c r="Q98" i="37"/>
  <c r="E98" i="33"/>
  <c r="H97" i="39" s="1"/>
  <c r="Q27" i="37"/>
  <c r="Q27" i="34"/>
  <c r="R27" i="34" s="1"/>
  <c r="E27" i="37"/>
  <c r="E27" i="31"/>
  <c r="F26" i="39" s="1"/>
  <c r="Q27" i="33"/>
  <c r="Q27" i="36"/>
  <c r="R27" i="36" s="1"/>
  <c r="Q27" i="18"/>
  <c r="E27" i="36"/>
  <c r="J26" i="39" s="1"/>
  <c r="F82" i="35"/>
  <c r="H82" i="35" s="1"/>
  <c r="F35" i="33"/>
  <c r="H35" i="33" s="1"/>
  <c r="H31" i="39"/>
  <c r="Q69" i="31"/>
  <c r="Q69" i="35"/>
  <c r="R69" i="35" s="1"/>
  <c r="S69" i="35" s="1"/>
  <c r="Q69" i="37"/>
  <c r="Q99" i="31"/>
  <c r="Q99" i="35"/>
  <c r="R99" i="35" s="1"/>
  <c r="S99" i="35" s="1"/>
  <c r="R36" i="35"/>
  <c r="T36" i="35" s="1"/>
  <c r="E99" i="35"/>
  <c r="I98" i="39" s="1"/>
  <c r="E69" i="35"/>
  <c r="I68" i="39" s="1"/>
  <c r="Q72" i="35"/>
  <c r="R72" i="35" s="1"/>
  <c r="Q72" i="36"/>
  <c r="R72" i="36" s="1"/>
  <c r="Q72" i="37"/>
  <c r="E72" i="37"/>
  <c r="C71" i="39" s="1"/>
  <c r="E72" i="35"/>
  <c r="I71" i="39" s="1"/>
  <c r="Q22" i="18"/>
  <c r="R22" i="18" s="1"/>
  <c r="Q22" i="37"/>
  <c r="E22" i="18"/>
  <c r="E22" i="33"/>
  <c r="H21" i="39" s="1"/>
  <c r="Q22" i="36"/>
  <c r="R22" i="36" s="1"/>
  <c r="Q64" i="37"/>
  <c r="E64" i="40"/>
  <c r="E64" i="33"/>
  <c r="H63" i="39" s="1"/>
  <c r="E64" i="34"/>
  <c r="E99" i="33"/>
  <c r="Q58" i="33"/>
  <c r="R58" i="33" s="1"/>
  <c r="T58" i="33" s="1"/>
  <c r="E58" i="33"/>
  <c r="H57" i="39" s="1"/>
  <c r="Q34" i="34"/>
  <c r="E34" i="35"/>
  <c r="F34" i="35" s="1"/>
  <c r="H34" i="35" s="1"/>
  <c r="Q34" i="18"/>
  <c r="R34" i="18" s="1"/>
  <c r="E34" i="33"/>
  <c r="Q34" i="37"/>
  <c r="Q34" i="35"/>
  <c r="R34" i="35" s="1"/>
  <c r="Q69" i="18"/>
  <c r="R69" i="18" s="1"/>
  <c r="Q69" i="34"/>
  <c r="R69" i="34" s="1"/>
  <c r="Q69" i="36"/>
  <c r="R69" i="36" s="1"/>
  <c r="Q99" i="18"/>
  <c r="Q99" i="34"/>
  <c r="R99" i="34" s="1"/>
  <c r="Q72" i="31"/>
  <c r="Q72" i="32"/>
  <c r="E72" i="32"/>
  <c r="Q22" i="32"/>
  <c r="Q22" i="33"/>
  <c r="R22" i="33" s="1"/>
  <c r="T22" i="33" s="1"/>
  <c r="Q22" i="34"/>
  <c r="R22" i="34" s="1"/>
  <c r="Q64" i="32"/>
  <c r="Q64" i="33"/>
  <c r="R64" i="33" s="1"/>
  <c r="T64" i="33" s="1"/>
  <c r="Q64" i="35"/>
  <c r="R64" i="35" s="1"/>
  <c r="S64" i="35" s="1"/>
  <c r="E64" i="18"/>
  <c r="D63" i="39" s="1"/>
  <c r="L37" i="39"/>
  <c r="F38" i="40"/>
  <c r="Q19" i="34"/>
  <c r="R19" i="34" s="1"/>
  <c r="E40" i="36"/>
  <c r="Q24" i="32"/>
  <c r="Q24" i="40"/>
  <c r="R24" i="40" s="1"/>
  <c r="E84" i="37"/>
  <c r="C83" i="39" s="1"/>
  <c r="E66" i="33"/>
  <c r="H65" i="39" s="1"/>
  <c r="Q66" i="18"/>
  <c r="Q40" i="37"/>
  <c r="R40" i="37" s="1"/>
  <c r="T40" i="37" s="1"/>
  <c r="E66" i="34"/>
  <c r="G65" i="39" s="1"/>
  <c r="E66" i="36"/>
  <c r="E98" i="18"/>
  <c r="D97" i="39" s="1"/>
  <c r="Q84" i="32"/>
  <c r="E84" i="36"/>
  <c r="J83" i="39" s="1"/>
  <c r="E84" i="35"/>
  <c r="Q68" i="35"/>
  <c r="R68" i="35" s="1"/>
  <c r="E68" i="37"/>
  <c r="C67" i="39" s="1"/>
  <c r="Q52" i="36"/>
  <c r="R52" i="36" s="1"/>
  <c r="E52" i="31"/>
  <c r="Q52" i="32"/>
  <c r="E52" i="35"/>
  <c r="E20" i="33"/>
  <c r="E20" i="37"/>
  <c r="C19" i="39" s="1"/>
  <c r="Q20" i="37"/>
  <c r="R20" i="37" s="1"/>
  <c r="T20" i="37" s="1"/>
  <c r="E19" i="40"/>
  <c r="L18" i="39" s="1"/>
  <c r="E19" i="33"/>
  <c r="H18" i="39" s="1"/>
  <c r="Q19" i="18"/>
  <c r="E19" i="18"/>
  <c r="E19" i="32"/>
  <c r="Q19" i="31"/>
  <c r="Q19" i="37"/>
  <c r="Q19" i="35"/>
  <c r="E19" i="36"/>
  <c r="J18" i="39" s="1"/>
  <c r="Q19" i="33"/>
  <c r="E38" i="35"/>
  <c r="F38" i="35" s="1"/>
  <c r="E38" i="18"/>
  <c r="D37" i="39" s="1"/>
  <c r="Q38" i="34"/>
  <c r="E38" i="31"/>
  <c r="E38" i="34"/>
  <c r="F38" i="34" s="1"/>
  <c r="G38" i="34" s="1"/>
  <c r="Q38" i="37"/>
  <c r="Q38" i="33"/>
  <c r="Q38" i="31"/>
  <c r="R38" i="31" s="1"/>
  <c r="E38" i="37"/>
  <c r="C37" i="39" s="1"/>
  <c r="E38" i="33"/>
  <c r="E38" i="36"/>
  <c r="J37" i="39" s="1"/>
  <c r="Q38" i="32"/>
  <c r="E38" i="32"/>
  <c r="Q38" i="35"/>
  <c r="R38" i="35" s="1"/>
  <c r="Q38" i="18"/>
  <c r="R38" i="18" s="1"/>
  <c r="S38" i="18" s="1"/>
  <c r="Q38" i="36"/>
  <c r="R38" i="36" s="1"/>
  <c r="R19" i="35"/>
  <c r="S19" i="35" s="1"/>
  <c r="U19" i="35" s="1"/>
  <c r="Q19" i="36"/>
  <c r="R19" i="36" s="1"/>
  <c r="Q66" i="35"/>
  <c r="R66" i="35" s="1"/>
  <c r="E66" i="37"/>
  <c r="E98" i="34"/>
  <c r="F98" i="34" s="1"/>
  <c r="Q98" i="18"/>
  <c r="E27" i="33"/>
  <c r="H26" i="39" s="1"/>
  <c r="Q27" i="40"/>
  <c r="R27" i="40" s="1"/>
  <c r="E27" i="32"/>
  <c r="E27" i="40"/>
  <c r="F27" i="40" s="1"/>
  <c r="Q27" i="31"/>
  <c r="Q27" i="35"/>
  <c r="R27" i="35" s="1"/>
  <c r="R80" i="31"/>
  <c r="F26" i="33"/>
  <c r="G26" i="33" s="1"/>
  <c r="Q98" i="36"/>
  <c r="R98" i="36" s="1"/>
  <c r="Q70" i="32"/>
  <c r="E19" i="37"/>
  <c r="C18" i="39" s="1"/>
  <c r="E92" i="37"/>
  <c r="C91" i="39" s="1"/>
  <c r="Q19" i="32"/>
  <c r="Q19" i="40"/>
  <c r="R19" i="40" s="1"/>
  <c r="Q74" i="32"/>
  <c r="E84" i="40"/>
  <c r="M83" i="39" s="1"/>
  <c r="Q84" i="36"/>
  <c r="R84" i="36" s="1"/>
  <c r="Q24" i="35"/>
  <c r="R24" i="35" s="1"/>
  <c r="S24" i="35" s="1"/>
  <c r="Q84" i="37"/>
  <c r="R84" i="37" s="1"/>
  <c r="Q40" i="35"/>
  <c r="R40" i="35" s="1"/>
  <c r="Q66" i="40"/>
  <c r="R66" i="40" s="1"/>
  <c r="E40" i="31"/>
  <c r="F39" i="39" s="1"/>
  <c r="Q66" i="37"/>
  <c r="Q66" i="36"/>
  <c r="R66" i="36" s="1"/>
  <c r="E27" i="18"/>
  <c r="D26" i="39" s="1"/>
  <c r="E27" i="35"/>
  <c r="I26" i="39" s="1"/>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R88" i="37" s="1"/>
  <c r="E88" i="40"/>
  <c r="Q88" i="18"/>
  <c r="R88" i="18" s="1"/>
  <c r="Q30" i="40"/>
  <c r="R30" i="40" s="1"/>
  <c r="E30" i="35"/>
  <c r="F30" i="35" s="1"/>
  <c r="E30" i="33"/>
  <c r="H29" i="39" s="1"/>
  <c r="Q30" i="34"/>
  <c r="R30" i="34" s="1"/>
  <c r="E30" i="34"/>
  <c r="F30" i="34" s="1"/>
  <c r="G30" i="34" s="1"/>
  <c r="E30" i="18"/>
  <c r="D29" i="39" s="1"/>
  <c r="E30" i="31"/>
  <c r="F29" i="39" s="1"/>
  <c r="Q30" i="35"/>
  <c r="R30" i="35" s="1"/>
  <c r="E30" i="40"/>
  <c r="F30" i="40" s="1"/>
  <c r="E30" i="37"/>
  <c r="C29" i="39" s="1"/>
  <c r="Q30" i="32"/>
  <c r="E62" i="32"/>
  <c r="F62" i="32" s="1"/>
  <c r="E88" i="37"/>
  <c r="Q30" i="36"/>
  <c r="R30" i="36" s="1"/>
  <c r="F52" i="33"/>
  <c r="Q62" i="34"/>
  <c r="R62" i="34" s="1"/>
  <c r="Q62" i="32"/>
  <c r="E88" i="18"/>
  <c r="D87" i="39" s="1"/>
  <c r="Q30" i="18"/>
  <c r="Q88" i="32"/>
  <c r="Q30" i="33"/>
  <c r="R30" i="33" s="1"/>
  <c r="S30" i="33" s="1"/>
  <c r="E94" i="37"/>
  <c r="C93" i="39" s="1"/>
  <c r="E94" i="31"/>
  <c r="F94" i="31" s="1"/>
  <c r="G94" i="31" s="1"/>
  <c r="Q94" i="33"/>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F34" i="34"/>
  <c r="H34" i="34" s="1"/>
  <c r="F96" i="32"/>
  <c r="Q62" i="36"/>
  <c r="R62" i="36" s="1"/>
  <c r="Q88" i="31"/>
  <c r="R88" i="31" s="1"/>
  <c r="Q30" i="31"/>
  <c r="Q88" i="34"/>
  <c r="R88" i="34" s="1"/>
  <c r="Q88" i="36"/>
  <c r="R88" i="36" s="1"/>
  <c r="E30" i="32"/>
  <c r="F30" i="32" s="1"/>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E60" i="40"/>
  <c r="F60" i="40" s="1"/>
  <c r="E60" i="34"/>
  <c r="G59" i="39" s="1"/>
  <c r="E60" i="18"/>
  <c r="D59" i="39" s="1"/>
  <c r="Q60" i="34"/>
  <c r="R60" i="34" s="1"/>
  <c r="Q60" i="18"/>
  <c r="E60" i="37"/>
  <c r="C59" i="39" s="1"/>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C73" i="39" s="1"/>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F23" i="39" s="1"/>
  <c r="E24" i="40"/>
  <c r="F24" i="40" s="1"/>
  <c r="E24" i="37"/>
  <c r="C23" i="39" s="1"/>
  <c r="Q24" i="37"/>
  <c r="Q24" i="31"/>
  <c r="E24" i="33"/>
  <c r="H23" i="39" s="1"/>
  <c r="Q24" i="34"/>
  <c r="R24" i="34" s="1"/>
  <c r="Q24" i="33"/>
  <c r="Q24" i="36"/>
  <c r="R24" i="36" s="1"/>
  <c r="R94" i="31"/>
  <c r="F72" i="34"/>
  <c r="G72" i="34" s="1"/>
  <c r="D23" i="39"/>
  <c r="E90" i="36"/>
  <c r="J89" i="39" s="1"/>
  <c r="E90" i="32"/>
  <c r="F90" i="32" s="1"/>
  <c r="Q90" i="35"/>
  <c r="R90" i="35" s="1"/>
  <c r="Q90" i="31"/>
  <c r="E90" i="18"/>
  <c r="D89" i="39" s="1"/>
  <c r="E90" i="33"/>
  <c r="H89" i="39" s="1"/>
  <c r="Q90" i="34"/>
  <c r="R90" i="34" s="1"/>
  <c r="E90" i="37"/>
  <c r="C89" i="39" s="1"/>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F50" i="33"/>
  <c r="G50" i="33" s="1"/>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R28" i="37" s="1"/>
  <c r="Q28" i="33"/>
  <c r="R28" i="33" s="1"/>
  <c r="E28" i="34"/>
  <c r="F28" i="34" s="1"/>
  <c r="E28" i="36"/>
  <c r="Q28" i="31"/>
  <c r="R28" i="31" s="1"/>
  <c r="E28" i="40"/>
  <c r="E28" i="32"/>
  <c r="Q28" i="35"/>
  <c r="R28" i="35" s="1"/>
  <c r="S28" i="35" s="1"/>
  <c r="Q28" i="18"/>
  <c r="Q28" i="36"/>
  <c r="R28" i="36" s="1"/>
  <c r="E28" i="31"/>
  <c r="Q28" i="34"/>
  <c r="R28" i="34" s="1"/>
  <c r="E28" i="35"/>
  <c r="E28" i="18"/>
  <c r="D27" i="39" s="1"/>
  <c r="Q28" i="32"/>
  <c r="C72" i="32"/>
  <c r="C36" i="34"/>
  <c r="F36" i="34" s="1"/>
  <c r="G36" i="34" s="1"/>
  <c r="C74" i="34"/>
  <c r="P49" i="32"/>
  <c r="C25" i="34"/>
  <c r="P39" i="32"/>
  <c r="C51" i="32"/>
  <c r="C51" i="34"/>
  <c r="P51" i="32"/>
  <c r="P74" i="32"/>
  <c r="P72" i="32"/>
  <c r="P30" i="32"/>
  <c r="C36" i="32"/>
  <c r="F36" i="32" s="1"/>
  <c r="P30" i="6"/>
  <c r="P62" i="6"/>
  <c r="P42" i="6"/>
  <c r="M84" i="7"/>
  <c r="P74" i="6"/>
  <c r="M79" i="7"/>
  <c r="M34" i="7"/>
  <c r="C43" i="33"/>
  <c r="P60" i="33"/>
  <c r="P37" i="6"/>
  <c r="P39" i="33"/>
  <c r="P27" i="6"/>
  <c r="C54" i="33"/>
  <c r="P89" i="6"/>
  <c r="M53" i="7"/>
  <c r="C54" i="35"/>
  <c r="C74" i="31"/>
  <c r="M60" i="7"/>
  <c r="P16" i="6"/>
  <c r="P45" i="6"/>
  <c r="P14" i="6"/>
  <c r="P77" i="6"/>
  <c r="P41" i="6"/>
  <c r="M27" i="7"/>
  <c r="M49" i="7"/>
  <c r="P44" i="6"/>
  <c r="P41" i="18"/>
  <c r="P88" i="6"/>
  <c r="M86" i="7"/>
  <c r="P70" i="6"/>
  <c r="P84" i="6"/>
  <c r="P49" i="6"/>
  <c r="P40" i="6"/>
  <c r="P58" i="6"/>
  <c r="P31" i="6"/>
  <c r="C30" i="31"/>
  <c r="M80" i="7"/>
  <c r="M62" i="7"/>
  <c r="P86" i="6"/>
  <c r="P70" i="31"/>
  <c r="R70" i="31" s="1"/>
  <c r="C43" i="31"/>
  <c r="M61" i="7"/>
  <c r="M51" i="7"/>
  <c r="M20" i="7"/>
  <c r="M19"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M29" i="7"/>
  <c r="P28" i="6"/>
  <c r="P80" i="6"/>
  <c r="M81" i="7"/>
  <c r="P22" i="6"/>
  <c r="M23" i="7"/>
  <c r="P63" i="6"/>
  <c r="M30" i="7"/>
  <c r="P65" i="6"/>
  <c r="P67" i="6"/>
  <c r="M91" i="7"/>
  <c r="P32" i="6"/>
  <c r="M40" i="7"/>
  <c r="P57" i="6"/>
  <c r="P69" i="6"/>
  <c r="C89" i="18"/>
  <c r="P51" i="6"/>
  <c r="P53" i="6"/>
  <c r="P13" i="6"/>
  <c r="M18" i="7"/>
  <c r="M47" i="7"/>
  <c r="P46" i="6"/>
  <c r="P34" i="6"/>
  <c r="P15" i="6"/>
  <c r="P56" i="6"/>
  <c r="P25" i="32"/>
  <c r="P27" i="18"/>
  <c r="P19" i="32"/>
  <c r="P24" i="18"/>
  <c r="C27" i="18"/>
  <c r="C98" i="18"/>
  <c r="P98" i="18"/>
  <c r="P85" i="37"/>
  <c r="C85" i="37"/>
  <c r="C69" i="34"/>
  <c r="P69" i="32"/>
  <c r="C69" i="32"/>
  <c r="C20" i="37"/>
  <c r="C46" i="35"/>
  <c r="P46" i="31"/>
  <c r="C46" i="31"/>
  <c r="C46" i="34"/>
  <c r="P46" i="32"/>
  <c r="C46" i="32"/>
  <c r="C71" i="18"/>
  <c r="P71" i="18"/>
  <c r="P99" i="33"/>
  <c r="C99" i="33"/>
  <c r="P71" i="33"/>
  <c r="C71" i="33"/>
  <c r="C71" i="34"/>
  <c r="C71" i="32"/>
  <c r="P71" i="32"/>
  <c r="P23" i="33"/>
  <c r="C23" i="33"/>
  <c r="P23" i="18"/>
  <c r="C23" i="18"/>
  <c r="C66" i="32"/>
  <c r="C66" i="34"/>
  <c r="P66" i="32"/>
  <c r="P98" i="37"/>
  <c r="C98" i="37"/>
  <c r="P56" i="37"/>
  <c r="C56" i="37"/>
  <c r="C60" i="37"/>
  <c r="C25" i="31"/>
  <c r="C25" i="35"/>
  <c r="C64" i="31"/>
  <c r="C64" i="35"/>
  <c r="P64" i="31"/>
  <c r="R64" i="31" s="1"/>
  <c r="P25" i="37"/>
  <c r="C25" i="37"/>
  <c r="C89" i="37"/>
  <c r="P89" i="37"/>
  <c r="P91" i="33"/>
  <c r="C91" i="33"/>
  <c r="C91" i="18"/>
  <c r="P91" i="18"/>
  <c r="P95" i="31"/>
  <c r="C95" i="31"/>
  <c r="C95" i="35"/>
  <c r="P24" i="33"/>
  <c r="C24" i="33"/>
  <c r="C24" i="35"/>
  <c r="P24" i="31"/>
  <c r="C24" i="31"/>
  <c r="C81" i="35"/>
  <c r="P60" i="37"/>
  <c r="H98" i="39"/>
  <c r="C49" i="31"/>
  <c r="P49" i="31"/>
  <c r="C49" i="35"/>
  <c r="P38" i="33"/>
  <c r="C38" i="33"/>
  <c r="C42" i="37"/>
  <c r="P42" i="37"/>
  <c r="P33" i="33"/>
  <c r="C33" i="33"/>
  <c r="P95" i="37"/>
  <c r="C95" i="37"/>
  <c r="C23" i="37"/>
  <c r="P23" i="37"/>
  <c r="C36" i="37"/>
  <c r="F36" i="37" s="1"/>
  <c r="G36" i="37" s="1"/>
  <c r="C35" i="39"/>
  <c r="P47" i="37"/>
  <c r="C47" i="37"/>
  <c r="C72" i="37"/>
  <c r="P72" i="37"/>
  <c r="C72" i="35"/>
  <c r="P72" i="31"/>
  <c r="C72" i="31"/>
  <c r="F72" i="31" s="1"/>
  <c r="H72" i="31" s="1"/>
  <c r="C64" i="37"/>
  <c r="F64" i="37" s="1"/>
  <c r="H64" i="37" s="1"/>
  <c r="P64" i="37"/>
  <c r="P25" i="18"/>
  <c r="C25" i="18"/>
  <c r="C46" i="18"/>
  <c r="P46" i="18"/>
  <c r="C46" i="37"/>
  <c r="P46" i="37"/>
  <c r="C89" i="31"/>
  <c r="C89" i="35"/>
  <c r="P95" i="33"/>
  <c r="C95" i="33"/>
  <c r="C81" i="37"/>
  <c r="P81" i="37"/>
  <c r="C96" i="33"/>
  <c r="F96" i="33" s="1"/>
  <c r="H96" i="33" s="1"/>
  <c r="P96" i="33"/>
  <c r="R96" i="33" s="1"/>
  <c r="T96" i="33" s="1"/>
  <c r="C24" i="37"/>
  <c r="P24" i="37"/>
  <c r="P81" i="31"/>
  <c r="P47" i="32"/>
  <c r="C56" i="35"/>
  <c r="P72" i="33"/>
  <c r="R72" i="33" s="1"/>
  <c r="S72" i="33" s="1"/>
  <c r="C92" i="32"/>
  <c r="I35" i="39"/>
  <c r="C51" i="35"/>
  <c r="C91" i="34"/>
  <c r="C78" i="34"/>
  <c r="C78" i="32"/>
  <c r="P78" i="32"/>
  <c r="C23" i="32"/>
  <c r="P23" i="32"/>
  <c r="C23" i="34"/>
  <c r="C56" i="18"/>
  <c r="P56" i="18"/>
  <c r="C27" i="32"/>
  <c r="C27" i="34"/>
  <c r="F27" i="34" s="1"/>
  <c r="P27" i="32"/>
  <c r="P66" i="37"/>
  <c r="C66" i="37"/>
  <c r="C43" i="37"/>
  <c r="P43" i="37"/>
  <c r="P36" i="18"/>
  <c r="R36" i="18" s="1"/>
  <c r="C36" i="18"/>
  <c r="F36" i="18" s="1"/>
  <c r="P99" i="32"/>
  <c r="C99" i="34"/>
  <c r="C99" i="32"/>
  <c r="C49" i="37"/>
  <c r="P49" i="37"/>
  <c r="P23" i="31"/>
  <c r="C23" i="35"/>
  <c r="C66" i="18"/>
  <c r="F66" i="18" s="1"/>
  <c r="P66" i="18"/>
  <c r="P66" i="33"/>
  <c r="C98" i="33"/>
  <c r="P98" i="33"/>
  <c r="P60" i="32"/>
  <c r="C60" i="32"/>
  <c r="C60" i="34"/>
  <c r="P60" i="31"/>
  <c r="C60" i="35"/>
  <c r="C74" i="33"/>
  <c r="P74" i="33"/>
  <c r="P58" i="37"/>
  <c r="R58" i="37" s="1"/>
  <c r="C58" i="37"/>
  <c r="P47" i="18"/>
  <c r="C47" i="18"/>
  <c r="P47" i="31"/>
  <c r="C47" i="31"/>
  <c r="C47" i="35"/>
  <c r="C69" i="33"/>
  <c r="P69" i="33"/>
  <c r="P25" i="33"/>
  <c r="C25" i="33"/>
  <c r="C91" i="37"/>
  <c r="P91" i="37"/>
  <c r="P92" i="31"/>
  <c r="C92" i="35"/>
  <c r="C92" i="31"/>
  <c r="C27" i="33"/>
  <c r="P27" i="33"/>
  <c r="C27" i="31"/>
  <c r="P27" i="31"/>
  <c r="C27" i="35"/>
  <c r="P19" i="37"/>
  <c r="C19" i="37"/>
  <c r="F19" i="37" s="1"/>
  <c r="H19" i="37" s="1"/>
  <c r="J19" i="37" s="1"/>
  <c r="K19" i="37" s="1"/>
  <c r="J17" i="17" s="1"/>
  <c r="P24" i="32"/>
  <c r="C24" i="32"/>
  <c r="C24" i="34"/>
  <c r="P56" i="31"/>
  <c r="C41" i="37"/>
  <c r="P36" i="37"/>
  <c r="R36" i="37" s="1"/>
  <c r="C47" i="34"/>
  <c r="C74" i="35"/>
  <c r="P49" i="18"/>
  <c r="P89" i="31"/>
  <c r="P25" i="31"/>
  <c r="P30" i="31"/>
  <c r="H37" i="39"/>
  <c r="P51" i="31"/>
  <c r="C96" i="35"/>
  <c r="F96" i="35" s="1"/>
  <c r="C30" i="33"/>
  <c r="C29" i="33"/>
  <c r="P39" i="18"/>
  <c r="P36" i="33"/>
  <c r="C93" i="35"/>
  <c r="C93" i="31"/>
  <c r="P93" i="31"/>
  <c r="C94" i="32"/>
  <c r="C94" i="34"/>
  <c r="P94" i="32"/>
  <c r="C97" i="34"/>
  <c r="P97" i="32"/>
  <c r="C97" i="32"/>
  <c r="C19" i="33"/>
  <c r="P19" i="33"/>
  <c r="P96" i="37"/>
  <c r="R96" i="37" s="1"/>
  <c r="S96" i="37" s="1"/>
  <c r="C95" i="39"/>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P27" i="37"/>
  <c r="C27" i="37"/>
  <c r="C37" i="34"/>
  <c r="G52" i="34"/>
  <c r="F35" i="31"/>
  <c r="G35" i="31" s="1"/>
  <c r="F76" i="36"/>
  <c r="F76" i="18"/>
  <c r="F68" i="18"/>
  <c r="F52" i="37"/>
  <c r="H52" i="37" s="1"/>
  <c r="E93" i="18"/>
  <c r="Q93" i="37"/>
  <c r="R93" i="37" s="1"/>
  <c r="S93" i="37" s="1"/>
  <c r="Q93" i="36"/>
  <c r="R93" i="36" s="1"/>
  <c r="E93" i="37"/>
  <c r="C92" i="39" s="1"/>
  <c r="Q93" i="35"/>
  <c r="R93" i="35" s="1"/>
  <c r="T93" i="35" s="1"/>
  <c r="Q93" i="34"/>
  <c r="R93" i="34" s="1"/>
  <c r="Q93" i="33"/>
  <c r="R93" i="33" s="1"/>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F89" i="34" s="1"/>
  <c r="E89" i="32"/>
  <c r="Q89" i="40"/>
  <c r="R89" i="40" s="1"/>
  <c r="E89" i="40"/>
  <c r="F89" i="40" s="1"/>
  <c r="E71" i="18"/>
  <c r="D70" i="39" s="1"/>
  <c r="E71" i="37"/>
  <c r="E71" i="36"/>
  <c r="Q71" i="35"/>
  <c r="R71" i="35" s="1"/>
  <c r="S71" i="35" s="1"/>
  <c r="Q71" i="34"/>
  <c r="R71" i="34" s="1"/>
  <c r="Q71" i="33"/>
  <c r="Q71" i="32"/>
  <c r="Q71" i="31"/>
  <c r="Q71" i="37"/>
  <c r="R71" i="37" s="1"/>
  <c r="T71" i="37" s="1"/>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R55" i="18" s="1"/>
  <c r="Q55" i="37"/>
  <c r="E55" i="34"/>
  <c r="E55" i="32"/>
  <c r="Q55" i="36"/>
  <c r="R55" i="36" s="1"/>
  <c r="E55" i="35"/>
  <c r="F55" i="35" s="1"/>
  <c r="E55" i="33"/>
  <c r="E55" i="31"/>
  <c r="E55" i="40"/>
  <c r="F55" i="40" s="1"/>
  <c r="Q55" i="40"/>
  <c r="R55" i="40" s="1"/>
  <c r="E37" i="18"/>
  <c r="Q37" i="37"/>
  <c r="Q37" i="36"/>
  <c r="R37" i="36" s="1"/>
  <c r="Q37" i="35"/>
  <c r="R37" i="35" s="1"/>
  <c r="S37" i="35" s="1"/>
  <c r="Q37" i="34"/>
  <c r="R37" i="34" s="1"/>
  <c r="Q37" i="33"/>
  <c r="R37" i="33" s="1"/>
  <c r="S37" i="33" s="1"/>
  <c r="Q37" i="32"/>
  <c r="E37" i="31"/>
  <c r="F36" i="39" s="1"/>
  <c r="E37" i="36"/>
  <c r="J36" i="39" s="1"/>
  <c r="E37" i="35"/>
  <c r="E37" i="33"/>
  <c r="E37" i="37"/>
  <c r="E37" i="34"/>
  <c r="G36" i="39" s="1"/>
  <c r="E37" i="32"/>
  <c r="Q37" i="18"/>
  <c r="Q37" i="31"/>
  <c r="Q37" i="40"/>
  <c r="R37" i="40" s="1"/>
  <c r="E37" i="40"/>
  <c r="M36" i="39" s="1"/>
  <c r="AC30" i="5"/>
  <c r="AA30" i="5"/>
  <c r="AB30" i="5"/>
  <c r="Y30" i="5"/>
  <c r="X30" i="5"/>
  <c r="Z30" i="5"/>
  <c r="W30" i="5"/>
  <c r="C26" i="32"/>
  <c r="C26" i="34"/>
  <c r="P26" i="32"/>
  <c r="P26" i="31"/>
  <c r="C26" i="31"/>
  <c r="C26" i="35"/>
  <c r="C77" i="34"/>
  <c r="P77" i="32"/>
  <c r="C77" i="32"/>
  <c r="P36" i="31"/>
  <c r="R36" i="31" s="1"/>
  <c r="C36" i="35"/>
  <c r="F36" i="35" s="1"/>
  <c r="H36" i="35" s="1"/>
  <c r="C36" i="31"/>
  <c r="C90" i="18"/>
  <c r="C65" i="35"/>
  <c r="C65" i="31"/>
  <c r="P65" i="31"/>
  <c r="C50" i="35"/>
  <c r="C50" i="31"/>
  <c r="P50" i="31"/>
  <c r="C79" i="35"/>
  <c r="P79" i="31"/>
  <c r="C79" i="31"/>
  <c r="P74" i="18"/>
  <c r="C74" i="18"/>
  <c r="C76" i="32"/>
  <c r="C76" i="34"/>
  <c r="C32" i="33"/>
  <c r="F32" i="33" s="1"/>
  <c r="G32" i="33" s="1"/>
  <c r="P32" i="33"/>
  <c r="R32" i="33" s="1"/>
  <c r="T32" i="33" s="1"/>
  <c r="P32" i="32"/>
  <c r="C32" i="32"/>
  <c r="C32" i="34"/>
  <c r="Q95" i="37"/>
  <c r="Q95" i="36"/>
  <c r="R95" i="36" s="1"/>
  <c r="E95" i="36"/>
  <c r="Q95" i="35"/>
  <c r="R95" i="35" s="1"/>
  <c r="S95" i="35" s="1"/>
  <c r="Q95" i="34"/>
  <c r="R95" i="34" s="1"/>
  <c r="Q95" i="33"/>
  <c r="Q95" i="32"/>
  <c r="Q95" i="31"/>
  <c r="Q95" i="18"/>
  <c r="E95" i="37"/>
  <c r="C94" i="39" s="1"/>
  <c r="E95" i="34"/>
  <c r="E95" i="32"/>
  <c r="E95" i="18"/>
  <c r="D94" i="39" s="1"/>
  <c r="E95" i="35"/>
  <c r="I94" i="39" s="1"/>
  <c r="E95" i="33"/>
  <c r="E95" i="31"/>
  <c r="F94" i="39" s="1"/>
  <c r="Q95" i="40"/>
  <c r="R95" i="40" s="1"/>
  <c r="E95" i="40"/>
  <c r="Q31" i="35"/>
  <c r="R31" i="35" s="1"/>
  <c r="Q31" i="34"/>
  <c r="R31" i="34" s="1"/>
  <c r="Q31" i="33"/>
  <c r="R31" i="33" s="1"/>
  <c r="T31" i="33" s="1"/>
  <c r="Q31" i="32"/>
  <c r="Q31" i="31"/>
  <c r="R31" i="31" s="1"/>
  <c r="Q31" i="18"/>
  <c r="R31" i="18" s="1"/>
  <c r="E31" i="37"/>
  <c r="E31" i="36"/>
  <c r="J30" i="39" s="1"/>
  <c r="E31" i="34"/>
  <c r="E31" i="32"/>
  <c r="F31" i="32" s="1"/>
  <c r="E31" i="18"/>
  <c r="D30" i="39" s="1"/>
  <c r="Q31" i="37"/>
  <c r="R31" i="37" s="1"/>
  <c r="S31" i="37" s="1"/>
  <c r="E31" i="35"/>
  <c r="E31" i="33"/>
  <c r="E31" i="31"/>
  <c r="F31" i="31" s="1"/>
  <c r="Q31" i="36"/>
  <c r="R31" i="36" s="1"/>
  <c r="Q31" i="40"/>
  <c r="R31" i="40" s="1"/>
  <c r="E31" i="40"/>
  <c r="F31" i="40" s="1"/>
  <c r="E41" i="18"/>
  <c r="E41" i="37"/>
  <c r="C40" i="39" s="1"/>
  <c r="Q41" i="36"/>
  <c r="R41" i="36" s="1"/>
  <c r="Q41" i="35"/>
  <c r="R41" i="35" s="1"/>
  <c r="T41" i="35" s="1"/>
  <c r="Q41" i="34"/>
  <c r="R41" i="34" s="1"/>
  <c r="Q41" i="33"/>
  <c r="R41" i="33" s="1"/>
  <c r="Q41" i="32"/>
  <c r="Q41" i="31"/>
  <c r="R41" i="31" s="1"/>
  <c r="E41" i="36"/>
  <c r="E41" i="35"/>
  <c r="I40" i="39" s="1"/>
  <c r="E41" i="33"/>
  <c r="E41" i="31"/>
  <c r="F41" i="31" s="1"/>
  <c r="H41" i="31" s="1"/>
  <c r="Q41" i="18"/>
  <c r="Q41" i="37"/>
  <c r="R41" i="37" s="1"/>
  <c r="T41" i="37" s="1"/>
  <c r="E41" i="34"/>
  <c r="E41" i="32"/>
  <c r="F41" i="32" s="1"/>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R45" i="31" s="1"/>
  <c r="Q45" i="18"/>
  <c r="Q45" i="37"/>
  <c r="R45" i="37" s="1"/>
  <c r="T45" i="37" s="1"/>
  <c r="E45" i="34"/>
  <c r="E45" i="32"/>
  <c r="F45" i="32" s="1"/>
  <c r="E45" i="36"/>
  <c r="J44" i="39" s="1"/>
  <c r="E45" i="35"/>
  <c r="E45" i="33"/>
  <c r="E45" i="31"/>
  <c r="F44" i="39" s="1"/>
  <c r="E45" i="40"/>
  <c r="Q45" i="40"/>
  <c r="R45" i="40" s="1"/>
  <c r="Q47" i="35"/>
  <c r="R47" i="35" s="1"/>
  <c r="T47" i="35" s="1"/>
  <c r="Q47" i="34"/>
  <c r="R47" i="34" s="1"/>
  <c r="Q47" i="33"/>
  <c r="R47" i="33" s="1"/>
  <c r="S47" i="33" s="1"/>
  <c r="Q47" i="32"/>
  <c r="Q47" i="31"/>
  <c r="Q47" i="18"/>
  <c r="Q47" i="37"/>
  <c r="R47" i="37" s="1"/>
  <c r="S47" i="37" s="1"/>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R49" i="33" s="1"/>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R91" i="18" s="1"/>
  <c r="Q91" i="37"/>
  <c r="Q91" i="36"/>
  <c r="R91" i="36" s="1"/>
  <c r="E91" i="34"/>
  <c r="G90" i="39" s="1"/>
  <c r="E91" i="32"/>
  <c r="F91" i="32" s="1"/>
  <c r="E91" i="18"/>
  <c r="E91" i="36"/>
  <c r="E91" i="35"/>
  <c r="E91" i="33"/>
  <c r="E91" i="31"/>
  <c r="F91" i="31" s="1"/>
  <c r="G91" i="31" s="1"/>
  <c r="E91" i="37"/>
  <c r="Q91" i="40"/>
  <c r="R91" i="40" s="1"/>
  <c r="E91" i="40"/>
  <c r="M90" i="39" s="1"/>
  <c r="E87" i="37"/>
  <c r="C86" i="39" s="1"/>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20" i="31"/>
  <c r="F20" i="31" s="1"/>
  <c r="G20" i="31" s="1"/>
  <c r="C20" i="35"/>
  <c r="P20" i="31"/>
  <c r="R20" i="31" s="1"/>
  <c r="C37" i="31"/>
  <c r="C37" i="35"/>
  <c r="P37" i="31"/>
  <c r="P37" i="18"/>
  <c r="C37" i="18"/>
  <c r="D36" i="39"/>
  <c r="C63" i="35"/>
  <c r="P63" i="31"/>
  <c r="C63" i="31"/>
  <c r="P85" i="33"/>
  <c r="C85" i="33"/>
  <c r="C87" i="35"/>
  <c r="F87" i="35" s="1"/>
  <c r="P87" i="31"/>
  <c r="C87" i="31"/>
  <c r="F87" i="31" s="1"/>
  <c r="G87" i="31" s="1"/>
  <c r="P87" i="18"/>
  <c r="R87" i="18" s="1"/>
  <c r="C87" i="18"/>
  <c r="C99" i="37"/>
  <c r="F99" i="37" s="1"/>
  <c r="H99" i="37" s="1"/>
  <c r="P99" i="37"/>
  <c r="C99" i="31"/>
  <c r="P99" i="31"/>
  <c r="C99" i="35"/>
  <c r="E51" i="37"/>
  <c r="C50" i="39" s="1"/>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R33" i="37" s="1"/>
  <c r="T33" i="37" s="1"/>
  <c r="E33" i="36"/>
  <c r="E33" i="35"/>
  <c r="F33" i="35" s="1"/>
  <c r="H33" i="35" s="1"/>
  <c r="E33" i="34"/>
  <c r="F33" i="34" s="1"/>
  <c r="E33" i="33"/>
  <c r="E33" i="32"/>
  <c r="F33" i="32" s="1"/>
  <c r="E33" i="31"/>
  <c r="F32" i="39" s="1"/>
  <c r="E33" i="18"/>
  <c r="D32" i="39" s="1"/>
  <c r="Q33" i="36"/>
  <c r="R33" i="36" s="1"/>
  <c r="Q33" i="35"/>
  <c r="R33" i="35" s="1"/>
  <c r="S33" i="35" s="1"/>
  <c r="Q33" i="33"/>
  <c r="R33" i="33" s="1"/>
  <c r="Q33" i="31"/>
  <c r="R33" i="31" s="1"/>
  <c r="E33" i="37"/>
  <c r="Q33" i="40"/>
  <c r="R33" i="40" s="1"/>
  <c r="Q33" i="34"/>
  <c r="R33" i="34" s="1"/>
  <c r="Q33" i="32"/>
  <c r="Q33" i="18"/>
  <c r="E33" i="40"/>
  <c r="F33" i="40" s="1"/>
  <c r="AE30" i="5"/>
  <c r="P60" i="18"/>
  <c r="C60" i="18"/>
  <c r="P72" i="18"/>
  <c r="C72" i="18"/>
  <c r="F72" i="18" s="1"/>
  <c r="D71" i="39"/>
  <c r="P57" i="18"/>
  <c r="C57" i="18"/>
  <c r="P62" i="37"/>
  <c r="C62" i="37"/>
  <c r="P54" i="32"/>
  <c r="C54" i="34"/>
  <c r="C54" i="32"/>
  <c r="C81" i="18"/>
  <c r="C67" i="33"/>
  <c r="P67" i="33"/>
  <c r="C59" i="34"/>
  <c r="P59" i="32"/>
  <c r="C59" i="32"/>
  <c r="P19" i="31"/>
  <c r="C19" i="35"/>
  <c r="F19" i="35" s="1"/>
  <c r="G19" i="35" s="1"/>
  <c r="I19" i="35" s="1"/>
  <c r="C19" i="31"/>
  <c r="C75" i="33"/>
  <c r="P75" i="33"/>
  <c r="P75" i="31"/>
  <c r="C75" i="35"/>
  <c r="C75" i="31"/>
  <c r="C80" i="35"/>
  <c r="C80" i="31"/>
  <c r="F80" i="31" s="1"/>
  <c r="H80" i="31" s="1"/>
  <c r="P80" i="37"/>
  <c r="C80" i="37"/>
  <c r="C79" i="39"/>
  <c r="P58" i="32"/>
  <c r="C58" i="34"/>
  <c r="F58" i="34" s="1"/>
  <c r="C58" i="32"/>
  <c r="P70" i="33"/>
  <c r="C70" i="33"/>
  <c r="F70" i="33" s="1"/>
  <c r="H70" i="33" s="1"/>
  <c r="C84" i="33"/>
  <c r="P97" i="33"/>
  <c r="C97" i="33"/>
  <c r="S35" i="33"/>
  <c r="Q85" i="37"/>
  <c r="Q85" i="36"/>
  <c r="R85" i="36" s="1"/>
  <c r="E85" i="35"/>
  <c r="I84" i="39" s="1"/>
  <c r="E85" i="34"/>
  <c r="F85" i="34" s="1"/>
  <c r="E85" i="33"/>
  <c r="H84" i="39" s="1"/>
  <c r="E85" i="32"/>
  <c r="F85" i="32" s="1"/>
  <c r="E85" i="31"/>
  <c r="E85" i="18"/>
  <c r="D84" i="39" s="1"/>
  <c r="E85" i="36"/>
  <c r="E85" i="37"/>
  <c r="C84" i="39" s="1"/>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R73" i="33" s="1"/>
  <c r="S73" i="33" s="1"/>
  <c r="Q73" i="32"/>
  <c r="Q73" i="31"/>
  <c r="Q73" i="18"/>
  <c r="R73" i="18" s="1"/>
  <c r="E73" i="18"/>
  <c r="E73" i="35"/>
  <c r="I72" i="39" s="1"/>
  <c r="E73" i="33"/>
  <c r="E73" i="31"/>
  <c r="F72" i="39" s="1"/>
  <c r="E73" i="36"/>
  <c r="E73" i="34"/>
  <c r="F73" i="34" s="1"/>
  <c r="E73" i="32"/>
  <c r="E73" i="40"/>
  <c r="L72" i="39" s="1"/>
  <c r="Q73" i="40"/>
  <c r="R73" i="40" s="1"/>
  <c r="E63" i="35"/>
  <c r="I62" i="39" s="1"/>
  <c r="E63" i="34"/>
  <c r="F63" i="34" s="1"/>
  <c r="E63" i="33"/>
  <c r="E63" i="32"/>
  <c r="F63" i="32" s="1"/>
  <c r="E63" i="31"/>
  <c r="F62" i="39" s="1"/>
  <c r="E63" i="18"/>
  <c r="D62" i="39" s="1"/>
  <c r="E63" i="37"/>
  <c r="C62" i="39" s="1"/>
  <c r="E63" i="36"/>
  <c r="Q63" i="35"/>
  <c r="R63" i="35" s="1"/>
  <c r="T63" i="35" s="1"/>
  <c r="Q63" i="33"/>
  <c r="R63" i="33" s="1"/>
  <c r="S63" i="33" s="1"/>
  <c r="Q63" i="31"/>
  <c r="R63" i="31" s="1"/>
  <c r="Q63" i="37"/>
  <c r="Q63" i="40"/>
  <c r="R63" i="40" s="1"/>
  <c r="Q63" i="34"/>
  <c r="R63" i="34" s="1"/>
  <c r="Q63" i="32"/>
  <c r="Q63" i="18"/>
  <c r="Q63" i="36"/>
  <c r="R63" i="36" s="1"/>
  <c r="E63" i="40"/>
  <c r="F63" i="40" s="1"/>
  <c r="E29" i="18"/>
  <c r="E29" i="37"/>
  <c r="Q29" i="36"/>
  <c r="R29" i="36" s="1"/>
  <c r="Q29" i="35"/>
  <c r="R29" i="35" s="1"/>
  <c r="S29" i="35" s="1"/>
  <c r="Q29" i="34"/>
  <c r="R29" i="34" s="1"/>
  <c r="Q29" i="33"/>
  <c r="R29" i="33" s="1"/>
  <c r="Q29" i="32"/>
  <c r="E29" i="31"/>
  <c r="F28" i="39" s="1"/>
  <c r="Q29" i="37"/>
  <c r="R29" i="37" s="1"/>
  <c r="T29" i="37" s="1"/>
  <c r="E29" i="36"/>
  <c r="J28" i="39" s="1"/>
  <c r="E29" i="34"/>
  <c r="E29" i="32"/>
  <c r="F29" i="32" s="1"/>
  <c r="Q29" i="18"/>
  <c r="R29" i="18" s="1"/>
  <c r="E29" i="35"/>
  <c r="E29" i="33"/>
  <c r="Q29" i="31"/>
  <c r="R29" i="31" s="1"/>
  <c r="Q29" i="40"/>
  <c r="R29" i="40" s="1"/>
  <c r="E29" i="40"/>
  <c r="Q21" i="35"/>
  <c r="R21" i="35" s="1"/>
  <c r="T21" i="35" s="1"/>
  <c r="Q21" i="34"/>
  <c r="R21" i="34" s="1"/>
  <c r="Q21" i="33"/>
  <c r="Q21" i="32"/>
  <c r="Q21" i="31"/>
  <c r="R21" i="31" s="1"/>
  <c r="Q21" i="18"/>
  <c r="R21" i="18" s="1"/>
  <c r="E21" i="37"/>
  <c r="E21" i="36"/>
  <c r="J20" i="39" s="1"/>
  <c r="E21" i="34"/>
  <c r="E21" i="32"/>
  <c r="F21" i="32" s="1"/>
  <c r="E21" i="18"/>
  <c r="Q21" i="37"/>
  <c r="E21" i="35"/>
  <c r="F21" i="35" s="1"/>
  <c r="G21" i="35" s="1"/>
  <c r="E21" i="33"/>
  <c r="E21" i="31"/>
  <c r="F20" i="39" s="1"/>
  <c r="Q21" i="36"/>
  <c r="R21" i="36" s="1"/>
  <c r="E21" i="40"/>
  <c r="M20" i="39" s="1"/>
  <c r="Q21" i="40"/>
  <c r="R21" i="40" s="1"/>
  <c r="E97" i="37"/>
  <c r="C96" i="39" s="1"/>
  <c r="E97" i="36"/>
  <c r="Q97" i="35"/>
  <c r="R97" i="35" s="1"/>
  <c r="Q97" i="34"/>
  <c r="R97" i="34" s="1"/>
  <c r="Q97" i="33"/>
  <c r="Q97" i="32"/>
  <c r="Q97" i="31"/>
  <c r="R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35" i="37"/>
  <c r="F35" i="37" s="1"/>
  <c r="H35" i="37" s="1"/>
  <c r="P35" i="37"/>
  <c r="R35" i="37" s="1"/>
  <c r="T35" i="37" s="1"/>
  <c r="C90" i="35"/>
  <c r="P90" i="31"/>
  <c r="C90" i="31"/>
  <c r="C65" i="18"/>
  <c r="P65" i="18"/>
  <c r="P65" i="32"/>
  <c r="C65" i="34"/>
  <c r="C65" i="32"/>
  <c r="P50" i="18"/>
  <c r="P38" i="37"/>
  <c r="C38" i="37"/>
  <c r="P74" i="37"/>
  <c r="C74" i="37"/>
  <c r="P32" i="18"/>
  <c r="C32" i="18"/>
  <c r="P95" i="18"/>
  <c r="C95" i="18"/>
  <c r="C46" i="33"/>
  <c r="P46" i="33"/>
  <c r="E23" i="37"/>
  <c r="C22" i="39" s="1"/>
  <c r="Q23" i="36"/>
  <c r="R23" i="36" s="1"/>
  <c r="Q23" i="35"/>
  <c r="R23" i="35" s="1"/>
  <c r="Q23" i="34"/>
  <c r="R23" i="34" s="1"/>
  <c r="Q23" i="33"/>
  <c r="Q23" i="32"/>
  <c r="E23" i="31"/>
  <c r="F23" i="31" s="1"/>
  <c r="G23" i="31" s="1"/>
  <c r="E23" i="18"/>
  <c r="E23" i="36"/>
  <c r="J22" i="39" s="1"/>
  <c r="E23" i="34"/>
  <c r="G22" i="39" s="1"/>
  <c r="E23" i="32"/>
  <c r="Q23" i="37"/>
  <c r="E23" i="35"/>
  <c r="I22" i="39" s="1"/>
  <c r="E23" i="33"/>
  <c r="Q23" i="18"/>
  <c r="Q23" i="31"/>
  <c r="E23" i="40"/>
  <c r="Q23" i="40"/>
  <c r="R23" i="40" s="1"/>
  <c r="E39" i="18"/>
  <c r="D38" i="39" s="1"/>
  <c r="E39" i="37"/>
  <c r="Q39" i="36"/>
  <c r="R39" i="36" s="1"/>
  <c r="Q39" i="35"/>
  <c r="R39" i="35" s="1"/>
  <c r="Q39" i="34"/>
  <c r="R39" i="34" s="1"/>
  <c r="Q39" i="33"/>
  <c r="Q39" i="32"/>
  <c r="Q39" i="18"/>
  <c r="E39" i="31"/>
  <c r="F38" i="39" s="1"/>
  <c r="E39" i="34"/>
  <c r="F39" i="34" s="1"/>
  <c r="E39" i="32"/>
  <c r="F39" i="32" s="1"/>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R42" i="18" s="1"/>
  <c r="E42" i="35"/>
  <c r="F42" i="35" s="1"/>
  <c r="E42" i="33"/>
  <c r="E42" i="31"/>
  <c r="F42" i="31" s="1"/>
  <c r="H42" i="31" s="1"/>
  <c r="E42" i="37"/>
  <c r="E42" i="36"/>
  <c r="E42" i="34"/>
  <c r="F42" i="34" s="1"/>
  <c r="E42" i="32"/>
  <c r="F42" i="32" s="1"/>
  <c r="Q42" i="40"/>
  <c r="R42" i="40" s="1"/>
  <c r="E42" i="40"/>
  <c r="M41" i="39" s="1"/>
  <c r="Q44" i="37"/>
  <c r="E44" i="18"/>
  <c r="E44" i="37"/>
  <c r="C43" i="39" s="1"/>
  <c r="Q44" i="36"/>
  <c r="R44" i="36" s="1"/>
  <c r="Q44" i="35"/>
  <c r="R44" i="35" s="1"/>
  <c r="T44" i="35" s="1"/>
  <c r="Q44" i="34"/>
  <c r="R44" i="34" s="1"/>
  <c r="Q44" i="33"/>
  <c r="Q44" i="32"/>
  <c r="Q44" i="31"/>
  <c r="E44" i="36"/>
  <c r="E44" i="34"/>
  <c r="E44" i="32"/>
  <c r="E44" i="35"/>
  <c r="F44" i="35" s="1"/>
  <c r="E44" i="33"/>
  <c r="E44" i="31"/>
  <c r="F44" i="31" s="1"/>
  <c r="H44" i="31" s="1"/>
  <c r="Q44" i="18"/>
  <c r="R44" i="18" s="1"/>
  <c r="Q44" i="40"/>
  <c r="R44" i="40" s="1"/>
  <c r="E44" i="40"/>
  <c r="E46" i="37"/>
  <c r="C45" i="39" s="1"/>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R48" i="18" s="1"/>
  <c r="Q48" i="37"/>
  <c r="R48" i="37" s="1"/>
  <c r="Q48" i="36"/>
  <c r="R48" i="36" s="1"/>
  <c r="E48" i="34"/>
  <c r="E48" i="32"/>
  <c r="F48" i="32" s="1"/>
  <c r="E48" i="18"/>
  <c r="E48" i="36"/>
  <c r="J47" i="39" s="1"/>
  <c r="E48" i="35"/>
  <c r="E48" i="33"/>
  <c r="E48" i="31"/>
  <c r="E48" i="37"/>
  <c r="Q48" i="40"/>
  <c r="R48" i="40" s="1"/>
  <c r="E48" i="40"/>
  <c r="L47" i="39" s="1"/>
  <c r="Q57" i="37"/>
  <c r="R57" i="37" s="1"/>
  <c r="E57" i="37"/>
  <c r="E57" i="36"/>
  <c r="Q57" i="35"/>
  <c r="R57" i="35" s="1"/>
  <c r="Q57" i="34"/>
  <c r="R57" i="34" s="1"/>
  <c r="Q57" i="33"/>
  <c r="R57" i="33" s="1"/>
  <c r="T57" i="33" s="1"/>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C74" i="39" s="1"/>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E79" i="40"/>
  <c r="Q79" i="34"/>
  <c r="R79" i="34" s="1"/>
  <c r="Q79" i="32"/>
  <c r="Q79" i="18"/>
  <c r="R79" i="18" s="1"/>
  <c r="Q79" i="36"/>
  <c r="R79" i="36" s="1"/>
  <c r="Q79" i="40"/>
  <c r="R79" i="40" s="1"/>
  <c r="AH32" i="5"/>
  <c r="C20" i="32"/>
  <c r="C20" i="34"/>
  <c r="P20" i="32"/>
  <c r="C20" i="18"/>
  <c r="P20" i="18"/>
  <c r="C37" i="37"/>
  <c r="P37" i="37"/>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P33" i="18"/>
  <c r="C33" i="18"/>
  <c r="C67" i="35"/>
  <c r="P67" i="31"/>
  <c r="C67" i="31"/>
  <c r="C73" i="31"/>
  <c r="C73" i="35"/>
  <c r="P73" i="31"/>
  <c r="P83" i="33"/>
  <c r="R83" i="33" s="1"/>
  <c r="T83" i="33" s="1"/>
  <c r="C83" i="33"/>
  <c r="H82" i="39"/>
  <c r="Q81" i="35"/>
  <c r="R81" i="35" s="1"/>
  <c r="Q81" i="34"/>
  <c r="R81" i="34" s="1"/>
  <c r="Q81" i="33"/>
  <c r="R81" i="33" s="1"/>
  <c r="S81" i="33" s="1"/>
  <c r="Q81" i="32"/>
  <c r="Q81" i="31"/>
  <c r="Q81" i="18"/>
  <c r="R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Q59" i="40"/>
  <c r="R59" i="40" s="1"/>
  <c r="Q59" i="34"/>
  <c r="R59" i="34" s="1"/>
  <c r="Q59" i="32"/>
  <c r="Q59" i="18"/>
  <c r="R59" i="18" s="1"/>
  <c r="E59" i="40"/>
  <c r="M58" i="39" s="1"/>
  <c r="E25" i="37"/>
  <c r="C24" i="39" s="1"/>
  <c r="Q25" i="36"/>
  <c r="R25" i="36" s="1"/>
  <c r="Q25" i="35"/>
  <c r="R25" i="35" s="1"/>
  <c r="S25" i="35" s="1"/>
  <c r="Q25" i="34"/>
  <c r="R25" i="34" s="1"/>
  <c r="Q25" i="33"/>
  <c r="Q25" i="32"/>
  <c r="Q25" i="18"/>
  <c r="E25" i="31"/>
  <c r="F24" i="39" s="1"/>
  <c r="E25" i="18"/>
  <c r="D24" i="39" s="1"/>
  <c r="E25" i="34"/>
  <c r="E25" i="32"/>
  <c r="F25" i="32" s="1"/>
  <c r="Q25" i="31"/>
  <c r="Q25" i="37"/>
  <c r="E25" i="36"/>
  <c r="J24" i="39" s="1"/>
  <c r="E25" i="35"/>
  <c r="E25" i="33"/>
  <c r="Q25" i="40"/>
  <c r="R25" i="40" s="1"/>
  <c r="E25" i="40"/>
  <c r="F25" i="40" s="1"/>
  <c r="C96" i="18"/>
  <c r="F96" i="18" s="1"/>
  <c r="D95" i="39"/>
  <c r="C30" i="18"/>
  <c r="P30" i="18"/>
  <c r="P30" i="37"/>
  <c r="C30" i="37"/>
  <c r="C75" i="34"/>
  <c r="C75" i="32"/>
  <c r="P75" i="32"/>
  <c r="C75" i="37"/>
  <c r="P75" i="37"/>
  <c r="P58" i="18"/>
  <c r="C58" i="18"/>
  <c r="C70" i="18"/>
  <c r="P70" i="18"/>
  <c r="C84" i="32"/>
  <c r="P84" i="32"/>
  <c r="C84" i="34"/>
  <c r="F84" i="34" s="1"/>
  <c r="C68" i="33"/>
  <c r="P68" i="33"/>
  <c r="K9" i="36"/>
  <c r="K12" i="36"/>
  <c r="K10" i="36"/>
  <c r="F34" i="37"/>
  <c r="K8" i="40"/>
  <c r="W8" i="40"/>
  <c r="I34" i="39"/>
  <c r="I60" i="39"/>
  <c r="I36" i="39"/>
  <c r="I19" i="39"/>
  <c r="I95" i="39"/>
  <c r="I31" i="39"/>
  <c r="I81" i="39"/>
  <c r="I21" i="39"/>
  <c r="I18" i="39"/>
  <c r="I55" i="39"/>
  <c r="F35" i="18"/>
  <c r="F24" i="18"/>
  <c r="F82" i="18"/>
  <c r="W8" i="32"/>
  <c r="K8" i="32"/>
  <c r="K10" i="18"/>
  <c r="K12" i="18"/>
  <c r="R47" i="40"/>
  <c r="R40" i="40"/>
  <c r="R60" i="40"/>
  <c r="R84" i="40"/>
  <c r="R34" i="40"/>
  <c r="R38" i="40"/>
  <c r="R92" i="40"/>
  <c r="R61" i="40"/>
  <c r="R76" i="40"/>
  <c r="R96" i="40"/>
  <c r="R82" i="40"/>
  <c r="R20" i="40"/>
  <c r="R56" i="40"/>
  <c r="L60" i="39"/>
  <c r="L35" i="39"/>
  <c r="L31" i="39"/>
  <c r="L95" i="39"/>
  <c r="L81" i="39"/>
  <c r="L19" i="39"/>
  <c r="F93" i="39"/>
  <c r="F83" i="39"/>
  <c r="F75" i="39"/>
  <c r="F61" i="39"/>
  <c r="F19" i="39"/>
  <c r="L82" i="39"/>
  <c r="L33" i="39"/>
  <c r="F67" i="39"/>
  <c r="L34" i="39"/>
  <c r="L26" i="39"/>
  <c r="F82" i="39"/>
  <c r="F34" i="39"/>
  <c r="F87" i="39"/>
  <c r="F43" i="39"/>
  <c r="F71" i="39"/>
  <c r="L57" i="39"/>
  <c r="F81" i="39"/>
  <c r="F41" i="39"/>
  <c r="F95" i="39"/>
  <c r="F68" i="31"/>
  <c r="G68" i="31" s="1"/>
  <c r="R61" i="35"/>
  <c r="T61" i="35" s="1"/>
  <c r="F36" i="36"/>
  <c r="H36" i="36" s="1"/>
  <c r="S68" i="37"/>
  <c r="F52" i="18"/>
  <c r="R96" i="35"/>
  <c r="R35" i="35"/>
  <c r="R94" i="35"/>
  <c r="R82" i="35"/>
  <c r="F61" i="36"/>
  <c r="F58" i="36"/>
  <c r="F69" i="36"/>
  <c r="F90" i="36"/>
  <c r="F35" i="36"/>
  <c r="F99" i="36"/>
  <c r="F64" i="36"/>
  <c r="F86" i="36"/>
  <c r="F96" i="36"/>
  <c r="F30" i="36"/>
  <c r="F32" i="36"/>
  <c r="F87" i="36"/>
  <c r="F82" i="36"/>
  <c r="W10" i="18"/>
  <c r="W9" i="18"/>
  <c r="W12" i="18"/>
  <c r="T82" i="37"/>
  <c r="S82" i="37"/>
  <c r="F83" i="31"/>
  <c r="G83" i="31" s="1"/>
  <c r="F53" i="31"/>
  <c r="H53" i="31" s="1"/>
  <c r="F76" i="31"/>
  <c r="H76" i="31" s="1"/>
  <c r="F11" i="39"/>
  <c r="W6" i="32"/>
  <c r="W12" i="36"/>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T61" i="37"/>
  <c r="R32" i="31"/>
  <c r="F82" i="31"/>
  <c r="G82" i="31" s="1"/>
  <c r="R78" i="35"/>
  <c r="S78" i="35" s="1"/>
  <c r="R45" i="35"/>
  <c r="S45" i="35" s="1"/>
  <c r="R80" i="35"/>
  <c r="S80" i="35" s="1"/>
  <c r="R58" i="35"/>
  <c r="S58" i="35" s="1"/>
  <c r="F82" i="37"/>
  <c r="G82" i="37" s="1"/>
  <c r="F68" i="37"/>
  <c r="F84" i="31"/>
  <c r="G84" i="31" s="1"/>
  <c r="T69" i="36"/>
  <c r="S69" i="36"/>
  <c r="T64" i="35"/>
  <c r="H82" i="33"/>
  <c r="G82" i="33"/>
  <c r="T62" i="18"/>
  <c r="S64" i="33"/>
  <c r="M81" i="39"/>
  <c r="M53" i="39"/>
  <c r="M37" i="39"/>
  <c r="M33" i="39"/>
  <c r="G98" i="39"/>
  <c r="G84" i="39"/>
  <c r="G51" i="39"/>
  <c r="G30" i="39"/>
  <c r="G89" i="39"/>
  <c r="M75" i="39"/>
  <c r="M59" i="39"/>
  <c r="M27" i="39"/>
  <c r="G63" i="39"/>
  <c r="G57" i="39"/>
  <c r="G49" i="39"/>
  <c r="M34" i="39"/>
  <c r="M19" i="39"/>
  <c r="G67" i="39"/>
  <c r="M71" i="39"/>
  <c r="M35" i="39"/>
  <c r="G33" i="39"/>
  <c r="G26" i="39"/>
  <c r="M94" i="39"/>
  <c r="G35" i="39"/>
  <c r="G44" i="39"/>
  <c r="G95" i="39"/>
  <c r="M82" i="39"/>
  <c r="G34" i="39"/>
  <c r="M60" i="39"/>
  <c r="M31" i="39"/>
  <c r="M95" i="39"/>
  <c r="M67" i="39"/>
  <c r="M39" i="39"/>
  <c r="G81" i="39"/>
  <c r="T35" i="33"/>
  <c r="T99" i="35"/>
  <c r="R76" i="34"/>
  <c r="R58" i="34"/>
  <c r="R98" i="34"/>
  <c r="R32" i="34"/>
  <c r="R52" i="34"/>
  <c r="R38" i="34"/>
  <c r="R36" i="34"/>
  <c r="R26" i="34"/>
  <c r="R96" i="34"/>
  <c r="R82" i="34"/>
  <c r="R35" i="34"/>
  <c r="R34" i="34"/>
  <c r="R61" i="34"/>
  <c r="R83" i="34"/>
  <c r="R92" i="34"/>
  <c r="S96" i="18"/>
  <c r="S41" i="36"/>
  <c r="H68" i="34" l="1"/>
  <c r="R26" i="33"/>
  <c r="T26" i="33" s="1"/>
  <c r="R21" i="37"/>
  <c r="S21" i="37" s="1"/>
  <c r="F19" i="32"/>
  <c r="F25" i="34"/>
  <c r="H25" i="34" s="1"/>
  <c r="F21" i="34"/>
  <c r="H21" i="34" s="1"/>
  <c r="F28" i="32"/>
  <c r="F48" i="34"/>
  <c r="G48" i="34" s="1"/>
  <c r="R42" i="33"/>
  <c r="T42" i="33" s="1"/>
  <c r="R34" i="33"/>
  <c r="S34" i="33" s="1"/>
  <c r="F48" i="35"/>
  <c r="H48" i="35" s="1"/>
  <c r="R28" i="18"/>
  <c r="S28" i="18" s="1"/>
  <c r="R34" i="31"/>
  <c r="S34" i="31" s="1"/>
  <c r="F32" i="35"/>
  <c r="H32" i="35" s="1"/>
  <c r="S36" i="35"/>
  <c r="R44" i="33"/>
  <c r="F45" i="34"/>
  <c r="F31" i="34"/>
  <c r="H88" i="31"/>
  <c r="R59" i="31"/>
  <c r="R81" i="37"/>
  <c r="T81" i="37" s="1"/>
  <c r="F57" i="35"/>
  <c r="R94" i="33"/>
  <c r="S94" i="33" s="1"/>
  <c r="F95" i="32"/>
  <c r="R79" i="37"/>
  <c r="S79" i="37" s="1"/>
  <c r="F97" i="32"/>
  <c r="R85" i="37"/>
  <c r="S85" i="37" s="1"/>
  <c r="F55" i="32"/>
  <c r="F89" i="32"/>
  <c r="G82" i="34"/>
  <c r="R22" i="37"/>
  <c r="S22" i="37" s="1"/>
  <c r="F44" i="32"/>
  <c r="F38" i="32"/>
  <c r="G35" i="34"/>
  <c r="H35" i="34"/>
  <c r="F43" i="32"/>
  <c r="R44" i="31"/>
  <c r="T44" i="31" s="1"/>
  <c r="R44" i="37"/>
  <c r="R45" i="18"/>
  <c r="S45" i="18" s="1"/>
  <c r="B21" i="40"/>
  <c r="B17" i="7"/>
  <c r="O21" i="31"/>
  <c r="B21" i="34"/>
  <c r="B21" i="35"/>
  <c r="O21" i="34"/>
  <c r="O21" i="33"/>
  <c r="O21" i="37"/>
  <c r="O21" i="36"/>
  <c r="B21" i="37"/>
  <c r="B21" i="31"/>
  <c r="B21" i="36"/>
  <c r="O21" i="35"/>
  <c r="O21" i="18"/>
  <c r="O21" i="32"/>
  <c r="B21" i="33"/>
  <c r="B21" i="18"/>
  <c r="O21" i="40"/>
  <c r="B21" i="32"/>
  <c r="S42" i="18"/>
  <c r="S39" i="36"/>
  <c r="T97" i="18"/>
  <c r="T21" i="18"/>
  <c r="T85" i="36"/>
  <c r="S20" i="31"/>
  <c r="T45" i="36"/>
  <c r="T41" i="36"/>
  <c r="H36" i="18"/>
  <c r="T64" i="31"/>
  <c r="T90" i="18"/>
  <c r="T94" i="31"/>
  <c r="T82" i="18"/>
  <c r="T80" i="31"/>
  <c r="S22" i="18"/>
  <c r="H68" i="36"/>
  <c r="R76" i="32"/>
  <c r="S52" i="31"/>
  <c r="S68" i="18"/>
  <c r="S81" i="18"/>
  <c r="S46" i="36"/>
  <c r="S97" i="31"/>
  <c r="S87" i="36"/>
  <c r="T91" i="18"/>
  <c r="H68" i="18"/>
  <c r="S54" i="36"/>
  <c r="S78" i="18"/>
  <c r="S84" i="36"/>
  <c r="T84" i="18"/>
  <c r="S80" i="36"/>
  <c r="T80" i="18"/>
  <c r="T53" i="18"/>
  <c r="R20" i="33"/>
  <c r="S20" i="33" s="1"/>
  <c r="T77" i="18"/>
  <c r="H76" i="18"/>
  <c r="T86" i="31"/>
  <c r="R90" i="31"/>
  <c r="T94" i="36"/>
  <c r="S88" i="18"/>
  <c r="T38" i="18"/>
  <c r="S69" i="18"/>
  <c r="T26" i="18"/>
  <c r="T40" i="18"/>
  <c r="S83" i="18"/>
  <c r="S44" i="18"/>
  <c r="T97" i="36"/>
  <c r="T29" i="18"/>
  <c r="S31" i="18"/>
  <c r="G76" i="36"/>
  <c r="T54" i="31"/>
  <c r="T74" i="31"/>
  <c r="S78" i="31"/>
  <c r="S88" i="31"/>
  <c r="S62" i="18"/>
  <c r="T96" i="31"/>
  <c r="T52" i="37"/>
  <c r="S52" i="37"/>
  <c r="F49" i="34"/>
  <c r="H49" i="34" s="1"/>
  <c r="S76" i="33"/>
  <c r="F48" i="31"/>
  <c r="H48" i="31" s="1"/>
  <c r="R23" i="33"/>
  <c r="S23" i="33" s="1"/>
  <c r="F73" i="32"/>
  <c r="R91" i="37"/>
  <c r="S91" i="37" s="1"/>
  <c r="F71" i="32"/>
  <c r="F27" i="37"/>
  <c r="G27" i="37" s="1"/>
  <c r="R83" i="37"/>
  <c r="R68" i="31"/>
  <c r="S68" i="31" s="1"/>
  <c r="R61" i="18"/>
  <c r="T22" i="18"/>
  <c r="R81" i="31"/>
  <c r="R79" i="31"/>
  <c r="S79" i="31" s="1"/>
  <c r="F57" i="32"/>
  <c r="R46" i="31"/>
  <c r="T46" i="31" s="1"/>
  <c r="R65" i="37"/>
  <c r="T65" i="37" s="1"/>
  <c r="F58" i="18"/>
  <c r="R81" i="32"/>
  <c r="R55" i="37"/>
  <c r="T55" i="37" s="1"/>
  <c r="F56" i="32"/>
  <c r="R27" i="31"/>
  <c r="S27" i="31" s="1"/>
  <c r="G83" i="37"/>
  <c r="F22" i="36"/>
  <c r="H22" i="36" s="1"/>
  <c r="I87" i="39"/>
  <c r="T76" i="37"/>
  <c r="F20" i="34"/>
  <c r="H20" i="34" s="1"/>
  <c r="R36" i="33"/>
  <c r="S36" i="33" s="1"/>
  <c r="F69" i="34"/>
  <c r="H69" i="34" s="1"/>
  <c r="S22" i="33"/>
  <c r="G68" i="18"/>
  <c r="F69" i="18"/>
  <c r="G69" i="18" s="1"/>
  <c r="L52" i="39"/>
  <c r="F34" i="18"/>
  <c r="R32" i="18"/>
  <c r="T32" i="18" s="1"/>
  <c r="F36" i="31"/>
  <c r="G36" i="31" s="1"/>
  <c r="F66" i="35"/>
  <c r="H66" i="35" s="1"/>
  <c r="F64" i="35"/>
  <c r="H64" i="35" s="1"/>
  <c r="T88" i="33"/>
  <c r="M52" i="39"/>
  <c r="L39" i="39"/>
  <c r="D33" i="38" s="1"/>
  <c r="L71" i="39"/>
  <c r="G34" i="34"/>
  <c r="F61" i="18"/>
  <c r="G61" i="18" s="1"/>
  <c r="H36" i="33"/>
  <c r="G36" i="33"/>
  <c r="T84" i="33"/>
  <c r="S84" i="33"/>
  <c r="T40" i="33"/>
  <c r="L93" i="39"/>
  <c r="F32" i="18"/>
  <c r="G32" i="18" s="1"/>
  <c r="F20" i="35"/>
  <c r="G20" i="35" s="1"/>
  <c r="I20" i="35" s="1"/>
  <c r="F26" i="32"/>
  <c r="F92" i="32"/>
  <c r="C26" i="39"/>
  <c r="R27" i="18"/>
  <c r="S27" i="18" s="1"/>
  <c r="F83" i="34"/>
  <c r="G83" i="34" s="1"/>
  <c r="F19" i="34"/>
  <c r="H19" i="34" s="1"/>
  <c r="J19" i="34" s="1"/>
  <c r="K19" i="34" s="1"/>
  <c r="G17" i="17" s="1"/>
  <c r="S80" i="31"/>
  <c r="G76" i="37"/>
  <c r="M68" i="39"/>
  <c r="E62" i="38" s="1"/>
  <c r="M69" i="39"/>
  <c r="F34" i="31"/>
  <c r="H34" i="31" s="1"/>
  <c r="F43" i="34"/>
  <c r="R99" i="18"/>
  <c r="S99" i="18" s="1"/>
  <c r="T54" i="36"/>
  <c r="G52" i="39"/>
  <c r="E46" i="38" s="1"/>
  <c r="F22" i="31"/>
  <c r="G22" i="31" s="1"/>
  <c r="F24" i="36"/>
  <c r="G24" i="36" s="1"/>
  <c r="F67" i="31"/>
  <c r="G67" i="31" s="1"/>
  <c r="L69" i="39"/>
  <c r="D69" i="38"/>
  <c r="R58" i="18"/>
  <c r="T58" i="18" s="1"/>
  <c r="F32" i="32"/>
  <c r="F50" i="31"/>
  <c r="G50" i="31" s="1"/>
  <c r="F94" i="32"/>
  <c r="F58" i="37"/>
  <c r="H58" i="37" s="1"/>
  <c r="F22" i="35"/>
  <c r="H22" i="35" s="1"/>
  <c r="T77" i="33"/>
  <c r="R33" i="18"/>
  <c r="T33" i="18" s="1"/>
  <c r="F38" i="18"/>
  <c r="H38" i="18" s="1"/>
  <c r="T53" i="33"/>
  <c r="G60" i="39"/>
  <c r="E54" i="38" s="1"/>
  <c r="M93" i="39"/>
  <c r="E87" i="38" s="1"/>
  <c r="T78" i="37"/>
  <c r="F61" i="31"/>
  <c r="G61" i="31" s="1"/>
  <c r="F78" i="36"/>
  <c r="H78" i="36" s="1"/>
  <c r="F72" i="36"/>
  <c r="G72" i="36" s="1"/>
  <c r="L59" i="39"/>
  <c r="I33" i="39"/>
  <c r="F41" i="35"/>
  <c r="H41" i="35" s="1"/>
  <c r="F74" i="33"/>
  <c r="H74" i="33" s="1"/>
  <c r="F56" i="35"/>
  <c r="H56" i="35" s="1"/>
  <c r="L67" i="39"/>
  <c r="D61" i="38" s="1"/>
  <c r="F68" i="40"/>
  <c r="C60" i="39"/>
  <c r="F61" i="37"/>
  <c r="T84" i="36"/>
  <c r="T20" i="31"/>
  <c r="G68" i="36"/>
  <c r="M51" i="39"/>
  <c r="G29" i="39"/>
  <c r="G41" i="39"/>
  <c r="E35" i="38" s="1"/>
  <c r="M57" i="39"/>
  <c r="E51" i="38" s="1"/>
  <c r="S88" i="35"/>
  <c r="F32" i="31"/>
  <c r="G32" i="31" s="1"/>
  <c r="F88" i="36"/>
  <c r="G88" i="36" s="1"/>
  <c r="F20" i="36"/>
  <c r="G20" i="36" s="1"/>
  <c r="L51" i="39"/>
  <c r="F53" i="18"/>
  <c r="H53" i="18" s="1"/>
  <c r="F22" i="37"/>
  <c r="G22" i="37" s="1"/>
  <c r="R20" i="18"/>
  <c r="S20" i="18" s="1"/>
  <c r="F20" i="32"/>
  <c r="R74" i="37"/>
  <c r="T74" i="37" s="1"/>
  <c r="F80" i="35"/>
  <c r="G80" i="35" s="1"/>
  <c r="F32" i="34"/>
  <c r="H32" i="34" s="1"/>
  <c r="F98" i="18"/>
  <c r="G98" i="18" s="1"/>
  <c r="R60" i="33"/>
  <c r="T60" i="33" s="1"/>
  <c r="F74" i="34"/>
  <c r="F80" i="34"/>
  <c r="H80" i="34" s="1"/>
  <c r="F32" i="37"/>
  <c r="T22" i="31"/>
  <c r="S22" i="31"/>
  <c r="S28" i="33"/>
  <c r="T28" i="33"/>
  <c r="T84" i="37"/>
  <c r="S84" i="37"/>
  <c r="F92" i="40"/>
  <c r="L91" i="39"/>
  <c r="D85" i="38" s="1"/>
  <c r="M91" i="39"/>
  <c r="F83" i="35"/>
  <c r="I82" i="39"/>
  <c r="S96" i="31"/>
  <c r="M98" i="39"/>
  <c r="E92" i="38" s="1"/>
  <c r="M32" i="39"/>
  <c r="T95" i="35"/>
  <c r="S53" i="31"/>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D15" i="38" s="1"/>
  <c r="S82" i="33"/>
  <c r="G47" i="39"/>
  <c r="G48" i="39"/>
  <c r="G87" i="39"/>
  <c r="H92" i="34"/>
  <c r="F28" i="18"/>
  <c r="H28" i="18" s="1"/>
  <c r="I67" i="39"/>
  <c r="F40" i="33"/>
  <c r="H40" i="33" s="1"/>
  <c r="S92" i="33"/>
  <c r="T92" i="33"/>
  <c r="F52" i="35"/>
  <c r="H52" i="35" s="1"/>
  <c r="I51" i="39"/>
  <c r="F65" i="39"/>
  <c r="F66" i="31"/>
  <c r="G66" i="31" s="1"/>
  <c r="S26" i="37"/>
  <c r="T26" i="37"/>
  <c r="S52" i="33"/>
  <c r="S74" i="31"/>
  <c r="G69" i="39"/>
  <c r="E63" i="38" s="1"/>
  <c r="T72" i="33"/>
  <c r="F97" i="31"/>
  <c r="H97" i="31" s="1"/>
  <c r="F19" i="36"/>
  <c r="G19" i="36" s="1"/>
  <c r="I19" i="36" s="1"/>
  <c r="F84" i="18"/>
  <c r="G84" i="18" s="1"/>
  <c r="F74" i="36"/>
  <c r="H74" i="36" s="1"/>
  <c r="S54" i="37"/>
  <c r="L32" i="39"/>
  <c r="D26" i="38" s="1"/>
  <c r="T93" i="33"/>
  <c r="S93" i="33"/>
  <c r="T27" i="35"/>
  <c r="S27" i="35"/>
  <c r="D18" i="39"/>
  <c r="F19" i="18"/>
  <c r="G19" i="18" s="1"/>
  <c r="I19" i="18" s="1"/>
  <c r="F64" i="40"/>
  <c r="L63" i="39"/>
  <c r="D57" i="38" s="1"/>
  <c r="R68" i="33"/>
  <c r="S68" i="33" s="1"/>
  <c r="R38" i="37"/>
  <c r="T38" i="37" s="1"/>
  <c r="F19" i="31"/>
  <c r="G19" i="31" s="1"/>
  <c r="I19" i="31" s="1"/>
  <c r="I20" i="31" s="1"/>
  <c r="F76" i="34"/>
  <c r="H76" i="34" s="1"/>
  <c r="F24" i="34"/>
  <c r="H24"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D22" i="39"/>
  <c r="F23" i="18"/>
  <c r="H23" i="18" s="1"/>
  <c r="F90" i="40"/>
  <c r="L89" i="39"/>
  <c r="D83" i="38" s="1"/>
  <c r="F97" i="39"/>
  <c r="F98" i="31"/>
  <c r="H98" i="31" s="1"/>
  <c r="D21" i="39"/>
  <c r="F22" i="18"/>
  <c r="G22" i="18"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F26" i="18"/>
  <c r="G26" i="18" s="1"/>
  <c r="G37" i="39"/>
  <c r="E31" i="38" s="1"/>
  <c r="G61" i="33"/>
  <c r="F94" i="36"/>
  <c r="G94" i="36" s="1"/>
  <c r="F79" i="36"/>
  <c r="H79" i="36" s="1"/>
  <c r="F26" i="31"/>
  <c r="H26" i="31" s="1"/>
  <c r="F92" i="39"/>
  <c r="F93" i="31"/>
  <c r="G93" i="31" s="1"/>
  <c r="F48" i="40"/>
  <c r="M47" i="39"/>
  <c r="E41" i="38" s="1"/>
  <c r="F44" i="40"/>
  <c r="L43" i="39"/>
  <c r="D37" i="38" s="1"/>
  <c r="C25" i="39"/>
  <c r="F26" i="37"/>
  <c r="G26" i="37" s="1"/>
  <c r="T68" i="31"/>
  <c r="F26" i="36"/>
  <c r="G26" i="36" s="1"/>
  <c r="H36" i="34"/>
  <c r="T62" i="31"/>
  <c r="S62" i="31"/>
  <c r="T83" i="18"/>
  <c r="S58" i="33"/>
  <c r="M43" i="39"/>
  <c r="G38" i="39"/>
  <c r="S90" i="18"/>
  <c r="F50" i="36"/>
  <c r="H50" i="36" s="1"/>
  <c r="F80" i="36"/>
  <c r="G80" i="36" s="1"/>
  <c r="F70" i="37"/>
  <c r="G70" i="37" s="1"/>
  <c r="F78" i="31"/>
  <c r="H78" i="31" s="1"/>
  <c r="F77" i="39"/>
  <c r="T30" i="35"/>
  <c r="S30" i="35"/>
  <c r="H88" i="35"/>
  <c r="G88" i="35"/>
  <c r="R19" i="37"/>
  <c r="T19" i="37" s="1"/>
  <c r="V19" i="37" s="1"/>
  <c r="W19" i="37" s="1"/>
  <c r="AA17" i="17" s="1"/>
  <c r="R64" i="37"/>
  <c r="S64" i="37" s="1"/>
  <c r="R72" i="31"/>
  <c r="T72" i="31" s="1"/>
  <c r="F72" i="37"/>
  <c r="H72" i="37" s="1"/>
  <c r="R56" i="37"/>
  <c r="R72" i="32"/>
  <c r="F76" i="35"/>
  <c r="G76" i="35" s="1"/>
  <c r="F74" i="39"/>
  <c r="F84" i="32"/>
  <c r="F75" i="32"/>
  <c r="F20" i="18"/>
  <c r="H20" i="18" s="1"/>
  <c r="R98" i="33"/>
  <c r="F89" i="37"/>
  <c r="G89" i="37" s="1"/>
  <c r="S96" i="33"/>
  <c r="M24" i="39"/>
  <c r="L68" i="39"/>
  <c r="D62" i="38" s="1"/>
  <c r="T39" i="37"/>
  <c r="F68" i="33"/>
  <c r="G68" i="33" s="1"/>
  <c r="R75" i="37"/>
  <c r="T75" i="37" s="1"/>
  <c r="R73" i="31"/>
  <c r="T73" i="31" s="1"/>
  <c r="F38" i="37"/>
  <c r="G38" i="37" s="1"/>
  <c r="F99" i="35"/>
  <c r="G99" i="35" s="1"/>
  <c r="R56" i="18"/>
  <c r="T56" i="18" s="1"/>
  <c r="F24" i="35"/>
  <c r="H24" i="35" s="1"/>
  <c r="F99" i="33"/>
  <c r="F22" i="34"/>
  <c r="G22" i="34" s="1"/>
  <c r="F93" i="37"/>
  <c r="H93" i="37" s="1"/>
  <c r="G72" i="33"/>
  <c r="H72" i="33"/>
  <c r="F40" i="18"/>
  <c r="H40" i="18" s="1"/>
  <c r="T78" i="18"/>
  <c r="S85" i="36"/>
  <c r="G32" i="39"/>
  <c r="E26" i="38" s="1"/>
  <c r="G62" i="39"/>
  <c r="G61" i="39"/>
  <c r="F45" i="37"/>
  <c r="G45" i="37" s="1"/>
  <c r="F53" i="36"/>
  <c r="H53" i="36" s="1"/>
  <c r="L48" i="39"/>
  <c r="D42" i="38" s="1"/>
  <c r="I52" i="39"/>
  <c r="T53" i="37"/>
  <c r="F90" i="31"/>
  <c r="H90" i="31" s="1"/>
  <c r="R99" i="37"/>
  <c r="T99" i="37" s="1"/>
  <c r="F26" i="35"/>
  <c r="H26" i="35" s="1"/>
  <c r="F92" i="37"/>
  <c r="G92" i="37" s="1"/>
  <c r="F64" i="32"/>
  <c r="R69" i="33"/>
  <c r="H71" i="39"/>
  <c r="R24" i="37"/>
  <c r="S24" i="37" s="1"/>
  <c r="F69" i="32"/>
  <c r="F58" i="35"/>
  <c r="G58" i="35" s="1"/>
  <c r="T80" i="35"/>
  <c r="S61" i="33"/>
  <c r="H76" i="36"/>
  <c r="T48" i="35"/>
  <c r="M26" i="39"/>
  <c r="E20" i="38" s="1"/>
  <c r="M25" i="39"/>
  <c r="E19" i="38" s="1"/>
  <c r="M65" i="39"/>
  <c r="M85" i="39"/>
  <c r="F94" i="37"/>
  <c r="G94" i="37" s="1"/>
  <c r="S32" i="37"/>
  <c r="F77" i="31"/>
  <c r="H77" i="31" s="1"/>
  <c r="F31" i="36"/>
  <c r="H31" i="36" s="1"/>
  <c r="F51" i="36"/>
  <c r="G51" i="36" s="1"/>
  <c r="F62" i="18"/>
  <c r="H62" i="18" s="1"/>
  <c r="L29" i="39"/>
  <c r="D23" i="38" s="1"/>
  <c r="L54" i="39"/>
  <c r="F47" i="39"/>
  <c r="D41" i="38" s="1"/>
  <c r="L25" i="39"/>
  <c r="D19" i="38" s="1"/>
  <c r="F22" i="39"/>
  <c r="F83" i="18"/>
  <c r="H83" i="18" s="1"/>
  <c r="F60" i="18"/>
  <c r="H60" i="18" s="1"/>
  <c r="D57" i="39"/>
  <c r="R40" i="31"/>
  <c r="T40" i="31" s="1"/>
  <c r="F80" i="37"/>
  <c r="H80" i="37" s="1"/>
  <c r="R72" i="18"/>
  <c r="T72" i="18" s="1"/>
  <c r="F90" i="18"/>
  <c r="H90" i="18" s="1"/>
  <c r="R92" i="37"/>
  <c r="S92" i="37" s="1"/>
  <c r="R69" i="37"/>
  <c r="S69" i="37" s="1"/>
  <c r="F92" i="31"/>
  <c r="H92" i="31" s="1"/>
  <c r="F47" i="37"/>
  <c r="G47" i="37" s="1"/>
  <c r="F38" i="33"/>
  <c r="H38" i="33" s="1"/>
  <c r="F24" i="31"/>
  <c r="G24" i="31" s="1"/>
  <c r="R99" i="33"/>
  <c r="S99" i="33" s="1"/>
  <c r="F27" i="18"/>
  <c r="G27" i="18" s="1"/>
  <c r="F22" i="33"/>
  <c r="H22" i="33" s="1"/>
  <c r="R19" i="18"/>
  <c r="T19" i="18" s="1"/>
  <c r="V19" i="18" s="1"/>
  <c r="W19" i="18" s="1"/>
  <c r="T17" i="17" s="1"/>
  <c r="T63" i="33"/>
  <c r="F29" i="31"/>
  <c r="H29" i="31" s="1"/>
  <c r="F83" i="36"/>
  <c r="H83" i="36" s="1"/>
  <c r="F34" i="36"/>
  <c r="H34" i="36" s="1"/>
  <c r="F27" i="36"/>
  <c r="G27" i="36" s="1"/>
  <c r="F62" i="36"/>
  <c r="H62" i="36" s="1"/>
  <c r="F63" i="18"/>
  <c r="H63" i="18" s="1"/>
  <c r="L65" i="39"/>
  <c r="D59" i="38" s="1"/>
  <c r="F86" i="18"/>
  <c r="H86" i="18" s="1"/>
  <c r="I37" i="39"/>
  <c r="R37" i="18"/>
  <c r="T37" i="18" s="1"/>
  <c r="R50" i="31"/>
  <c r="S50" i="31" s="1"/>
  <c r="F78" i="18"/>
  <c r="H78" i="18" s="1"/>
  <c r="G62" i="34"/>
  <c r="R64" i="18"/>
  <c r="S64" i="18" s="1"/>
  <c r="F69" i="35"/>
  <c r="H69" i="35" s="1"/>
  <c r="F69" i="37"/>
  <c r="H69" i="37" s="1"/>
  <c r="F27" i="31"/>
  <c r="G27" i="31" s="1"/>
  <c r="F98" i="33"/>
  <c r="G98" i="33" s="1"/>
  <c r="R66" i="37"/>
  <c r="T66" i="37" s="1"/>
  <c r="F98" i="37"/>
  <c r="H98" i="37" s="1"/>
  <c r="F66" i="32"/>
  <c r="R98" i="18"/>
  <c r="T98" i="18" s="1"/>
  <c r="R24" i="18"/>
  <c r="S24" i="18" s="1"/>
  <c r="F72" i="32"/>
  <c r="F92" i="36"/>
  <c r="F53" i="33"/>
  <c r="H50" i="33"/>
  <c r="S40" i="37"/>
  <c r="R46" i="37"/>
  <c r="S46" i="37" s="1"/>
  <c r="R39" i="33"/>
  <c r="T39" i="33" s="1"/>
  <c r="R23" i="31"/>
  <c r="T23" i="31" s="1"/>
  <c r="R23" i="37"/>
  <c r="S23" i="37" s="1"/>
  <c r="F85" i="18"/>
  <c r="H85" i="18" s="1"/>
  <c r="F87" i="32"/>
  <c r="R43" i="37"/>
  <c r="R43" i="31"/>
  <c r="T43" i="31" s="1"/>
  <c r="H61" i="34"/>
  <c r="R89" i="31"/>
  <c r="S89" i="31" s="1"/>
  <c r="R93" i="18"/>
  <c r="S93" i="18" s="1"/>
  <c r="F20" i="37"/>
  <c r="H20" i="37" s="1"/>
  <c r="R34" i="37"/>
  <c r="T80" i="33"/>
  <c r="H69" i="18"/>
  <c r="T96" i="37"/>
  <c r="G35" i="33"/>
  <c r="R67" i="31"/>
  <c r="T67" i="31" s="1"/>
  <c r="F91" i="35"/>
  <c r="H91" i="35" s="1"/>
  <c r="F65" i="31"/>
  <c r="G65" i="31" s="1"/>
  <c r="S40" i="18"/>
  <c r="S26" i="33"/>
  <c r="T89" i="33"/>
  <c r="G82" i="35"/>
  <c r="G34" i="35"/>
  <c r="T19" i="35"/>
  <c r="V19" i="35" s="1"/>
  <c r="W19" i="35" s="1"/>
  <c r="V17" i="17" s="1"/>
  <c r="T97" i="31"/>
  <c r="T36" i="33"/>
  <c r="S62" i="33"/>
  <c r="S94" i="31"/>
  <c r="S45" i="37"/>
  <c r="S51" i="37"/>
  <c r="R25" i="32"/>
  <c r="F81" i="32"/>
  <c r="R21" i="33"/>
  <c r="S21" i="33" s="1"/>
  <c r="F37" i="32"/>
  <c r="F71" i="34"/>
  <c r="H71" i="34" s="1"/>
  <c r="G50" i="34"/>
  <c r="G22" i="36"/>
  <c r="H26" i="33"/>
  <c r="H38" i="34"/>
  <c r="H40" i="34"/>
  <c r="H82" i="31"/>
  <c r="G52" i="37"/>
  <c r="H98" i="34"/>
  <c r="G98" i="34"/>
  <c r="S34" i="18"/>
  <c r="T34" i="18"/>
  <c r="H50" i="18"/>
  <c r="G50" i="18"/>
  <c r="T88" i="31"/>
  <c r="T51" i="33"/>
  <c r="S86" i="33"/>
  <c r="S42" i="33"/>
  <c r="T37" i="35"/>
  <c r="T69" i="18"/>
  <c r="S54" i="31"/>
  <c r="G97" i="39"/>
  <c r="M80" i="39"/>
  <c r="M89" i="39"/>
  <c r="E83" i="38" s="1"/>
  <c r="S53" i="35"/>
  <c r="H51" i="31"/>
  <c r="F45" i="18"/>
  <c r="G45" i="18" s="1"/>
  <c r="S55" i="37"/>
  <c r="F98" i="36"/>
  <c r="H98" i="36" s="1"/>
  <c r="F84" i="36"/>
  <c r="H84" i="36" s="1"/>
  <c r="L88" i="39"/>
  <c r="D82" i="38" s="1"/>
  <c r="F50" i="39"/>
  <c r="L23" i="39"/>
  <c r="D17" i="38" s="1"/>
  <c r="F65" i="18"/>
  <c r="G65" i="18" s="1"/>
  <c r="F97" i="37"/>
  <c r="G97" i="37" s="1"/>
  <c r="D49" i="39"/>
  <c r="R26" i="31"/>
  <c r="T26" i="31" s="1"/>
  <c r="F60" i="37"/>
  <c r="H60" i="37" s="1"/>
  <c r="F54" i="33"/>
  <c r="H54" i="33" s="1"/>
  <c r="F50" i="40"/>
  <c r="L49" i="39"/>
  <c r="D43" i="38" s="1"/>
  <c r="F80" i="40"/>
  <c r="L79" i="39"/>
  <c r="D73" i="38" s="1"/>
  <c r="F64" i="33"/>
  <c r="S78" i="33"/>
  <c r="M79" i="39"/>
  <c r="E73" i="38" s="1"/>
  <c r="H62" i="35"/>
  <c r="T93" i="37"/>
  <c r="F48" i="36"/>
  <c r="H48" i="36" s="1"/>
  <c r="F45" i="36"/>
  <c r="G45" i="36" s="1"/>
  <c r="F33" i="31"/>
  <c r="G33" i="31" s="1"/>
  <c r="F30" i="39"/>
  <c r="F94" i="18"/>
  <c r="G94" i="18" s="1"/>
  <c r="I32" i="39"/>
  <c r="F37" i="31"/>
  <c r="G37" i="31" s="1"/>
  <c r="F50" i="35"/>
  <c r="G50" i="35" s="1"/>
  <c r="F26" i="34"/>
  <c r="G26" i="34" s="1"/>
  <c r="H83" i="34"/>
  <c r="F92" i="18"/>
  <c r="H92" i="18" s="1"/>
  <c r="R98" i="31"/>
  <c r="T98" i="31" s="1"/>
  <c r="R27" i="33"/>
  <c r="S27" i="33" s="1"/>
  <c r="F72" i="35"/>
  <c r="H72" i="35" s="1"/>
  <c r="F62" i="33"/>
  <c r="H61" i="39"/>
  <c r="F34" i="33"/>
  <c r="H33" i="39"/>
  <c r="G55" i="39"/>
  <c r="E49" i="38" s="1"/>
  <c r="M88" i="39"/>
  <c r="T30" i="33"/>
  <c r="T71" i="35"/>
  <c r="M23" i="39"/>
  <c r="E17" i="38" s="1"/>
  <c r="M50" i="39"/>
  <c r="E44" i="38" s="1"/>
  <c r="G85" i="39"/>
  <c r="S97" i="36"/>
  <c r="F21" i="31"/>
  <c r="G21" i="31" s="1"/>
  <c r="F56" i="36"/>
  <c r="H56" i="36" s="1"/>
  <c r="F84" i="37"/>
  <c r="H84" i="37" s="1"/>
  <c r="F51" i="37"/>
  <c r="H51" i="37" s="1"/>
  <c r="F63" i="37"/>
  <c r="G63" i="37" s="1"/>
  <c r="L50" i="39"/>
  <c r="L24" i="39"/>
  <c r="D18" i="38" s="1"/>
  <c r="F67" i="18"/>
  <c r="G67" i="18" s="1"/>
  <c r="I61" i="39"/>
  <c r="F84" i="33"/>
  <c r="G84" i="33" s="1"/>
  <c r="R80" i="37"/>
  <c r="T80" i="37" s="1"/>
  <c r="R99" i="31"/>
  <c r="T99" i="31" s="1"/>
  <c r="F40" i="37"/>
  <c r="H40" i="37" s="1"/>
  <c r="G56" i="34"/>
  <c r="R27" i="37"/>
  <c r="S27" i="37" s="1"/>
  <c r="F98" i="35"/>
  <c r="H98" i="35" s="1"/>
  <c r="F90" i="33"/>
  <c r="F58" i="33"/>
  <c r="T38" i="31"/>
  <c r="S38" i="31"/>
  <c r="S28" i="37"/>
  <c r="T28" i="37"/>
  <c r="S70" i="37"/>
  <c r="T70" i="37"/>
  <c r="F98" i="39"/>
  <c r="F99" i="31"/>
  <c r="H99" i="31" s="1"/>
  <c r="S20" i="37"/>
  <c r="F58" i="39"/>
  <c r="F59" i="31"/>
  <c r="F81" i="34"/>
  <c r="G81" i="34" s="1"/>
  <c r="G80" i="39"/>
  <c r="D20" i="39"/>
  <c r="F21" i="18"/>
  <c r="H21" i="18" s="1"/>
  <c r="C20" i="39"/>
  <c r="F21" i="37"/>
  <c r="G21" i="37" s="1"/>
  <c r="D28" i="39"/>
  <c r="F29" i="18"/>
  <c r="G29" i="18" s="1"/>
  <c r="H62" i="39"/>
  <c r="F63" i="33"/>
  <c r="G63" i="33" s="1"/>
  <c r="F73" i="40"/>
  <c r="M72" i="39"/>
  <c r="F85" i="31"/>
  <c r="G85" i="31" s="1"/>
  <c r="F84" i="39"/>
  <c r="D78" i="38" s="1"/>
  <c r="F94" i="35"/>
  <c r="I93" i="39"/>
  <c r="H30" i="35"/>
  <c r="G30" i="35"/>
  <c r="H38" i="35"/>
  <c r="G38" i="35"/>
  <c r="F51" i="39"/>
  <c r="F52" i="31"/>
  <c r="G52" i="31" s="1"/>
  <c r="F84" i="35"/>
  <c r="I83" i="39"/>
  <c r="J65" i="39"/>
  <c r="F66" i="36"/>
  <c r="J39" i="39"/>
  <c r="F40" i="36"/>
  <c r="H40" i="36" s="1"/>
  <c r="S83" i="33"/>
  <c r="G78" i="39"/>
  <c r="F90" i="39"/>
  <c r="L80" i="39"/>
  <c r="T50" i="37"/>
  <c r="S36" i="31"/>
  <c r="T36" i="31"/>
  <c r="D54" i="39"/>
  <c r="F55" i="18"/>
  <c r="H55" i="18" s="1"/>
  <c r="D76" i="39"/>
  <c r="F77" i="18"/>
  <c r="G77" i="18" s="1"/>
  <c r="D92" i="39"/>
  <c r="F93" i="18"/>
  <c r="G93" i="18" s="1"/>
  <c r="F37" i="39"/>
  <c r="D31" i="38" s="1"/>
  <c r="F38" i="31"/>
  <c r="H38" i="31"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24" i="32"/>
  <c r="F60" i="32"/>
  <c r="R24" i="33"/>
  <c r="F19" i="40"/>
  <c r="K18" i="39"/>
  <c r="F20" i="33"/>
  <c r="H19" i="39"/>
  <c r="T29" i="35"/>
  <c r="H83" i="31"/>
  <c r="M18" i="39"/>
  <c r="E12" i="38" s="1"/>
  <c r="H12" i="38" s="1"/>
  <c r="G91" i="39"/>
  <c r="G24" i="39"/>
  <c r="M62" i="39"/>
  <c r="M48" i="39"/>
  <c r="F44" i="37"/>
  <c r="H44" i="37" s="1"/>
  <c r="S35" i="37"/>
  <c r="F39" i="31"/>
  <c r="H39" i="31" s="1"/>
  <c r="F25" i="36"/>
  <c r="G25" i="36" s="1"/>
  <c r="F46" i="36"/>
  <c r="H46" i="36" s="1"/>
  <c r="F38" i="36"/>
  <c r="H38" i="36" s="1"/>
  <c r="F54" i="36"/>
  <c r="F67" i="37"/>
  <c r="F45" i="31"/>
  <c r="G45" i="31" s="1"/>
  <c r="F55" i="39"/>
  <c r="R30" i="37"/>
  <c r="T30" i="37" s="1"/>
  <c r="F74" i="37"/>
  <c r="G74" i="37" s="1"/>
  <c r="F65" i="34"/>
  <c r="H65" i="34" s="1"/>
  <c r="R70" i="33"/>
  <c r="S70" i="33" s="1"/>
  <c r="R19" i="31"/>
  <c r="T19" i="31" s="1"/>
  <c r="V19" i="31" s="1"/>
  <c r="W19" i="31" s="1"/>
  <c r="U17" i="17" s="1"/>
  <c r="R62" i="37"/>
  <c r="T62" i="37" s="1"/>
  <c r="R74" i="18"/>
  <c r="T74" i="18" s="1"/>
  <c r="H70" i="34"/>
  <c r="R19" i="33"/>
  <c r="F27" i="35"/>
  <c r="G27" i="35" s="1"/>
  <c r="F27" i="33"/>
  <c r="F60" i="35"/>
  <c r="H60" i="35" s="1"/>
  <c r="F99" i="32"/>
  <c r="F27" i="32"/>
  <c r="F78" i="32"/>
  <c r="R38" i="33"/>
  <c r="R24" i="31"/>
  <c r="F84" i="40"/>
  <c r="L83" i="39"/>
  <c r="D77" i="38" s="1"/>
  <c r="D76" i="38"/>
  <c r="L62" i="39"/>
  <c r="D56" i="38" s="1"/>
  <c r="T31" i="37"/>
  <c r="I56" i="39"/>
  <c r="F24" i="37"/>
  <c r="H24" i="37" s="1"/>
  <c r="F73" i="31"/>
  <c r="H73" i="31" s="1"/>
  <c r="F33" i="18"/>
  <c r="G33" i="18" s="1"/>
  <c r="R87" i="33"/>
  <c r="R37" i="37"/>
  <c r="T37" i="37" s="1"/>
  <c r="F41" i="37"/>
  <c r="H41" i="37" s="1"/>
  <c r="H30" i="34"/>
  <c r="R92" i="18"/>
  <c r="T92" i="18" s="1"/>
  <c r="F56" i="33"/>
  <c r="F19" i="33"/>
  <c r="H19" i="33" s="1"/>
  <c r="J19" i="33" s="1"/>
  <c r="K19" i="33" s="1"/>
  <c r="H17" i="17" s="1"/>
  <c r="R30" i="31"/>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F27" i="39"/>
  <c r="F28" i="31"/>
  <c r="H28" i="31" s="1"/>
  <c r="G28" i="34"/>
  <c r="H28" i="34"/>
  <c r="C27" i="39"/>
  <c r="F28" i="37"/>
  <c r="G28" i="37" s="1"/>
  <c r="D53" i="39"/>
  <c r="F54" i="18"/>
  <c r="G54" i="18" s="1"/>
  <c r="F86" i="35"/>
  <c r="I85" i="39"/>
  <c r="S88" i="37"/>
  <c r="T88" i="37"/>
  <c r="H94" i="37"/>
  <c r="G27" i="39"/>
  <c r="E21" i="38" s="1"/>
  <c r="G66" i="39"/>
  <c r="G72" i="39"/>
  <c r="F57" i="31"/>
  <c r="F90" i="37"/>
  <c r="L85" i="39"/>
  <c r="F39" i="18"/>
  <c r="G39" i="18" s="1"/>
  <c r="I43" i="39"/>
  <c r="I29" i="39"/>
  <c r="I47" i="39"/>
  <c r="F30" i="18"/>
  <c r="G30" i="18" s="1"/>
  <c r="F59" i="35"/>
  <c r="G59" i="35" s="1"/>
  <c r="I58" i="39"/>
  <c r="D78" i="39"/>
  <c r="F79" i="18"/>
  <c r="G79" i="18" s="1"/>
  <c r="C32" i="39"/>
  <c r="F33" i="37"/>
  <c r="G33" i="37" s="1"/>
  <c r="F87" i="40"/>
  <c r="L86" i="39"/>
  <c r="D80" i="38" s="1"/>
  <c r="D90" i="39"/>
  <c r="F91" i="18"/>
  <c r="G91" i="18" s="1"/>
  <c r="J42" i="39"/>
  <c r="F43" i="36"/>
  <c r="H43" i="36" s="1"/>
  <c r="F31" i="35"/>
  <c r="G31" i="35" s="1"/>
  <c r="I30" i="39"/>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F30" i="33"/>
  <c r="J69" i="39"/>
  <c r="F70" i="36"/>
  <c r="H70" i="36" s="1"/>
  <c r="F74" i="40"/>
  <c r="L73" i="39"/>
  <c r="D67" i="38" s="1"/>
  <c r="F60" i="31"/>
  <c r="H60" i="31" s="1"/>
  <c r="F59" i="39"/>
  <c r="D53" i="38" s="1"/>
  <c r="F78" i="35"/>
  <c r="I77" i="39"/>
  <c r="F56" i="40"/>
  <c r="L55" i="39"/>
  <c r="D27" i="38"/>
  <c r="F70" i="18"/>
  <c r="H70" i="18" s="1"/>
  <c r="F75" i="34"/>
  <c r="H75" i="34" s="1"/>
  <c r="R87" i="37"/>
  <c r="T87" i="37" s="1"/>
  <c r="R85" i="31"/>
  <c r="S85" i="31" s="1"/>
  <c r="R85" i="18"/>
  <c r="T85" i="18" s="1"/>
  <c r="F40" i="35"/>
  <c r="H40" i="35" s="1"/>
  <c r="F37" i="35"/>
  <c r="G37" i="35" s="1"/>
  <c r="F92" i="35"/>
  <c r="G92" i="35" s="1"/>
  <c r="R74" i="33"/>
  <c r="T74" i="33" s="1"/>
  <c r="F60" i="34"/>
  <c r="G60" i="34" s="1"/>
  <c r="F43" i="37"/>
  <c r="G43" i="37" s="1"/>
  <c r="F24" i="33"/>
  <c r="G24" i="33" s="1"/>
  <c r="F89" i="18"/>
  <c r="H89" i="18" s="1"/>
  <c r="F70" i="35"/>
  <c r="F74" i="31"/>
  <c r="H87" i="39"/>
  <c r="F88" i="33"/>
  <c r="D75" i="38"/>
  <c r="F30" i="37"/>
  <c r="H30" i="37" s="1"/>
  <c r="R30" i="18"/>
  <c r="T30" i="18" s="1"/>
  <c r="R94" i="18"/>
  <c r="S94" i="18" s="1"/>
  <c r="F87" i="37"/>
  <c r="G87" i="37" s="1"/>
  <c r="F77" i="34"/>
  <c r="G77" i="34" s="1"/>
  <c r="R56" i="33"/>
  <c r="R93" i="31"/>
  <c r="S93" i="31" s="1"/>
  <c r="R92" i="31"/>
  <c r="T92" i="31" s="1"/>
  <c r="F49" i="37"/>
  <c r="H49" i="37" s="1"/>
  <c r="F56" i="18"/>
  <c r="G56" i="18" s="1"/>
  <c r="R47" i="32"/>
  <c r="F46" i="18"/>
  <c r="G46" i="18" s="1"/>
  <c r="F30" i="31"/>
  <c r="H30" i="31" s="1"/>
  <c r="H77" i="39"/>
  <c r="F78" i="33"/>
  <c r="F92" i="33"/>
  <c r="F94" i="33"/>
  <c r="H93" i="39"/>
  <c r="T90" i="34"/>
  <c r="S90" i="34"/>
  <c r="T28" i="31"/>
  <c r="S28" i="31"/>
  <c r="S54" i="33"/>
  <c r="T54" i="33"/>
  <c r="C58" i="39"/>
  <c r="F59" i="37"/>
  <c r="F67" i="40"/>
  <c r="L66" i="39"/>
  <c r="D60" i="38" s="1"/>
  <c r="T79" i="33"/>
  <c r="S79" i="33"/>
  <c r="J74" i="39"/>
  <c r="F75" i="36"/>
  <c r="G75" i="36" s="1"/>
  <c r="F57" i="40"/>
  <c r="M56" i="39"/>
  <c r="J41" i="39"/>
  <c r="F42" i="36"/>
  <c r="G42" i="36" s="1"/>
  <c r="H42" i="35"/>
  <c r="G42" i="35"/>
  <c r="F21" i="40"/>
  <c r="L20" i="39"/>
  <c r="D14" i="38" s="1"/>
  <c r="F29" i="34"/>
  <c r="G29" i="34" s="1"/>
  <c r="G28"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S57" i="33"/>
  <c r="T65" i="33"/>
  <c r="T75" i="35"/>
  <c r="H66" i="31"/>
  <c r="G56" i="39"/>
  <c r="E39" i="38"/>
  <c r="S70" i="35"/>
  <c r="T47" i="33"/>
  <c r="T77" i="37"/>
  <c r="S29" i="36"/>
  <c r="F37" i="36"/>
  <c r="G37" i="36" s="1"/>
  <c r="F49" i="36"/>
  <c r="H49" i="36" s="1"/>
  <c r="F25" i="35"/>
  <c r="H25" i="35" s="1"/>
  <c r="I24" i="39"/>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E16" i="38" s="1"/>
  <c r="F95" i="18"/>
  <c r="H95" i="18" s="1"/>
  <c r="F97" i="40"/>
  <c r="L96" i="39"/>
  <c r="D90" i="38" s="1"/>
  <c r="F97" i="35"/>
  <c r="G97" i="35" s="1"/>
  <c r="I96" i="39"/>
  <c r="J96" i="39"/>
  <c r="F97" i="36"/>
  <c r="G97" i="36" s="1"/>
  <c r="F29" i="40"/>
  <c r="L28" i="39"/>
  <c r="D22" i="38" s="1"/>
  <c r="M28" i="39"/>
  <c r="F29" i="35"/>
  <c r="G29" i="35" s="1"/>
  <c r="I28" i="39"/>
  <c r="J62" i="39"/>
  <c r="F63" i="36"/>
  <c r="G63" i="36" s="1"/>
  <c r="J72" i="39"/>
  <c r="F73" i="36"/>
  <c r="H73" i="36" s="1"/>
  <c r="J32" i="39"/>
  <c r="F33" i="36"/>
  <c r="H33" i="36" s="1"/>
  <c r="R87" i="31"/>
  <c r="S87" i="31" s="1"/>
  <c r="F63" i="31"/>
  <c r="H63" i="31" s="1"/>
  <c r="F37" i="18"/>
  <c r="H37" i="18" s="1"/>
  <c r="C90" i="39"/>
  <c r="F91" i="37"/>
  <c r="H91" i="37" s="1"/>
  <c r="J90" i="39"/>
  <c r="F91" i="36"/>
  <c r="G91" i="36" s="1"/>
  <c r="F65" i="40"/>
  <c r="L64" i="39"/>
  <c r="D58" i="38" s="1"/>
  <c r="M64" i="39"/>
  <c r="E58" i="38" s="1"/>
  <c r="F43" i="40"/>
  <c r="L42" i="39"/>
  <c r="D36" i="38" s="1"/>
  <c r="F79" i="31"/>
  <c r="H79" i="31" s="1"/>
  <c r="C36" i="39"/>
  <c r="F37" i="37"/>
  <c r="H37" i="37"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F28" i="35"/>
  <c r="I27" i="39"/>
  <c r="C53" i="39"/>
  <c r="F54" i="37"/>
  <c r="H86" i="34"/>
  <c r="G86" i="34"/>
  <c r="F86" i="33"/>
  <c r="H85" i="39"/>
  <c r="T55" i="33"/>
  <c r="T45" i="35"/>
  <c r="H53" i="37"/>
  <c r="G90" i="34"/>
  <c r="T39" i="36"/>
  <c r="S46" i="35"/>
  <c r="M30" i="39"/>
  <c r="E24" i="38" s="1"/>
  <c r="M66" i="39"/>
  <c r="M42" i="39"/>
  <c r="E36" i="38" s="1"/>
  <c r="M78" i="39"/>
  <c r="G88" i="39"/>
  <c r="F23" i="37"/>
  <c r="H23" i="37" s="1"/>
  <c r="F23" i="36"/>
  <c r="G23" i="36" s="1"/>
  <c r="F29" i="36"/>
  <c r="G29" i="36" s="1"/>
  <c r="L30" i="39"/>
  <c r="D29" i="38"/>
  <c r="I54" i="39"/>
  <c r="I20" i="39"/>
  <c r="F91" i="34"/>
  <c r="G91" i="34" s="1"/>
  <c r="F54" i="32"/>
  <c r="R51" i="31"/>
  <c r="T51" i="31" s="1"/>
  <c r="T36" i="37"/>
  <c r="S36" i="37"/>
  <c r="F47" i="31"/>
  <c r="F25" i="31"/>
  <c r="H25" i="31" s="1"/>
  <c r="F71" i="18"/>
  <c r="G71" i="18" s="1"/>
  <c r="F46" i="31"/>
  <c r="G46" i="31" s="1"/>
  <c r="F54" i="35"/>
  <c r="S66" i="35"/>
  <c r="T66" i="35"/>
  <c r="J27" i="39"/>
  <c r="F28" i="36"/>
  <c r="H27" i="39"/>
  <c r="F28" i="33"/>
  <c r="F85" i="39"/>
  <c r="F86" i="31"/>
  <c r="G35" i="35"/>
  <c r="H35" i="35"/>
  <c r="C80" i="39"/>
  <c r="F81" i="37"/>
  <c r="G81" i="37" s="1"/>
  <c r="J80" i="39"/>
  <c r="F81" i="36"/>
  <c r="G81" i="36" s="1"/>
  <c r="J66" i="39"/>
  <c r="F67" i="36"/>
  <c r="G67" i="36" s="1"/>
  <c r="C56" i="39"/>
  <c r="F57" i="37"/>
  <c r="F73" i="37"/>
  <c r="D89" i="38"/>
  <c r="L44" i="39"/>
  <c r="D38" i="38" s="1"/>
  <c r="L56" i="39"/>
  <c r="D50" i="38" s="1"/>
  <c r="I41" i="39"/>
  <c r="I90" i="39"/>
  <c r="S31" i="33"/>
  <c r="G20" i="39"/>
  <c r="E14" i="38" s="1"/>
  <c r="G92" i="39"/>
  <c r="S71" i="37"/>
  <c r="F21" i="36"/>
  <c r="G21" i="36" s="1"/>
  <c r="F85" i="37"/>
  <c r="T81" i="35"/>
  <c r="S81" i="35"/>
  <c r="F46" i="37"/>
  <c r="H46" i="37" s="1"/>
  <c r="L22" i="39"/>
  <c r="F40" i="39"/>
  <c r="T47" i="37"/>
  <c r="F31" i="18"/>
  <c r="G31" i="18" s="1"/>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F25" i="18"/>
  <c r="H25" i="18" s="1"/>
  <c r="R41" i="18"/>
  <c r="S41" i="18" s="1"/>
  <c r="D65" i="38"/>
  <c r="R63" i="18"/>
  <c r="T63" i="18" s="1"/>
  <c r="F57" i="18"/>
  <c r="H57" i="18" s="1"/>
  <c r="R37" i="31"/>
  <c r="T37" i="31" s="1"/>
  <c r="R65" i="31"/>
  <c r="S65" i="31" s="1"/>
  <c r="F77" i="32"/>
  <c r="F37" i="34"/>
  <c r="H37" i="34" s="1"/>
  <c r="F95" i="37"/>
  <c r="F95" i="31"/>
  <c r="H95" i="31" s="1"/>
  <c r="F25" i="37"/>
  <c r="H25" i="37" s="1"/>
  <c r="D51" i="38"/>
  <c r="F43" i="31"/>
  <c r="G43" i="31" s="1"/>
  <c r="R30" i="32"/>
  <c r="F51" i="32"/>
  <c r="F46" i="32"/>
  <c r="F97" i="34"/>
  <c r="G97" i="34" s="1"/>
  <c r="F51" i="34"/>
  <c r="H51" i="34" s="1"/>
  <c r="T54" i="35"/>
  <c r="S93" i="35"/>
  <c r="S83" i="35"/>
  <c r="T58" i="35"/>
  <c r="S87" i="35"/>
  <c r="T33" i="35"/>
  <c r="S44" i="35"/>
  <c r="S21" i="35"/>
  <c r="S47" i="35"/>
  <c r="T62" i="35"/>
  <c r="T59" i="33"/>
  <c r="G96" i="33"/>
  <c r="G70" i="33"/>
  <c r="R95" i="33"/>
  <c r="S95" i="33" s="1"/>
  <c r="R71" i="33"/>
  <c r="H23" i="31"/>
  <c r="H68" i="31"/>
  <c r="G44" i="31"/>
  <c r="G41" i="31"/>
  <c r="F49" i="35"/>
  <c r="F47" i="35"/>
  <c r="G47" i="35" s="1"/>
  <c r="R23" i="18"/>
  <c r="T23" i="18" s="1"/>
  <c r="S64" i="31"/>
  <c r="G62" i="31"/>
  <c r="H84" i="31"/>
  <c r="F49" i="31"/>
  <c r="F89" i="31"/>
  <c r="F23" i="35"/>
  <c r="H23" i="35" s="1"/>
  <c r="F95" i="35"/>
  <c r="G95" i="35" s="1"/>
  <c r="G76" i="18"/>
  <c r="R25" i="18"/>
  <c r="S25" i="18" s="1"/>
  <c r="T28" i="35"/>
  <c r="T24" i="35"/>
  <c r="H21" i="35"/>
  <c r="T33" i="33"/>
  <c r="S33" i="33"/>
  <c r="T48" i="33"/>
  <c r="S48" i="33"/>
  <c r="S29" i="33"/>
  <c r="T29" i="33"/>
  <c r="T45" i="33"/>
  <c r="T73" i="33"/>
  <c r="G33" i="35"/>
  <c r="T79" i="37"/>
  <c r="R46" i="18"/>
  <c r="T46" i="18" s="1"/>
  <c r="T81" i="33"/>
  <c r="S70" i="34"/>
  <c r="T67" i="35"/>
  <c r="H68" i="37"/>
  <c r="G68" i="37"/>
  <c r="T97" i="37"/>
  <c r="S41" i="37"/>
  <c r="G56" i="31"/>
  <c r="H56" i="31"/>
  <c r="G27" i="34"/>
  <c r="H27" i="34"/>
  <c r="T24" i="37"/>
  <c r="T43" i="33"/>
  <c r="G53" i="31"/>
  <c r="G42" i="31"/>
  <c r="T67" i="37"/>
  <c r="R75" i="18"/>
  <c r="S75" i="18" s="1"/>
  <c r="S41" i="35"/>
  <c r="T78" i="35"/>
  <c r="G96" i="31"/>
  <c r="T37" i="33"/>
  <c r="H69" i="31"/>
  <c r="H92" i="37"/>
  <c r="G31" i="31"/>
  <c r="H31" i="31"/>
  <c r="H32" i="33"/>
  <c r="S73" i="37"/>
  <c r="G72" i="18"/>
  <c r="H72" i="18"/>
  <c r="R91" i="33"/>
  <c r="F71" i="31"/>
  <c r="G96" i="35"/>
  <c r="H96" i="35"/>
  <c r="R25" i="37"/>
  <c r="R25" i="33"/>
  <c r="F81" i="35"/>
  <c r="H81" i="35" s="1"/>
  <c r="F46" i="34"/>
  <c r="H46" i="34" s="1"/>
  <c r="F23" i="32"/>
  <c r="R49" i="37"/>
  <c r="R43" i="18"/>
  <c r="S43" i="18" s="1"/>
  <c r="R95" i="37"/>
  <c r="F89" i="35"/>
  <c r="G64" i="34"/>
  <c r="H64" i="34"/>
  <c r="H87" i="31"/>
  <c r="S61" i="35"/>
  <c r="S77" i="35"/>
  <c r="R25" i="31"/>
  <c r="S25" i="31" s="1"/>
  <c r="F46" i="35"/>
  <c r="R42" i="37"/>
  <c r="R39" i="18"/>
  <c r="F23" i="34"/>
  <c r="H23" i="34" s="1"/>
  <c r="F51" i="35"/>
  <c r="H51" i="35" s="1"/>
  <c r="R47" i="18"/>
  <c r="R71" i="18"/>
  <c r="S71" i="18" s="1"/>
  <c r="R71" i="31"/>
  <c r="R89" i="37"/>
  <c r="S72" i="37"/>
  <c r="S32" i="33"/>
  <c r="S33" i="37"/>
  <c r="S29" i="37"/>
  <c r="H35" i="31"/>
  <c r="G36" i="35"/>
  <c r="H19" i="35"/>
  <c r="J19" i="35" s="1"/>
  <c r="K19" i="35" s="1"/>
  <c r="E17" i="17" s="1"/>
  <c r="H20" i="31"/>
  <c r="G58" i="31"/>
  <c r="G36" i="36"/>
  <c r="G19" i="37"/>
  <c r="I19" i="37" s="1"/>
  <c r="G96" i="37"/>
  <c r="H36" i="37"/>
  <c r="G35" i="37"/>
  <c r="T57" i="31"/>
  <c r="S57" i="31"/>
  <c r="T48" i="18"/>
  <c r="S48" i="18"/>
  <c r="S33" i="31"/>
  <c r="T33" i="31"/>
  <c r="S31" i="31"/>
  <c r="T31" i="31"/>
  <c r="G93" i="34"/>
  <c r="H93" i="34"/>
  <c r="T59" i="31"/>
  <c r="S59" i="31"/>
  <c r="S81" i="31"/>
  <c r="T81" i="31"/>
  <c r="H57" i="35"/>
  <c r="G57" i="35"/>
  <c r="G48" i="31"/>
  <c r="H44" i="35"/>
  <c r="G44" i="35"/>
  <c r="T44" i="33"/>
  <c r="S44" i="33"/>
  <c r="S44" i="37"/>
  <c r="T44" i="37"/>
  <c r="H85" i="34"/>
  <c r="G85" i="34"/>
  <c r="T49" i="33"/>
  <c r="S49" i="33"/>
  <c r="T45" i="31"/>
  <c r="S45" i="31"/>
  <c r="S41" i="31"/>
  <c r="T41" i="31"/>
  <c r="T41" i="33"/>
  <c r="S41" i="33"/>
  <c r="S86" i="31"/>
  <c r="T78" i="31"/>
  <c r="R63" i="32"/>
  <c r="R93" i="32"/>
  <c r="R74" i="32"/>
  <c r="T56" i="36"/>
  <c r="S78" i="36"/>
  <c r="S64" i="36"/>
  <c r="S34" i="36"/>
  <c r="T46" i="36"/>
  <c r="R96" i="32"/>
  <c r="R90" i="32"/>
  <c r="R68" i="32"/>
  <c r="R85" i="32"/>
  <c r="R49" i="32"/>
  <c r="T32" i="36"/>
  <c r="T50" i="36"/>
  <c r="S89" i="36"/>
  <c r="H43" i="34"/>
  <c r="G43" i="34"/>
  <c r="H84" i="34"/>
  <c r="G84" i="34"/>
  <c r="F25" i="33"/>
  <c r="H24" i="39"/>
  <c r="L58" i="39"/>
  <c r="F59" i="40"/>
  <c r="D58" i="39"/>
  <c r="F59" i="18"/>
  <c r="F81" i="33"/>
  <c r="H80" i="39"/>
  <c r="H67" i="34"/>
  <c r="G67" i="34"/>
  <c r="F79" i="33"/>
  <c r="H78" i="39"/>
  <c r="D74" i="39"/>
  <c r="F75" i="18"/>
  <c r="S48" i="37"/>
  <c r="T48" i="37"/>
  <c r="H42" i="34"/>
  <c r="G42" i="34"/>
  <c r="F42" i="37"/>
  <c r="C41" i="39"/>
  <c r="F42" i="33"/>
  <c r="H41" i="39"/>
  <c r="R46" i="33"/>
  <c r="H28" i="39"/>
  <c r="F29" i="33"/>
  <c r="G73" i="34"/>
  <c r="H73" i="34"/>
  <c r="F97" i="18"/>
  <c r="R97" i="33"/>
  <c r="G58" i="34"/>
  <c r="H58" i="34"/>
  <c r="F75" i="35"/>
  <c r="R75" i="33"/>
  <c r="R67" i="33"/>
  <c r="R57" i="18"/>
  <c r="G33" i="34"/>
  <c r="H33" i="34"/>
  <c r="H50" i="39"/>
  <c r="F51" i="33"/>
  <c r="D50" i="39"/>
  <c r="F51" i="18"/>
  <c r="H51" i="18" s="1"/>
  <c r="R85" i="33"/>
  <c r="F49" i="33"/>
  <c r="H48" i="39"/>
  <c r="F45" i="33"/>
  <c r="H44" i="39"/>
  <c r="H45" i="34"/>
  <c r="G45" i="34"/>
  <c r="D42" i="39"/>
  <c r="F43" i="18"/>
  <c r="G43" i="18" s="1"/>
  <c r="F41" i="33"/>
  <c r="H40" i="39"/>
  <c r="D40" i="39"/>
  <c r="F41" i="18"/>
  <c r="G41" i="18" s="1"/>
  <c r="H31" i="34"/>
  <c r="G31" i="34"/>
  <c r="C30" i="39"/>
  <c r="F31" i="37"/>
  <c r="H94" i="39"/>
  <c r="F95" i="33"/>
  <c r="F37" i="33"/>
  <c r="H36" i="39"/>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H22" i="39"/>
  <c r="F23" i="33"/>
  <c r="F39" i="33"/>
  <c r="F46" i="33"/>
  <c r="H20" i="39"/>
  <c r="F21" i="33"/>
  <c r="C28" i="39"/>
  <c r="F29" i="37"/>
  <c r="G63" i="34"/>
  <c r="H63" i="34"/>
  <c r="H72" i="39"/>
  <c r="F73" i="33"/>
  <c r="F97" i="33"/>
  <c r="F75" i="33"/>
  <c r="F59" i="32"/>
  <c r="F59" i="34"/>
  <c r="F67" i="33"/>
  <c r="F81" i="18"/>
  <c r="F33" i="33"/>
  <c r="H32" i="39"/>
  <c r="F85" i="33"/>
  <c r="F63" i="35"/>
  <c r="H90" i="39"/>
  <c r="F91" i="33"/>
  <c r="C64" i="39"/>
  <c r="F65" i="37"/>
  <c r="F65" i="33"/>
  <c r="H64" i="39"/>
  <c r="D48" i="39"/>
  <c r="F49" i="18"/>
  <c r="F47" i="33"/>
  <c r="H46" i="39"/>
  <c r="G45" i="35"/>
  <c r="F31" i="33"/>
  <c r="H30" i="39"/>
  <c r="F79" i="35"/>
  <c r="F65" i="35"/>
  <c r="H55" i="35"/>
  <c r="G55" i="35"/>
  <c r="H70" i="39"/>
  <c r="F71" i="33"/>
  <c r="C70" i="39"/>
  <c r="F71" i="37"/>
  <c r="H88" i="39"/>
  <c r="F89" i="33"/>
  <c r="S98" i="35"/>
  <c r="T98" i="35"/>
  <c r="T83" i="31"/>
  <c r="S83" i="31"/>
  <c r="S61" i="31"/>
  <c r="T61" i="31"/>
  <c r="T63" i="31"/>
  <c r="S63" i="31"/>
  <c r="H87" i="36"/>
  <c r="G87" i="36"/>
  <c r="H44" i="36"/>
  <c r="H37" i="36"/>
  <c r="H51" i="36"/>
  <c r="G35" i="36"/>
  <c r="H35" i="36"/>
  <c r="G58" i="36"/>
  <c r="H58" i="36"/>
  <c r="G61" i="36"/>
  <c r="H61" i="36"/>
  <c r="S23" i="35"/>
  <c r="T23" i="35"/>
  <c r="T96" i="35"/>
  <c r="S96" i="35"/>
  <c r="T42" i="35"/>
  <c r="S42" i="35"/>
  <c r="S90" i="35"/>
  <c r="T90" i="35"/>
  <c r="K10" i="32"/>
  <c r="K9" i="32"/>
  <c r="K12" i="32"/>
  <c r="H35" i="18"/>
  <c r="G35" i="18"/>
  <c r="S55" i="31"/>
  <c r="T55" i="31"/>
  <c r="S29" i="31"/>
  <c r="T29" i="31"/>
  <c r="T76" i="31"/>
  <c r="S76" i="31"/>
  <c r="S59" i="18"/>
  <c r="T89" i="18"/>
  <c r="T59" i="18"/>
  <c r="S86" i="18"/>
  <c r="T55" i="18"/>
  <c r="S98" i="18"/>
  <c r="T86" i="18"/>
  <c r="S97" i="18"/>
  <c r="S55" i="18"/>
  <c r="G86" i="36"/>
  <c r="H86" i="36"/>
  <c r="H19" i="36"/>
  <c r="J19" i="36" s="1"/>
  <c r="K19" i="36" s="1"/>
  <c r="I17" i="17" s="1"/>
  <c r="S43" i="35"/>
  <c r="T43" i="35"/>
  <c r="T97" i="35"/>
  <c r="S97" i="35"/>
  <c r="T40" i="35"/>
  <c r="S40" i="35"/>
  <c r="G52" i="18"/>
  <c r="H52" i="18"/>
  <c r="G66" i="18"/>
  <c r="H66" i="18"/>
  <c r="H22" i="37"/>
  <c r="T79" i="31"/>
  <c r="S77" i="31"/>
  <c r="T77" i="31"/>
  <c r="S84" i="31"/>
  <c r="T82" i="31"/>
  <c r="S82" i="31"/>
  <c r="R65" i="32"/>
  <c r="R27" i="32"/>
  <c r="R34" i="32"/>
  <c r="R42" i="32"/>
  <c r="R37" i="32"/>
  <c r="R66" i="32"/>
  <c r="R48" i="32"/>
  <c r="R69" i="32"/>
  <c r="R73" i="32"/>
  <c r="R67" i="32"/>
  <c r="R84" i="32"/>
  <c r="R95" i="32"/>
  <c r="R21" i="32"/>
  <c r="R59" i="32"/>
  <c r="R89" i="32"/>
  <c r="R20" i="32"/>
  <c r="R77" i="32"/>
  <c r="R36" i="32"/>
  <c r="R99" i="32"/>
  <c r="R39" i="32"/>
  <c r="R32" i="32"/>
  <c r="R31" i="32"/>
  <c r="R60" i="32"/>
  <c r="R45" i="32"/>
  <c r="R40" i="32"/>
  <c r="R41" i="32"/>
  <c r="R79" i="32"/>
  <c r="R54" i="32"/>
  <c r="R19" i="32"/>
  <c r="R87" i="32"/>
  <c r="R94" i="32"/>
  <c r="R38" i="32"/>
  <c r="R22" i="32"/>
  <c r="R56" i="32"/>
  <c r="R46" i="32"/>
  <c r="R86" i="32"/>
  <c r="R28" i="32"/>
  <c r="R53" i="32"/>
  <c r="R83" i="32"/>
  <c r="R29" i="32"/>
  <c r="R51" i="32"/>
  <c r="R64" i="32"/>
  <c r="R61" i="32"/>
  <c r="R23" i="32"/>
  <c r="R24" i="32"/>
  <c r="R55" i="32"/>
  <c r="R58" i="32"/>
  <c r="R75" i="32"/>
  <c r="R33" i="32"/>
  <c r="R98" i="32"/>
  <c r="R82" i="32"/>
  <c r="R80" i="32"/>
  <c r="R43" i="32"/>
  <c r="R88" i="32"/>
  <c r="R71" i="32"/>
  <c r="R35" i="32"/>
  <c r="R97" i="32"/>
  <c r="R70" i="32"/>
  <c r="R92" i="32"/>
  <c r="R50" i="32"/>
  <c r="R44" i="32"/>
  <c r="R62" i="32"/>
  <c r="R57" i="32"/>
  <c r="R91" i="32"/>
  <c r="R52" i="32"/>
  <c r="R78" i="32"/>
  <c r="R26" i="32"/>
  <c r="G78" i="36"/>
  <c r="G53" i="36"/>
  <c r="H69" i="36"/>
  <c r="G69" i="36"/>
  <c r="T84" i="35"/>
  <c r="S84" i="35"/>
  <c r="T72" i="35"/>
  <c r="S72" i="35"/>
  <c r="T35" i="35"/>
  <c r="S35" i="35"/>
  <c r="S57" i="35"/>
  <c r="T57" i="35"/>
  <c r="T20" i="35"/>
  <c r="V20" i="35" s="1"/>
  <c r="W20" i="35" s="1"/>
  <c r="V18" i="17" s="1"/>
  <c r="S20" i="35"/>
  <c r="U20" i="35" s="1"/>
  <c r="V21" i="35" s="1"/>
  <c r="W21" i="35" s="1"/>
  <c r="V19" i="17" s="1"/>
  <c r="S32" i="35"/>
  <c r="T32" i="35"/>
  <c r="T85" i="35"/>
  <c r="S85" i="35"/>
  <c r="G63" i="18"/>
  <c r="G82" i="18"/>
  <c r="H82" i="18"/>
  <c r="G60" i="18"/>
  <c r="G34" i="37"/>
  <c r="H34" i="37"/>
  <c r="H38" i="37"/>
  <c r="S91" i="35"/>
  <c r="S76" i="35"/>
  <c r="T73" i="35"/>
  <c r="S59" i="35"/>
  <c r="D40" i="38"/>
  <c r="H82" i="37"/>
  <c r="S79" i="18"/>
  <c r="T67" i="18"/>
  <c r="T73" i="18"/>
  <c r="T87" i="18"/>
  <c r="S76" i="18"/>
  <c r="T25" i="35"/>
  <c r="T96" i="18"/>
  <c r="T81" i="18"/>
  <c r="S91" i="18"/>
  <c r="S82" i="18"/>
  <c r="G64" i="37"/>
  <c r="S54" i="18"/>
  <c r="T52" i="18"/>
  <c r="S35" i="18"/>
  <c r="T56" i="35"/>
  <c r="G80" i="31"/>
  <c r="T88" i="18"/>
  <c r="G36" i="18"/>
  <c r="S84" i="18"/>
  <c r="S29" i="18"/>
  <c r="T68" i="18"/>
  <c r="S21" i="18"/>
  <c r="S72" i="18"/>
  <c r="G54" i="31"/>
  <c r="G76" i="31"/>
  <c r="E90" i="38"/>
  <c r="E45" i="38"/>
  <c r="T49" i="35"/>
  <c r="S50" i="35"/>
  <c r="S36" i="18"/>
  <c r="T61" i="18"/>
  <c r="S51" i="18"/>
  <c r="S56" i="36"/>
  <c r="T78" i="36"/>
  <c r="T64" i="36"/>
  <c r="T34" i="36"/>
  <c r="T74" i="36"/>
  <c r="T33" i="36"/>
  <c r="D20" i="38"/>
  <c r="D25" i="38"/>
  <c r="D28" i="38"/>
  <c r="D13" i="38"/>
  <c r="D30" i="38"/>
  <c r="D70" i="38"/>
  <c r="S38" i="36"/>
  <c r="S50" i="36"/>
  <c r="T89" i="36"/>
  <c r="T74" i="35"/>
  <c r="S74" i="35"/>
  <c r="T35" i="31"/>
  <c r="S35" i="31"/>
  <c r="T21" i="31"/>
  <c r="S21" i="31"/>
  <c r="S69" i="31"/>
  <c r="T69" i="31"/>
  <c r="G96" i="36"/>
  <c r="H96" i="36"/>
  <c r="H94" i="36"/>
  <c r="G99" i="36"/>
  <c r="H99" i="36"/>
  <c r="T82" i="35"/>
  <c r="S82" i="35"/>
  <c r="S65" i="35"/>
  <c r="T65" i="35"/>
  <c r="S38" i="35"/>
  <c r="T38" i="35"/>
  <c r="T39" i="35"/>
  <c r="S39" i="35"/>
  <c r="W10" i="40"/>
  <c r="W12" i="40"/>
  <c r="T24" i="40" s="1"/>
  <c r="W9" i="40"/>
  <c r="T58" i="31"/>
  <c r="S58" i="31"/>
  <c r="E90" i="39"/>
  <c r="C84" i="38" s="1"/>
  <c r="E78" i="39"/>
  <c r="C72" i="38" s="1"/>
  <c r="E68" i="39"/>
  <c r="C62" i="38" s="1"/>
  <c r="E58" i="39"/>
  <c r="C52" i="38" s="1"/>
  <c r="E46" i="39"/>
  <c r="C40" i="38" s="1"/>
  <c r="E36" i="39"/>
  <c r="C30" i="38" s="1"/>
  <c r="E26" i="39"/>
  <c r="C20" i="38" s="1"/>
  <c r="E43" i="39"/>
  <c r="C37" i="38" s="1"/>
  <c r="E21" i="39"/>
  <c r="C15" i="38" s="1"/>
  <c r="E92" i="39"/>
  <c r="C86" i="38" s="1"/>
  <c r="E82" i="39"/>
  <c r="C76" i="38" s="1"/>
  <c r="E70" i="39"/>
  <c r="C64" i="38" s="1"/>
  <c r="E60" i="39"/>
  <c r="C54" i="38" s="1"/>
  <c r="E50" i="39"/>
  <c r="C44" i="38" s="1"/>
  <c r="E38" i="39"/>
  <c r="C32" i="38" s="1"/>
  <c r="E28" i="39"/>
  <c r="C22" i="38" s="1"/>
  <c r="E47" i="39"/>
  <c r="C41" i="38" s="1"/>
  <c r="E57" i="39"/>
  <c r="C51" i="38" s="1"/>
  <c r="E75" i="39"/>
  <c r="C69" i="38" s="1"/>
  <c r="E37" i="39"/>
  <c r="C31" i="38" s="1"/>
  <c r="E86" i="39"/>
  <c r="C80" i="38" s="1"/>
  <c r="E66" i="39"/>
  <c r="C60" i="38" s="1"/>
  <c r="E44" i="39"/>
  <c r="C38" i="38" s="1"/>
  <c r="E22" i="39"/>
  <c r="C16" i="38" s="1"/>
  <c r="E23" i="39"/>
  <c r="C17" i="38" s="1"/>
  <c r="E49" i="39"/>
  <c r="C43" i="38" s="1"/>
  <c r="E69" i="39"/>
  <c r="C63" i="38" s="1"/>
  <c r="E93" i="39"/>
  <c r="C87" i="38" s="1"/>
  <c r="E35" i="39"/>
  <c r="E71" i="39"/>
  <c r="C65" i="38" s="1"/>
  <c r="E91" i="39"/>
  <c r="C85" i="38" s="1"/>
  <c r="E94" i="39"/>
  <c r="C88" i="38" s="1"/>
  <c r="E74" i="39"/>
  <c r="C68" i="38" s="1"/>
  <c r="E52" i="39"/>
  <c r="C46" i="38" s="1"/>
  <c r="E30" i="39"/>
  <c r="C24" i="38" s="1"/>
  <c r="E95" i="39"/>
  <c r="C89" i="38" s="1"/>
  <c r="E29" i="39"/>
  <c r="C23" i="38" s="1"/>
  <c r="E33" i="39"/>
  <c r="C27" i="38" s="1"/>
  <c r="E65" i="39"/>
  <c r="C59" i="38" s="1"/>
  <c r="E89" i="39"/>
  <c r="C83" i="38" s="1"/>
  <c r="E31" i="39"/>
  <c r="C25" i="38" s="1"/>
  <c r="E67" i="39"/>
  <c r="C61" i="38" s="1"/>
  <c r="E62" i="39"/>
  <c r="C56" i="38" s="1"/>
  <c r="E20" i="39"/>
  <c r="C14" i="38" s="1"/>
  <c r="E79" i="39"/>
  <c r="C73" i="38" s="1"/>
  <c r="E97" i="39"/>
  <c r="C91" i="38" s="1"/>
  <c r="E59" i="39"/>
  <c r="C53" i="38" s="1"/>
  <c r="E76" i="39"/>
  <c r="C70" i="38" s="1"/>
  <c r="E34" i="39"/>
  <c r="C28" i="38" s="1"/>
  <c r="E25" i="39"/>
  <c r="E85" i="39"/>
  <c r="C79" i="38" s="1"/>
  <c r="E55" i="39"/>
  <c r="C49" i="38" s="1"/>
  <c r="E42" i="39"/>
  <c r="C36" i="38" s="1"/>
  <c r="E87" i="39"/>
  <c r="C81" i="38" s="1"/>
  <c r="E84" i="39"/>
  <c r="C78" i="38" s="1"/>
  <c r="E53" i="39"/>
  <c r="C47" i="38" s="1"/>
  <c r="E27" i="39"/>
  <c r="C21" i="38" s="1"/>
  <c r="E54" i="39"/>
  <c r="C48" i="38" s="1"/>
  <c r="E98" i="39"/>
  <c r="C92" i="38" s="1"/>
  <c r="E83" i="39"/>
  <c r="C77" i="38" s="1"/>
  <c r="E41" i="39"/>
  <c r="C35" i="38" s="1"/>
  <c r="E73" i="39"/>
  <c r="C67" i="38" s="1"/>
  <c r="E63" i="39"/>
  <c r="E88" i="39"/>
  <c r="E56" i="39"/>
  <c r="E24" i="39"/>
  <c r="E40" i="39"/>
  <c r="C34" i="38" s="1"/>
  <c r="E77" i="39"/>
  <c r="E48" i="39"/>
  <c r="E81" i="39"/>
  <c r="C75" i="38" s="1"/>
  <c r="E51" i="39"/>
  <c r="E96" i="39"/>
  <c r="C90" i="38" s="1"/>
  <c r="E64" i="39"/>
  <c r="E32" i="39"/>
  <c r="C26" i="38" s="1"/>
  <c r="E61" i="39"/>
  <c r="E39" i="39"/>
  <c r="C33" i="38" s="1"/>
  <c r="E72" i="39"/>
  <c r="C66" i="38" s="1"/>
  <c r="E18" i="39"/>
  <c r="C12" i="38" s="1"/>
  <c r="F12" i="38" s="1"/>
  <c r="E19" i="39"/>
  <c r="C13" i="38" s="1"/>
  <c r="E80" i="39"/>
  <c r="E45" i="39"/>
  <c r="G30" i="36"/>
  <c r="H30" i="36"/>
  <c r="G84" i="36"/>
  <c r="T31" i="35"/>
  <c r="S31" i="35"/>
  <c r="S26" i="35"/>
  <c r="T26" i="35"/>
  <c r="S55" i="35"/>
  <c r="T55" i="35"/>
  <c r="S98" i="40"/>
  <c r="G58" i="18"/>
  <c r="H58" i="18"/>
  <c r="T86" i="35"/>
  <c r="S86" i="35"/>
  <c r="S34" i="35"/>
  <c r="T34" i="35"/>
  <c r="S70" i="31"/>
  <c r="T70" i="31"/>
  <c r="S48" i="31"/>
  <c r="T48" i="31"/>
  <c r="S90" i="31"/>
  <c r="T90" i="31"/>
  <c r="T39" i="31"/>
  <c r="S39" i="31"/>
  <c r="S42" i="31"/>
  <c r="T42" i="31"/>
  <c r="T32" i="31"/>
  <c r="S3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G90" i="36"/>
  <c r="H90" i="36"/>
  <c r="S22" i="35"/>
  <c r="T22" i="35"/>
  <c r="T51" i="35"/>
  <c r="S51" i="35"/>
  <c r="S94" i="35"/>
  <c r="T94" i="35"/>
  <c r="T52" i="35"/>
  <c r="S52" i="35"/>
  <c r="S60" i="35"/>
  <c r="T60" i="35"/>
  <c r="T89" i="35"/>
  <c r="S89" i="35"/>
  <c r="S79" i="35"/>
  <c r="T79" i="35"/>
  <c r="G55" i="18"/>
  <c r="S37" i="40"/>
  <c r="T42" i="40"/>
  <c r="W12" i="32"/>
  <c r="W9" i="32"/>
  <c r="W10" i="32"/>
  <c r="H96" i="18"/>
  <c r="G96" i="18"/>
  <c r="H24" i="18"/>
  <c r="G24" i="18"/>
  <c r="G86" i="18"/>
  <c r="H34" i="18"/>
  <c r="G34" i="18"/>
  <c r="H99" i="18"/>
  <c r="G99" i="18"/>
  <c r="K9" i="40"/>
  <c r="K12" i="40"/>
  <c r="K10" i="40"/>
  <c r="G30" i="37"/>
  <c r="G72" i="31"/>
  <c r="D87" i="38"/>
  <c r="S89" i="18"/>
  <c r="T79" i="18"/>
  <c r="S67" i="18"/>
  <c r="S73" i="18"/>
  <c r="S87" i="18"/>
  <c r="T76" i="18"/>
  <c r="S53" i="18"/>
  <c r="S26" i="18"/>
  <c r="T54" i="18"/>
  <c r="S52" i="18"/>
  <c r="T35" i="18"/>
  <c r="S77" i="18"/>
  <c r="S80" i="18"/>
  <c r="T42" i="18"/>
  <c r="T31" i="18"/>
  <c r="H75" i="31"/>
  <c r="E71" i="38"/>
  <c r="T36" i="18"/>
  <c r="S61" i="18"/>
  <c r="T51" i="18"/>
  <c r="T80" i="36"/>
  <c r="T87" i="36"/>
  <c r="S94" i="36"/>
  <c r="S45" i="36"/>
  <c r="S74" i="36"/>
  <c r="T53" i="31"/>
  <c r="D12" i="38"/>
  <c r="G12" i="38" s="1"/>
  <c r="D46" i="38"/>
  <c r="S32" i="36"/>
  <c r="T82" i="36"/>
  <c r="T84" i="31"/>
  <c r="S25" i="34"/>
  <c r="T25" i="34"/>
  <c r="T50" i="34"/>
  <c r="S50" i="34"/>
  <c r="S24" i="34"/>
  <c r="T24" i="34"/>
  <c r="S56" i="34"/>
  <c r="T56" i="34"/>
  <c r="S58" i="34"/>
  <c r="T58" i="34"/>
  <c r="T81" i="34"/>
  <c r="S81" i="34"/>
  <c r="T91" i="34"/>
  <c r="S91" i="34"/>
  <c r="S67" i="34"/>
  <c r="T67" i="34"/>
  <c r="T57" i="34"/>
  <c r="S57" i="34"/>
  <c r="T46" i="34"/>
  <c r="S46" i="34"/>
  <c r="S19" i="34"/>
  <c r="U19" i="34" s="1"/>
  <c r="T19" i="34"/>
  <c r="V19" i="34" s="1"/>
  <c r="W19" i="34" s="1"/>
  <c r="X17" i="17" s="1"/>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15" i="38"/>
  <c r="E67" i="38"/>
  <c r="E61" i="38"/>
  <c r="E52" i="38"/>
  <c r="E65" i="38"/>
  <c r="T65" i="34"/>
  <c r="S65" i="34"/>
  <c r="S61" i="34"/>
  <c r="T61" i="34"/>
  <c r="T86" i="34"/>
  <c r="S86" i="34"/>
  <c r="T79" i="34"/>
  <c r="S79" i="34"/>
  <c r="S52" i="34"/>
  <c r="T52" i="34"/>
  <c r="E75" i="38"/>
  <c r="S30" i="34"/>
  <c r="T30" i="34"/>
  <c r="S95" i="34"/>
  <c r="T95" i="34"/>
  <c r="T48" i="34"/>
  <c r="S48" i="34"/>
  <c r="T99" i="34"/>
  <c r="S99" i="34"/>
  <c r="T69" i="34"/>
  <c r="S69" i="34"/>
  <c r="S85" i="34"/>
  <c r="T85" i="34"/>
  <c r="S83" i="34"/>
  <c r="T83" i="34"/>
  <c r="T73" i="34"/>
  <c r="S73" i="34"/>
  <c r="T34" i="34"/>
  <c r="S34" i="34"/>
  <c r="T41" i="34"/>
  <c r="S41" i="34"/>
  <c r="S55" i="34"/>
  <c r="T55" i="34"/>
  <c r="T93" i="34"/>
  <c r="S93" i="34"/>
  <c r="S66" i="34"/>
  <c r="T66" i="34"/>
  <c r="T53" i="34"/>
  <c r="S53" i="34"/>
  <c r="S27" i="34"/>
  <c r="T27" i="34"/>
  <c r="T84" i="34"/>
  <c r="S84" i="34"/>
  <c r="S26" i="34"/>
  <c r="T26" i="34"/>
  <c r="S29" i="34"/>
  <c r="T29" i="34"/>
  <c r="S38" i="34"/>
  <c r="T38" i="34"/>
  <c r="S32" i="34"/>
  <c r="T32" i="34"/>
  <c r="S76" i="34"/>
  <c r="T76" i="34"/>
  <c r="S21" i="34"/>
  <c r="T21" i="34"/>
  <c r="E28" i="38"/>
  <c r="E76" i="38"/>
  <c r="E30" i="38"/>
  <c r="E53" i="38"/>
  <c r="E77" i="38"/>
  <c r="E43" i="38"/>
  <c r="E25" i="38"/>
  <c r="E59" i="38"/>
  <c r="S72" i="34"/>
  <c r="T72" i="34"/>
  <c r="S31" i="34"/>
  <c r="T31" i="34"/>
  <c r="S77" i="34"/>
  <c r="T77" i="34"/>
  <c r="S49" i="34"/>
  <c r="T49" i="34"/>
  <c r="S75" i="34"/>
  <c r="T75" i="34"/>
  <c r="T97" i="34"/>
  <c r="S97" i="34"/>
  <c r="T89" i="34"/>
  <c r="S89" i="34"/>
  <c r="T88" i="34"/>
  <c r="S88" i="34"/>
  <c r="T36" i="34"/>
  <c r="S36" i="34"/>
  <c r="E68" i="38"/>
  <c r="E27" i="38"/>
  <c r="S22" i="34"/>
  <c r="T22" i="34"/>
  <c r="T47" i="34"/>
  <c r="S47" i="34"/>
  <c r="S40" i="34"/>
  <c r="T40" i="34"/>
  <c r="T92" i="34"/>
  <c r="S92" i="34"/>
  <c r="T28" i="34"/>
  <c r="S28" i="34"/>
  <c r="S63" i="34"/>
  <c r="T63" i="34"/>
  <c r="S33" i="34"/>
  <c r="T33" i="34"/>
  <c r="S59" i="34"/>
  <c r="T59" i="34"/>
  <c r="T37" i="34"/>
  <c r="S37" i="34"/>
  <c r="T74" i="34"/>
  <c r="S74" i="34"/>
  <c r="T60" i="34"/>
  <c r="S60" i="34"/>
  <c r="S35" i="34"/>
  <c r="T35" i="34"/>
  <c r="S23" i="34"/>
  <c r="T23" i="34"/>
  <c r="S82" i="34"/>
  <c r="T82" i="34"/>
  <c r="T78" i="34"/>
  <c r="S78" i="34"/>
  <c r="T45" i="34"/>
  <c r="S45" i="34"/>
  <c r="T68" i="34"/>
  <c r="S68" i="34"/>
  <c r="S64" i="34"/>
  <c r="T64" i="34"/>
  <c r="T20" i="34"/>
  <c r="S20" i="34"/>
  <c r="E64" i="38"/>
  <c r="E69" i="38"/>
  <c r="E13" i="38"/>
  <c r="E84" i="38"/>
  <c r="E29" i="38"/>
  <c r="H81" i="34" l="1"/>
  <c r="G69" i="34"/>
  <c r="G66" i="35"/>
  <c r="G32" i="35"/>
  <c r="H48" i="34"/>
  <c r="G48" i="36"/>
  <c r="G83" i="36"/>
  <c r="H24" i="36"/>
  <c r="H81" i="36"/>
  <c r="G59" i="36"/>
  <c r="H36" i="31"/>
  <c r="H98" i="18"/>
  <c r="H61" i="18"/>
  <c r="G58" i="37"/>
  <c r="G83" i="18"/>
  <c r="H27" i="37"/>
  <c r="G21" i="34"/>
  <c r="H22" i="34"/>
  <c r="T21" i="37"/>
  <c r="T20" i="18"/>
  <c r="H26" i="37"/>
  <c r="G19" i="34"/>
  <c r="I19" i="34" s="1"/>
  <c r="J20" i="34" s="1"/>
  <c r="L13" i="38" s="1"/>
  <c r="H22" i="31"/>
  <c r="H20" i="35"/>
  <c r="J20" i="35" s="1"/>
  <c r="K20" i="35" s="1"/>
  <c r="E18" i="17" s="1"/>
  <c r="S19" i="18"/>
  <c r="U19" i="18" s="1"/>
  <c r="V20" i="18" s="1"/>
  <c r="W20" i="18" s="1"/>
  <c r="T18" i="17" s="1"/>
  <c r="T23" i="33"/>
  <c r="G25" i="34"/>
  <c r="T22" i="37"/>
  <c r="G28" i="18"/>
  <c r="T20" i="33"/>
  <c r="T28" i="18"/>
  <c r="T27" i="31"/>
  <c r="D16" i="38"/>
  <c r="T27" i="18"/>
  <c r="J20" i="31"/>
  <c r="K20" i="31" s="1"/>
  <c r="D18" i="17" s="1"/>
  <c r="L12" i="38"/>
  <c r="T34" i="31"/>
  <c r="T45" i="18"/>
  <c r="G40" i="18"/>
  <c r="S46" i="31"/>
  <c r="G48" i="35"/>
  <c r="T34" i="33"/>
  <c r="H52" i="31"/>
  <c r="T60" i="18"/>
  <c r="G64" i="35"/>
  <c r="H99" i="34"/>
  <c r="S81" i="37"/>
  <c r="H62" i="37"/>
  <c r="T69" i="37"/>
  <c r="G84" i="37"/>
  <c r="H67" i="31"/>
  <c r="S32" i="18"/>
  <c r="G20" i="34"/>
  <c r="S44" i="31"/>
  <c r="G24" i="35"/>
  <c r="B22" i="34"/>
  <c r="B22" i="40"/>
  <c r="B22" i="32"/>
  <c r="O22" i="33"/>
  <c r="B22" i="37"/>
  <c r="O22" i="31"/>
  <c r="B22" i="31"/>
  <c r="B22" i="36"/>
  <c r="O22" i="40"/>
  <c r="O22" i="35"/>
  <c r="O22" i="18"/>
  <c r="O22" i="32"/>
  <c r="O22" i="37"/>
  <c r="B18" i="7"/>
  <c r="O22" i="34"/>
  <c r="B22" i="35"/>
  <c r="B22" i="33"/>
  <c r="B22" i="18"/>
  <c r="O22" i="36"/>
  <c r="T38" i="40"/>
  <c r="T95" i="40"/>
  <c r="T66" i="40"/>
  <c r="T51" i="40"/>
  <c r="S93" i="40"/>
  <c r="T74" i="32"/>
  <c r="S60" i="40"/>
  <c r="S76" i="40"/>
  <c r="H65" i="18"/>
  <c r="T99" i="40"/>
  <c r="G60" i="37"/>
  <c r="G34" i="36"/>
  <c r="T49" i="32"/>
  <c r="T96" i="32"/>
  <c r="S82" i="40"/>
  <c r="G70" i="18"/>
  <c r="T85" i="32"/>
  <c r="D79" i="38"/>
  <c r="S83" i="37"/>
  <c r="T83" i="37"/>
  <c r="S23" i="31"/>
  <c r="H32" i="31"/>
  <c r="H98" i="33"/>
  <c r="S65" i="37"/>
  <c r="T91" i="37"/>
  <c r="H61" i="31"/>
  <c r="T92" i="37"/>
  <c r="G22" i="35"/>
  <c r="T99" i="18"/>
  <c r="T93" i="31"/>
  <c r="G23" i="18"/>
  <c r="S37" i="18"/>
  <c r="T93" i="18"/>
  <c r="G20" i="18"/>
  <c r="I20" i="18" s="1"/>
  <c r="J21" i="18" s="1"/>
  <c r="K21" i="18" s="1"/>
  <c r="C19" i="17" s="1"/>
  <c r="G49" i="34"/>
  <c r="S92" i="18"/>
  <c r="T72" i="32"/>
  <c r="H80" i="36"/>
  <c r="H19" i="31"/>
  <c r="J19" i="31" s="1"/>
  <c r="K12" i="38" s="1"/>
  <c r="H24" i="31"/>
  <c r="G64" i="18"/>
  <c r="G53" i="18"/>
  <c r="G32" i="34"/>
  <c r="H60" i="34"/>
  <c r="H50" i="31"/>
  <c r="G74" i="33"/>
  <c r="G97" i="31"/>
  <c r="S60" i="33"/>
  <c r="H20" i="36"/>
  <c r="D92" i="38"/>
  <c r="E18" i="38"/>
  <c r="E91" i="38"/>
  <c r="G31" i="36"/>
  <c r="G57" i="18"/>
  <c r="S58" i="18"/>
  <c r="H54" i="18"/>
  <c r="S92" i="31"/>
  <c r="G39" i="36"/>
  <c r="H32" i="18"/>
  <c r="G34" i="31"/>
  <c r="H78" i="34"/>
  <c r="T50" i="31"/>
  <c r="E48" i="38"/>
  <c r="I20" i="36"/>
  <c r="I21" i="36" s="1"/>
  <c r="I22" i="36" s="1"/>
  <c r="J23" i="36" s="1"/>
  <c r="K23" i="36" s="1"/>
  <c r="I21" i="17" s="1"/>
  <c r="T85" i="31"/>
  <c r="H93" i="18"/>
  <c r="H94" i="18"/>
  <c r="H26" i="34"/>
  <c r="T27" i="33"/>
  <c r="H60" i="36"/>
  <c r="G80" i="34"/>
  <c r="H76" i="35"/>
  <c r="E32" i="38"/>
  <c r="H39" i="18"/>
  <c r="G50" i="36"/>
  <c r="G76" i="34"/>
  <c r="G50" i="37"/>
  <c r="G56" i="37"/>
  <c r="G38" i="18"/>
  <c r="G69" i="35"/>
  <c r="H93" i="31"/>
  <c r="S50" i="18"/>
  <c r="D34" i="38"/>
  <c r="E86" i="38"/>
  <c r="T70" i="33"/>
  <c r="D63" i="38"/>
  <c r="E74" i="38"/>
  <c r="H83" i="33"/>
  <c r="D21" i="38"/>
  <c r="H47" i="36"/>
  <c r="H77" i="36"/>
  <c r="H19" i="18"/>
  <c r="J19" i="18" s="1"/>
  <c r="K19" i="18" s="1"/>
  <c r="C17" i="17" s="1"/>
  <c r="H85" i="31"/>
  <c r="S66" i="31"/>
  <c r="S75" i="37"/>
  <c r="E81" i="38"/>
  <c r="G78" i="31"/>
  <c r="G80" i="37"/>
  <c r="T24" i="18"/>
  <c r="H72" i="36"/>
  <c r="G90" i="31"/>
  <c r="E23" i="38"/>
  <c r="S30" i="37"/>
  <c r="G22" i="33"/>
  <c r="D91" i="38"/>
  <c r="H84" i="18"/>
  <c r="H42" i="36"/>
  <c r="H63" i="36"/>
  <c r="H65" i="36"/>
  <c r="G56" i="36"/>
  <c r="H88" i="36"/>
  <c r="H80" i="35"/>
  <c r="S40" i="31"/>
  <c r="H67" i="35"/>
  <c r="G38" i="33"/>
  <c r="G44" i="37"/>
  <c r="T64" i="37"/>
  <c r="H78" i="37"/>
  <c r="S74" i="37"/>
  <c r="S98" i="37"/>
  <c r="E56" i="38"/>
  <c r="G41" i="35"/>
  <c r="G52" i="35"/>
  <c r="G80" i="33"/>
  <c r="G32" i="37"/>
  <c r="H32" i="37"/>
  <c r="H61" i="37"/>
  <c r="G61" i="37"/>
  <c r="S33" i="18"/>
  <c r="G85" i="18"/>
  <c r="H23" i="36"/>
  <c r="G73" i="18"/>
  <c r="G44" i="18"/>
  <c r="S75" i="31"/>
  <c r="H45" i="36"/>
  <c r="G98" i="31"/>
  <c r="H87" i="33"/>
  <c r="G56" i="35"/>
  <c r="H26" i="18"/>
  <c r="G60" i="31"/>
  <c r="T68" i="33"/>
  <c r="E22" i="38"/>
  <c r="D71" i="38"/>
  <c r="D45" i="38"/>
  <c r="E66" i="38"/>
  <c r="D86" i="38"/>
  <c r="E55" i="38"/>
  <c r="E42" i="38"/>
  <c r="H74" i="34"/>
  <c r="G74" i="34"/>
  <c r="S66" i="33"/>
  <c r="T66" i="33"/>
  <c r="H29" i="18"/>
  <c r="H70" i="37"/>
  <c r="G74" i="36"/>
  <c r="G21" i="18"/>
  <c r="H84" i="33"/>
  <c r="S38" i="37"/>
  <c r="H89" i="37"/>
  <c r="E82" i="38"/>
  <c r="N75" i="39"/>
  <c r="S73" i="31"/>
  <c r="H27" i="36"/>
  <c r="S56" i="18"/>
  <c r="H52" i="36"/>
  <c r="S26" i="31"/>
  <c r="G20" i="37"/>
  <c r="I20" i="37" s="1"/>
  <c r="H80" i="18"/>
  <c r="G24" i="34"/>
  <c r="G72" i="37"/>
  <c r="G26" i="31"/>
  <c r="S70" i="18"/>
  <c r="G63" i="31"/>
  <c r="S19" i="37"/>
  <c r="U19" i="37" s="1"/>
  <c r="V20" i="37" s="1"/>
  <c r="W20" i="37" s="1"/>
  <c r="AA18" i="17" s="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H33" i="37"/>
  <c r="G71" i="35"/>
  <c r="H22" i="18"/>
  <c r="S72" i="31"/>
  <c r="D44" i="38"/>
  <c r="S66" i="37"/>
  <c r="H68" i="33"/>
  <c r="T98" i="33"/>
  <c r="S98" i="33"/>
  <c r="T60" i="31"/>
  <c r="G62" i="18"/>
  <c r="G79" i="36"/>
  <c r="H97" i="37"/>
  <c r="G47" i="18"/>
  <c r="G62" i="36"/>
  <c r="H29" i="35"/>
  <c r="G44" i="34"/>
  <c r="G90" i="18"/>
  <c r="H99" i="35"/>
  <c r="D84" i="38"/>
  <c r="H99" i="33"/>
  <c r="G99" i="33"/>
  <c r="T56" i="37"/>
  <c r="S56" i="37"/>
  <c r="G25" i="31"/>
  <c r="G95" i="18"/>
  <c r="H47" i="37"/>
  <c r="H27" i="35"/>
  <c r="S99" i="37"/>
  <c r="H65" i="31"/>
  <c r="G78" i="18"/>
  <c r="H27" i="31"/>
  <c r="D24" i="38"/>
  <c r="H45" i="37"/>
  <c r="H53" i="33"/>
  <c r="G53" i="33"/>
  <c r="H92" i="36"/>
  <c r="G92" i="36"/>
  <c r="H74" i="37"/>
  <c r="H27" i="18"/>
  <c r="H89" i="36"/>
  <c r="H91" i="36"/>
  <c r="G26" i="35"/>
  <c r="H70" i="31"/>
  <c r="T21" i="33"/>
  <c r="T69" i="33"/>
  <c r="S69" i="33"/>
  <c r="N66" i="39"/>
  <c r="H91" i="18"/>
  <c r="G23" i="37"/>
  <c r="G38" i="36"/>
  <c r="S43" i="31"/>
  <c r="S99" i="31"/>
  <c r="H71" i="18"/>
  <c r="T65" i="18"/>
  <c r="T94" i="18"/>
  <c r="H41" i="34"/>
  <c r="D52" i="38"/>
  <c r="G92" i="31"/>
  <c r="G29" i="31"/>
  <c r="G98" i="37"/>
  <c r="G89" i="18"/>
  <c r="G73" i="31"/>
  <c r="D74" i="38"/>
  <c r="T64" i="18"/>
  <c r="T27" i="37"/>
  <c r="E34" i="38"/>
  <c r="E40" i="38"/>
  <c r="S98" i="31"/>
  <c r="G69" i="37"/>
  <c r="H74" i="18"/>
  <c r="H77" i="34"/>
  <c r="H95" i="34"/>
  <c r="H87" i="34"/>
  <c r="H29" i="34"/>
  <c r="H59" i="35"/>
  <c r="G49" i="37"/>
  <c r="G28" i="31"/>
  <c r="G51" i="37"/>
  <c r="S80" i="37"/>
  <c r="S37" i="37"/>
  <c r="T34" i="37"/>
  <c r="S34" i="37"/>
  <c r="S49" i="18"/>
  <c r="T49" i="31"/>
  <c r="H43" i="37"/>
  <c r="H28" i="37"/>
  <c r="G30" i="31"/>
  <c r="G24" i="37"/>
  <c r="G79" i="37"/>
  <c r="S95" i="31"/>
  <c r="G79" i="31"/>
  <c r="G37" i="37"/>
  <c r="T65" i="31"/>
  <c r="H30" i="18"/>
  <c r="G75" i="34"/>
  <c r="T89" i="31"/>
  <c r="G38" i="31"/>
  <c r="H47" i="34"/>
  <c r="H77" i="35"/>
  <c r="S39" i="33"/>
  <c r="G72" i="35"/>
  <c r="T23" i="37"/>
  <c r="S62" i="37"/>
  <c r="T46" i="37"/>
  <c r="H46" i="31"/>
  <c r="G60" i="35"/>
  <c r="S43" i="37"/>
  <c r="T43" i="37"/>
  <c r="H67" i="36"/>
  <c r="G25" i="37"/>
  <c r="G40" i="36"/>
  <c r="H67" i="18"/>
  <c r="G93" i="36"/>
  <c r="H75" i="36"/>
  <c r="G70" i="36"/>
  <c r="H79" i="18"/>
  <c r="G37" i="18"/>
  <c r="H85" i="35"/>
  <c r="G40" i="35"/>
  <c r="H45" i="31"/>
  <c r="H97" i="36"/>
  <c r="G55" i="34"/>
  <c r="H31" i="35"/>
  <c r="H55" i="31"/>
  <c r="G25" i="35"/>
  <c r="G54" i="33"/>
  <c r="H64" i="33"/>
  <c r="G64" i="33"/>
  <c r="H56" i="18"/>
  <c r="H21" i="36"/>
  <c r="G98" i="36"/>
  <c r="G40" i="31"/>
  <c r="H37" i="31"/>
  <c r="G55" i="37"/>
  <c r="G98" i="35"/>
  <c r="H21" i="37"/>
  <c r="N78" i="39"/>
  <c r="E60" i="38"/>
  <c r="G62" i="33"/>
  <c r="H62" i="33"/>
  <c r="H25" i="36"/>
  <c r="H95" i="36"/>
  <c r="G43" i="36"/>
  <c r="H21" i="31"/>
  <c r="J21" i="31" s="1"/>
  <c r="K14" i="38" s="1"/>
  <c r="G88" i="37"/>
  <c r="H33" i="18"/>
  <c r="S91" i="31"/>
  <c r="G92" i="18"/>
  <c r="H29" i="36"/>
  <c r="G65" i="34"/>
  <c r="G39" i="35"/>
  <c r="H63" i="33"/>
  <c r="H92" i="35"/>
  <c r="T87" i="31"/>
  <c r="E72" i="38"/>
  <c r="G58" i="33"/>
  <c r="H58" i="33"/>
  <c r="T25" i="18"/>
  <c r="H33" i="31"/>
  <c r="G66" i="37"/>
  <c r="H24" i="33"/>
  <c r="H63" i="37"/>
  <c r="G90" i="33"/>
  <c r="H90" i="33"/>
  <c r="H34" i="33"/>
  <c r="G34" i="33"/>
  <c r="T41" i="18"/>
  <c r="H69" i="33"/>
  <c r="G69" i="33"/>
  <c r="H54" i="36"/>
  <c r="G54" i="36"/>
  <c r="G20" i="33"/>
  <c r="H20" i="33"/>
  <c r="H84" i="35"/>
  <c r="G84" i="35"/>
  <c r="H94" i="35"/>
  <c r="G94" i="35"/>
  <c r="N84" i="39"/>
  <c r="N85" i="39"/>
  <c r="N65" i="39"/>
  <c r="N82" i="39"/>
  <c r="N68" i="39"/>
  <c r="N62" i="39"/>
  <c r="S85" i="18"/>
  <c r="S37" i="31"/>
  <c r="H54" i="34"/>
  <c r="G46" i="37"/>
  <c r="G93" i="35"/>
  <c r="G39" i="31"/>
  <c r="G19" i="33"/>
  <c r="I19" i="33" s="1"/>
  <c r="S74" i="33"/>
  <c r="S60" i="37"/>
  <c r="T60" i="37"/>
  <c r="S56" i="31"/>
  <c r="T56" i="31"/>
  <c r="G56" i="33"/>
  <c r="H56" i="33"/>
  <c r="S24" i="31"/>
  <c r="T24" i="31"/>
  <c r="T19" i="33"/>
  <c r="V19" i="33" s="1"/>
  <c r="W19" i="33" s="1"/>
  <c r="Y17" i="17" s="1"/>
  <c r="S19" i="33"/>
  <c r="U19" i="33" s="1"/>
  <c r="G66" i="36"/>
  <c r="H66" i="36"/>
  <c r="G59" i="31"/>
  <c r="H59" i="31"/>
  <c r="N69" i="39"/>
  <c r="N98" i="39"/>
  <c r="N59" i="39"/>
  <c r="S47" i="31"/>
  <c r="S30" i="18"/>
  <c r="T75" i="18"/>
  <c r="T95" i="18"/>
  <c r="S23" i="18"/>
  <c r="J20" i="37"/>
  <c r="K20" i="37" s="1"/>
  <c r="J18" i="17" s="1"/>
  <c r="S51" i="31"/>
  <c r="G51" i="34"/>
  <c r="G91" i="37"/>
  <c r="G41" i="37"/>
  <c r="G95" i="31"/>
  <c r="H43" i="31"/>
  <c r="S19" i="31"/>
  <c r="U19" i="31" s="1"/>
  <c r="U20" i="31" s="1"/>
  <c r="U21" i="31" s="1"/>
  <c r="V22" i="31" s="1"/>
  <c r="W22" i="31" s="1"/>
  <c r="U20" i="17" s="1"/>
  <c r="H66" i="34"/>
  <c r="G99" i="31"/>
  <c r="G74" i="35"/>
  <c r="H74" i="35"/>
  <c r="T87" i="33"/>
  <c r="S87" i="33"/>
  <c r="S38" i="33"/>
  <c r="T38" i="33"/>
  <c r="H66" i="33"/>
  <c r="G66" i="33"/>
  <c r="D49" i="38"/>
  <c r="S30" i="31"/>
  <c r="T30" i="31"/>
  <c r="H27" i="33"/>
  <c r="G27" i="33"/>
  <c r="G67" i="37"/>
  <c r="H67" i="37"/>
  <c r="T24" i="33"/>
  <c r="S24" i="33"/>
  <c r="N39" i="39"/>
  <c r="S49" i="32"/>
  <c r="H78" i="33"/>
  <c r="G78" i="33"/>
  <c r="H74" i="31"/>
  <c r="G74" i="31"/>
  <c r="G78" i="35"/>
  <c r="H78" i="35"/>
  <c r="G94" i="34"/>
  <c r="H94" i="34"/>
  <c r="G90" i="37"/>
  <c r="H90" i="37"/>
  <c r="N91" i="39"/>
  <c r="H55" i="36"/>
  <c r="H71" i="36"/>
  <c r="H87" i="18"/>
  <c r="H31" i="18"/>
  <c r="H87" i="37"/>
  <c r="S63" i="18"/>
  <c r="G57" i="36"/>
  <c r="H37" i="35"/>
  <c r="H81" i="37"/>
  <c r="T56" i="33"/>
  <c r="S56" i="33"/>
  <c r="H70" i="35"/>
  <c r="G70" i="35"/>
  <c r="H88" i="18"/>
  <c r="G88" i="18"/>
  <c r="G60" i="33"/>
  <c r="H60" i="33"/>
  <c r="G57" i="31"/>
  <c r="H57" i="31"/>
  <c r="N44" i="39"/>
  <c r="N87" i="39"/>
  <c r="G25" i="18"/>
  <c r="H75" i="37"/>
  <c r="G37" i="34"/>
  <c r="H47" i="35"/>
  <c r="H86" i="37"/>
  <c r="S87" i="37"/>
  <c r="E50" i="38"/>
  <c r="H94" i="33"/>
  <c r="G94" i="33"/>
  <c r="H88" i="33"/>
  <c r="G88" i="33"/>
  <c r="H43" i="33"/>
  <c r="G43" i="33"/>
  <c r="H92" i="33"/>
  <c r="G92" i="33"/>
  <c r="H30" i="33"/>
  <c r="G30" i="33"/>
  <c r="G86" i="35"/>
  <c r="H86" i="35"/>
  <c r="G85" i="37"/>
  <c r="H85" i="37"/>
  <c r="G33" i="36"/>
  <c r="H48" i="18"/>
  <c r="G49" i="36"/>
  <c r="G73" i="36"/>
  <c r="T43" i="18"/>
  <c r="G23" i="34"/>
  <c r="H91" i="34"/>
  <c r="G81" i="35"/>
  <c r="G95" i="37"/>
  <c r="H95" i="37"/>
  <c r="H57" i="37"/>
  <c r="G57" i="37"/>
  <c r="H28" i="33"/>
  <c r="G28" i="33"/>
  <c r="H86" i="33"/>
  <c r="G86" i="33"/>
  <c r="H73" i="35"/>
  <c r="G73" i="35"/>
  <c r="H59" i="37"/>
  <c r="G59" i="37"/>
  <c r="H81" i="31"/>
  <c r="G81" i="31"/>
  <c r="G42" i="18"/>
  <c r="H97" i="35"/>
  <c r="H90" i="35"/>
  <c r="S63" i="37"/>
  <c r="H86" i="31"/>
  <c r="G86" i="31"/>
  <c r="H28" i="36"/>
  <c r="G28" i="36"/>
  <c r="H54" i="35"/>
  <c r="G54" i="35"/>
  <c r="H47" i="31"/>
  <c r="G47" i="31"/>
  <c r="G28" i="35"/>
  <c r="H28" i="35"/>
  <c r="N40" i="39"/>
  <c r="T25" i="31"/>
  <c r="H73" i="37"/>
  <c r="G73" i="37"/>
  <c r="G54" i="37"/>
  <c r="H54" i="37"/>
  <c r="G77" i="37"/>
  <c r="H77" i="37"/>
  <c r="H55" i="33"/>
  <c r="G55" i="33"/>
  <c r="H43" i="35"/>
  <c r="G43" i="35"/>
  <c r="N23" i="39"/>
  <c r="N90" i="39"/>
  <c r="S96" i="32"/>
  <c r="H97" i="34"/>
  <c r="N74" i="39"/>
  <c r="G46" i="34"/>
  <c r="N72" i="39"/>
  <c r="T95" i="33"/>
  <c r="T71" i="33"/>
  <c r="S71" i="33"/>
  <c r="H95" i="35"/>
  <c r="G49" i="35"/>
  <c r="H49" i="35"/>
  <c r="J21" i="35"/>
  <c r="K21" i="35" s="1"/>
  <c r="E19" i="17" s="1"/>
  <c r="G23" i="35"/>
  <c r="H49" i="31"/>
  <c r="G49" i="31"/>
  <c r="G51" i="35"/>
  <c r="G89" i="31"/>
  <c r="H89" i="31"/>
  <c r="T71" i="18"/>
  <c r="N19" i="39"/>
  <c r="N26" i="39"/>
  <c r="F13" i="38"/>
  <c r="F14" i="38" s="1"/>
  <c r="F15" i="38" s="1"/>
  <c r="F16" i="38" s="1"/>
  <c r="F17" i="38" s="1"/>
  <c r="H13" i="38"/>
  <c r="H14" i="38" s="1"/>
  <c r="H15" i="38" s="1"/>
  <c r="H16" i="38" s="1"/>
  <c r="H17" i="38" s="1"/>
  <c r="S42" i="37"/>
  <c r="T42" i="37"/>
  <c r="S25" i="37"/>
  <c r="T25" i="37"/>
  <c r="N89" i="39"/>
  <c r="N76" i="39"/>
  <c r="N83" i="39"/>
  <c r="N55" i="39"/>
  <c r="G51" i="18"/>
  <c r="S39" i="18"/>
  <c r="T39" i="18"/>
  <c r="T49" i="37"/>
  <c r="S49" i="37"/>
  <c r="T25" i="33"/>
  <c r="S25" i="33"/>
  <c r="G71" i="31"/>
  <c r="H71" i="31"/>
  <c r="T47" i="18"/>
  <c r="S47" i="18"/>
  <c r="G89" i="35"/>
  <c r="H89" i="35"/>
  <c r="N96" i="39"/>
  <c r="S46" i="18"/>
  <c r="T89" i="37"/>
  <c r="S89" i="37"/>
  <c r="H46" i="35"/>
  <c r="G46" i="35"/>
  <c r="S95" i="37"/>
  <c r="T95" i="37"/>
  <c r="N93" i="39"/>
  <c r="N94" i="39"/>
  <c r="T71" i="31"/>
  <c r="S71" i="31"/>
  <c r="T91" i="33"/>
  <c r="S91" i="33"/>
  <c r="N30" i="39"/>
  <c r="N38" i="39"/>
  <c r="N34" i="39"/>
  <c r="J20" i="18"/>
  <c r="K20" i="18" s="1"/>
  <c r="C18" i="17" s="1"/>
  <c r="G79" i="35"/>
  <c r="H79" i="35"/>
  <c r="G31" i="33"/>
  <c r="H31" i="33"/>
  <c r="G47" i="33"/>
  <c r="H47" i="33"/>
  <c r="H65" i="33"/>
  <c r="G65" i="33"/>
  <c r="H85" i="33"/>
  <c r="G85" i="33"/>
  <c r="G33" i="33"/>
  <c r="H33" i="33"/>
  <c r="G67" i="33"/>
  <c r="H67" i="33"/>
  <c r="H97" i="33"/>
  <c r="G97" i="33"/>
  <c r="G39" i="33"/>
  <c r="H39" i="33"/>
  <c r="G48" i="33"/>
  <c r="H48" i="33"/>
  <c r="H48" i="37"/>
  <c r="G48" i="37"/>
  <c r="G57" i="33"/>
  <c r="H57" i="33"/>
  <c r="H93" i="33"/>
  <c r="G93" i="33"/>
  <c r="G95" i="33"/>
  <c r="H95" i="33"/>
  <c r="G31" i="37"/>
  <c r="H31" i="37"/>
  <c r="T85" i="33"/>
  <c r="S85" i="33"/>
  <c r="T67" i="33"/>
  <c r="S67" i="33"/>
  <c r="H75" i="35"/>
  <c r="G75" i="35"/>
  <c r="G97" i="18"/>
  <c r="H97" i="18"/>
  <c r="H75" i="18"/>
  <c r="G75" i="18"/>
  <c r="H59" i="18"/>
  <c r="G59" i="18"/>
  <c r="V20" i="36"/>
  <c r="W20" i="36" s="1"/>
  <c r="Z18" i="17" s="1"/>
  <c r="I21" i="31"/>
  <c r="N37" i="39"/>
  <c r="N28" i="39"/>
  <c r="N43" i="39"/>
  <c r="N70" i="39"/>
  <c r="N18" i="39"/>
  <c r="O18" i="39" s="1"/>
  <c r="N52" i="39"/>
  <c r="N22" i="39"/>
  <c r="N49" i="39"/>
  <c r="U21" i="35"/>
  <c r="V22" i="35" s="1"/>
  <c r="W22" i="35" s="1"/>
  <c r="V20" i="17" s="1"/>
  <c r="N58" i="39"/>
  <c r="N67" i="39"/>
  <c r="N73" i="39"/>
  <c r="N53" i="39"/>
  <c r="N95" i="39"/>
  <c r="N20" i="39"/>
  <c r="G13" i="38"/>
  <c r="G14" i="38" s="1"/>
  <c r="G15" i="38" s="1"/>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29" i="37"/>
  <c r="G29" i="37"/>
  <c r="H21" i="33"/>
  <c r="G21" i="33"/>
  <c r="H46" i="33"/>
  <c r="G46" i="33"/>
  <c r="H23" i="33"/>
  <c r="G23" i="33"/>
  <c r="H44" i="33"/>
  <c r="G44" i="33"/>
  <c r="G59" i="33"/>
  <c r="H59" i="33"/>
  <c r="G77" i="33"/>
  <c r="H77" i="33"/>
  <c r="G37" i="33"/>
  <c r="H37" i="33"/>
  <c r="G41" i="33"/>
  <c r="H41" i="33"/>
  <c r="H45" i="33"/>
  <c r="G45" i="33"/>
  <c r="G49" i="33"/>
  <c r="H49" i="33"/>
  <c r="G51" i="33"/>
  <c r="H51" i="33"/>
  <c r="S57" i="18"/>
  <c r="T57" i="18"/>
  <c r="S75" i="33"/>
  <c r="T75" i="33"/>
  <c r="S97" i="33"/>
  <c r="T97" i="33"/>
  <c r="H29" i="33"/>
  <c r="G29" i="33"/>
  <c r="T46" i="33"/>
  <c r="S46" i="33"/>
  <c r="H42" i="33"/>
  <c r="G42" i="33"/>
  <c r="H42" i="37"/>
  <c r="G42" i="37"/>
  <c r="H79" i="33"/>
  <c r="G79" i="33"/>
  <c r="G81" i="33"/>
  <c r="H81" i="33"/>
  <c r="H25" i="33"/>
  <c r="G25" i="33"/>
  <c r="C39" i="38"/>
  <c r="N45" i="39"/>
  <c r="C58" i="38"/>
  <c r="N64" i="39"/>
  <c r="C50" i="38"/>
  <c r="N56" i="39"/>
  <c r="T78" i="32"/>
  <c r="S78" i="32"/>
  <c r="T70" i="32"/>
  <c r="S70" i="32"/>
  <c r="S98" i="32"/>
  <c r="T98" i="32"/>
  <c r="S64" i="32"/>
  <c r="T64" i="32"/>
  <c r="S56" i="32"/>
  <c r="T56" i="32"/>
  <c r="S41" i="32"/>
  <c r="T41" i="32"/>
  <c r="T36" i="32"/>
  <c r="S36" i="32"/>
  <c r="S67" i="32"/>
  <c r="T67" i="32"/>
  <c r="N24" i="39"/>
  <c r="C18" i="38"/>
  <c r="C19" i="38"/>
  <c r="N25" i="39"/>
  <c r="S26" i="32"/>
  <c r="T26"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30" i="32"/>
  <c r="S85" i="32"/>
  <c r="S68" i="32"/>
  <c r="C55" i="38"/>
  <c r="N61" i="39"/>
  <c r="C45" i="38"/>
  <c r="N51" i="39"/>
  <c r="C57" i="38"/>
  <c r="N63" i="39"/>
  <c r="T91" i="32"/>
  <c r="S91" i="32"/>
  <c r="T50" i="32"/>
  <c r="S50" i="32"/>
  <c r="T35" i="32"/>
  <c r="S35" i="32"/>
  <c r="T80" i="32"/>
  <c r="S80" i="32"/>
  <c r="S75" i="32"/>
  <c r="T75" i="32"/>
  <c r="S23" i="32"/>
  <c r="T23" i="32"/>
  <c r="T29" i="32"/>
  <c r="S29" i="32"/>
  <c r="T86" i="32"/>
  <c r="S86" i="32"/>
  <c r="T38" i="32"/>
  <c r="S38" i="32"/>
  <c r="T54" i="32"/>
  <c r="S54" i="32"/>
  <c r="T45" i="32"/>
  <c r="S45" i="32"/>
  <c r="T39" i="32"/>
  <c r="S39" i="32"/>
  <c r="T20" i="32"/>
  <c r="S20" i="32"/>
  <c r="S95" i="32"/>
  <c r="T95" i="32"/>
  <c r="S69" i="32"/>
  <c r="T69" i="32"/>
  <c r="T42" i="32"/>
  <c r="S42" i="32"/>
  <c r="G54" i="32"/>
  <c r="H23" i="32"/>
  <c r="H71" i="32"/>
  <c r="G31" i="32"/>
  <c r="G25" i="32"/>
  <c r="G75" i="32"/>
  <c r="H74" i="32"/>
  <c r="H89" i="32"/>
  <c r="H31" i="32"/>
  <c r="H75" i="32"/>
  <c r="G74" i="32"/>
  <c r="H33" i="32"/>
  <c r="G89" i="32"/>
  <c r="G71" i="32"/>
  <c r="G96" i="32"/>
  <c r="H54" i="32"/>
  <c r="G61" i="32"/>
  <c r="H55" i="32"/>
  <c r="G87" i="32"/>
  <c r="G99" i="32"/>
  <c r="H62" i="32"/>
  <c r="G48" i="32"/>
  <c r="G93" i="32"/>
  <c r="G68" i="32"/>
  <c r="G19" i="32"/>
  <c r="I19" i="32" s="1"/>
  <c r="H82" i="32"/>
  <c r="G97" i="32"/>
  <c r="G77" i="32"/>
  <c r="G38" i="32"/>
  <c r="H96" i="32"/>
  <c r="G82" i="32"/>
  <c r="H34" i="32"/>
  <c r="H99" i="32"/>
  <c r="G47" i="32"/>
  <c r="H79" i="32"/>
  <c r="G65" i="32"/>
  <c r="G76" i="32"/>
  <c r="H61" i="32"/>
  <c r="G55" i="32"/>
  <c r="G23" i="32"/>
  <c r="H19" i="32"/>
  <c r="J19" i="32" s="1"/>
  <c r="G33" i="32"/>
  <c r="H97" i="32"/>
  <c r="G62" i="32"/>
  <c r="G43" i="32"/>
  <c r="H48" i="32"/>
  <c r="H38" i="32"/>
  <c r="H65" i="32"/>
  <c r="H76" i="32"/>
  <c r="H80" i="32"/>
  <c r="H47" i="32"/>
  <c r="H43" i="32"/>
  <c r="H26" i="32"/>
  <c r="G79" i="32"/>
  <c r="H68" i="32"/>
  <c r="H25" i="32"/>
  <c r="H91" i="32"/>
  <c r="H87" i="32"/>
  <c r="H77" i="32"/>
  <c r="G80" i="32"/>
  <c r="G39" i="32"/>
  <c r="G51" i="32"/>
  <c r="H58" i="32"/>
  <c r="G95" i="32"/>
  <c r="G66" i="32"/>
  <c r="G90" i="32"/>
  <c r="H93" i="32"/>
  <c r="G32" i="32"/>
  <c r="G45" i="32"/>
  <c r="H59" i="32"/>
  <c r="G94" i="32"/>
  <c r="G22" i="32"/>
  <c r="H98" i="32"/>
  <c r="G36" i="32"/>
  <c r="G84" i="32"/>
  <c r="H64" i="32"/>
  <c r="G53" i="32"/>
  <c r="H46" i="32"/>
  <c r="G86" i="32"/>
  <c r="G72" i="32"/>
  <c r="G50" i="32"/>
  <c r="G88" i="32"/>
  <c r="G37" i="32"/>
  <c r="H20" i="32"/>
  <c r="G85" i="32"/>
  <c r="G78" i="32"/>
  <c r="G52" i="32"/>
  <c r="G21" i="32"/>
  <c r="G57" i="32"/>
  <c r="G26" i="32"/>
  <c r="H41" i="32"/>
  <c r="H92" i="32"/>
  <c r="H63" i="32"/>
  <c r="H30" i="32"/>
  <c r="H29" i="32"/>
  <c r="H28" i="32"/>
  <c r="H70" i="32"/>
  <c r="H39" i="32"/>
  <c r="H95" i="32"/>
  <c r="H73" i="32"/>
  <c r="H56" i="32"/>
  <c r="G59" i="32"/>
  <c r="H22" i="32"/>
  <c r="G92" i="32"/>
  <c r="G64" i="32"/>
  <c r="H53" i="32"/>
  <c r="H86" i="32"/>
  <c r="H50" i="32"/>
  <c r="H88" i="32"/>
  <c r="G49" i="32"/>
  <c r="G91" i="32"/>
  <c r="G73" i="32"/>
  <c r="G35" i="32"/>
  <c r="G24" i="32"/>
  <c r="H21" i="32"/>
  <c r="H67" i="32"/>
  <c r="H57" i="32"/>
  <c r="H69" i="32"/>
  <c r="H49" i="32"/>
  <c r="H32" i="32"/>
  <c r="H45" i="32"/>
  <c r="G27" i="32"/>
  <c r="G41" i="32"/>
  <c r="G60" i="32"/>
  <c r="G98" i="32"/>
  <c r="H36" i="32"/>
  <c r="G42" i="32"/>
  <c r="G81" i="32"/>
  <c r="H40" i="32"/>
  <c r="H44" i="32"/>
  <c r="G63" i="32"/>
  <c r="G30" i="32"/>
  <c r="G83" i="32"/>
  <c r="G29" i="32"/>
  <c r="G28" i="32"/>
  <c r="G70" i="32"/>
  <c r="H78" i="32"/>
  <c r="G34" i="32"/>
  <c r="H35" i="32"/>
  <c r="H24" i="32"/>
  <c r="G67" i="32"/>
  <c r="G69" i="32"/>
  <c r="G56" i="32"/>
  <c r="H27" i="32"/>
  <c r="H60" i="32"/>
  <c r="H42" i="32"/>
  <c r="H81" i="32"/>
  <c r="G40" i="32"/>
  <c r="G44" i="32"/>
  <c r="H83" i="32"/>
  <c r="H90" i="32"/>
  <c r="H51" i="32"/>
  <c r="G58" i="32"/>
  <c r="H66" i="32"/>
  <c r="H94" i="32"/>
  <c r="H84" i="32"/>
  <c r="G46" i="32"/>
  <c r="H72" i="32"/>
  <c r="H37" i="32"/>
  <c r="G20" i="32"/>
  <c r="H85" i="32"/>
  <c r="H52" i="32"/>
  <c r="T69" i="40"/>
  <c r="S29" i="40"/>
  <c r="T74" i="40"/>
  <c r="T70" i="40"/>
  <c r="T33" i="40"/>
  <c r="S35" i="40"/>
  <c r="T55" i="40"/>
  <c r="T54" i="40"/>
  <c r="S80" i="40"/>
  <c r="N79" i="39"/>
  <c r="N41" i="39"/>
  <c r="N21" i="39"/>
  <c r="S42" i="40"/>
  <c r="S38" i="40"/>
  <c r="T37" i="40"/>
  <c r="T82" i="40"/>
  <c r="T22" i="40"/>
  <c r="S79" i="40"/>
  <c r="S46" i="40"/>
  <c r="S88" i="40"/>
  <c r="S84" i="40"/>
  <c r="S25" i="40"/>
  <c r="S28" i="40"/>
  <c r="S31" i="40"/>
  <c r="T72" i="40"/>
  <c r="T59" i="40"/>
  <c r="T87" i="40"/>
  <c r="S57" i="40"/>
  <c r="T62" i="40"/>
  <c r="S54" i="40"/>
  <c r="T80" i="40"/>
  <c r="S20" i="40"/>
  <c r="N46" i="39"/>
  <c r="N54" i="39"/>
  <c r="N86" i="39"/>
  <c r="N32" i="39"/>
  <c r="N36" i="39"/>
  <c r="N29" i="39"/>
  <c r="N81" i="39"/>
  <c r="N71" i="39"/>
  <c r="N27" i="39"/>
  <c r="J20" i="36"/>
  <c r="K20" i="36" s="1"/>
  <c r="I18" i="17" s="1"/>
  <c r="S67" i="40"/>
  <c r="S94" i="40"/>
  <c r="S63" i="40"/>
  <c r="T86" i="40"/>
  <c r="S64" i="40"/>
  <c r="S50" i="40"/>
  <c r="T71" i="40"/>
  <c r="T56" i="40"/>
  <c r="S23" i="40"/>
  <c r="S22" i="40"/>
  <c r="T30" i="40"/>
  <c r="S65" i="40"/>
  <c r="T91" i="40"/>
  <c r="T83" i="40"/>
  <c r="T79" i="40"/>
  <c r="T78" i="40"/>
  <c r="T46" i="40"/>
  <c r="I21" i="35"/>
  <c r="S44" i="40"/>
  <c r="S19" i="40"/>
  <c r="U19" i="40" s="1"/>
  <c r="T40" i="40"/>
  <c r="T34" i="40"/>
  <c r="S48" i="40"/>
  <c r="T36" i="40"/>
  <c r="T27" i="40"/>
  <c r="S96" i="40"/>
  <c r="T97" i="40"/>
  <c r="S72" i="40"/>
  <c r="S59" i="40"/>
  <c r="S87" i="40"/>
  <c r="T57" i="40"/>
  <c r="T47" i="40"/>
  <c r="T43" i="40"/>
  <c r="S92" i="40"/>
  <c r="S76" i="32"/>
  <c r="T68" i="32"/>
  <c r="T25"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I20" i="40" s="1"/>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C29" i="38"/>
  <c r="N35" i="39"/>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31" i="32"/>
  <c r="T31" i="32"/>
  <c r="S59" i="32"/>
  <c r="T59" i="32"/>
  <c r="T66" i="32"/>
  <c r="S66" i="32"/>
  <c r="S27" i="32"/>
  <c r="T27" i="32"/>
  <c r="S57" i="32"/>
  <c r="T57" i="32"/>
  <c r="T71" i="32"/>
  <c r="S71" i="32"/>
  <c r="S58" i="32"/>
  <c r="T58" i="32"/>
  <c r="S83" i="32"/>
  <c r="T83" i="32"/>
  <c r="T94" i="32"/>
  <c r="S94" i="32"/>
  <c r="T60" i="32"/>
  <c r="S60" i="32"/>
  <c r="S89" i="32"/>
  <c r="T89" i="32"/>
  <c r="S34" i="32"/>
  <c r="T34" i="32"/>
  <c r="C74" i="38"/>
  <c r="N80" i="39"/>
  <c r="C71" i="38"/>
  <c r="N77" i="39"/>
  <c r="C82" i="38"/>
  <c r="N88" i="39"/>
  <c r="S52" i="32"/>
  <c r="T52" i="32"/>
  <c r="S44" i="32"/>
  <c r="T44" i="32"/>
  <c r="S97" i="32"/>
  <c r="T97" i="32"/>
  <c r="S43" i="32"/>
  <c r="T43" i="32"/>
  <c r="S33" i="32"/>
  <c r="T33" i="32"/>
  <c r="T24" i="32"/>
  <c r="S24" i="32"/>
  <c r="T51" i="32"/>
  <c r="S51" i="32"/>
  <c r="T28" i="32"/>
  <c r="S28" i="32"/>
  <c r="T22" i="32"/>
  <c r="S22" i="32"/>
  <c r="S19" i="32"/>
  <c r="U19" i="32" s="1"/>
  <c r="T19" i="32"/>
  <c r="V19" i="32" s="1"/>
  <c r="W19" i="32" s="1"/>
  <c r="W17" i="17" s="1"/>
  <c r="S40" i="32"/>
  <c r="T40" i="32"/>
  <c r="S32" i="32"/>
  <c r="T32" i="32"/>
  <c r="S77" i="32"/>
  <c r="T77" i="32"/>
  <c r="S21" i="32"/>
  <c r="T21" i="32"/>
  <c r="T73" i="32"/>
  <c r="S73" i="32"/>
  <c r="T37" i="32"/>
  <c r="S37" i="32"/>
  <c r="S65" i="32"/>
  <c r="T65" i="32"/>
  <c r="S89" i="40"/>
  <c r="T61" i="40"/>
  <c r="T88" i="40"/>
  <c r="T84" i="40"/>
  <c r="T25" i="40"/>
  <c r="T28" i="40"/>
  <c r="T31" i="40"/>
  <c r="S39" i="40"/>
  <c r="T75" i="40"/>
  <c r="S62" i="40"/>
  <c r="T20" i="40"/>
  <c r="N31" i="39"/>
  <c r="N60" i="39"/>
  <c r="S66" i="40"/>
  <c r="T60" i="40"/>
  <c r="S51" i="40"/>
  <c r="T76" i="40"/>
  <c r="U20" i="36"/>
  <c r="T23" i="40"/>
  <c r="S30" i="40"/>
  <c r="T65" i="40"/>
  <c r="S91" i="40"/>
  <c r="S83" i="40"/>
  <c r="S78" i="40"/>
  <c r="S74" i="40"/>
  <c r="S70" i="40"/>
  <c r="S33" i="40"/>
  <c r="N33" i="39"/>
  <c r="N47" i="39"/>
  <c r="N42" i="39"/>
  <c r="N57" i="39"/>
  <c r="N97" i="39"/>
  <c r="N50" i="39"/>
  <c r="N92" i="39"/>
  <c r="T67" i="40"/>
  <c r="T94" i="40"/>
  <c r="T63" i="40"/>
  <c r="S86" i="40"/>
  <c r="T64" i="40"/>
  <c r="T50" i="40"/>
  <c r="S71" i="40"/>
  <c r="S56" i="40"/>
  <c r="S99" i="40"/>
  <c r="S95" i="40"/>
  <c r="T93" i="40"/>
  <c r="T98" i="40"/>
  <c r="T89" i="40"/>
  <c r="S69" i="40"/>
  <c r="S61" i="40"/>
  <c r="T29" i="40"/>
  <c r="S25" i="32"/>
  <c r="T44" i="40"/>
  <c r="T19" i="40"/>
  <c r="V19" i="40" s="1"/>
  <c r="W19" i="40" s="1"/>
  <c r="AB17" i="17" s="1"/>
  <c r="S40" i="40"/>
  <c r="S34" i="40"/>
  <c r="T48" i="40"/>
  <c r="S36" i="40"/>
  <c r="S27" i="40"/>
  <c r="T96" i="40"/>
  <c r="S97" i="40"/>
  <c r="T39" i="40"/>
  <c r="T35" i="40"/>
  <c r="S75" i="40"/>
  <c r="S55" i="40"/>
  <c r="S47" i="40"/>
  <c r="S43" i="40"/>
  <c r="T92" i="40"/>
  <c r="S24" i="40"/>
  <c r="T30" i="32"/>
  <c r="S63" i="32"/>
  <c r="V20" i="34"/>
  <c r="W20" i="34" s="1"/>
  <c r="X18" i="17" s="1"/>
  <c r="U20" i="34"/>
  <c r="V21" i="34" s="1"/>
  <c r="W21" i="34" s="1"/>
  <c r="X19" i="17" s="1"/>
  <c r="I20" i="34" l="1"/>
  <c r="I21" i="34" s="1"/>
  <c r="J22" i="31"/>
  <c r="K15" i="38" s="1"/>
  <c r="U20" i="18"/>
  <c r="V21" i="18" s="1"/>
  <c r="W21" i="18" s="1"/>
  <c r="T19" i="17" s="1"/>
  <c r="G16" i="38"/>
  <c r="G17" i="38" s="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J21" i="34"/>
  <c r="L14" i="38" s="1"/>
  <c r="K13" i="38"/>
  <c r="K20" i="34"/>
  <c r="G18" i="17" s="1"/>
  <c r="J21" i="36"/>
  <c r="K21" i="36" s="1"/>
  <c r="I19" i="17" s="1"/>
  <c r="O23" i="31"/>
  <c r="O23" i="35"/>
  <c r="B23" i="40"/>
  <c r="B23" i="35"/>
  <c r="B23" i="37"/>
  <c r="O23" i="34"/>
  <c r="O23" i="40"/>
  <c r="B23" i="31"/>
  <c r="B23" i="18"/>
  <c r="O23" i="36"/>
  <c r="B23" i="36"/>
  <c r="B19" i="7"/>
  <c r="B23" i="32"/>
  <c r="O23" i="18"/>
  <c r="O23" i="33"/>
  <c r="B23" i="34"/>
  <c r="O23" i="32"/>
  <c r="B23" i="33"/>
  <c r="O23" i="37"/>
  <c r="H18" i="38"/>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K19" i="31"/>
  <c r="D17" i="17" s="1"/>
  <c r="U20" i="37"/>
  <c r="U21" i="37" s="1"/>
  <c r="AC17" i="17"/>
  <c r="AF17" i="17" s="1"/>
  <c r="J22" i="36"/>
  <c r="K22" i="36" s="1"/>
  <c r="I20" i="17" s="1"/>
  <c r="J20" i="33"/>
  <c r="K20" i="33" s="1"/>
  <c r="H18" i="17" s="1"/>
  <c r="V20" i="31"/>
  <c r="W20" i="31" s="1"/>
  <c r="U18" i="17" s="1"/>
  <c r="J21" i="37"/>
  <c r="K21" i="37" s="1"/>
  <c r="J19" i="17" s="1"/>
  <c r="U20" i="33"/>
  <c r="V20" i="33"/>
  <c r="W20" i="33" s="1"/>
  <c r="Y18" i="17" s="1"/>
  <c r="I23" i="36"/>
  <c r="J24" i="36" s="1"/>
  <c r="K24" i="36" s="1"/>
  <c r="I22" i="17" s="1"/>
  <c r="U21" i="18"/>
  <c r="U22" i="18" s="1"/>
  <c r="I20" i="33"/>
  <c r="I21" i="33" s="1"/>
  <c r="I21" i="37"/>
  <c r="I22" i="37" s="1"/>
  <c r="V21" i="31"/>
  <c r="W21" i="31" s="1"/>
  <c r="U19" i="17" s="1"/>
  <c r="U22" i="35"/>
  <c r="V23" i="35" s="1"/>
  <c r="W23" i="35" s="1"/>
  <c r="V21" i="17" s="1"/>
  <c r="U21" i="34"/>
  <c r="V22" i="34" s="1"/>
  <c r="W22" i="34" s="1"/>
  <c r="X20" i="17" s="1"/>
  <c r="O19" i="39"/>
  <c r="O20" i="39" s="1"/>
  <c r="O21" i="39" s="1"/>
  <c r="O22" i="39" s="1"/>
  <c r="O23" i="39" s="1"/>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K21" i="31"/>
  <c r="D19" i="17" s="1"/>
  <c r="U22" i="31"/>
  <c r="F18" i="38"/>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K22" i="31"/>
  <c r="D20" i="17" s="1"/>
  <c r="I22" i="31"/>
  <c r="J23" i="31" s="1"/>
  <c r="K16" i="38" s="1"/>
  <c r="J20" i="40"/>
  <c r="K20" i="40" s="1"/>
  <c r="K18" i="17" s="1"/>
  <c r="K19" i="32"/>
  <c r="F17" i="17" s="1"/>
  <c r="J12" i="38"/>
  <c r="J22" i="35"/>
  <c r="K22" i="35" s="1"/>
  <c r="E20" i="17" s="1"/>
  <c r="I22" i="35"/>
  <c r="J21" i="40"/>
  <c r="K21" i="40" s="1"/>
  <c r="K19" i="17" s="1"/>
  <c r="I21" i="18"/>
  <c r="V20" i="32"/>
  <c r="W20" i="32" s="1"/>
  <c r="W18" i="17" s="1"/>
  <c r="U20" i="40"/>
  <c r="V21" i="40" s="1"/>
  <c r="W21" i="40" s="1"/>
  <c r="AB19" i="17" s="1"/>
  <c r="I20" i="32"/>
  <c r="J21" i="32" s="1"/>
  <c r="J20" i="32"/>
  <c r="U21" i="36"/>
  <c r="V21" i="36"/>
  <c r="W21" i="36" s="1"/>
  <c r="Z19" i="17" s="1"/>
  <c r="I21" i="40"/>
  <c r="J22" i="40" s="1"/>
  <c r="K22" i="40" s="1"/>
  <c r="K20" i="17" s="1"/>
  <c r="V20" i="40"/>
  <c r="W20" i="40" s="1"/>
  <c r="AB18" i="17" s="1"/>
  <c r="U20" i="32"/>
  <c r="V21" i="32" s="1"/>
  <c r="W21" i="32" s="1"/>
  <c r="W19" i="17" s="1"/>
  <c r="K21" i="34" l="1"/>
  <c r="G19" i="17" s="1"/>
  <c r="I22" i="34"/>
  <c r="J22" i="34"/>
  <c r="L17" i="17"/>
  <c r="E12" i="28" s="1"/>
  <c r="M12" i="38" s="1"/>
  <c r="B24" i="37"/>
  <c r="B24" i="40"/>
  <c r="O24" i="37"/>
  <c r="B24" i="31"/>
  <c r="O24" i="35"/>
  <c r="O24" i="34"/>
  <c r="O24" i="18"/>
  <c r="B24" i="35"/>
  <c r="B24" i="33"/>
  <c r="B24" i="32"/>
  <c r="O24" i="32"/>
  <c r="O24" i="36"/>
  <c r="O24" i="40"/>
  <c r="B24" i="34"/>
  <c r="O24" i="31"/>
  <c r="O24" i="33"/>
  <c r="B24" i="36"/>
  <c r="B20" i="7"/>
  <c r="B24" i="18"/>
  <c r="V21" i="37"/>
  <c r="W21" i="37" s="1"/>
  <c r="AA19" i="17" s="1"/>
  <c r="V22" i="37"/>
  <c r="W22" i="37" s="1"/>
  <c r="AA20" i="17" s="1"/>
  <c r="U22" i="37"/>
  <c r="V22" i="18"/>
  <c r="W22" i="18" s="1"/>
  <c r="T20" i="17" s="1"/>
  <c r="AC18" i="17"/>
  <c r="AF18" i="17" s="1"/>
  <c r="U23" i="35"/>
  <c r="U24" i="35" s="1"/>
  <c r="J21" i="33"/>
  <c r="K21" i="33" s="1"/>
  <c r="H19" i="17" s="1"/>
  <c r="J22" i="37"/>
  <c r="K22" i="37" s="1"/>
  <c r="J20" i="17" s="1"/>
  <c r="I24" i="36"/>
  <c r="J25" i="36" s="1"/>
  <c r="K25" i="36" s="1"/>
  <c r="I23" i="17" s="1"/>
  <c r="K23" i="31"/>
  <c r="D21" i="17" s="1"/>
  <c r="I22" i="33"/>
  <c r="J23" i="33" s="1"/>
  <c r="K23" i="33" s="1"/>
  <c r="H21" i="17" s="1"/>
  <c r="J22" i="33"/>
  <c r="K22" i="33" s="1"/>
  <c r="H20" i="17" s="1"/>
  <c r="V21" i="33"/>
  <c r="W21" i="33" s="1"/>
  <c r="Y19" i="17" s="1"/>
  <c r="U21" i="33"/>
  <c r="U21" i="40"/>
  <c r="V22" i="40" s="1"/>
  <c r="W22" i="40" s="1"/>
  <c r="AB20" i="17" s="1"/>
  <c r="U22" i="34"/>
  <c r="U23" i="34" s="1"/>
  <c r="U23" i="31"/>
  <c r="V23" i="31"/>
  <c r="W23" i="31" s="1"/>
  <c r="U21" i="17" s="1"/>
  <c r="I23" i="31"/>
  <c r="U21" i="32"/>
  <c r="U23" i="18"/>
  <c r="V23" i="18"/>
  <c r="W23" i="18" s="1"/>
  <c r="T21" i="17" s="1"/>
  <c r="K21" i="32"/>
  <c r="F19" i="17" s="1"/>
  <c r="L19" i="17" s="1"/>
  <c r="J14" i="38"/>
  <c r="J22" i="18"/>
  <c r="K22" i="18" s="1"/>
  <c r="C20" i="17" s="1"/>
  <c r="I22" i="18"/>
  <c r="J13" i="38"/>
  <c r="K20" i="32"/>
  <c r="F18" i="17" s="1"/>
  <c r="L18" i="17" s="1"/>
  <c r="V22" i="36"/>
  <c r="W22" i="36" s="1"/>
  <c r="Z20" i="17" s="1"/>
  <c r="U22" i="36"/>
  <c r="J23" i="35"/>
  <c r="K23" i="35" s="1"/>
  <c r="E21" i="17" s="1"/>
  <c r="I23" i="35"/>
  <c r="I22" i="40"/>
  <c r="I21" i="32"/>
  <c r="J23" i="37"/>
  <c r="K23" i="37" s="1"/>
  <c r="J21" i="17" s="1"/>
  <c r="I23" i="37"/>
  <c r="V24" i="35" l="1"/>
  <c r="W24" i="35" s="1"/>
  <c r="V22" i="17" s="1"/>
  <c r="O17" i="17"/>
  <c r="J23" i="34"/>
  <c r="I23" i="34"/>
  <c r="L15" i="38"/>
  <c r="K22" i="34"/>
  <c r="G20" i="17" s="1"/>
  <c r="B25" i="33"/>
  <c r="O25" i="31"/>
  <c r="B25" i="40"/>
  <c r="O25" i="35"/>
  <c r="O25" i="32"/>
  <c r="O25" i="36"/>
  <c r="O25" i="33"/>
  <c r="B25" i="32"/>
  <c r="B25" i="36"/>
  <c r="B25" i="37"/>
  <c r="O25" i="40"/>
  <c r="O25" i="37"/>
  <c r="O25" i="34"/>
  <c r="B21" i="7"/>
  <c r="B25" i="34"/>
  <c r="B25" i="31"/>
  <c r="B25" i="35"/>
  <c r="B25" i="18"/>
  <c r="O25" i="18"/>
  <c r="AC19" i="17"/>
  <c r="AF19" i="17" s="1"/>
  <c r="U22" i="40"/>
  <c r="U23" i="40" s="1"/>
  <c r="V23" i="37"/>
  <c r="W23" i="37" s="1"/>
  <c r="AA21" i="17" s="1"/>
  <c r="U23" i="37"/>
  <c r="I23" i="33"/>
  <c r="I24" i="33" s="1"/>
  <c r="V23" i="34"/>
  <c r="W23" i="34" s="1"/>
  <c r="X21" i="17" s="1"/>
  <c r="I25" i="36"/>
  <c r="J26" i="36" s="1"/>
  <c r="K26" i="36" s="1"/>
  <c r="I24" i="17" s="1"/>
  <c r="U22" i="33"/>
  <c r="V22" i="33"/>
  <c r="W22" i="33" s="1"/>
  <c r="Y20" i="17" s="1"/>
  <c r="U24" i="31"/>
  <c r="V24" i="31"/>
  <c r="W24" i="31" s="1"/>
  <c r="U22" i="17" s="1"/>
  <c r="J24" i="31"/>
  <c r="I24" i="31"/>
  <c r="V24" i="18"/>
  <c r="W24" i="18" s="1"/>
  <c r="T22" i="17" s="1"/>
  <c r="U24" i="18"/>
  <c r="V22" i="32"/>
  <c r="W22" i="32" s="1"/>
  <c r="W20" i="17" s="1"/>
  <c r="U22" i="32"/>
  <c r="J24" i="35"/>
  <c r="K24" i="35" s="1"/>
  <c r="E22" i="17" s="1"/>
  <c r="I24" i="35"/>
  <c r="U23" i="36"/>
  <c r="V23" i="36"/>
  <c r="W23" i="36" s="1"/>
  <c r="Z21" i="17" s="1"/>
  <c r="E13" i="28"/>
  <c r="M13" i="38" s="1"/>
  <c r="O18" i="17"/>
  <c r="J23" i="18"/>
  <c r="K23" i="18" s="1"/>
  <c r="C21" i="17" s="1"/>
  <c r="I23" i="18"/>
  <c r="O12" i="38"/>
  <c r="N12" i="38"/>
  <c r="O19" i="17"/>
  <c r="E14" i="28"/>
  <c r="M14" i="38" s="1"/>
  <c r="I23" i="40"/>
  <c r="J23" i="40"/>
  <c r="K23" i="40" s="1"/>
  <c r="K21" i="17" s="1"/>
  <c r="V24" i="34"/>
  <c r="W24" i="34" s="1"/>
  <c r="X22" i="17" s="1"/>
  <c r="U24" i="34"/>
  <c r="J22" i="32"/>
  <c r="I22" i="32"/>
  <c r="V25" i="35"/>
  <c r="W25" i="35" s="1"/>
  <c r="V23" i="17" s="1"/>
  <c r="U25" i="35"/>
  <c r="I24" i="37"/>
  <c r="J24" i="37"/>
  <c r="K24" i="37" s="1"/>
  <c r="J22" i="17" s="1"/>
  <c r="J24" i="34" l="1"/>
  <c r="I24" i="34"/>
  <c r="K23" i="34"/>
  <c r="G21" i="17" s="1"/>
  <c r="L16" i="38"/>
  <c r="J24" i="33"/>
  <c r="K24" i="33" s="1"/>
  <c r="H22" i="17" s="1"/>
  <c r="O26" i="31"/>
  <c r="O26" i="40"/>
  <c r="O26" i="36"/>
  <c r="B26" i="32"/>
  <c r="B26" i="37"/>
  <c r="O26" i="33"/>
  <c r="B26" i="33"/>
  <c r="O26" i="32"/>
  <c r="O26" i="37"/>
  <c r="B26" i="31"/>
  <c r="B26" i="35"/>
  <c r="O26" i="35"/>
  <c r="B26" i="40"/>
  <c r="B22" i="7"/>
  <c r="O26" i="34"/>
  <c r="B26" i="36"/>
  <c r="O26" i="18"/>
  <c r="B26" i="18"/>
  <c r="B26" i="34"/>
  <c r="V23" i="40"/>
  <c r="W23" i="40" s="1"/>
  <c r="AB21" i="17" s="1"/>
  <c r="V24" i="37"/>
  <c r="W24" i="37" s="1"/>
  <c r="AA22" i="17" s="1"/>
  <c r="U24" i="37"/>
  <c r="I26" i="36"/>
  <c r="J27" i="36" s="1"/>
  <c r="K27" i="36" s="1"/>
  <c r="I25" i="17" s="1"/>
  <c r="AC20" i="17"/>
  <c r="AF20" i="17" s="1"/>
  <c r="U23" i="33"/>
  <c r="V23" i="33"/>
  <c r="W23" i="33" s="1"/>
  <c r="Y21" i="17" s="1"/>
  <c r="U25" i="31"/>
  <c r="V25" i="31"/>
  <c r="W25" i="31" s="1"/>
  <c r="U23" i="17" s="1"/>
  <c r="J25" i="31"/>
  <c r="I25" i="31"/>
  <c r="K17" i="38"/>
  <c r="K24" i="31"/>
  <c r="D22" i="17" s="1"/>
  <c r="V23" i="32"/>
  <c r="W23" i="32" s="1"/>
  <c r="W21" i="17" s="1"/>
  <c r="U23" i="32"/>
  <c r="V25" i="18"/>
  <c r="W25" i="18" s="1"/>
  <c r="T23" i="17" s="1"/>
  <c r="U25" i="18"/>
  <c r="V24" i="40"/>
  <c r="W24" i="40" s="1"/>
  <c r="AB22" i="17" s="1"/>
  <c r="U24" i="40"/>
  <c r="J23" i="32"/>
  <c r="I23" i="32"/>
  <c r="I24" i="40"/>
  <c r="J24" i="40"/>
  <c r="K24" i="40" s="1"/>
  <c r="K22" i="17" s="1"/>
  <c r="I25" i="33"/>
  <c r="J25" i="33"/>
  <c r="K25" i="33" s="1"/>
  <c r="H23" i="17" s="1"/>
  <c r="I24" i="18"/>
  <c r="J24" i="18"/>
  <c r="K24" i="18" s="1"/>
  <c r="C22" i="17" s="1"/>
  <c r="O13" i="38"/>
  <c r="N13" i="38"/>
  <c r="J15" i="38"/>
  <c r="K22" i="32"/>
  <c r="F20" i="17" s="1"/>
  <c r="L20" i="17" s="1"/>
  <c r="U25" i="34"/>
  <c r="V25" i="34"/>
  <c r="W25" i="34" s="1"/>
  <c r="X23" i="17" s="1"/>
  <c r="O14" i="38"/>
  <c r="N14" i="38"/>
  <c r="I25" i="35"/>
  <c r="J25" i="35"/>
  <c r="K25" i="35" s="1"/>
  <c r="E23" i="17" s="1"/>
  <c r="V24" i="36"/>
  <c r="W24" i="36" s="1"/>
  <c r="Z22" i="17" s="1"/>
  <c r="U24" i="36"/>
  <c r="U26" i="35"/>
  <c r="V26" i="35"/>
  <c r="W26" i="35" s="1"/>
  <c r="V24" i="17" s="1"/>
  <c r="J25" i="37"/>
  <c r="K25" i="37" s="1"/>
  <c r="J23" i="17" s="1"/>
  <c r="I25" i="37"/>
  <c r="J25" i="34" l="1"/>
  <c r="I25" i="34"/>
  <c r="K24" i="34"/>
  <c r="G22" i="17" s="1"/>
  <c r="L17" i="38"/>
  <c r="O27" i="34"/>
  <c r="O27" i="31"/>
  <c r="B27" i="35"/>
  <c r="O27" i="36"/>
  <c r="B27" i="34"/>
  <c r="B27" i="32"/>
  <c r="O27" i="40"/>
  <c r="B27" i="18"/>
  <c r="B27" i="36"/>
  <c r="B27" i="33"/>
  <c r="B27" i="40"/>
  <c r="B27" i="31"/>
  <c r="O27" i="32"/>
  <c r="B23" i="7"/>
  <c r="O27" i="18"/>
  <c r="O27" i="35"/>
  <c r="O27" i="37"/>
  <c r="B27" i="37"/>
  <c r="O27" i="33"/>
  <c r="U25" i="37"/>
  <c r="V25" i="37"/>
  <c r="W25" i="37" s="1"/>
  <c r="AA23" i="17" s="1"/>
  <c r="I27" i="36"/>
  <c r="J28" i="36" s="1"/>
  <c r="K28" i="36" s="1"/>
  <c r="I26" i="17" s="1"/>
  <c r="AC21" i="17"/>
  <c r="AF21" i="17" s="1"/>
  <c r="V24" i="33"/>
  <c r="W24" i="33" s="1"/>
  <c r="Y22" i="17" s="1"/>
  <c r="U24" i="33"/>
  <c r="V26" i="31"/>
  <c r="W26" i="31" s="1"/>
  <c r="U24" i="17" s="1"/>
  <c r="U26" i="31"/>
  <c r="J26" i="31"/>
  <c r="I26" i="31"/>
  <c r="K18" i="38"/>
  <c r="K25" i="31"/>
  <c r="D23" i="17" s="1"/>
  <c r="U26" i="18"/>
  <c r="V26" i="18"/>
  <c r="W26" i="18" s="1"/>
  <c r="T24" i="17" s="1"/>
  <c r="U24" i="32"/>
  <c r="V24" i="32"/>
  <c r="W24" i="32" s="1"/>
  <c r="W22" i="17" s="1"/>
  <c r="V25" i="36"/>
  <c r="W25" i="36" s="1"/>
  <c r="Z23" i="17" s="1"/>
  <c r="U25" i="36"/>
  <c r="V25" i="40"/>
  <c r="W25" i="40" s="1"/>
  <c r="AB23" i="17" s="1"/>
  <c r="U25" i="40"/>
  <c r="I25" i="40"/>
  <c r="J25" i="40"/>
  <c r="K25" i="40" s="1"/>
  <c r="K23" i="17" s="1"/>
  <c r="K23" i="32"/>
  <c r="F21" i="17" s="1"/>
  <c r="L21" i="17" s="1"/>
  <c r="J16" i="38"/>
  <c r="E15" i="28"/>
  <c r="O20" i="17"/>
  <c r="J24" i="32"/>
  <c r="I24" i="32"/>
  <c r="I26" i="35"/>
  <c r="J26" i="35"/>
  <c r="K26" i="35" s="1"/>
  <c r="E24" i="17" s="1"/>
  <c r="U26" i="34"/>
  <c r="V26" i="34"/>
  <c r="W26" i="34" s="1"/>
  <c r="X24" i="17" s="1"/>
  <c r="I25" i="18"/>
  <c r="J25" i="18"/>
  <c r="K25" i="18" s="1"/>
  <c r="C23" i="17" s="1"/>
  <c r="J26" i="33"/>
  <c r="K26" i="33" s="1"/>
  <c r="H24" i="17" s="1"/>
  <c r="I26" i="33"/>
  <c r="I26" i="37"/>
  <c r="J26" i="37"/>
  <c r="K26" i="37" s="1"/>
  <c r="J24" i="17" s="1"/>
  <c r="V27" i="35"/>
  <c r="W27" i="35" s="1"/>
  <c r="V25" i="17" s="1"/>
  <c r="U27" i="35"/>
  <c r="I26" i="34" l="1"/>
  <c r="J26" i="34"/>
  <c r="L18" i="38"/>
  <c r="K25" i="34"/>
  <c r="G23" i="17" s="1"/>
  <c r="B28" i="37"/>
  <c r="O28" i="18"/>
  <c r="B24" i="7"/>
  <c r="B28" i="33"/>
  <c r="O28" i="31"/>
  <c r="B28" i="31"/>
  <c r="B28" i="18"/>
  <c r="O28" i="40"/>
  <c r="B28" i="34"/>
  <c r="O28" i="35"/>
  <c r="B28" i="35"/>
  <c r="O28" i="32"/>
  <c r="O28" i="36"/>
  <c r="O28" i="37"/>
  <c r="B28" i="40"/>
  <c r="B28" i="32"/>
  <c r="O28" i="33"/>
  <c r="O28" i="34"/>
  <c r="B28" i="36"/>
  <c r="V26" i="37"/>
  <c r="W26" i="37" s="1"/>
  <c r="AA24" i="17" s="1"/>
  <c r="U26" i="37"/>
  <c r="I28" i="36"/>
  <c r="I29" i="36" s="1"/>
  <c r="AC22" i="17"/>
  <c r="AF22" i="17" s="1"/>
  <c r="U25" i="33"/>
  <c r="V25" i="33"/>
  <c r="W25" i="33" s="1"/>
  <c r="Y23" i="17" s="1"/>
  <c r="U27" i="31"/>
  <c r="V27" i="31"/>
  <c r="W27" i="31" s="1"/>
  <c r="U25" i="17" s="1"/>
  <c r="J27" i="31"/>
  <c r="I27" i="31"/>
  <c r="K19" i="38"/>
  <c r="K26" i="31"/>
  <c r="D24" i="17" s="1"/>
  <c r="V25" i="32"/>
  <c r="W25" i="32" s="1"/>
  <c r="W23" i="17" s="1"/>
  <c r="U25" i="32"/>
  <c r="U27" i="18"/>
  <c r="V27" i="18"/>
  <c r="W27" i="18" s="1"/>
  <c r="T25" i="17" s="1"/>
  <c r="I26" i="18"/>
  <c r="J26" i="18"/>
  <c r="K26" i="18" s="1"/>
  <c r="C24" i="17" s="1"/>
  <c r="I27" i="35"/>
  <c r="J27" i="35"/>
  <c r="K27" i="35" s="1"/>
  <c r="E25" i="17" s="1"/>
  <c r="N15" i="38"/>
  <c r="O15" i="38"/>
  <c r="J26" i="40"/>
  <c r="K26" i="40" s="1"/>
  <c r="K24" i="17" s="1"/>
  <c r="I26" i="40"/>
  <c r="U26" i="40"/>
  <c r="V26" i="40"/>
  <c r="W26" i="40" s="1"/>
  <c r="AB24" i="17" s="1"/>
  <c r="U26" i="36"/>
  <c r="V26" i="36"/>
  <c r="W26" i="36" s="1"/>
  <c r="Z24" i="17" s="1"/>
  <c r="U27" i="34"/>
  <c r="V27" i="34"/>
  <c r="W27" i="34" s="1"/>
  <c r="X25" i="17" s="1"/>
  <c r="K24" i="32"/>
  <c r="F22" i="17" s="1"/>
  <c r="L22" i="17" s="1"/>
  <c r="J17" i="38"/>
  <c r="O21" i="17"/>
  <c r="E16" i="28"/>
  <c r="J27" i="33"/>
  <c r="K27" i="33" s="1"/>
  <c r="H25" i="17" s="1"/>
  <c r="I27" i="33"/>
  <c r="J25" i="32"/>
  <c r="I25" i="32"/>
  <c r="M15" i="38"/>
  <c r="V28" i="35"/>
  <c r="W28" i="35" s="1"/>
  <c r="V26" i="17" s="1"/>
  <c r="U28" i="35"/>
  <c r="J27" i="37"/>
  <c r="K27" i="37" s="1"/>
  <c r="J25" i="17" s="1"/>
  <c r="I27" i="37"/>
  <c r="J29" i="36"/>
  <c r="K29" i="36" s="1"/>
  <c r="I27" i="17" s="1"/>
  <c r="J27" i="34" l="1"/>
  <c r="I27" i="34"/>
  <c r="K26" i="34"/>
  <c r="G24" i="17" s="1"/>
  <c r="L19" i="38"/>
  <c r="O29" i="35"/>
  <c r="O29" i="18"/>
  <c r="O29" i="37"/>
  <c r="B29" i="40"/>
  <c r="B25" i="7"/>
  <c r="O29" i="40"/>
  <c r="B29" i="34"/>
  <c r="B29" i="33"/>
  <c r="B29" i="35"/>
  <c r="O29" i="31"/>
  <c r="B29" i="18"/>
  <c r="B29" i="37"/>
  <c r="B29" i="36"/>
  <c r="O29" i="33"/>
  <c r="B29" i="32"/>
  <c r="O29" i="36"/>
  <c r="O29" i="34"/>
  <c r="O29" i="32"/>
  <c r="B29" i="31"/>
  <c r="V27" i="37"/>
  <c r="W27" i="37" s="1"/>
  <c r="AA25" i="17" s="1"/>
  <c r="U27" i="37"/>
  <c r="AC23" i="17"/>
  <c r="AF23" i="17" s="1"/>
  <c r="U26" i="33"/>
  <c r="V26" i="33"/>
  <c r="W26" i="33" s="1"/>
  <c r="Y24" i="17" s="1"/>
  <c r="V28" i="31"/>
  <c r="W28" i="31" s="1"/>
  <c r="U26" i="17" s="1"/>
  <c r="U28" i="31"/>
  <c r="J28" i="31"/>
  <c r="I28" i="31"/>
  <c r="K20" i="38"/>
  <c r="K27" i="31"/>
  <c r="D25" i="17" s="1"/>
  <c r="U28" i="18"/>
  <c r="V28" i="18"/>
  <c r="W28" i="18" s="1"/>
  <c r="T26" i="17" s="1"/>
  <c r="U26" i="32"/>
  <c r="V26" i="32"/>
  <c r="W26" i="32" s="1"/>
  <c r="W24" i="17" s="1"/>
  <c r="I28" i="33"/>
  <c r="J28" i="33"/>
  <c r="K28" i="33" s="1"/>
  <c r="H26" i="17" s="1"/>
  <c r="M16" i="38"/>
  <c r="N16" i="38"/>
  <c r="O16" i="38"/>
  <c r="J18" i="38"/>
  <c r="K25" i="32"/>
  <c r="F23" i="17" s="1"/>
  <c r="L23" i="17" s="1"/>
  <c r="E17" i="28"/>
  <c r="M17" i="38" s="1"/>
  <c r="O22" i="17"/>
  <c r="U27" i="36"/>
  <c r="V27" i="36"/>
  <c r="W27" i="36" s="1"/>
  <c r="Z25" i="17" s="1"/>
  <c r="I28" i="35"/>
  <c r="J28" i="35"/>
  <c r="K28" i="35" s="1"/>
  <c r="E26" i="17" s="1"/>
  <c r="J26" i="32"/>
  <c r="I26" i="32"/>
  <c r="J27" i="40"/>
  <c r="K27" i="40" s="1"/>
  <c r="K25" i="17" s="1"/>
  <c r="I27" i="40"/>
  <c r="U28" i="34"/>
  <c r="V28" i="34"/>
  <c r="W28" i="34" s="1"/>
  <c r="X26" i="17" s="1"/>
  <c r="U27" i="40"/>
  <c r="V27" i="40"/>
  <c r="W27" i="40" s="1"/>
  <c r="AB25" i="17" s="1"/>
  <c r="J27" i="18"/>
  <c r="K27" i="18" s="1"/>
  <c r="C25" i="17" s="1"/>
  <c r="I27" i="18"/>
  <c r="J28" i="37"/>
  <c r="K28" i="37" s="1"/>
  <c r="J26" i="17" s="1"/>
  <c r="I28" i="37"/>
  <c r="V29" i="35"/>
  <c r="W29" i="35" s="1"/>
  <c r="V27" i="17" s="1"/>
  <c r="U29" i="35"/>
  <c r="I30" i="36"/>
  <c r="J30" i="36"/>
  <c r="K30" i="36" s="1"/>
  <c r="I28" i="17" s="1"/>
  <c r="I28" i="34" l="1"/>
  <c r="J28" i="34"/>
  <c r="K27" i="34"/>
  <c r="G25" i="17" s="1"/>
  <c r="L20" i="38"/>
  <c r="O30" i="33"/>
  <c r="O30" i="32"/>
  <c r="O30" i="34"/>
  <c r="B30" i="37"/>
  <c r="B30" i="36"/>
  <c r="O30" i="40"/>
  <c r="B30" i="33"/>
  <c r="B30" i="40"/>
  <c r="B30" i="35"/>
  <c r="B30" i="32"/>
  <c r="O30" i="35"/>
  <c r="B30" i="18"/>
  <c r="B30" i="34"/>
  <c r="B30" i="31"/>
  <c r="O30" i="31"/>
  <c r="O30" i="18"/>
  <c r="O30" i="36"/>
  <c r="B26" i="7"/>
  <c r="O30" i="37"/>
  <c r="V28" i="37"/>
  <c r="W28" i="37" s="1"/>
  <c r="AA26" i="17" s="1"/>
  <c r="U28" i="37"/>
  <c r="AC24" i="17"/>
  <c r="AF24" i="17" s="1"/>
  <c r="V27" i="33"/>
  <c r="W27" i="33" s="1"/>
  <c r="Y25" i="17" s="1"/>
  <c r="U27" i="33"/>
  <c r="V29" i="31"/>
  <c r="W29" i="31" s="1"/>
  <c r="U27" i="17" s="1"/>
  <c r="U29" i="31"/>
  <c r="J29" i="31"/>
  <c r="I29" i="31"/>
  <c r="K21" i="38"/>
  <c r="K28" i="31"/>
  <c r="D26" i="17" s="1"/>
  <c r="U27" i="32"/>
  <c r="V27" i="32"/>
  <c r="W27" i="32" s="1"/>
  <c r="W25" i="17" s="1"/>
  <c r="V29" i="18"/>
  <c r="W29" i="18" s="1"/>
  <c r="T27" i="17" s="1"/>
  <c r="U29" i="18"/>
  <c r="U28" i="40"/>
  <c r="V28" i="40"/>
  <c r="W28" i="40" s="1"/>
  <c r="AB26" i="17" s="1"/>
  <c r="U28" i="36"/>
  <c r="V28" i="36"/>
  <c r="W28" i="36" s="1"/>
  <c r="Z26" i="17" s="1"/>
  <c r="I28" i="40"/>
  <c r="J28" i="40"/>
  <c r="K28" i="40" s="1"/>
  <c r="K26" i="17" s="1"/>
  <c r="O23" i="17"/>
  <c r="E18" i="28"/>
  <c r="J29" i="33"/>
  <c r="K29" i="33" s="1"/>
  <c r="H27" i="17" s="1"/>
  <c r="I29" i="33"/>
  <c r="U29" i="34"/>
  <c r="V29" i="34"/>
  <c r="W29" i="34" s="1"/>
  <c r="X27" i="17" s="1"/>
  <c r="K26" i="32"/>
  <c r="F24" i="17" s="1"/>
  <c r="L24" i="17" s="1"/>
  <c r="J19" i="38"/>
  <c r="J29" i="35"/>
  <c r="K29" i="35" s="1"/>
  <c r="E27" i="17" s="1"/>
  <c r="I29" i="35"/>
  <c r="O17" i="38"/>
  <c r="N17" i="38"/>
  <c r="I28" i="18"/>
  <c r="J28" i="18"/>
  <c r="K28" i="18" s="1"/>
  <c r="C26" i="17" s="1"/>
  <c r="I27" i="32"/>
  <c r="J27" i="32"/>
  <c r="J29" i="37"/>
  <c r="K29" i="37" s="1"/>
  <c r="J27" i="17" s="1"/>
  <c r="I29" i="37"/>
  <c r="J31" i="36"/>
  <c r="K31" i="36" s="1"/>
  <c r="I29" i="17" s="1"/>
  <c r="I31" i="36"/>
  <c r="V30" i="35"/>
  <c r="W30" i="35" s="1"/>
  <c r="V28" i="17" s="1"/>
  <c r="U30" i="35"/>
  <c r="K28" i="34" l="1"/>
  <c r="G26" i="17" s="1"/>
  <c r="L21" i="38"/>
  <c r="I29" i="34"/>
  <c r="J29" i="34"/>
  <c r="AC25" i="17"/>
  <c r="AF25" i="17" s="1"/>
  <c r="O31" i="40"/>
  <c r="B31" i="35"/>
  <c r="B31" i="31"/>
  <c r="B31" i="37"/>
  <c r="O31" i="36"/>
  <c r="O31" i="37"/>
  <c r="B27" i="7"/>
  <c r="O31" i="31"/>
  <c r="O31" i="18"/>
  <c r="O31" i="34"/>
  <c r="B31" i="33"/>
  <c r="B31" i="18"/>
  <c r="O31" i="33"/>
  <c r="B31" i="40"/>
  <c r="B31" i="34"/>
  <c r="O31" i="35"/>
  <c r="B31" i="32"/>
  <c r="B31" i="36"/>
  <c r="O31" i="32"/>
  <c r="V29" i="37"/>
  <c r="W29" i="37" s="1"/>
  <c r="AA27" i="17" s="1"/>
  <c r="U29" i="37"/>
  <c r="V28" i="33"/>
  <c r="W28" i="33" s="1"/>
  <c r="Y26" i="17" s="1"/>
  <c r="U28" i="33"/>
  <c r="V30" i="31"/>
  <c r="W30" i="31" s="1"/>
  <c r="U28" i="17" s="1"/>
  <c r="U30" i="31"/>
  <c r="J30" i="31"/>
  <c r="I30" i="31"/>
  <c r="K29" i="31"/>
  <c r="D27" i="17" s="1"/>
  <c r="K22" i="38"/>
  <c r="V28" i="32"/>
  <c r="W28" i="32" s="1"/>
  <c r="W26" i="17" s="1"/>
  <c r="U28" i="32"/>
  <c r="U30" i="18"/>
  <c r="V30" i="18"/>
  <c r="W30" i="18" s="1"/>
  <c r="T28" i="17" s="1"/>
  <c r="I29" i="18"/>
  <c r="J29" i="18"/>
  <c r="K29" i="18" s="1"/>
  <c r="C27" i="17" s="1"/>
  <c r="V30" i="34"/>
  <c r="W30" i="34" s="1"/>
  <c r="X28" i="17" s="1"/>
  <c r="U30" i="34"/>
  <c r="I29" i="40"/>
  <c r="J29" i="40"/>
  <c r="K29" i="40" s="1"/>
  <c r="K27" i="17" s="1"/>
  <c r="I30" i="35"/>
  <c r="J30" i="35"/>
  <c r="K30" i="35" s="1"/>
  <c r="E28" i="17" s="1"/>
  <c r="M18" i="38"/>
  <c r="N18" i="38"/>
  <c r="O18" i="38"/>
  <c r="I28" i="32"/>
  <c r="J28" i="32"/>
  <c r="E19" i="28"/>
  <c r="M19" i="38" s="1"/>
  <c r="O24" i="17"/>
  <c r="U29" i="36"/>
  <c r="V29" i="36"/>
  <c r="W29" i="36" s="1"/>
  <c r="Z27" i="17" s="1"/>
  <c r="V29" i="40"/>
  <c r="W29" i="40" s="1"/>
  <c r="AB27" i="17" s="1"/>
  <c r="U29" i="40"/>
  <c r="K27" i="32"/>
  <c r="F25" i="17" s="1"/>
  <c r="L25" i="17" s="1"/>
  <c r="J20" i="38"/>
  <c r="I30" i="33"/>
  <c r="J30" i="33"/>
  <c r="K30" i="33" s="1"/>
  <c r="H28" i="17" s="1"/>
  <c r="J30" i="37"/>
  <c r="K30" i="37" s="1"/>
  <c r="J28" i="17" s="1"/>
  <c r="I30" i="37"/>
  <c r="U31" i="35"/>
  <c r="V31" i="35"/>
  <c r="W31" i="35" s="1"/>
  <c r="V29" i="17" s="1"/>
  <c r="J32" i="36"/>
  <c r="K32" i="36" s="1"/>
  <c r="I30" i="17" s="1"/>
  <c r="I32" i="36"/>
  <c r="L22" i="38" l="1"/>
  <c r="K29" i="34"/>
  <c r="G27" i="17" s="1"/>
  <c r="J30" i="34"/>
  <c r="I30" i="34"/>
  <c r="B32" i="40"/>
  <c r="O32" i="40"/>
  <c r="O32" i="18"/>
  <c r="O32" i="32"/>
  <c r="B32" i="31"/>
  <c r="B32" i="35"/>
  <c r="B32" i="36"/>
  <c r="B32" i="33"/>
  <c r="B32" i="32"/>
  <c r="B32" i="34"/>
  <c r="O32" i="31"/>
  <c r="O32" i="37"/>
  <c r="B32" i="18"/>
  <c r="B32" i="37"/>
  <c r="O32" i="34"/>
  <c r="B28" i="7"/>
  <c r="O32" i="35"/>
  <c r="O32" i="36"/>
  <c r="O32" i="33"/>
  <c r="V30" i="37"/>
  <c r="W30" i="37" s="1"/>
  <c r="AA28" i="17" s="1"/>
  <c r="U30" i="37"/>
  <c r="AC26" i="17"/>
  <c r="AF26" i="17" s="1"/>
  <c r="U29" i="33"/>
  <c r="V29" i="33"/>
  <c r="W29" i="33" s="1"/>
  <c r="Y27" i="17" s="1"/>
  <c r="U31" i="31"/>
  <c r="V31" i="31"/>
  <c r="W31" i="31" s="1"/>
  <c r="U29" i="17" s="1"/>
  <c r="I31" i="31"/>
  <c r="J31" i="31"/>
  <c r="K23" i="38"/>
  <c r="K30" i="31"/>
  <c r="D28" i="17" s="1"/>
  <c r="V31" i="18"/>
  <c r="W31" i="18" s="1"/>
  <c r="T29" i="17" s="1"/>
  <c r="U31" i="18"/>
  <c r="U29" i="32"/>
  <c r="V29" i="32"/>
  <c r="W29" i="32" s="1"/>
  <c r="W27" i="17" s="1"/>
  <c r="I31" i="35"/>
  <c r="J31" i="35"/>
  <c r="K31" i="35" s="1"/>
  <c r="E29" i="17" s="1"/>
  <c r="J30" i="40"/>
  <c r="K30" i="40" s="1"/>
  <c r="K28" i="17" s="1"/>
  <c r="I30" i="40"/>
  <c r="I30" i="18"/>
  <c r="J30" i="18"/>
  <c r="K30" i="18" s="1"/>
  <c r="C28" i="17" s="1"/>
  <c r="J31" i="33"/>
  <c r="K31" i="33" s="1"/>
  <c r="H29" i="17" s="1"/>
  <c r="I31" i="33"/>
  <c r="J29" i="32"/>
  <c r="I29" i="32"/>
  <c r="U30" i="40"/>
  <c r="V30" i="40"/>
  <c r="W30" i="40" s="1"/>
  <c r="AB28" i="17" s="1"/>
  <c r="J21" i="38"/>
  <c r="K28" i="32"/>
  <c r="F26" i="17" s="1"/>
  <c r="L26" i="17" s="1"/>
  <c r="O25" i="17"/>
  <c r="E20" i="28"/>
  <c r="U30" i="36"/>
  <c r="V30" i="36"/>
  <c r="W30" i="36" s="1"/>
  <c r="Z28" i="17" s="1"/>
  <c r="N19" i="38"/>
  <c r="O19" i="38"/>
  <c r="U31" i="34"/>
  <c r="V31" i="34"/>
  <c r="W31" i="34" s="1"/>
  <c r="X29" i="17" s="1"/>
  <c r="J31" i="37"/>
  <c r="K31" i="37" s="1"/>
  <c r="J29" i="17" s="1"/>
  <c r="I31" i="37"/>
  <c r="V32" i="35"/>
  <c r="W32" i="35" s="1"/>
  <c r="V30" i="17" s="1"/>
  <c r="U32" i="35"/>
  <c r="J33" i="36"/>
  <c r="K33" i="36" s="1"/>
  <c r="I31" i="17" s="1"/>
  <c r="I33" i="36"/>
  <c r="I31" i="34" l="1"/>
  <c r="J31" i="34"/>
  <c r="L23" i="38"/>
  <c r="K30" i="34"/>
  <c r="G28" i="17" s="1"/>
  <c r="O33" i="18"/>
  <c r="B33" i="33"/>
  <c r="B29" i="7"/>
  <c r="O33" i="40"/>
  <c r="B33" i="35"/>
  <c r="O33" i="34"/>
  <c r="B33" i="31"/>
  <c r="O33" i="32"/>
  <c r="B33" i="34"/>
  <c r="B33" i="18"/>
  <c r="B33" i="32"/>
  <c r="B33" i="36"/>
  <c r="O33" i="36"/>
  <c r="O33" i="33"/>
  <c r="O33" i="37"/>
  <c r="O33" i="31"/>
  <c r="B33" i="40"/>
  <c r="O33" i="35"/>
  <c r="B33" i="37"/>
  <c r="V31" i="37"/>
  <c r="W31" i="37" s="1"/>
  <c r="AA29" i="17" s="1"/>
  <c r="U31" i="37"/>
  <c r="AC27" i="17"/>
  <c r="AF27" i="17" s="1"/>
  <c r="V30" i="33"/>
  <c r="W30" i="33" s="1"/>
  <c r="Y28" i="17" s="1"/>
  <c r="U30" i="33"/>
  <c r="V32" i="31"/>
  <c r="W32" i="31" s="1"/>
  <c r="U30" i="17" s="1"/>
  <c r="U32" i="31"/>
  <c r="K24" i="38"/>
  <c r="K31" i="31"/>
  <c r="D29" i="17" s="1"/>
  <c r="I32" i="31"/>
  <c r="J32" i="31"/>
  <c r="U30" i="32"/>
  <c r="V30" i="32"/>
  <c r="W30" i="32" s="1"/>
  <c r="W28" i="17" s="1"/>
  <c r="V32" i="18"/>
  <c r="W32" i="18" s="1"/>
  <c r="T30" i="17" s="1"/>
  <c r="U32" i="18"/>
  <c r="U32" i="34"/>
  <c r="V32" i="34"/>
  <c r="W32" i="34" s="1"/>
  <c r="X30" i="17" s="1"/>
  <c r="N20" i="38"/>
  <c r="O20" i="38"/>
  <c r="O26" i="17"/>
  <c r="E21" i="28"/>
  <c r="I30" i="32"/>
  <c r="J30" i="32"/>
  <c r="V31" i="36"/>
  <c r="W31" i="36" s="1"/>
  <c r="Z29" i="17" s="1"/>
  <c r="U31" i="36"/>
  <c r="V31" i="40"/>
  <c r="W31" i="40" s="1"/>
  <c r="AB29" i="17" s="1"/>
  <c r="U31" i="40"/>
  <c r="M20" i="38"/>
  <c r="J32" i="33"/>
  <c r="K32" i="33" s="1"/>
  <c r="H30" i="17" s="1"/>
  <c r="I32" i="33"/>
  <c r="I31" i="40"/>
  <c r="J31" i="40"/>
  <c r="K31" i="40" s="1"/>
  <c r="K29" i="17" s="1"/>
  <c r="J22" i="38"/>
  <c r="K29" i="32"/>
  <c r="F27" i="17" s="1"/>
  <c r="L27" i="17" s="1"/>
  <c r="J31" i="18"/>
  <c r="K31" i="18" s="1"/>
  <c r="C29" i="17" s="1"/>
  <c r="I31" i="18"/>
  <c r="J32" i="35"/>
  <c r="K32" i="35" s="1"/>
  <c r="E30" i="17" s="1"/>
  <c r="I32" i="35"/>
  <c r="J32" i="37"/>
  <c r="K32" i="37" s="1"/>
  <c r="J30" i="17" s="1"/>
  <c r="I32" i="37"/>
  <c r="J34" i="36"/>
  <c r="K34" i="36" s="1"/>
  <c r="I32" i="17" s="1"/>
  <c r="I34" i="36"/>
  <c r="V33" i="35"/>
  <c r="W33" i="35" s="1"/>
  <c r="V31" i="17" s="1"/>
  <c r="U33" i="35"/>
  <c r="J32" i="34" l="1"/>
  <c r="I32" i="34"/>
  <c r="L24" i="38"/>
  <c r="K31" i="34"/>
  <c r="G29" i="17" s="1"/>
  <c r="AC28" i="17"/>
  <c r="AF28" i="17" s="1"/>
  <c r="B34" i="31"/>
  <c r="B30" i="7"/>
  <c r="O34" i="34"/>
  <c r="O34" i="32"/>
  <c r="O34" i="36"/>
  <c r="B34" i="36"/>
  <c r="O34" i="31"/>
  <c r="B34" i="40"/>
  <c r="B34" i="18"/>
  <c r="B34" i="37"/>
  <c r="B34" i="33"/>
  <c r="O34" i="18"/>
  <c r="O34" i="33"/>
  <c r="O34" i="35"/>
  <c r="B34" i="32"/>
  <c r="B34" i="35"/>
  <c r="B34" i="34"/>
  <c r="O34" i="37"/>
  <c r="O34" i="40"/>
  <c r="V32" i="37"/>
  <c r="W32" i="37" s="1"/>
  <c r="AA30" i="17" s="1"/>
  <c r="U32" i="37"/>
  <c r="V31" i="33"/>
  <c r="W31" i="33" s="1"/>
  <c r="Y29" i="17" s="1"/>
  <c r="U31" i="33"/>
  <c r="V33" i="31"/>
  <c r="W33" i="31" s="1"/>
  <c r="U31" i="17" s="1"/>
  <c r="U33" i="31"/>
  <c r="I33" i="31"/>
  <c r="J33" i="31"/>
  <c r="K25" i="38"/>
  <c r="K32" i="31"/>
  <c r="D30" i="17" s="1"/>
  <c r="U33" i="18"/>
  <c r="V33" i="18"/>
  <c r="W33" i="18" s="1"/>
  <c r="T31" i="17" s="1"/>
  <c r="V31" i="32"/>
  <c r="W31" i="32" s="1"/>
  <c r="W29" i="17" s="1"/>
  <c r="U31" i="32"/>
  <c r="J32" i="40"/>
  <c r="K32" i="40" s="1"/>
  <c r="K30" i="17" s="1"/>
  <c r="I32" i="40"/>
  <c r="V32" i="40"/>
  <c r="W32" i="40" s="1"/>
  <c r="AB30" i="17" s="1"/>
  <c r="U32" i="40"/>
  <c r="K30" i="32"/>
  <c r="F28" i="17" s="1"/>
  <c r="L28" i="17" s="1"/>
  <c r="J23" i="38"/>
  <c r="J32" i="18"/>
  <c r="K32" i="18" s="1"/>
  <c r="C30" i="17" s="1"/>
  <c r="I32" i="18"/>
  <c r="M21" i="38"/>
  <c r="O21" i="38"/>
  <c r="N21" i="38"/>
  <c r="U32" i="36"/>
  <c r="V32" i="36"/>
  <c r="W32" i="36" s="1"/>
  <c r="Z30" i="17" s="1"/>
  <c r="U33" i="34"/>
  <c r="V33" i="34"/>
  <c r="W33" i="34" s="1"/>
  <c r="X31" i="17" s="1"/>
  <c r="I33" i="35"/>
  <c r="J33" i="35"/>
  <c r="K33" i="35" s="1"/>
  <c r="E31" i="17" s="1"/>
  <c r="E22" i="28"/>
  <c r="O27" i="17"/>
  <c r="I33" i="33"/>
  <c r="J33" i="33"/>
  <c r="K33" i="33" s="1"/>
  <c r="H31" i="17" s="1"/>
  <c r="I31" i="32"/>
  <c r="J31" i="32"/>
  <c r="J35" i="36"/>
  <c r="K35" i="36" s="1"/>
  <c r="I33" i="17" s="1"/>
  <c r="I35" i="36"/>
  <c r="V34" i="35"/>
  <c r="W34" i="35" s="1"/>
  <c r="V32" i="17" s="1"/>
  <c r="U34" i="35"/>
  <c r="J33" i="37"/>
  <c r="K33" i="37" s="1"/>
  <c r="J31" i="17" s="1"/>
  <c r="I33" i="37"/>
  <c r="J33" i="34" l="1"/>
  <c r="I33" i="34"/>
  <c r="L25" i="38"/>
  <c r="K32" i="34"/>
  <c r="G30" i="17" s="1"/>
  <c r="B35" i="40"/>
  <c r="B35" i="18"/>
  <c r="O35" i="34"/>
  <c r="B35" i="31"/>
  <c r="O35" i="31"/>
  <c r="B35" i="34"/>
  <c r="B31" i="7"/>
  <c r="B35" i="36"/>
  <c r="B35" i="33"/>
  <c r="O35" i="40"/>
  <c r="O35" i="33"/>
  <c r="O35" i="35"/>
  <c r="O35" i="32"/>
  <c r="B35" i="35"/>
  <c r="B35" i="37"/>
  <c r="O35" i="18"/>
  <c r="B35" i="32"/>
  <c r="O35" i="36"/>
  <c r="O35" i="37"/>
  <c r="U33" i="37"/>
  <c r="V33" i="37"/>
  <c r="W33" i="37" s="1"/>
  <c r="AA31" i="17" s="1"/>
  <c r="AC29" i="17"/>
  <c r="AF29" i="17" s="1"/>
  <c r="V32" i="33"/>
  <c r="W32" i="33" s="1"/>
  <c r="Y30" i="17" s="1"/>
  <c r="U32" i="33"/>
  <c r="V34" i="31"/>
  <c r="W34" i="31" s="1"/>
  <c r="U32" i="17" s="1"/>
  <c r="U34" i="31"/>
  <c r="K26" i="38"/>
  <c r="K33" i="31"/>
  <c r="D31" i="17" s="1"/>
  <c r="J34" i="31"/>
  <c r="I34" i="31"/>
  <c r="U32" i="32"/>
  <c r="V32" i="32"/>
  <c r="W32" i="32" s="1"/>
  <c r="W30" i="17" s="1"/>
  <c r="U34" i="18"/>
  <c r="V34" i="18"/>
  <c r="W34" i="18" s="1"/>
  <c r="T32" i="17" s="1"/>
  <c r="I34" i="33"/>
  <c r="J34" i="33"/>
  <c r="K34" i="33" s="1"/>
  <c r="H32" i="17" s="1"/>
  <c r="J34" i="35"/>
  <c r="K34" i="35" s="1"/>
  <c r="E32" i="17" s="1"/>
  <c r="I34" i="35"/>
  <c r="J32" i="32"/>
  <c r="I32" i="32"/>
  <c r="N22" i="38"/>
  <c r="O22" i="38"/>
  <c r="U34" i="34"/>
  <c r="V34" i="34"/>
  <c r="W34" i="34" s="1"/>
  <c r="X32" i="17" s="1"/>
  <c r="U33" i="36"/>
  <c r="V33" i="36"/>
  <c r="W33" i="36" s="1"/>
  <c r="Z31" i="17" s="1"/>
  <c r="J24" i="38"/>
  <c r="K31" i="32"/>
  <c r="F29" i="17" s="1"/>
  <c r="L29" i="17" s="1"/>
  <c r="I33" i="18"/>
  <c r="J33" i="18"/>
  <c r="K33" i="18" s="1"/>
  <c r="C31" i="17" s="1"/>
  <c r="V33" i="40"/>
  <c r="W33" i="40" s="1"/>
  <c r="AB31" i="17" s="1"/>
  <c r="U33" i="40"/>
  <c r="O28" i="17"/>
  <c r="E23" i="28"/>
  <c r="M23" i="38" s="1"/>
  <c r="J33" i="40"/>
  <c r="K33" i="40" s="1"/>
  <c r="K31" i="17" s="1"/>
  <c r="I33" i="40"/>
  <c r="M22" i="38"/>
  <c r="J34" i="37"/>
  <c r="K34" i="37" s="1"/>
  <c r="J32" i="17" s="1"/>
  <c r="I34" i="37"/>
  <c r="V35" i="35"/>
  <c r="W35" i="35" s="1"/>
  <c r="V33" i="17" s="1"/>
  <c r="U35" i="35"/>
  <c r="J36" i="36"/>
  <c r="K36" i="36" s="1"/>
  <c r="I34" i="17" s="1"/>
  <c r="I36" i="36"/>
  <c r="J34" i="34" l="1"/>
  <c r="I34" i="34"/>
  <c r="L26" i="38"/>
  <c r="K33" i="34"/>
  <c r="G31" i="17" s="1"/>
  <c r="O36" i="18"/>
  <c r="O36" i="31"/>
  <c r="O36" i="40"/>
  <c r="B36" i="35"/>
  <c r="O36" i="34"/>
  <c r="B36" i="31"/>
  <c r="B36" i="37"/>
  <c r="B36" i="36"/>
  <c r="B32" i="7"/>
  <c r="B36" i="34"/>
  <c r="B36" i="18"/>
  <c r="B36" i="40"/>
  <c r="O36" i="36"/>
  <c r="O36" i="35"/>
  <c r="O36" i="37"/>
  <c r="O36" i="32"/>
  <c r="B36" i="33"/>
  <c r="O36" i="33"/>
  <c r="B36" i="32"/>
  <c r="AC30" i="17"/>
  <c r="AF30" i="17" s="1"/>
  <c r="V34" i="37"/>
  <c r="W34" i="37" s="1"/>
  <c r="AA32" i="17" s="1"/>
  <c r="U34" i="37"/>
  <c r="V33" i="33"/>
  <c r="W33" i="33" s="1"/>
  <c r="Y31" i="17" s="1"/>
  <c r="U33" i="33"/>
  <c r="U35" i="31"/>
  <c r="V35" i="31"/>
  <c r="W35" i="31" s="1"/>
  <c r="U33" i="17" s="1"/>
  <c r="K27" i="38"/>
  <c r="K34" i="31"/>
  <c r="D32" i="17" s="1"/>
  <c r="J35" i="31"/>
  <c r="I35" i="31"/>
  <c r="U35" i="18"/>
  <c r="V35" i="18"/>
  <c r="W35" i="18" s="1"/>
  <c r="T33" i="17" s="1"/>
  <c r="U33" i="32"/>
  <c r="V33" i="32"/>
  <c r="W33" i="32" s="1"/>
  <c r="W31" i="17" s="1"/>
  <c r="J34" i="40"/>
  <c r="K34" i="40" s="1"/>
  <c r="K32" i="17" s="1"/>
  <c r="I34" i="40"/>
  <c r="U34" i="40"/>
  <c r="V34" i="40"/>
  <c r="W34" i="40" s="1"/>
  <c r="AB32" i="17" s="1"/>
  <c r="E24" i="28"/>
  <c r="M24" i="38" s="1"/>
  <c r="O29" i="17"/>
  <c r="I33" i="32"/>
  <c r="J33" i="32"/>
  <c r="I35" i="35"/>
  <c r="J35" i="35"/>
  <c r="K35" i="35" s="1"/>
  <c r="E33" i="17" s="1"/>
  <c r="U35" i="34"/>
  <c r="V35" i="34"/>
  <c r="W35" i="34" s="1"/>
  <c r="X33" i="17" s="1"/>
  <c r="J25" i="38"/>
  <c r="K32" i="32"/>
  <c r="F30" i="17" s="1"/>
  <c r="L30" i="17" s="1"/>
  <c r="I35" i="33"/>
  <c r="J35" i="33"/>
  <c r="K35" i="33" s="1"/>
  <c r="H33" i="17" s="1"/>
  <c r="N23" i="38"/>
  <c r="O23" i="38"/>
  <c r="I34" i="18"/>
  <c r="J34" i="18"/>
  <c r="K34" i="18" s="1"/>
  <c r="C32" i="17" s="1"/>
  <c r="V34" i="36"/>
  <c r="W34" i="36" s="1"/>
  <c r="Z32" i="17" s="1"/>
  <c r="U34" i="36"/>
  <c r="V36" i="35"/>
  <c r="W36" i="35" s="1"/>
  <c r="V34" i="17" s="1"/>
  <c r="U36" i="35"/>
  <c r="J37" i="36"/>
  <c r="K37" i="36" s="1"/>
  <c r="I35" i="17" s="1"/>
  <c r="I37" i="36"/>
  <c r="J35" i="37"/>
  <c r="K35" i="37" s="1"/>
  <c r="J33" i="17" s="1"/>
  <c r="I35" i="37"/>
  <c r="I35" i="34" l="1"/>
  <c r="J35" i="34"/>
  <c r="L27" i="38"/>
  <c r="K34" i="34"/>
  <c r="G32" i="17" s="1"/>
  <c r="O37" i="33"/>
  <c r="B37" i="32"/>
  <c r="B33" i="7"/>
  <c r="B37" i="31"/>
  <c r="O37" i="31"/>
  <c r="B37" i="33"/>
  <c r="O37" i="32"/>
  <c r="B37" i="34"/>
  <c r="O37" i="34"/>
  <c r="O37" i="40"/>
  <c r="B37" i="18"/>
  <c r="O37" i="36"/>
  <c r="B37" i="37"/>
  <c r="O37" i="35"/>
  <c r="B37" i="40"/>
  <c r="B37" i="36"/>
  <c r="B37" i="35"/>
  <c r="O37" i="37"/>
  <c r="O37" i="18"/>
  <c r="V35" i="37"/>
  <c r="W35" i="37" s="1"/>
  <c r="AA33" i="17" s="1"/>
  <c r="U35" i="37"/>
  <c r="AC31" i="17"/>
  <c r="AF31" i="17" s="1"/>
  <c r="U34" i="33"/>
  <c r="V34" i="33"/>
  <c r="W34" i="33" s="1"/>
  <c r="Y32" i="17" s="1"/>
  <c r="U36" i="31"/>
  <c r="V36" i="31"/>
  <c r="W36" i="31" s="1"/>
  <c r="U34" i="17" s="1"/>
  <c r="I36" i="31"/>
  <c r="J36" i="31"/>
  <c r="K28" i="38"/>
  <c r="K35" i="31"/>
  <c r="D33" i="17" s="1"/>
  <c r="U34" i="32"/>
  <c r="V34" i="32"/>
  <c r="W34" i="32" s="1"/>
  <c r="W32" i="17" s="1"/>
  <c r="V36" i="18"/>
  <c r="W36" i="18" s="1"/>
  <c r="T34" i="17" s="1"/>
  <c r="U36" i="18"/>
  <c r="I36" i="33"/>
  <c r="J36" i="33"/>
  <c r="K36" i="33" s="1"/>
  <c r="H34" i="17" s="1"/>
  <c r="I36" i="35"/>
  <c r="J36" i="35"/>
  <c r="K36" i="35" s="1"/>
  <c r="E34" i="17" s="1"/>
  <c r="I34" i="32"/>
  <c r="J34" i="32"/>
  <c r="U35" i="40"/>
  <c r="V35" i="40"/>
  <c r="W35" i="40" s="1"/>
  <c r="AB33" i="17" s="1"/>
  <c r="J26" i="38"/>
  <c r="K33" i="32"/>
  <c r="F31" i="17" s="1"/>
  <c r="L31" i="17" s="1"/>
  <c r="I35" i="40"/>
  <c r="J35" i="40"/>
  <c r="K35" i="40" s="1"/>
  <c r="K33" i="17" s="1"/>
  <c r="O24" i="38"/>
  <c r="N24" i="38"/>
  <c r="J35" i="18"/>
  <c r="K35" i="18" s="1"/>
  <c r="C33" i="17" s="1"/>
  <c r="I35" i="18"/>
  <c r="V36" i="34"/>
  <c r="W36" i="34" s="1"/>
  <c r="X34" i="17" s="1"/>
  <c r="U36" i="34"/>
  <c r="U35" i="36"/>
  <c r="V35" i="36"/>
  <c r="W35" i="36" s="1"/>
  <c r="Z33" i="17" s="1"/>
  <c r="O30" i="17"/>
  <c r="E25" i="28"/>
  <c r="V37" i="35"/>
  <c r="W37" i="35" s="1"/>
  <c r="V35" i="17" s="1"/>
  <c r="U37" i="35"/>
  <c r="J36" i="37"/>
  <c r="K36" i="37" s="1"/>
  <c r="J34" i="17" s="1"/>
  <c r="I36" i="37"/>
  <c r="J38" i="36"/>
  <c r="K38" i="36" s="1"/>
  <c r="I36" i="17" s="1"/>
  <c r="I38" i="36"/>
  <c r="K35" i="34" l="1"/>
  <c r="G33" i="17" s="1"/>
  <c r="L28" i="38"/>
  <c r="I36" i="34"/>
  <c r="J36" i="34"/>
  <c r="O38" i="32"/>
  <c r="O38" i="18"/>
  <c r="O38" i="37"/>
  <c r="B34" i="7"/>
  <c r="O38" i="31"/>
  <c r="B38" i="18"/>
  <c r="O38" i="35"/>
  <c r="B38" i="36"/>
  <c r="B38" i="31"/>
  <c r="B38" i="35"/>
  <c r="B38" i="37"/>
  <c r="B38" i="33"/>
  <c r="B38" i="34"/>
  <c r="O38" i="36"/>
  <c r="O38" i="33"/>
  <c r="O38" i="40"/>
  <c r="O38" i="34"/>
  <c r="B38" i="40"/>
  <c r="B38" i="32"/>
  <c r="AC32" i="17"/>
  <c r="AF32" i="17" s="1"/>
  <c r="U36" i="37"/>
  <c r="V36" i="37"/>
  <c r="W36" i="37" s="1"/>
  <c r="AA34" i="17" s="1"/>
  <c r="U35" i="33"/>
  <c r="V35" i="33"/>
  <c r="W35" i="33" s="1"/>
  <c r="Y33" i="17" s="1"/>
  <c r="V37" i="31"/>
  <c r="W37" i="31" s="1"/>
  <c r="U35" i="17" s="1"/>
  <c r="U37" i="31"/>
  <c r="K36" i="31"/>
  <c r="D34" i="17" s="1"/>
  <c r="K29" i="38"/>
  <c r="I37" i="31"/>
  <c r="J37" i="31"/>
  <c r="V37" i="18"/>
  <c r="W37" i="18" s="1"/>
  <c r="T35" i="17" s="1"/>
  <c r="U37" i="18"/>
  <c r="V35" i="32"/>
  <c r="W35" i="32" s="1"/>
  <c r="W33" i="17" s="1"/>
  <c r="U35" i="32"/>
  <c r="I36" i="18"/>
  <c r="J36" i="18"/>
  <c r="K36" i="18" s="1"/>
  <c r="C34" i="17" s="1"/>
  <c r="J36" i="40"/>
  <c r="K36" i="40" s="1"/>
  <c r="K34" i="17" s="1"/>
  <c r="I36" i="40"/>
  <c r="U36" i="40"/>
  <c r="V36" i="40"/>
  <c r="W36" i="40" s="1"/>
  <c r="AB34" i="17" s="1"/>
  <c r="J37" i="35"/>
  <c r="K37" i="35" s="1"/>
  <c r="E35" i="17" s="1"/>
  <c r="I37" i="35"/>
  <c r="N25" i="38"/>
  <c r="O25" i="38"/>
  <c r="U37" i="34"/>
  <c r="V37" i="34"/>
  <c r="W37" i="34" s="1"/>
  <c r="X35" i="17" s="1"/>
  <c r="J35" i="32"/>
  <c r="I35" i="32"/>
  <c r="J37" i="33"/>
  <c r="K37" i="33" s="1"/>
  <c r="H35" i="17" s="1"/>
  <c r="I37" i="33"/>
  <c r="M25" i="38"/>
  <c r="V36" i="36"/>
  <c r="W36" i="36" s="1"/>
  <c r="Z34" i="17" s="1"/>
  <c r="U36" i="36"/>
  <c r="O31" i="17"/>
  <c r="E26" i="28"/>
  <c r="K34" i="32"/>
  <c r="F32" i="17" s="1"/>
  <c r="L32" i="17" s="1"/>
  <c r="J27" i="38"/>
  <c r="J39" i="36"/>
  <c r="K39" i="36" s="1"/>
  <c r="I37" i="17" s="1"/>
  <c r="I39" i="36"/>
  <c r="J37" i="37"/>
  <c r="K37" i="37" s="1"/>
  <c r="J35" i="17" s="1"/>
  <c r="I37" i="37"/>
  <c r="V38" i="35"/>
  <c r="W38" i="35" s="1"/>
  <c r="V36" i="17" s="1"/>
  <c r="U38" i="35"/>
  <c r="I37" i="34" l="1"/>
  <c r="J37" i="34"/>
  <c r="L29" i="38"/>
  <c r="K36" i="34"/>
  <c r="G34" i="17" s="1"/>
  <c r="AC33" i="17"/>
  <c r="AF33" i="17" s="1"/>
  <c r="B39" i="31"/>
  <c r="O39" i="36"/>
  <c r="O39" i="35"/>
  <c r="O39" i="32"/>
  <c r="B39" i="32"/>
  <c r="B39" i="37"/>
  <c r="B39" i="36"/>
  <c r="B39" i="40"/>
  <c r="B39" i="18"/>
  <c r="O39" i="31"/>
  <c r="B35" i="7"/>
  <c r="O39" i="34"/>
  <c r="O39" i="33"/>
  <c r="B39" i="33"/>
  <c r="O39" i="18"/>
  <c r="O39" i="37"/>
  <c r="B39" i="34"/>
  <c r="O39" i="40"/>
  <c r="B39" i="35"/>
  <c r="U37" i="37"/>
  <c r="V37" i="37"/>
  <c r="W37" i="37" s="1"/>
  <c r="AA35" i="17" s="1"/>
  <c r="V36" i="33"/>
  <c r="W36" i="33" s="1"/>
  <c r="Y34" i="17" s="1"/>
  <c r="U36" i="33"/>
  <c r="V38" i="31"/>
  <c r="W38" i="31" s="1"/>
  <c r="U36" i="17" s="1"/>
  <c r="U38" i="31"/>
  <c r="K30" i="38"/>
  <c r="K37" i="31"/>
  <c r="D35" i="17" s="1"/>
  <c r="J38" i="31"/>
  <c r="I38" i="31"/>
  <c r="V36" i="32"/>
  <c r="W36" i="32" s="1"/>
  <c r="W34" i="17" s="1"/>
  <c r="U36" i="32"/>
  <c r="V38" i="18"/>
  <c r="W38" i="18" s="1"/>
  <c r="T36" i="17" s="1"/>
  <c r="U38" i="18"/>
  <c r="O32" i="17"/>
  <c r="E27" i="28"/>
  <c r="M27" i="38" s="1"/>
  <c r="N26" i="38"/>
  <c r="O26" i="38"/>
  <c r="I36" i="32"/>
  <c r="J36" i="32"/>
  <c r="J38" i="35"/>
  <c r="K38" i="35" s="1"/>
  <c r="E36" i="17" s="1"/>
  <c r="I38" i="35"/>
  <c r="I37" i="40"/>
  <c r="J37" i="40"/>
  <c r="K37" i="40" s="1"/>
  <c r="K35" i="17" s="1"/>
  <c r="M26" i="38"/>
  <c r="U37" i="40"/>
  <c r="V37" i="40"/>
  <c r="W37" i="40" s="1"/>
  <c r="AB35" i="17" s="1"/>
  <c r="I37" i="18"/>
  <c r="J37" i="18"/>
  <c r="K37" i="18" s="1"/>
  <c r="C35" i="17" s="1"/>
  <c r="V37" i="36"/>
  <c r="W37" i="36" s="1"/>
  <c r="Z35" i="17" s="1"/>
  <c r="U37" i="36"/>
  <c r="I38" i="33"/>
  <c r="J38" i="33"/>
  <c r="K38" i="33" s="1"/>
  <c r="H36" i="17" s="1"/>
  <c r="J28" i="38"/>
  <c r="K35" i="32"/>
  <c r="F33" i="17" s="1"/>
  <c r="L33" i="17" s="1"/>
  <c r="V38" i="34"/>
  <c r="W38" i="34" s="1"/>
  <c r="X36" i="17" s="1"/>
  <c r="U38" i="34"/>
  <c r="J38" i="37"/>
  <c r="K38" i="37" s="1"/>
  <c r="J36" i="17" s="1"/>
  <c r="I38" i="37"/>
  <c r="V39" i="35"/>
  <c r="W39" i="35" s="1"/>
  <c r="V37" i="17" s="1"/>
  <c r="U39" i="35"/>
  <c r="I40" i="36"/>
  <c r="J40" i="36"/>
  <c r="K40" i="36" s="1"/>
  <c r="I38" i="17" s="1"/>
  <c r="L30" i="38" l="1"/>
  <c r="K37" i="34"/>
  <c r="G35" i="17" s="1"/>
  <c r="I38" i="34"/>
  <c r="J38" i="34"/>
  <c r="O40" i="35"/>
  <c r="B40" i="34"/>
  <c r="O40" i="36"/>
  <c r="B40" i="32"/>
  <c r="B36" i="7"/>
  <c r="B40" i="33"/>
  <c r="B40" i="36"/>
  <c r="O40" i="37"/>
  <c r="O40" i="32"/>
  <c r="B40" i="31"/>
  <c r="O40" i="31"/>
  <c r="O40" i="33"/>
  <c r="B40" i="18"/>
  <c r="O40" i="18"/>
  <c r="B40" i="37"/>
  <c r="O40" i="34"/>
  <c r="B40" i="35"/>
  <c r="O40" i="40"/>
  <c r="B40" i="40"/>
  <c r="V38" i="37"/>
  <c r="W38" i="37" s="1"/>
  <c r="AA36" i="17" s="1"/>
  <c r="U38" i="37"/>
  <c r="AC34" i="17"/>
  <c r="AF34" i="17" s="1"/>
  <c r="V37" i="33"/>
  <c r="W37" i="33" s="1"/>
  <c r="Y35" i="17" s="1"/>
  <c r="U37" i="33"/>
  <c r="V39" i="31"/>
  <c r="W39" i="31" s="1"/>
  <c r="U37" i="17" s="1"/>
  <c r="U39" i="31"/>
  <c r="I39" i="31"/>
  <c r="J39" i="31"/>
  <c r="K38" i="31"/>
  <c r="D36" i="17" s="1"/>
  <c r="K31" i="38"/>
  <c r="U39" i="18"/>
  <c r="V39" i="18"/>
  <c r="W39" i="18" s="1"/>
  <c r="T37" i="17" s="1"/>
  <c r="U37" i="32"/>
  <c r="V37" i="32"/>
  <c r="W37" i="32" s="1"/>
  <c r="W35" i="17" s="1"/>
  <c r="I39" i="33"/>
  <c r="J39" i="33"/>
  <c r="K39" i="33" s="1"/>
  <c r="H37" i="17" s="1"/>
  <c r="I38" i="18"/>
  <c r="J38" i="18"/>
  <c r="K38" i="18" s="1"/>
  <c r="C36" i="17" s="1"/>
  <c r="E28" i="28"/>
  <c r="O33" i="17"/>
  <c r="V38" i="40"/>
  <c r="W38" i="40" s="1"/>
  <c r="AB36" i="17" s="1"/>
  <c r="U38" i="40"/>
  <c r="I38" i="40"/>
  <c r="J38" i="40"/>
  <c r="K38" i="40" s="1"/>
  <c r="K36" i="17" s="1"/>
  <c r="I37" i="32"/>
  <c r="J37" i="32"/>
  <c r="I39" i="35"/>
  <c r="J39" i="35"/>
  <c r="K39" i="35" s="1"/>
  <c r="E37" i="17" s="1"/>
  <c r="V39" i="34"/>
  <c r="W39" i="34" s="1"/>
  <c r="X37" i="17" s="1"/>
  <c r="U39" i="34"/>
  <c r="U38" i="36"/>
  <c r="V38" i="36"/>
  <c r="W38" i="36" s="1"/>
  <c r="Z36" i="17" s="1"/>
  <c r="K36" i="32"/>
  <c r="F34" i="17" s="1"/>
  <c r="L34" i="17" s="1"/>
  <c r="J29" i="38"/>
  <c r="O27" i="38"/>
  <c r="N27" i="38"/>
  <c r="U40" i="35"/>
  <c r="V40" i="35"/>
  <c r="W40" i="35" s="1"/>
  <c r="V38" i="17" s="1"/>
  <c r="J39" i="37"/>
  <c r="K39" i="37" s="1"/>
  <c r="J37" i="17" s="1"/>
  <c r="I39" i="37"/>
  <c r="J41" i="36"/>
  <c r="K41" i="36" s="1"/>
  <c r="I39" i="17" s="1"/>
  <c r="I41" i="36"/>
  <c r="L31" i="38" l="1"/>
  <c r="K38" i="34"/>
  <c r="G36" i="17" s="1"/>
  <c r="I39" i="34"/>
  <c r="J39" i="34"/>
  <c r="O41" i="40"/>
  <c r="O41" i="36"/>
  <c r="O41" i="37"/>
  <c r="O41" i="32"/>
  <c r="O41" i="33"/>
  <c r="O41" i="35"/>
  <c r="B41" i="37"/>
  <c r="B41" i="31"/>
  <c r="O41" i="18"/>
  <c r="B41" i="35"/>
  <c r="B41" i="18"/>
  <c r="B41" i="32"/>
  <c r="O41" i="34"/>
  <c r="B41" i="34"/>
  <c r="O41" i="31"/>
  <c r="B41" i="33"/>
  <c r="B41" i="40"/>
  <c r="B37" i="7"/>
  <c r="B41" i="36"/>
  <c r="V39" i="37"/>
  <c r="W39" i="37" s="1"/>
  <c r="AA37" i="17" s="1"/>
  <c r="U39" i="37"/>
  <c r="AC35" i="17"/>
  <c r="AF35" i="17" s="1"/>
  <c r="V38" i="33"/>
  <c r="W38" i="33" s="1"/>
  <c r="Y36" i="17" s="1"/>
  <c r="U38" i="33"/>
  <c r="U40" i="31"/>
  <c r="V40" i="31"/>
  <c r="W40" i="31" s="1"/>
  <c r="U38" i="17" s="1"/>
  <c r="K39" i="31"/>
  <c r="D37" i="17" s="1"/>
  <c r="K32" i="38"/>
  <c r="J40" i="31"/>
  <c r="I40" i="31"/>
  <c r="V38" i="32"/>
  <c r="W38" i="32" s="1"/>
  <c r="W36" i="17" s="1"/>
  <c r="U38" i="32"/>
  <c r="V40" i="18"/>
  <c r="W40" i="18" s="1"/>
  <c r="T38" i="17" s="1"/>
  <c r="U40" i="18"/>
  <c r="U40" i="34"/>
  <c r="V40" i="34"/>
  <c r="W40" i="34" s="1"/>
  <c r="X38" i="17" s="1"/>
  <c r="J40" i="33"/>
  <c r="K40" i="33" s="1"/>
  <c r="H38" i="17" s="1"/>
  <c r="I40" i="33"/>
  <c r="E29" i="28"/>
  <c r="O34" i="17"/>
  <c r="J40" i="35"/>
  <c r="K40" i="35" s="1"/>
  <c r="E38" i="17" s="1"/>
  <c r="I40" i="35"/>
  <c r="J38" i="32"/>
  <c r="I38" i="32"/>
  <c r="J39" i="18"/>
  <c r="K39" i="18" s="1"/>
  <c r="C37" i="17" s="1"/>
  <c r="I39" i="18"/>
  <c r="I39" i="40"/>
  <c r="J39" i="40"/>
  <c r="K39" i="40" s="1"/>
  <c r="K37" i="17" s="1"/>
  <c r="O28" i="38"/>
  <c r="N28" i="38"/>
  <c r="V39" i="36"/>
  <c r="W39" i="36" s="1"/>
  <c r="Z37" i="17" s="1"/>
  <c r="U39" i="36"/>
  <c r="J30" i="38"/>
  <c r="K37" i="32"/>
  <c r="F35" i="17" s="1"/>
  <c r="L35" i="17" s="1"/>
  <c r="V39" i="40"/>
  <c r="W39" i="40" s="1"/>
  <c r="AB37" i="17" s="1"/>
  <c r="U39" i="40"/>
  <c r="M28" i="38"/>
  <c r="V41" i="35"/>
  <c r="W41" i="35" s="1"/>
  <c r="V39" i="17" s="1"/>
  <c r="U41" i="35"/>
  <c r="J40" i="37"/>
  <c r="K40" i="37" s="1"/>
  <c r="J38" i="17" s="1"/>
  <c r="I40" i="37"/>
  <c r="J42" i="36"/>
  <c r="K42" i="36" s="1"/>
  <c r="I40" i="17" s="1"/>
  <c r="I42" i="36"/>
  <c r="K39" i="34" l="1"/>
  <c r="G37" i="17" s="1"/>
  <c r="L32" i="38"/>
  <c r="J40" i="34"/>
  <c r="I40" i="34"/>
  <c r="B42" i="31"/>
  <c r="O42" i="34"/>
  <c r="B42" i="34"/>
  <c r="B42" i="40"/>
  <c r="O42" i="33"/>
  <c r="B42" i="37"/>
  <c r="B38" i="7"/>
  <c r="O42" i="31"/>
  <c r="B42" i="33"/>
  <c r="O42" i="18"/>
  <c r="B42" i="18"/>
  <c r="B42" i="35"/>
  <c r="O42" i="35"/>
  <c r="B42" i="36"/>
  <c r="O42" i="37"/>
  <c r="O42" i="40"/>
  <c r="O42" i="32"/>
  <c r="B42" i="32"/>
  <c r="O42" i="36"/>
  <c r="U40" i="37"/>
  <c r="V40" i="37"/>
  <c r="W40" i="37" s="1"/>
  <c r="AA38" i="17" s="1"/>
  <c r="AC36" i="17"/>
  <c r="AF36" i="17" s="1"/>
  <c r="V39" i="33"/>
  <c r="W39" i="33" s="1"/>
  <c r="Y37" i="17" s="1"/>
  <c r="U39" i="33"/>
  <c r="V41" i="31"/>
  <c r="W41" i="31" s="1"/>
  <c r="U39" i="17" s="1"/>
  <c r="U41" i="31"/>
  <c r="I41" i="31"/>
  <c r="J41" i="31"/>
  <c r="K33" i="38"/>
  <c r="K40" i="31"/>
  <c r="D38" i="17" s="1"/>
  <c r="V41" i="18"/>
  <c r="W41" i="18" s="1"/>
  <c r="T39" i="17" s="1"/>
  <c r="U41" i="18"/>
  <c r="V39" i="32"/>
  <c r="W39" i="32" s="1"/>
  <c r="W37" i="17" s="1"/>
  <c r="U39" i="32"/>
  <c r="J40" i="18"/>
  <c r="K40" i="18" s="1"/>
  <c r="C38" i="17" s="1"/>
  <c r="I40" i="18"/>
  <c r="J41" i="33"/>
  <c r="K41" i="33" s="1"/>
  <c r="H39" i="17" s="1"/>
  <c r="I41" i="33"/>
  <c r="I40" i="40"/>
  <c r="J40" i="40"/>
  <c r="K40" i="40" s="1"/>
  <c r="K38" i="17" s="1"/>
  <c r="I39" i="32"/>
  <c r="J39" i="32"/>
  <c r="I41" i="35"/>
  <c r="J41" i="35"/>
  <c r="K41" i="35" s="1"/>
  <c r="E39" i="17" s="1"/>
  <c r="O35" i="17"/>
  <c r="E30" i="28"/>
  <c r="J31" i="38"/>
  <c r="K38" i="32"/>
  <c r="F36" i="17" s="1"/>
  <c r="L36" i="17" s="1"/>
  <c r="M29" i="38"/>
  <c r="N29" i="38"/>
  <c r="O29" i="38"/>
  <c r="U41" i="34"/>
  <c r="V41" i="34"/>
  <c r="W41" i="34" s="1"/>
  <c r="X39" i="17" s="1"/>
  <c r="U40" i="40"/>
  <c r="V40" i="40"/>
  <c r="W40" i="40" s="1"/>
  <c r="AB38" i="17" s="1"/>
  <c r="U40" i="36"/>
  <c r="V40" i="36"/>
  <c r="W40" i="36" s="1"/>
  <c r="Z38" i="17" s="1"/>
  <c r="V42" i="35"/>
  <c r="W42" i="35" s="1"/>
  <c r="V40" i="17" s="1"/>
  <c r="U42" i="35"/>
  <c r="J43" i="36"/>
  <c r="K43" i="36" s="1"/>
  <c r="I41" i="17" s="1"/>
  <c r="I43" i="36"/>
  <c r="J41" i="37"/>
  <c r="K41" i="37" s="1"/>
  <c r="J39" i="17" s="1"/>
  <c r="I41" i="37"/>
  <c r="I41" i="34" l="1"/>
  <c r="J41" i="34"/>
  <c r="K40" i="34"/>
  <c r="G38" i="17" s="1"/>
  <c r="L33" i="38"/>
  <c r="B43" i="35"/>
  <c r="O43" i="31"/>
  <c r="B43" i="34"/>
  <c r="O43" i="37"/>
  <c r="B43" i="32"/>
  <c r="O43" i="34"/>
  <c r="O43" i="33"/>
  <c r="B43" i="33"/>
  <c r="O43" i="36"/>
  <c r="O43" i="35"/>
  <c r="O43" i="40"/>
  <c r="B43" i="36"/>
  <c r="B43" i="37"/>
  <c r="O43" i="32"/>
  <c r="B39" i="7"/>
  <c r="O43" i="18"/>
  <c r="B43" i="40"/>
  <c r="B43" i="31"/>
  <c r="B43" i="18"/>
  <c r="AC37" i="17"/>
  <c r="AF37" i="17" s="1"/>
  <c r="V41" i="37"/>
  <c r="W41" i="37" s="1"/>
  <c r="AA39" i="17" s="1"/>
  <c r="U41" i="37"/>
  <c r="U40" i="33"/>
  <c r="V40" i="33"/>
  <c r="W40" i="33" s="1"/>
  <c r="Y38" i="17" s="1"/>
  <c r="U42" i="31"/>
  <c r="V42" i="31"/>
  <c r="W42" i="31" s="1"/>
  <c r="U40" i="17" s="1"/>
  <c r="K34" i="38"/>
  <c r="K41" i="31"/>
  <c r="D39" i="17" s="1"/>
  <c r="J42" i="31"/>
  <c r="I42" i="31"/>
  <c r="U40" i="32"/>
  <c r="V40" i="32"/>
  <c r="W40" i="32" s="1"/>
  <c r="W38" i="17" s="1"/>
  <c r="U42" i="18"/>
  <c r="V42" i="18"/>
  <c r="W42" i="18" s="1"/>
  <c r="T40" i="17" s="1"/>
  <c r="U41" i="36"/>
  <c r="V41" i="36"/>
  <c r="W41" i="36" s="1"/>
  <c r="Z39" i="17" s="1"/>
  <c r="U42" i="34"/>
  <c r="V42" i="34"/>
  <c r="W42" i="34" s="1"/>
  <c r="X40" i="17" s="1"/>
  <c r="J41" i="40"/>
  <c r="K41" i="40" s="1"/>
  <c r="K39" i="17" s="1"/>
  <c r="I41" i="40"/>
  <c r="K39" i="32"/>
  <c r="F37" i="17" s="1"/>
  <c r="L37" i="17" s="1"/>
  <c r="J32" i="38"/>
  <c r="J42" i="33"/>
  <c r="K42" i="33" s="1"/>
  <c r="H40" i="17" s="1"/>
  <c r="I42" i="33"/>
  <c r="I41" i="18"/>
  <c r="J41" i="18"/>
  <c r="K41" i="18" s="1"/>
  <c r="C39" i="17" s="1"/>
  <c r="O36" i="17"/>
  <c r="E31" i="28"/>
  <c r="M31" i="38" s="1"/>
  <c r="J42" i="35"/>
  <c r="K42" i="35" s="1"/>
  <c r="E40" i="17" s="1"/>
  <c r="I42" i="35"/>
  <c r="U41" i="40"/>
  <c r="V41" i="40"/>
  <c r="W41" i="40" s="1"/>
  <c r="AB39" i="17" s="1"/>
  <c r="N30" i="38"/>
  <c r="O30" i="38"/>
  <c r="I40" i="32"/>
  <c r="J40" i="32"/>
  <c r="M30" i="38"/>
  <c r="J42" i="37"/>
  <c r="K42" i="37" s="1"/>
  <c r="J40" i="17" s="1"/>
  <c r="I42" i="37"/>
  <c r="J44" i="36"/>
  <c r="K44" i="36" s="1"/>
  <c r="I42" i="17" s="1"/>
  <c r="I44" i="36"/>
  <c r="V43" i="35"/>
  <c r="W43" i="35" s="1"/>
  <c r="V41" i="17" s="1"/>
  <c r="U43" i="35"/>
  <c r="L34" i="38" l="1"/>
  <c r="K41" i="34"/>
  <c r="G39" i="17" s="1"/>
  <c r="I42" i="34"/>
  <c r="J42" i="34"/>
  <c r="O44" i="32"/>
  <c r="B40" i="7"/>
  <c r="B44" i="31"/>
  <c r="B44" i="18"/>
  <c r="B44" i="37"/>
  <c r="O44" i="31"/>
  <c r="O44" i="36"/>
  <c r="O44" i="34"/>
  <c r="O44" i="18"/>
  <c r="O44" i="37"/>
  <c r="B44" i="35"/>
  <c r="B44" i="36"/>
  <c r="O44" i="35"/>
  <c r="B44" i="40"/>
  <c r="B44" i="34"/>
  <c r="B44" i="33"/>
  <c r="O44" i="40"/>
  <c r="B44" i="32"/>
  <c r="O44" i="33"/>
  <c r="V42" i="37"/>
  <c r="W42" i="37" s="1"/>
  <c r="AA40" i="17" s="1"/>
  <c r="U42" i="37"/>
  <c r="AC38" i="17"/>
  <c r="AF38" i="17" s="1"/>
  <c r="V41" i="33"/>
  <c r="W41" i="33" s="1"/>
  <c r="Y39" i="17" s="1"/>
  <c r="U41" i="33"/>
  <c r="V43" i="31"/>
  <c r="W43" i="31" s="1"/>
  <c r="U41" i="17" s="1"/>
  <c r="U43" i="31"/>
  <c r="I43" i="31"/>
  <c r="J43" i="31"/>
  <c r="K42" i="31"/>
  <c r="D40" i="17" s="1"/>
  <c r="K35" i="38"/>
  <c r="V43" i="18"/>
  <c r="W43" i="18" s="1"/>
  <c r="T41" i="17" s="1"/>
  <c r="U43" i="18"/>
  <c r="V41" i="32"/>
  <c r="W41" i="32" s="1"/>
  <c r="W39" i="17" s="1"/>
  <c r="U41" i="32"/>
  <c r="K40" i="32"/>
  <c r="F38" i="17" s="1"/>
  <c r="L38" i="17" s="1"/>
  <c r="J33" i="38"/>
  <c r="O31" i="38"/>
  <c r="N31" i="38"/>
  <c r="I43" i="33"/>
  <c r="J43" i="33"/>
  <c r="K43" i="33" s="1"/>
  <c r="H41" i="17" s="1"/>
  <c r="J42" i="18"/>
  <c r="K42" i="18" s="1"/>
  <c r="C40" i="17" s="1"/>
  <c r="I42" i="18"/>
  <c r="O37" i="17"/>
  <c r="E32" i="28"/>
  <c r="M32" i="38" s="1"/>
  <c r="U42" i="36"/>
  <c r="V42" i="36"/>
  <c r="W42" i="36" s="1"/>
  <c r="Z40" i="17" s="1"/>
  <c r="J41" i="32"/>
  <c r="I41" i="32"/>
  <c r="V42" i="40"/>
  <c r="W42" i="40" s="1"/>
  <c r="AB40" i="17" s="1"/>
  <c r="U42" i="40"/>
  <c r="U43" i="34"/>
  <c r="V43" i="34"/>
  <c r="W43" i="34" s="1"/>
  <c r="X41" i="17" s="1"/>
  <c r="J43" i="35"/>
  <c r="K43" i="35" s="1"/>
  <c r="E41" i="17" s="1"/>
  <c r="I43" i="35"/>
  <c r="I42" i="40"/>
  <c r="J42" i="40"/>
  <c r="K42" i="40" s="1"/>
  <c r="K40" i="17" s="1"/>
  <c r="J43" i="37"/>
  <c r="K43" i="37" s="1"/>
  <c r="J41" i="17" s="1"/>
  <c r="I43" i="37"/>
  <c r="V44" i="35"/>
  <c r="W44" i="35" s="1"/>
  <c r="V42" i="17" s="1"/>
  <c r="U44" i="35"/>
  <c r="J45" i="36"/>
  <c r="K45" i="36" s="1"/>
  <c r="I43" i="17" s="1"/>
  <c r="I45" i="36"/>
  <c r="L35" i="38" l="1"/>
  <c r="K42" i="34"/>
  <c r="G40" i="17" s="1"/>
  <c r="I43" i="34"/>
  <c r="J43" i="34"/>
  <c r="O45" i="40"/>
  <c r="O45" i="35"/>
  <c r="B45" i="35"/>
  <c r="B41" i="7"/>
  <c r="O45" i="37"/>
  <c r="B45" i="32"/>
  <c r="B45" i="36"/>
  <c r="O45" i="36"/>
  <c r="B45" i="18"/>
  <c r="O45" i="34"/>
  <c r="B45" i="33"/>
  <c r="B45" i="40"/>
  <c r="B45" i="34"/>
  <c r="O45" i="32"/>
  <c r="O45" i="33"/>
  <c r="B45" i="31"/>
  <c r="O45" i="31"/>
  <c r="B45" i="37"/>
  <c r="O45" i="18"/>
  <c r="AC39" i="17"/>
  <c r="AF39" i="17" s="1"/>
  <c r="U43" i="37"/>
  <c r="V43" i="37"/>
  <c r="W43" i="37" s="1"/>
  <c r="AA41" i="17" s="1"/>
  <c r="V42" i="33"/>
  <c r="W42" i="33" s="1"/>
  <c r="Y40" i="17" s="1"/>
  <c r="U42" i="33"/>
  <c r="U44" i="31"/>
  <c r="V44" i="31"/>
  <c r="W44" i="31" s="1"/>
  <c r="U42" i="17" s="1"/>
  <c r="K36" i="38"/>
  <c r="K43" i="31"/>
  <c r="D41" i="17" s="1"/>
  <c r="J44" i="31"/>
  <c r="I44" i="31"/>
  <c r="V42" i="32"/>
  <c r="W42" i="32" s="1"/>
  <c r="W40" i="17" s="1"/>
  <c r="U42" i="32"/>
  <c r="U44" i="18"/>
  <c r="V44" i="18"/>
  <c r="W44" i="18" s="1"/>
  <c r="T42" i="17" s="1"/>
  <c r="I42" i="32"/>
  <c r="J42" i="32"/>
  <c r="V43" i="36"/>
  <c r="W43" i="36" s="1"/>
  <c r="Z41" i="17" s="1"/>
  <c r="U43" i="36"/>
  <c r="O38" i="17"/>
  <c r="E33" i="28"/>
  <c r="M33" i="38" s="1"/>
  <c r="J43" i="18"/>
  <c r="K43" i="18" s="1"/>
  <c r="C41" i="17" s="1"/>
  <c r="I43" i="18"/>
  <c r="J43" i="40"/>
  <c r="K43" i="40" s="1"/>
  <c r="K41" i="17" s="1"/>
  <c r="I43" i="40"/>
  <c r="J34" i="38"/>
  <c r="K41" i="32"/>
  <c r="F39" i="17" s="1"/>
  <c r="L39" i="17" s="1"/>
  <c r="O32" i="38"/>
  <c r="N32" i="38"/>
  <c r="I44" i="33"/>
  <c r="J44" i="33"/>
  <c r="K44" i="33" s="1"/>
  <c r="H42" i="17" s="1"/>
  <c r="U44" i="34"/>
  <c r="V44" i="34"/>
  <c r="W44" i="34" s="1"/>
  <c r="X42" i="17" s="1"/>
  <c r="J44" i="35"/>
  <c r="K44" i="35" s="1"/>
  <c r="E42" i="17" s="1"/>
  <c r="I44" i="35"/>
  <c r="U43" i="40"/>
  <c r="V43" i="40"/>
  <c r="W43" i="40" s="1"/>
  <c r="AB41" i="17" s="1"/>
  <c r="V45" i="35"/>
  <c r="W45" i="35" s="1"/>
  <c r="V43" i="17" s="1"/>
  <c r="U45" i="35"/>
  <c r="J44" i="37"/>
  <c r="K44" i="37" s="1"/>
  <c r="J42" i="17" s="1"/>
  <c r="I44" i="37"/>
  <c r="J46" i="36"/>
  <c r="K46" i="36" s="1"/>
  <c r="I44" i="17" s="1"/>
  <c r="I46" i="36"/>
  <c r="J44" i="34" l="1"/>
  <c r="I44" i="34"/>
  <c r="L36" i="38"/>
  <c r="K43" i="34"/>
  <c r="G41" i="17" s="1"/>
  <c r="B46" i="35"/>
  <c r="B46" i="31"/>
  <c r="O46" i="36"/>
  <c r="O46" i="34"/>
  <c r="B46" i="34"/>
  <c r="B46" i="37"/>
  <c r="O46" i="40"/>
  <c r="O46" i="35"/>
  <c r="B46" i="18"/>
  <c r="B46" i="40"/>
  <c r="O46" i="18"/>
  <c r="B46" i="32"/>
  <c r="O46" i="33"/>
  <c r="B42" i="7"/>
  <c r="O46" i="37"/>
  <c r="B46" i="33"/>
  <c r="O46" i="31"/>
  <c r="B46" i="36"/>
  <c r="O46" i="32"/>
  <c r="V44" i="37"/>
  <c r="W44" i="37" s="1"/>
  <c r="AA42" i="17" s="1"/>
  <c r="U44" i="37"/>
  <c r="AC40" i="17"/>
  <c r="AF40" i="17" s="1"/>
  <c r="V43" i="33"/>
  <c r="W43" i="33" s="1"/>
  <c r="Y41" i="17" s="1"/>
  <c r="U43" i="33"/>
  <c r="V45" i="31"/>
  <c r="W45" i="31" s="1"/>
  <c r="U43" i="17" s="1"/>
  <c r="U45" i="31"/>
  <c r="J45" i="31"/>
  <c r="I45" i="31"/>
  <c r="K37" i="38"/>
  <c r="K44" i="31"/>
  <c r="D42" i="17" s="1"/>
  <c r="V45" i="18"/>
  <c r="W45" i="18" s="1"/>
  <c r="T43" i="17" s="1"/>
  <c r="U45" i="18"/>
  <c r="U43" i="32"/>
  <c r="V43" i="32"/>
  <c r="W43" i="32" s="1"/>
  <c r="W41" i="17" s="1"/>
  <c r="I43" i="32"/>
  <c r="J43" i="32"/>
  <c r="J45" i="35"/>
  <c r="K45" i="35" s="1"/>
  <c r="E43" i="17" s="1"/>
  <c r="I45" i="35"/>
  <c r="E34" i="28"/>
  <c r="M34" i="38" s="1"/>
  <c r="O39" i="17"/>
  <c r="J44" i="40"/>
  <c r="K44" i="40" s="1"/>
  <c r="K42" i="17" s="1"/>
  <c r="I44" i="40"/>
  <c r="O33" i="38"/>
  <c r="N33" i="38"/>
  <c r="J35" i="38"/>
  <c r="K42" i="32"/>
  <c r="F40" i="17" s="1"/>
  <c r="L40" i="17" s="1"/>
  <c r="V44" i="40"/>
  <c r="W44" i="40" s="1"/>
  <c r="AB42" i="17" s="1"/>
  <c r="U44" i="40"/>
  <c r="U45" i="34"/>
  <c r="V45" i="34"/>
  <c r="W45" i="34" s="1"/>
  <c r="X43" i="17" s="1"/>
  <c r="I45" i="33"/>
  <c r="J45" i="33"/>
  <c r="K45" i="33" s="1"/>
  <c r="H43" i="17" s="1"/>
  <c r="I44" i="18"/>
  <c r="J44" i="18"/>
  <c r="K44" i="18" s="1"/>
  <c r="C42" i="17" s="1"/>
  <c r="V44" i="36"/>
  <c r="W44" i="36" s="1"/>
  <c r="Z42" i="17" s="1"/>
  <c r="U44" i="36"/>
  <c r="J45" i="37"/>
  <c r="K45" i="37" s="1"/>
  <c r="J43" i="17" s="1"/>
  <c r="I45" i="37"/>
  <c r="J47" i="36"/>
  <c r="K47" i="36" s="1"/>
  <c r="I45" i="17" s="1"/>
  <c r="I47" i="36"/>
  <c r="V46" i="35"/>
  <c r="W46" i="35" s="1"/>
  <c r="V44" i="17" s="1"/>
  <c r="U46" i="35"/>
  <c r="I45" i="34" l="1"/>
  <c r="J45" i="34"/>
  <c r="K44" i="34"/>
  <c r="G42" i="17" s="1"/>
  <c r="L37" i="38"/>
  <c r="B47" i="35"/>
  <c r="O47" i="32"/>
  <c r="B47" i="33"/>
  <c r="B47" i="18"/>
  <c r="O47" i="33"/>
  <c r="B43" i="7"/>
  <c r="O47" i="36"/>
  <c r="B47" i="31"/>
  <c r="O47" i="37"/>
  <c r="O47" i="35"/>
  <c r="B47" i="40"/>
  <c r="O47" i="34"/>
  <c r="B47" i="36"/>
  <c r="B47" i="37"/>
  <c r="B47" i="34"/>
  <c r="O47" i="31"/>
  <c r="O47" i="40"/>
  <c r="O47" i="18"/>
  <c r="B47" i="32"/>
  <c r="V45" i="37"/>
  <c r="W45" i="37" s="1"/>
  <c r="AA43" i="17" s="1"/>
  <c r="U45" i="37"/>
  <c r="AC41" i="17"/>
  <c r="AF41" i="17" s="1"/>
  <c r="U44" i="33"/>
  <c r="V44" i="33"/>
  <c r="W44" i="33" s="1"/>
  <c r="Y42" i="17" s="1"/>
  <c r="U46" i="31"/>
  <c r="V46" i="31"/>
  <c r="W46" i="31" s="1"/>
  <c r="U44" i="17" s="1"/>
  <c r="J46" i="31"/>
  <c r="I46" i="31"/>
  <c r="K38" i="38"/>
  <c r="K45" i="31"/>
  <c r="D43" i="17" s="1"/>
  <c r="V46" i="18"/>
  <c r="W46" i="18" s="1"/>
  <c r="T44" i="17" s="1"/>
  <c r="U46" i="18"/>
  <c r="V44" i="32"/>
  <c r="W44" i="32" s="1"/>
  <c r="W42" i="17" s="1"/>
  <c r="U44" i="32"/>
  <c r="I46" i="33"/>
  <c r="J46" i="33"/>
  <c r="K46" i="33" s="1"/>
  <c r="H44" i="17" s="1"/>
  <c r="I44" i="32"/>
  <c r="J44" i="32"/>
  <c r="V46" i="34"/>
  <c r="W46" i="34" s="1"/>
  <c r="X44" i="17" s="1"/>
  <c r="U46" i="34"/>
  <c r="I45" i="18"/>
  <c r="J45" i="18"/>
  <c r="K45" i="18" s="1"/>
  <c r="C43" i="17" s="1"/>
  <c r="O34" i="38"/>
  <c r="N34" i="38"/>
  <c r="V45" i="40"/>
  <c r="W45" i="40" s="1"/>
  <c r="AB43" i="17" s="1"/>
  <c r="U45" i="40"/>
  <c r="J36" i="38"/>
  <c r="K43" i="32"/>
  <c r="F41" i="17" s="1"/>
  <c r="L41" i="17" s="1"/>
  <c r="U45" i="36"/>
  <c r="V45" i="36"/>
  <c r="W45" i="36" s="1"/>
  <c r="Z43" i="17" s="1"/>
  <c r="E35" i="28"/>
  <c r="M35" i="38" s="1"/>
  <c r="O40" i="17"/>
  <c r="I45" i="40"/>
  <c r="J45" i="40"/>
  <c r="K45" i="40" s="1"/>
  <c r="K43" i="17" s="1"/>
  <c r="I46" i="35"/>
  <c r="J46" i="35"/>
  <c r="K46" i="35" s="1"/>
  <c r="E44" i="17" s="1"/>
  <c r="V47" i="35"/>
  <c r="W47" i="35" s="1"/>
  <c r="V45" i="17" s="1"/>
  <c r="U47" i="35"/>
  <c r="J48" i="36"/>
  <c r="K48" i="36" s="1"/>
  <c r="I46" i="17" s="1"/>
  <c r="I48" i="36"/>
  <c r="J46" i="37"/>
  <c r="K46" i="37" s="1"/>
  <c r="J44" i="17" s="1"/>
  <c r="I46" i="37"/>
  <c r="K45" i="34" l="1"/>
  <c r="G43" i="17" s="1"/>
  <c r="L38" i="38"/>
  <c r="J46" i="34"/>
  <c r="I46" i="34"/>
  <c r="AC42" i="17"/>
  <c r="AF42" i="17" s="1"/>
  <c r="B48" i="33"/>
  <c r="B48" i="32"/>
  <c r="O48" i="33"/>
  <c r="B48" i="36"/>
  <c r="O48" i="31"/>
  <c r="O48" i="36"/>
  <c r="B48" i="18"/>
  <c r="B44" i="7"/>
  <c r="O48" i="37"/>
  <c r="O48" i="35"/>
  <c r="O48" i="40"/>
  <c r="B48" i="40"/>
  <c r="B48" i="34"/>
  <c r="O48" i="34"/>
  <c r="B48" i="37"/>
  <c r="B48" i="31"/>
  <c r="B48" i="35"/>
  <c r="O48" i="18"/>
  <c r="O48" i="32"/>
  <c r="U46" i="37"/>
  <c r="V46" i="37"/>
  <c r="W46" i="37" s="1"/>
  <c r="AA44" i="17" s="1"/>
  <c r="U45" i="33"/>
  <c r="V45" i="33"/>
  <c r="W45" i="33" s="1"/>
  <c r="Y43" i="17" s="1"/>
  <c r="U47" i="31"/>
  <c r="V47" i="31"/>
  <c r="W47" i="31" s="1"/>
  <c r="U45" i="17" s="1"/>
  <c r="J47" i="31"/>
  <c r="I47" i="31"/>
  <c r="K39" i="38"/>
  <c r="K46" i="31"/>
  <c r="D44" i="17" s="1"/>
  <c r="V47" i="18"/>
  <c r="W47" i="18" s="1"/>
  <c r="T45" i="17" s="1"/>
  <c r="U47" i="18"/>
  <c r="U45" i="32"/>
  <c r="V45" i="32"/>
  <c r="W45" i="32" s="1"/>
  <c r="W43" i="17" s="1"/>
  <c r="J47" i="33"/>
  <c r="K47" i="33" s="1"/>
  <c r="H45" i="17" s="1"/>
  <c r="I47" i="33"/>
  <c r="E36" i="28"/>
  <c r="M36" i="38" s="1"/>
  <c r="O41" i="17"/>
  <c r="J47" i="35"/>
  <c r="K47" i="35" s="1"/>
  <c r="E45" i="17" s="1"/>
  <c r="I47" i="35"/>
  <c r="O35" i="38"/>
  <c r="N35" i="38"/>
  <c r="U46" i="36"/>
  <c r="V46" i="36"/>
  <c r="W46" i="36" s="1"/>
  <c r="Z44" i="17" s="1"/>
  <c r="J46" i="18"/>
  <c r="K46" i="18" s="1"/>
  <c r="C44" i="17" s="1"/>
  <c r="I46" i="18"/>
  <c r="J45" i="32"/>
  <c r="I45" i="32"/>
  <c r="J46" i="40"/>
  <c r="K46" i="40" s="1"/>
  <c r="K44" i="17" s="1"/>
  <c r="I46" i="40"/>
  <c r="V46" i="40"/>
  <c r="W46" i="40" s="1"/>
  <c r="AB44" i="17" s="1"/>
  <c r="U46" i="40"/>
  <c r="U47" i="34"/>
  <c r="V47" i="34"/>
  <c r="W47" i="34" s="1"/>
  <c r="X45" i="17" s="1"/>
  <c r="K44" i="32"/>
  <c r="F42" i="17" s="1"/>
  <c r="L42" i="17" s="1"/>
  <c r="J37" i="38"/>
  <c r="J47" i="37"/>
  <c r="K47" i="37" s="1"/>
  <c r="J45" i="17" s="1"/>
  <c r="I47" i="37"/>
  <c r="I49" i="36"/>
  <c r="J49" i="36"/>
  <c r="K49" i="36" s="1"/>
  <c r="I47" i="17" s="1"/>
  <c r="V48" i="35"/>
  <c r="W48" i="35" s="1"/>
  <c r="V46" i="17" s="1"/>
  <c r="U48" i="35"/>
  <c r="I47" i="34" l="1"/>
  <c r="J47" i="34"/>
  <c r="K46" i="34"/>
  <c r="G44" i="17" s="1"/>
  <c r="L39" i="38"/>
  <c r="AC43" i="17"/>
  <c r="AF43" i="17" s="1"/>
  <c r="O49" i="31"/>
  <c r="O49" i="35"/>
  <c r="O49" i="34"/>
  <c r="B49" i="35"/>
  <c r="B49" i="33"/>
  <c r="B49" i="37"/>
  <c r="B49" i="31"/>
  <c r="B49" i="36"/>
  <c r="B45" i="7"/>
  <c r="O49" i="32"/>
  <c r="O49" i="37"/>
  <c r="O49" i="33"/>
  <c r="B49" i="34"/>
  <c r="B49" i="32"/>
  <c r="O49" i="40"/>
  <c r="O49" i="18"/>
  <c r="B49" i="40"/>
  <c r="O49" i="36"/>
  <c r="B49" i="18"/>
  <c r="V47" i="37"/>
  <c r="W47" i="37" s="1"/>
  <c r="AA45" i="17" s="1"/>
  <c r="U47" i="37"/>
  <c r="U46" i="33"/>
  <c r="V46" i="33"/>
  <c r="W46" i="33" s="1"/>
  <c r="Y44" i="17" s="1"/>
  <c r="U48" i="31"/>
  <c r="V48" i="31"/>
  <c r="W48" i="31" s="1"/>
  <c r="U46" i="17" s="1"/>
  <c r="I48" i="31"/>
  <c r="J48" i="31"/>
  <c r="K47" i="31"/>
  <c r="D45" i="17" s="1"/>
  <c r="K40" i="38"/>
  <c r="U48" i="18"/>
  <c r="V48" i="18"/>
  <c r="W48" i="18" s="1"/>
  <c r="T46" i="17" s="1"/>
  <c r="U46" i="32"/>
  <c r="V46" i="32"/>
  <c r="W46" i="32" s="1"/>
  <c r="W44" i="17" s="1"/>
  <c r="V48" i="34"/>
  <c r="W48" i="34" s="1"/>
  <c r="X46" i="17" s="1"/>
  <c r="U48" i="34"/>
  <c r="J47" i="18"/>
  <c r="K47" i="18" s="1"/>
  <c r="C45" i="17" s="1"/>
  <c r="I47" i="18"/>
  <c r="J48" i="33"/>
  <c r="K48" i="33" s="1"/>
  <c r="H46" i="17" s="1"/>
  <c r="I48" i="33"/>
  <c r="J38" i="38"/>
  <c r="K45" i="32"/>
  <c r="F43" i="17" s="1"/>
  <c r="L43" i="17" s="1"/>
  <c r="V47" i="36"/>
  <c r="W47" i="36" s="1"/>
  <c r="Z45" i="17" s="1"/>
  <c r="U47" i="36"/>
  <c r="O36" i="38"/>
  <c r="N36" i="38"/>
  <c r="V47" i="40"/>
  <c r="W47" i="40" s="1"/>
  <c r="AB45" i="17" s="1"/>
  <c r="U47" i="40"/>
  <c r="I47" i="40"/>
  <c r="J47" i="40"/>
  <c r="K47" i="40" s="1"/>
  <c r="K45" i="17" s="1"/>
  <c r="O42" i="17"/>
  <c r="E37" i="28"/>
  <c r="J46" i="32"/>
  <c r="I46" i="32"/>
  <c r="I48" i="35"/>
  <c r="J48" i="35"/>
  <c r="K48" i="35" s="1"/>
  <c r="E46" i="17" s="1"/>
  <c r="J50" i="36"/>
  <c r="K50" i="36" s="1"/>
  <c r="I48" i="17" s="1"/>
  <c r="I50" i="36"/>
  <c r="V49" i="35"/>
  <c r="W49" i="35" s="1"/>
  <c r="V47" i="17" s="1"/>
  <c r="U49" i="35"/>
  <c r="J48" i="37"/>
  <c r="K48" i="37" s="1"/>
  <c r="J46" i="17" s="1"/>
  <c r="I48" i="37"/>
  <c r="K47" i="34" l="1"/>
  <c r="G45" i="17" s="1"/>
  <c r="L40" i="38"/>
  <c r="I48" i="34"/>
  <c r="J48" i="34"/>
  <c r="B50" i="37"/>
  <c r="B50" i="40"/>
  <c r="B50" i="18"/>
  <c r="B50" i="32"/>
  <c r="B50" i="33"/>
  <c r="O50" i="34"/>
  <c r="O50" i="31"/>
  <c r="O50" i="18"/>
  <c r="B50" i="31"/>
  <c r="O50" i="32"/>
  <c r="O50" i="37"/>
  <c r="O50" i="40"/>
  <c r="O50" i="35"/>
  <c r="B50" i="35"/>
  <c r="B46" i="7"/>
  <c r="B50" i="34"/>
  <c r="O50" i="36"/>
  <c r="B50" i="36"/>
  <c r="O50" i="33"/>
  <c r="AC44" i="17"/>
  <c r="AF44" i="17" s="1"/>
  <c r="U48" i="37"/>
  <c r="V48" i="37"/>
  <c r="W48" i="37" s="1"/>
  <c r="AA46" i="17" s="1"/>
  <c r="U47" i="33"/>
  <c r="V47" i="33"/>
  <c r="W47" i="33" s="1"/>
  <c r="Y45" i="17" s="1"/>
  <c r="V49" i="31"/>
  <c r="W49" i="31" s="1"/>
  <c r="U47" i="17" s="1"/>
  <c r="U49" i="31"/>
  <c r="K48" i="31"/>
  <c r="D46" i="17" s="1"/>
  <c r="K41" i="38"/>
  <c r="J49" i="31"/>
  <c r="I49" i="31"/>
  <c r="U47" i="32"/>
  <c r="V47" i="32"/>
  <c r="W47" i="32" s="1"/>
  <c r="W45" i="17" s="1"/>
  <c r="V49" i="18"/>
  <c r="W49" i="18" s="1"/>
  <c r="T47" i="17" s="1"/>
  <c r="U49" i="18"/>
  <c r="N37" i="38"/>
  <c r="O37" i="38"/>
  <c r="K46" i="32"/>
  <c r="F44" i="17" s="1"/>
  <c r="L44" i="17" s="1"/>
  <c r="J39" i="38"/>
  <c r="J49" i="35"/>
  <c r="K49" i="35" s="1"/>
  <c r="E47" i="17" s="1"/>
  <c r="I49" i="35"/>
  <c r="J48" i="40"/>
  <c r="K48" i="40" s="1"/>
  <c r="K46" i="17" s="1"/>
  <c r="I48" i="40"/>
  <c r="O43" i="17"/>
  <c r="E38" i="28"/>
  <c r="U49" i="34"/>
  <c r="V49" i="34"/>
  <c r="W49" i="34" s="1"/>
  <c r="X47" i="17" s="1"/>
  <c r="J47" i="32"/>
  <c r="I47" i="32"/>
  <c r="V48" i="40"/>
  <c r="W48" i="40" s="1"/>
  <c r="AB46" i="17" s="1"/>
  <c r="U48" i="40"/>
  <c r="U48" i="36"/>
  <c r="V48" i="36"/>
  <c r="W48" i="36" s="1"/>
  <c r="Z46" i="17" s="1"/>
  <c r="I49" i="33"/>
  <c r="J49" i="33"/>
  <c r="K49" i="33" s="1"/>
  <c r="H47" i="17" s="1"/>
  <c r="J48" i="18"/>
  <c r="K48" i="18" s="1"/>
  <c r="C46" i="17" s="1"/>
  <c r="I48" i="18"/>
  <c r="M37" i="38"/>
  <c r="J49" i="37"/>
  <c r="K49" i="37" s="1"/>
  <c r="J47" i="17" s="1"/>
  <c r="I49" i="37"/>
  <c r="V50" i="35"/>
  <c r="W50" i="35" s="1"/>
  <c r="V48" i="17" s="1"/>
  <c r="U50" i="35"/>
  <c r="I51" i="36"/>
  <c r="J51" i="36"/>
  <c r="K51" i="36" s="1"/>
  <c r="I49" i="17" s="1"/>
  <c r="J49" i="34" l="1"/>
  <c r="I49" i="34"/>
  <c r="K48" i="34"/>
  <c r="G46" i="17" s="1"/>
  <c r="L41" i="38"/>
  <c r="O51" i="40"/>
  <c r="B51" i="34"/>
  <c r="O51" i="32"/>
  <c r="B51" i="33"/>
  <c r="O51" i="34"/>
  <c r="B51" i="32"/>
  <c r="B51" i="35"/>
  <c r="B51" i="37"/>
  <c r="O51" i="36"/>
  <c r="O51" i="37"/>
  <c r="B51" i="40"/>
  <c r="B51" i="31"/>
  <c r="B51" i="36"/>
  <c r="B51" i="18"/>
  <c r="O51" i="31"/>
  <c r="B47" i="7"/>
  <c r="O51" i="18"/>
  <c r="O51" i="35"/>
  <c r="O51" i="33"/>
  <c r="U49" i="37"/>
  <c r="V49" i="37"/>
  <c r="W49" i="37" s="1"/>
  <c r="AA47" i="17" s="1"/>
  <c r="AC45" i="17"/>
  <c r="AF45" i="17" s="1"/>
  <c r="U48" i="33"/>
  <c r="V48" i="33"/>
  <c r="W48" i="33" s="1"/>
  <c r="Y46" i="17" s="1"/>
  <c r="V50" i="31"/>
  <c r="W50" i="31" s="1"/>
  <c r="U48" i="17" s="1"/>
  <c r="U50" i="31"/>
  <c r="K49" i="31"/>
  <c r="D47" i="17" s="1"/>
  <c r="K42" i="38"/>
  <c r="I50" i="31"/>
  <c r="J50" i="31"/>
  <c r="U48" i="32"/>
  <c r="V48" i="32"/>
  <c r="W48" i="32" s="1"/>
  <c r="W46" i="17" s="1"/>
  <c r="U50" i="18"/>
  <c r="V50" i="18"/>
  <c r="W50" i="18" s="1"/>
  <c r="T48" i="17" s="1"/>
  <c r="V49" i="36"/>
  <c r="W49" i="36" s="1"/>
  <c r="Z47" i="17" s="1"/>
  <c r="U49" i="36"/>
  <c r="U50" i="34"/>
  <c r="V50" i="34"/>
  <c r="W50" i="34" s="1"/>
  <c r="X48" i="17" s="1"/>
  <c r="J49" i="18"/>
  <c r="K49" i="18" s="1"/>
  <c r="C47" i="17" s="1"/>
  <c r="I49" i="18"/>
  <c r="I50" i="35"/>
  <c r="J50" i="35"/>
  <c r="K50" i="35" s="1"/>
  <c r="E48" i="17" s="1"/>
  <c r="E39" i="28"/>
  <c r="M39" i="38" s="1"/>
  <c r="O44" i="17"/>
  <c r="J50" i="33"/>
  <c r="K50" i="33" s="1"/>
  <c r="H48" i="17" s="1"/>
  <c r="I50" i="33"/>
  <c r="J40" i="38"/>
  <c r="K47" i="32"/>
  <c r="F45" i="17" s="1"/>
  <c r="L45" i="17" s="1"/>
  <c r="V49" i="40"/>
  <c r="W49" i="40" s="1"/>
  <c r="AB47" i="17" s="1"/>
  <c r="U49" i="40"/>
  <c r="I48" i="32"/>
  <c r="J48" i="32"/>
  <c r="N38" i="38"/>
  <c r="O38" i="38"/>
  <c r="I49" i="40"/>
  <c r="J49" i="40"/>
  <c r="K49" i="40" s="1"/>
  <c r="K47" i="17" s="1"/>
  <c r="M38" i="38"/>
  <c r="I52" i="36"/>
  <c r="J52" i="36"/>
  <c r="K52" i="36" s="1"/>
  <c r="I50" i="17" s="1"/>
  <c r="J50" i="37"/>
  <c r="K50" i="37" s="1"/>
  <c r="J48" i="17" s="1"/>
  <c r="I50" i="37"/>
  <c r="V51" i="35"/>
  <c r="W51" i="35" s="1"/>
  <c r="V49" i="17" s="1"/>
  <c r="U51" i="35"/>
  <c r="I50" i="34" l="1"/>
  <c r="J50" i="34"/>
  <c r="K49" i="34"/>
  <c r="G47" i="17" s="1"/>
  <c r="L42" i="38"/>
  <c r="O52" i="31"/>
  <c r="O52" i="37"/>
  <c r="B52" i="31"/>
  <c r="O52" i="33"/>
  <c r="B52" i="37"/>
  <c r="O52" i="32"/>
  <c r="B48" i="7"/>
  <c r="B52" i="33"/>
  <c r="O52" i="18"/>
  <c r="O52" i="34"/>
  <c r="B52" i="36"/>
  <c r="B52" i="18"/>
  <c r="B52" i="35"/>
  <c r="O52" i="36"/>
  <c r="O52" i="40"/>
  <c r="B52" i="32"/>
  <c r="B52" i="40"/>
  <c r="B52" i="34"/>
  <c r="O52" i="35"/>
  <c r="U50" i="37"/>
  <c r="V50" i="37"/>
  <c r="W50" i="37" s="1"/>
  <c r="AA48" i="17" s="1"/>
  <c r="AC46" i="17"/>
  <c r="AF46" i="17" s="1"/>
  <c r="V49" i="33"/>
  <c r="W49" i="33" s="1"/>
  <c r="Y47" i="17" s="1"/>
  <c r="U49" i="33"/>
  <c r="U51" i="31"/>
  <c r="V51" i="31"/>
  <c r="W51" i="31" s="1"/>
  <c r="U49" i="17" s="1"/>
  <c r="K50" i="31"/>
  <c r="D48" i="17" s="1"/>
  <c r="K43" i="38"/>
  <c r="I51" i="31"/>
  <c r="J51" i="31"/>
  <c r="V51" i="18"/>
  <c r="W51" i="18" s="1"/>
  <c r="T49" i="17" s="1"/>
  <c r="U51" i="18"/>
  <c r="U49" i="32"/>
  <c r="V49" i="32"/>
  <c r="W49" i="32" s="1"/>
  <c r="W47" i="17" s="1"/>
  <c r="O45" i="17"/>
  <c r="E40" i="28"/>
  <c r="M40" i="38" s="1"/>
  <c r="V50" i="40"/>
  <c r="W50" i="40" s="1"/>
  <c r="AB48" i="17" s="1"/>
  <c r="U50" i="40"/>
  <c r="I51" i="35"/>
  <c r="J51" i="35"/>
  <c r="K51" i="35" s="1"/>
  <c r="E49" i="17" s="1"/>
  <c r="U51" i="34"/>
  <c r="V51" i="34"/>
  <c r="W51" i="34" s="1"/>
  <c r="X49" i="17" s="1"/>
  <c r="J41" i="38"/>
  <c r="K48" i="32"/>
  <c r="F46" i="17" s="1"/>
  <c r="L46" i="17" s="1"/>
  <c r="O39" i="38"/>
  <c r="N39" i="38"/>
  <c r="I50" i="40"/>
  <c r="J50" i="40"/>
  <c r="K50" i="40" s="1"/>
  <c r="K48" i="17" s="1"/>
  <c r="I49" i="32"/>
  <c r="J49" i="32"/>
  <c r="I51" i="33"/>
  <c r="J51" i="33"/>
  <c r="K51" i="33" s="1"/>
  <c r="H49" i="17" s="1"/>
  <c r="J50" i="18"/>
  <c r="K50" i="18" s="1"/>
  <c r="C48" i="17" s="1"/>
  <c r="I50" i="18"/>
  <c r="V50" i="36"/>
  <c r="W50" i="36" s="1"/>
  <c r="Z48" i="17" s="1"/>
  <c r="U50" i="36"/>
  <c r="J51" i="37"/>
  <c r="K51" i="37" s="1"/>
  <c r="J49" i="17" s="1"/>
  <c r="I51" i="37"/>
  <c r="J53" i="36"/>
  <c r="K53" i="36" s="1"/>
  <c r="I51" i="17" s="1"/>
  <c r="I53" i="36"/>
  <c r="V52" i="35"/>
  <c r="W52" i="35" s="1"/>
  <c r="V50" i="17" s="1"/>
  <c r="U52" i="35"/>
  <c r="L43" i="38" l="1"/>
  <c r="K50" i="34"/>
  <c r="G48" i="17" s="1"/>
  <c r="J51" i="34"/>
  <c r="I51" i="34"/>
  <c r="O53" i="33"/>
  <c r="B49" i="7"/>
  <c r="B53" i="35"/>
  <c r="B53" i="31"/>
  <c r="B53" i="33"/>
  <c r="O53" i="32"/>
  <c r="B53" i="18"/>
  <c r="B53" i="36"/>
  <c r="O53" i="40"/>
  <c r="B53" i="32"/>
  <c r="B53" i="34"/>
  <c r="O53" i="34"/>
  <c r="O53" i="31"/>
  <c r="O53" i="36"/>
  <c r="O53" i="37"/>
  <c r="O53" i="35"/>
  <c r="O53" i="18"/>
  <c r="B53" i="40"/>
  <c r="B53" i="37"/>
  <c r="U51" i="37"/>
  <c r="V51" i="37"/>
  <c r="W51" i="37" s="1"/>
  <c r="AA49" i="17" s="1"/>
  <c r="AC47" i="17"/>
  <c r="AF47" i="17" s="1"/>
  <c r="U50" i="33"/>
  <c r="V50" i="33"/>
  <c r="W50" i="33" s="1"/>
  <c r="Y48" i="17" s="1"/>
  <c r="U52" i="31"/>
  <c r="V52" i="31"/>
  <c r="W52" i="31" s="1"/>
  <c r="U50" i="17" s="1"/>
  <c r="J52" i="31"/>
  <c r="I52" i="31"/>
  <c r="K51" i="31"/>
  <c r="D49" i="17" s="1"/>
  <c r="K44" i="38"/>
  <c r="U52" i="18"/>
  <c r="V52" i="18"/>
  <c r="W52" i="18" s="1"/>
  <c r="T50" i="17" s="1"/>
  <c r="U50" i="32"/>
  <c r="V50" i="32"/>
  <c r="W50" i="32" s="1"/>
  <c r="W48" i="17" s="1"/>
  <c r="I51" i="18"/>
  <c r="J51" i="18"/>
  <c r="K51" i="18" s="1"/>
  <c r="C49" i="17" s="1"/>
  <c r="J42" i="38"/>
  <c r="K49" i="32"/>
  <c r="F47" i="17" s="1"/>
  <c r="L47" i="17" s="1"/>
  <c r="I52" i="33"/>
  <c r="J52" i="33"/>
  <c r="K52" i="33" s="1"/>
  <c r="H50" i="17" s="1"/>
  <c r="J51" i="40"/>
  <c r="K51" i="40" s="1"/>
  <c r="K49" i="17" s="1"/>
  <c r="I51" i="40"/>
  <c r="J52" i="35"/>
  <c r="K52" i="35" s="1"/>
  <c r="E50" i="17" s="1"/>
  <c r="I52" i="35"/>
  <c r="V51" i="36"/>
  <c r="W51" i="36" s="1"/>
  <c r="Z49" i="17" s="1"/>
  <c r="U51" i="36"/>
  <c r="N40" i="38"/>
  <c r="O40" i="38"/>
  <c r="O46" i="17"/>
  <c r="E41" i="28"/>
  <c r="M41" i="38" s="1"/>
  <c r="V51" i="40"/>
  <c r="W51" i="40" s="1"/>
  <c r="AB49" i="17" s="1"/>
  <c r="U51" i="40"/>
  <c r="J50" i="32"/>
  <c r="I50" i="32"/>
  <c r="U52" i="34"/>
  <c r="V52" i="34"/>
  <c r="W52" i="34" s="1"/>
  <c r="X50" i="17" s="1"/>
  <c r="J52" i="37"/>
  <c r="K52" i="37" s="1"/>
  <c r="J50" i="17" s="1"/>
  <c r="I52" i="37"/>
  <c r="V53" i="35"/>
  <c r="W53" i="35" s="1"/>
  <c r="V51" i="17" s="1"/>
  <c r="U53" i="35"/>
  <c r="J54" i="36"/>
  <c r="K54" i="36" s="1"/>
  <c r="I52" i="17" s="1"/>
  <c r="I54" i="36"/>
  <c r="I52" i="34" l="1"/>
  <c r="J52" i="34"/>
  <c r="L44" i="38"/>
  <c r="K51" i="34"/>
  <c r="G49" i="17" s="1"/>
  <c r="B54" i="35"/>
  <c r="O54" i="31"/>
  <c r="O54" i="37"/>
  <c r="O54" i="18"/>
  <c r="B54" i="37"/>
  <c r="O54" i="36"/>
  <c r="O54" i="34"/>
  <c r="B54" i="36"/>
  <c r="B54" i="40"/>
  <c r="B54" i="31"/>
  <c r="O54" i="33"/>
  <c r="O54" i="40"/>
  <c r="B54" i="32"/>
  <c r="B54" i="18"/>
  <c r="O54" i="32"/>
  <c r="B54" i="34"/>
  <c r="O54" i="35"/>
  <c r="B50" i="7"/>
  <c r="B54" i="33"/>
  <c r="V52" i="37"/>
  <c r="W52" i="37" s="1"/>
  <c r="AA50" i="17" s="1"/>
  <c r="U52" i="37"/>
  <c r="AC48" i="17"/>
  <c r="AF48" i="17" s="1"/>
  <c r="V51" i="33"/>
  <c r="W51" i="33" s="1"/>
  <c r="Y49" i="17" s="1"/>
  <c r="U51" i="33"/>
  <c r="V53" i="31"/>
  <c r="W53" i="31" s="1"/>
  <c r="U51" i="17" s="1"/>
  <c r="U53" i="31"/>
  <c r="I53" i="31"/>
  <c r="J53" i="31"/>
  <c r="K52" i="31"/>
  <c r="D50" i="17" s="1"/>
  <c r="K45" i="38"/>
  <c r="V51" i="32"/>
  <c r="W51" i="32" s="1"/>
  <c r="W49" i="17" s="1"/>
  <c r="U51" i="32"/>
  <c r="U53" i="18"/>
  <c r="V53" i="18"/>
  <c r="W53" i="18" s="1"/>
  <c r="T51" i="17" s="1"/>
  <c r="J51" i="32"/>
  <c r="I51" i="32"/>
  <c r="J52" i="18"/>
  <c r="K52" i="18" s="1"/>
  <c r="C50" i="17" s="1"/>
  <c r="I52" i="18"/>
  <c r="I52" i="40"/>
  <c r="J52" i="40"/>
  <c r="K52" i="40" s="1"/>
  <c r="K50" i="17" s="1"/>
  <c r="V52" i="40"/>
  <c r="W52" i="40" s="1"/>
  <c r="AB50" i="17" s="1"/>
  <c r="U52" i="40"/>
  <c r="J53" i="33"/>
  <c r="K53" i="33" s="1"/>
  <c r="H51" i="17" s="1"/>
  <c r="I53" i="33"/>
  <c r="U53" i="34"/>
  <c r="V53" i="34"/>
  <c r="W53" i="34" s="1"/>
  <c r="X51" i="17" s="1"/>
  <c r="J43" i="38"/>
  <c r="K50" i="32"/>
  <c r="F48" i="17" s="1"/>
  <c r="L48" i="17" s="1"/>
  <c r="U52" i="36"/>
  <c r="V52" i="36"/>
  <c r="W52" i="36" s="1"/>
  <c r="Z50" i="17" s="1"/>
  <c r="J53" i="35"/>
  <c r="K53" i="35" s="1"/>
  <c r="E51" i="17" s="1"/>
  <c r="I53" i="35"/>
  <c r="O47" i="17"/>
  <c r="E42" i="28"/>
  <c r="M42" i="38" s="1"/>
  <c r="N41" i="38"/>
  <c r="O41" i="38"/>
  <c r="I55" i="36"/>
  <c r="J55" i="36"/>
  <c r="K55" i="36" s="1"/>
  <c r="I53" i="17" s="1"/>
  <c r="V54" i="35"/>
  <c r="W54" i="35" s="1"/>
  <c r="V52" i="17" s="1"/>
  <c r="U54" i="35"/>
  <c r="J53" i="37"/>
  <c r="K53" i="37" s="1"/>
  <c r="J51" i="17" s="1"/>
  <c r="I53" i="37"/>
  <c r="K52" i="34" l="1"/>
  <c r="G50" i="17" s="1"/>
  <c r="L45" i="38"/>
  <c r="J53" i="34"/>
  <c r="I53" i="34"/>
  <c r="B55" i="31"/>
  <c r="O55" i="33"/>
  <c r="B55" i="33"/>
  <c r="O55" i="40"/>
  <c r="O55" i="32"/>
  <c r="O55" i="34"/>
  <c r="B55" i="37"/>
  <c r="O55" i="35"/>
  <c r="B55" i="32"/>
  <c r="O55" i="37"/>
  <c r="O55" i="31"/>
  <c r="B51" i="7"/>
  <c r="O55" i="18"/>
  <c r="B55" i="40"/>
  <c r="B55" i="34"/>
  <c r="B55" i="18"/>
  <c r="O55" i="36"/>
  <c r="B55" i="36"/>
  <c r="B55" i="35"/>
  <c r="U53" i="37"/>
  <c r="V53" i="37"/>
  <c r="W53" i="37" s="1"/>
  <c r="AA51" i="17" s="1"/>
  <c r="AC49" i="17"/>
  <c r="AF49" i="17" s="1"/>
  <c r="U52" i="33"/>
  <c r="V52" i="33"/>
  <c r="W52" i="33" s="1"/>
  <c r="Y50" i="17" s="1"/>
  <c r="V54" i="31"/>
  <c r="W54" i="31" s="1"/>
  <c r="U52" i="17" s="1"/>
  <c r="U54" i="31"/>
  <c r="K53" i="31"/>
  <c r="D51" i="17" s="1"/>
  <c r="K46" i="38"/>
  <c r="J54" i="31"/>
  <c r="I54" i="31"/>
  <c r="V54" i="18"/>
  <c r="W54" i="18" s="1"/>
  <c r="T52" i="17" s="1"/>
  <c r="U54" i="18"/>
  <c r="V52" i="32"/>
  <c r="W52" i="32" s="1"/>
  <c r="W50" i="17" s="1"/>
  <c r="U52" i="32"/>
  <c r="U53" i="36"/>
  <c r="V53" i="36"/>
  <c r="W53" i="36" s="1"/>
  <c r="Z51" i="17" s="1"/>
  <c r="U54" i="34"/>
  <c r="V54" i="34"/>
  <c r="W54" i="34" s="1"/>
  <c r="X52" i="17" s="1"/>
  <c r="I53" i="40"/>
  <c r="J53" i="40"/>
  <c r="K53" i="40" s="1"/>
  <c r="K51" i="17" s="1"/>
  <c r="K51" i="32"/>
  <c r="F49" i="17" s="1"/>
  <c r="L49" i="17" s="1"/>
  <c r="J44" i="38"/>
  <c r="O42" i="38"/>
  <c r="N42" i="38"/>
  <c r="J54" i="35"/>
  <c r="K54" i="35" s="1"/>
  <c r="E52" i="17" s="1"/>
  <c r="I54" i="35"/>
  <c r="O48" i="17"/>
  <c r="E43" i="28"/>
  <c r="M43" i="38" s="1"/>
  <c r="I54" i="33"/>
  <c r="J54" i="33"/>
  <c r="K54" i="33" s="1"/>
  <c r="H52" i="17" s="1"/>
  <c r="J53" i="18"/>
  <c r="K53" i="18" s="1"/>
  <c r="C51" i="17" s="1"/>
  <c r="I53" i="18"/>
  <c r="V53" i="40"/>
  <c r="W53" i="40" s="1"/>
  <c r="AB51" i="17" s="1"/>
  <c r="U53" i="40"/>
  <c r="I52" i="32"/>
  <c r="J52" i="32"/>
  <c r="J54" i="37"/>
  <c r="K54" i="37" s="1"/>
  <c r="J52" i="17" s="1"/>
  <c r="I54" i="37"/>
  <c r="J56" i="36"/>
  <c r="K56" i="36" s="1"/>
  <c r="I54" i="17" s="1"/>
  <c r="I56" i="36"/>
  <c r="V55" i="35"/>
  <c r="W55" i="35" s="1"/>
  <c r="V53" i="17" s="1"/>
  <c r="U55" i="35"/>
  <c r="I54" i="34" l="1"/>
  <c r="J54" i="34"/>
  <c r="K53" i="34"/>
  <c r="G51" i="17" s="1"/>
  <c r="L46" i="38"/>
  <c r="AC50" i="17"/>
  <c r="AF50" i="17" s="1"/>
  <c r="O56" i="35"/>
  <c r="B56" i="35"/>
  <c r="B56" i="18"/>
  <c r="B56" i="34"/>
  <c r="O56" i="32"/>
  <c r="O56" i="40"/>
  <c r="B56" i="36"/>
  <c r="O56" i="37"/>
  <c r="O56" i="31"/>
  <c r="B56" i="37"/>
  <c r="O56" i="36"/>
  <c r="B56" i="33"/>
  <c r="O56" i="33"/>
  <c r="B56" i="40"/>
  <c r="B56" i="32"/>
  <c r="O56" i="18"/>
  <c r="O56" i="34"/>
  <c r="B56" i="31"/>
  <c r="B52" i="7"/>
  <c r="U54" i="37"/>
  <c r="V54" i="37"/>
  <c r="W54" i="37" s="1"/>
  <c r="AA52" i="17" s="1"/>
  <c r="V53" i="33"/>
  <c r="W53" i="33" s="1"/>
  <c r="Y51" i="17" s="1"/>
  <c r="U53" i="33"/>
  <c r="U55" i="31"/>
  <c r="V55" i="31"/>
  <c r="W55" i="31" s="1"/>
  <c r="U53" i="17" s="1"/>
  <c r="J55" i="31"/>
  <c r="I55" i="31"/>
  <c r="K54" i="31"/>
  <c r="D52" i="17" s="1"/>
  <c r="K47" i="38"/>
  <c r="U55" i="18"/>
  <c r="V55" i="18"/>
  <c r="W55" i="18" s="1"/>
  <c r="T53" i="17" s="1"/>
  <c r="U53" i="32"/>
  <c r="V53" i="32"/>
  <c r="W53" i="32" s="1"/>
  <c r="W51" i="17" s="1"/>
  <c r="I55" i="33"/>
  <c r="J55" i="33"/>
  <c r="K55" i="33" s="1"/>
  <c r="H53" i="17" s="1"/>
  <c r="O49" i="17"/>
  <c r="E44" i="28"/>
  <c r="M44" i="38" s="1"/>
  <c r="U54" i="36"/>
  <c r="V54" i="36"/>
  <c r="W54" i="36" s="1"/>
  <c r="Z52" i="17" s="1"/>
  <c r="J45" i="38"/>
  <c r="K52" i="32"/>
  <c r="F50" i="17" s="1"/>
  <c r="L50" i="17" s="1"/>
  <c r="V54" i="40"/>
  <c r="W54" i="40" s="1"/>
  <c r="AB52" i="17" s="1"/>
  <c r="U54" i="40"/>
  <c r="V55" i="34"/>
  <c r="W55" i="34" s="1"/>
  <c r="X53" i="17" s="1"/>
  <c r="U55" i="34"/>
  <c r="N43" i="38"/>
  <c r="O43" i="38"/>
  <c r="I54" i="40"/>
  <c r="J54" i="40"/>
  <c r="K54" i="40" s="1"/>
  <c r="K52" i="17" s="1"/>
  <c r="J53" i="32"/>
  <c r="I53" i="32"/>
  <c r="J54" i="18"/>
  <c r="K54" i="18" s="1"/>
  <c r="C52" i="17" s="1"/>
  <c r="I54" i="18"/>
  <c r="I55" i="35"/>
  <c r="J55" i="35"/>
  <c r="K55" i="35" s="1"/>
  <c r="E53" i="17" s="1"/>
  <c r="J55" i="37"/>
  <c r="K55" i="37" s="1"/>
  <c r="J53" i="17" s="1"/>
  <c r="I55" i="37"/>
  <c r="I57" i="36"/>
  <c r="J57" i="36"/>
  <c r="K57" i="36" s="1"/>
  <c r="I55" i="17" s="1"/>
  <c r="V56" i="35"/>
  <c r="W56" i="35" s="1"/>
  <c r="V54" i="17" s="1"/>
  <c r="U56" i="35"/>
  <c r="L47" i="38" l="1"/>
  <c r="K54" i="34"/>
  <c r="G52" i="17" s="1"/>
  <c r="I55" i="34"/>
  <c r="J55" i="34"/>
  <c r="O57" i="32"/>
  <c r="O57" i="36"/>
  <c r="B57" i="34"/>
  <c r="B57" i="40"/>
  <c r="B57" i="37"/>
  <c r="O57" i="35"/>
  <c r="O57" i="34"/>
  <c r="B57" i="35"/>
  <c r="O57" i="18"/>
  <c r="B57" i="33"/>
  <c r="O57" i="37"/>
  <c r="B57" i="32"/>
  <c r="O57" i="40"/>
  <c r="B57" i="31"/>
  <c r="B57" i="18"/>
  <c r="O57" i="31"/>
  <c r="B57" i="36"/>
  <c r="O57" i="33"/>
  <c r="B53" i="7"/>
  <c r="V55" i="37"/>
  <c r="W55" i="37" s="1"/>
  <c r="AA53" i="17" s="1"/>
  <c r="U55" i="37"/>
  <c r="AC51" i="17"/>
  <c r="AF51" i="17" s="1"/>
  <c r="U54" i="33"/>
  <c r="V54" i="33"/>
  <c r="W54" i="33" s="1"/>
  <c r="Y52" i="17" s="1"/>
  <c r="V56" i="31"/>
  <c r="W56" i="31" s="1"/>
  <c r="U54" i="17" s="1"/>
  <c r="U56" i="31"/>
  <c r="J56" i="31"/>
  <c r="I56" i="31"/>
  <c r="K55" i="31"/>
  <c r="D53" i="17" s="1"/>
  <c r="K48" i="38"/>
  <c r="U54" i="32"/>
  <c r="V54" i="32"/>
  <c r="W54" i="32" s="1"/>
  <c r="W52" i="17" s="1"/>
  <c r="U56" i="18"/>
  <c r="V56" i="18"/>
  <c r="W56" i="18" s="1"/>
  <c r="T54" i="17" s="1"/>
  <c r="J56" i="35"/>
  <c r="K56" i="35" s="1"/>
  <c r="E54" i="17" s="1"/>
  <c r="I56" i="35"/>
  <c r="I56" i="33"/>
  <c r="J56" i="33"/>
  <c r="K56" i="33" s="1"/>
  <c r="H54" i="17" s="1"/>
  <c r="I55" i="40"/>
  <c r="J55" i="40"/>
  <c r="K55" i="40" s="1"/>
  <c r="K53" i="17" s="1"/>
  <c r="I55" i="18"/>
  <c r="J55" i="18"/>
  <c r="K55" i="18" s="1"/>
  <c r="C53" i="17" s="1"/>
  <c r="O50" i="17"/>
  <c r="E45" i="28"/>
  <c r="M45" i="38" s="1"/>
  <c r="N44" i="38"/>
  <c r="O44" i="38"/>
  <c r="K53" i="32"/>
  <c r="F51" i="17" s="1"/>
  <c r="L51" i="17" s="1"/>
  <c r="J46" i="38"/>
  <c r="U55" i="36"/>
  <c r="V55" i="36"/>
  <c r="W55" i="36" s="1"/>
  <c r="Z53" i="17" s="1"/>
  <c r="J54" i="32"/>
  <c r="I54" i="32"/>
  <c r="V56" i="34"/>
  <c r="W56" i="34" s="1"/>
  <c r="X54" i="17" s="1"/>
  <c r="U56" i="34"/>
  <c r="U55" i="40"/>
  <c r="V55" i="40"/>
  <c r="W55" i="40" s="1"/>
  <c r="AB53" i="17" s="1"/>
  <c r="J58" i="36"/>
  <c r="K58" i="36" s="1"/>
  <c r="I56" i="17" s="1"/>
  <c r="I58" i="36"/>
  <c r="V57" i="35"/>
  <c r="W57" i="35" s="1"/>
  <c r="V55" i="17" s="1"/>
  <c r="U57" i="35"/>
  <c r="J56" i="37"/>
  <c r="K56" i="37" s="1"/>
  <c r="J54" i="17" s="1"/>
  <c r="I56" i="37"/>
  <c r="K55" i="34" l="1"/>
  <c r="G53" i="17" s="1"/>
  <c r="L48" i="38"/>
  <c r="I56" i="34"/>
  <c r="J56" i="34"/>
  <c r="B58" i="33"/>
  <c r="B58" i="40"/>
  <c r="B58" i="37"/>
  <c r="O58" i="40"/>
  <c r="O58" i="33"/>
  <c r="O58" i="18"/>
  <c r="O58" i="34"/>
  <c r="B58" i="35"/>
  <c r="B58" i="18"/>
  <c r="O58" i="31"/>
  <c r="B58" i="34"/>
  <c r="O58" i="35"/>
  <c r="O58" i="37"/>
  <c r="O58" i="32"/>
  <c r="B58" i="32"/>
  <c r="B58" i="36"/>
  <c r="O58" i="36"/>
  <c r="B58" i="31"/>
  <c r="B54" i="7"/>
  <c r="U56" i="37"/>
  <c r="V56" i="37"/>
  <c r="W56" i="37" s="1"/>
  <c r="AA54" i="17" s="1"/>
  <c r="AC52" i="17"/>
  <c r="AF52" i="17" s="1"/>
  <c r="V55" i="33"/>
  <c r="W55" i="33" s="1"/>
  <c r="Y53" i="17" s="1"/>
  <c r="U55" i="33"/>
  <c r="V57" i="31"/>
  <c r="W57" i="31" s="1"/>
  <c r="U55" i="17" s="1"/>
  <c r="U57" i="31"/>
  <c r="J57" i="31"/>
  <c r="I57" i="31"/>
  <c r="K56" i="31"/>
  <c r="D54" i="17" s="1"/>
  <c r="K49" i="38"/>
  <c r="U57" i="18"/>
  <c r="V57" i="18"/>
  <c r="W57" i="18" s="1"/>
  <c r="T55" i="17" s="1"/>
  <c r="U55" i="32"/>
  <c r="V55" i="32"/>
  <c r="W55" i="32" s="1"/>
  <c r="W53" i="17" s="1"/>
  <c r="J57" i="35"/>
  <c r="K57" i="35" s="1"/>
  <c r="E55" i="17" s="1"/>
  <c r="I57" i="35"/>
  <c r="U57" i="34"/>
  <c r="V57" i="34"/>
  <c r="W57" i="34" s="1"/>
  <c r="X55" i="17" s="1"/>
  <c r="O45" i="38"/>
  <c r="N45" i="38"/>
  <c r="U56" i="40"/>
  <c r="V56" i="40"/>
  <c r="W56" i="40" s="1"/>
  <c r="AB54" i="17" s="1"/>
  <c r="K54" i="32"/>
  <c r="F52" i="17" s="1"/>
  <c r="L52" i="17" s="1"/>
  <c r="J47" i="38"/>
  <c r="E46" i="28"/>
  <c r="M46" i="38" s="1"/>
  <c r="O51" i="17"/>
  <c r="I56" i="18"/>
  <c r="J56" i="18"/>
  <c r="K56" i="18" s="1"/>
  <c r="C54" i="17" s="1"/>
  <c r="J56" i="40"/>
  <c r="K56" i="40" s="1"/>
  <c r="K54" i="17" s="1"/>
  <c r="I56" i="40"/>
  <c r="I55" i="32"/>
  <c r="J55" i="32"/>
  <c r="U56" i="36"/>
  <c r="V56" i="36"/>
  <c r="W56" i="36" s="1"/>
  <c r="Z54" i="17" s="1"/>
  <c r="I57" i="33"/>
  <c r="J57" i="33"/>
  <c r="K57" i="33" s="1"/>
  <c r="H55" i="17" s="1"/>
  <c r="J59" i="36"/>
  <c r="K59" i="36" s="1"/>
  <c r="I57" i="17" s="1"/>
  <c r="I59" i="36"/>
  <c r="J57" i="37"/>
  <c r="K57" i="37" s="1"/>
  <c r="J55" i="17" s="1"/>
  <c r="I57" i="37"/>
  <c r="V58" i="35"/>
  <c r="W58" i="35" s="1"/>
  <c r="V56" i="17" s="1"/>
  <c r="U58" i="35"/>
  <c r="L49" i="38" l="1"/>
  <c r="K56" i="34"/>
  <c r="G54" i="17" s="1"/>
  <c r="I57" i="34"/>
  <c r="J57" i="34"/>
  <c r="B59" i="18"/>
  <c r="B59" i="34"/>
  <c r="O59" i="18"/>
  <c r="O59" i="40"/>
  <c r="B59" i="40"/>
  <c r="B59" i="35"/>
  <c r="B59" i="31"/>
  <c r="O59" i="33"/>
  <c r="O59" i="37"/>
  <c r="O59" i="36"/>
  <c r="O59" i="31"/>
  <c r="B55" i="7"/>
  <c r="O59" i="34"/>
  <c r="B59" i="37"/>
  <c r="B59" i="33"/>
  <c r="O59" i="32"/>
  <c r="B59" i="36"/>
  <c r="B59" i="32"/>
  <c r="O59" i="35"/>
  <c r="V57" i="37"/>
  <c r="W57" i="37" s="1"/>
  <c r="AA55" i="17" s="1"/>
  <c r="U57" i="37"/>
  <c r="AC53" i="17"/>
  <c r="AF53" i="17" s="1"/>
  <c r="U56" i="33"/>
  <c r="V56" i="33"/>
  <c r="W56" i="33" s="1"/>
  <c r="Y54" i="17" s="1"/>
  <c r="V58" i="31"/>
  <c r="W58" i="31" s="1"/>
  <c r="U56" i="17" s="1"/>
  <c r="U58" i="31"/>
  <c r="J58" i="31"/>
  <c r="I58" i="31"/>
  <c r="K57" i="31"/>
  <c r="D55" i="17" s="1"/>
  <c r="K50" i="38"/>
  <c r="U56" i="32"/>
  <c r="V56" i="32"/>
  <c r="W56" i="32" s="1"/>
  <c r="W54" i="17" s="1"/>
  <c r="U58" i="18"/>
  <c r="V58" i="18"/>
  <c r="W58" i="18" s="1"/>
  <c r="T56" i="17" s="1"/>
  <c r="J56" i="32"/>
  <c r="I56" i="32"/>
  <c r="I57" i="40"/>
  <c r="J57" i="40"/>
  <c r="K57" i="40" s="1"/>
  <c r="K55" i="17" s="1"/>
  <c r="K55" i="32"/>
  <c r="F53" i="17" s="1"/>
  <c r="L53" i="17" s="1"/>
  <c r="J48" i="38"/>
  <c r="J57" i="18"/>
  <c r="K57" i="18" s="1"/>
  <c r="C55" i="17" s="1"/>
  <c r="I57" i="18"/>
  <c r="O52" i="17"/>
  <c r="E47" i="28"/>
  <c r="M47" i="38" s="1"/>
  <c r="I58" i="33"/>
  <c r="J58" i="33"/>
  <c r="K58" i="33" s="1"/>
  <c r="H56" i="17" s="1"/>
  <c r="V57" i="36"/>
  <c r="W57" i="36" s="1"/>
  <c r="Z55" i="17" s="1"/>
  <c r="U57" i="36"/>
  <c r="I58" i="35"/>
  <c r="J58" i="35"/>
  <c r="K58" i="35" s="1"/>
  <c r="E56" i="17" s="1"/>
  <c r="O46" i="38"/>
  <c r="N46" i="38"/>
  <c r="V57" i="40"/>
  <c r="W57" i="40" s="1"/>
  <c r="AB55" i="17" s="1"/>
  <c r="U57" i="40"/>
  <c r="V58" i="34"/>
  <c r="W58" i="34" s="1"/>
  <c r="X56" i="17" s="1"/>
  <c r="U58" i="34"/>
  <c r="V59" i="35"/>
  <c r="W59" i="35" s="1"/>
  <c r="V57" i="17" s="1"/>
  <c r="U59" i="35"/>
  <c r="J58" i="37"/>
  <c r="K58" i="37" s="1"/>
  <c r="J56" i="17" s="1"/>
  <c r="I58" i="37"/>
  <c r="J60" i="36"/>
  <c r="K60" i="36" s="1"/>
  <c r="I58" i="17" s="1"/>
  <c r="I60" i="36"/>
  <c r="L50" i="38" l="1"/>
  <c r="K57" i="34"/>
  <c r="G55" i="17" s="1"/>
  <c r="J58" i="34"/>
  <c r="I58" i="34"/>
  <c r="B60" i="34"/>
  <c r="B60" i="33"/>
  <c r="B60" i="37"/>
  <c r="O60" i="18"/>
  <c r="B60" i="32"/>
  <c r="O60" i="35"/>
  <c r="B60" i="31"/>
  <c r="O60" i="37"/>
  <c r="O60" i="32"/>
  <c r="O60" i="31"/>
  <c r="O60" i="40"/>
  <c r="O60" i="34"/>
  <c r="B60" i="35"/>
  <c r="O60" i="36"/>
  <c r="B60" i="18"/>
  <c r="B60" i="36"/>
  <c r="B60" i="40"/>
  <c r="B56" i="7"/>
  <c r="O60" i="33"/>
  <c r="V58" i="37"/>
  <c r="W58" i="37" s="1"/>
  <c r="AA56" i="17" s="1"/>
  <c r="U58" i="37"/>
  <c r="AC54" i="17"/>
  <c r="AF54" i="17" s="1"/>
  <c r="U57" i="33"/>
  <c r="V57" i="33"/>
  <c r="W57" i="33" s="1"/>
  <c r="Y55" i="17" s="1"/>
  <c r="V59" i="31"/>
  <c r="W59" i="31" s="1"/>
  <c r="U57" i="17" s="1"/>
  <c r="U59" i="31"/>
  <c r="K51" i="38"/>
  <c r="K58" i="31"/>
  <c r="D56" i="17" s="1"/>
  <c r="I59" i="31"/>
  <c r="J59" i="31"/>
  <c r="U59" i="18"/>
  <c r="V59" i="18"/>
  <c r="W59" i="18" s="1"/>
  <c r="T57" i="17" s="1"/>
  <c r="V57" i="32"/>
  <c r="W57" i="32" s="1"/>
  <c r="W55" i="17" s="1"/>
  <c r="U57" i="32"/>
  <c r="U58" i="36"/>
  <c r="V58" i="36"/>
  <c r="W58" i="36" s="1"/>
  <c r="Z56" i="17" s="1"/>
  <c r="E48" i="28"/>
  <c r="M48" i="38" s="1"/>
  <c r="O53" i="17"/>
  <c r="N47" i="38"/>
  <c r="O47" i="38"/>
  <c r="I57" i="32"/>
  <c r="J57" i="32"/>
  <c r="I58" i="18"/>
  <c r="J58" i="18"/>
  <c r="K58" i="18" s="1"/>
  <c r="C56" i="17" s="1"/>
  <c r="J59" i="33"/>
  <c r="K59" i="33" s="1"/>
  <c r="H57" i="17" s="1"/>
  <c r="I59" i="33"/>
  <c r="K56" i="32"/>
  <c r="F54" i="17" s="1"/>
  <c r="L54" i="17" s="1"/>
  <c r="J49" i="38"/>
  <c r="U59" i="34"/>
  <c r="V59" i="34"/>
  <c r="W59" i="34" s="1"/>
  <c r="X57" i="17" s="1"/>
  <c r="U58" i="40"/>
  <c r="V58" i="40"/>
  <c r="W58" i="40" s="1"/>
  <c r="AB56" i="17" s="1"/>
  <c r="I59" i="35"/>
  <c r="J59" i="35"/>
  <c r="K59" i="35" s="1"/>
  <c r="E57" i="17" s="1"/>
  <c r="J58" i="40"/>
  <c r="K58" i="40" s="1"/>
  <c r="K56" i="17" s="1"/>
  <c r="I58" i="40"/>
  <c r="J61" i="36"/>
  <c r="K61" i="36" s="1"/>
  <c r="I59" i="17" s="1"/>
  <c r="I61" i="36"/>
  <c r="U60" i="35"/>
  <c r="V60" i="35"/>
  <c r="W60" i="35" s="1"/>
  <c r="V58" i="17" s="1"/>
  <c r="J59" i="37"/>
  <c r="K59" i="37" s="1"/>
  <c r="J57" i="17" s="1"/>
  <c r="I59" i="37"/>
  <c r="J59" i="34" l="1"/>
  <c r="I59" i="34"/>
  <c r="L51" i="38"/>
  <c r="K58" i="34"/>
  <c r="G56" i="17" s="1"/>
  <c r="AC55" i="17"/>
  <c r="AF55" i="17" s="1"/>
  <c r="B61" i="33"/>
  <c r="O61" i="32"/>
  <c r="O61" i="34"/>
  <c r="O61" i="36"/>
  <c r="B61" i="36"/>
  <c r="O61" i="18"/>
  <c r="B61" i="34"/>
  <c r="B61" i="18"/>
  <c r="O61" i="35"/>
  <c r="B61" i="31"/>
  <c r="B61" i="32"/>
  <c r="B61" i="35"/>
  <c r="O61" i="33"/>
  <c r="B57" i="7"/>
  <c r="B61" i="37"/>
  <c r="O61" i="40"/>
  <c r="O61" i="31"/>
  <c r="B61" i="40"/>
  <c r="O61" i="37"/>
  <c r="U59" i="37"/>
  <c r="V59" i="37"/>
  <c r="W59" i="37" s="1"/>
  <c r="AA57" i="17" s="1"/>
  <c r="U58" i="33"/>
  <c r="V58" i="33"/>
  <c r="W58" i="33" s="1"/>
  <c r="Y56" i="17" s="1"/>
  <c r="V60" i="31"/>
  <c r="W60" i="31" s="1"/>
  <c r="U58" i="17" s="1"/>
  <c r="U60" i="31"/>
  <c r="K52" i="38"/>
  <c r="K59" i="31"/>
  <c r="D57" i="17" s="1"/>
  <c r="J60" i="31"/>
  <c r="I60" i="31"/>
  <c r="V58" i="32"/>
  <c r="W58" i="32" s="1"/>
  <c r="W56" i="17" s="1"/>
  <c r="U58" i="32"/>
  <c r="V60" i="18"/>
  <c r="W60" i="18" s="1"/>
  <c r="T58" i="17" s="1"/>
  <c r="U60" i="18"/>
  <c r="J59" i="40"/>
  <c r="K59" i="40" s="1"/>
  <c r="K57" i="17" s="1"/>
  <c r="I59" i="40"/>
  <c r="J60" i="33"/>
  <c r="K60" i="33" s="1"/>
  <c r="H58" i="17" s="1"/>
  <c r="I60" i="33"/>
  <c r="K57" i="32"/>
  <c r="F55" i="17" s="1"/>
  <c r="L55" i="17" s="1"/>
  <c r="J50" i="38"/>
  <c r="J60" i="35"/>
  <c r="K60" i="35" s="1"/>
  <c r="E58" i="17" s="1"/>
  <c r="I60" i="35"/>
  <c r="U60" i="34"/>
  <c r="V60" i="34"/>
  <c r="W60" i="34" s="1"/>
  <c r="X58" i="17" s="1"/>
  <c r="I58" i="32"/>
  <c r="J58" i="32"/>
  <c r="N48" i="38"/>
  <c r="O48" i="38"/>
  <c r="U59" i="40"/>
  <c r="V59" i="40"/>
  <c r="W59" i="40" s="1"/>
  <c r="AB57" i="17" s="1"/>
  <c r="O54" i="17"/>
  <c r="E49" i="28"/>
  <c r="M49" i="38" s="1"/>
  <c r="J59" i="18"/>
  <c r="K59" i="18" s="1"/>
  <c r="C57" i="17" s="1"/>
  <c r="I59" i="18"/>
  <c r="U59" i="36"/>
  <c r="V59" i="36"/>
  <c r="W59" i="36" s="1"/>
  <c r="Z57" i="17" s="1"/>
  <c r="J62" i="36"/>
  <c r="K62" i="36" s="1"/>
  <c r="I60" i="17" s="1"/>
  <c r="I62" i="36"/>
  <c r="V61" i="35"/>
  <c r="W61" i="35" s="1"/>
  <c r="V59" i="17" s="1"/>
  <c r="U61" i="35"/>
  <c r="I60" i="37"/>
  <c r="J60" i="37"/>
  <c r="K60" i="37" s="1"/>
  <c r="J58" i="17" s="1"/>
  <c r="I60" i="34" l="1"/>
  <c r="J60" i="34"/>
  <c r="K59" i="34"/>
  <c r="G57" i="17" s="1"/>
  <c r="L52" i="38"/>
  <c r="O62" i="36"/>
  <c r="O62" i="31"/>
  <c r="O62" i="18"/>
  <c r="B62" i="34"/>
  <c r="B62" i="35"/>
  <c r="O62" i="35"/>
  <c r="B58" i="7"/>
  <c r="B62" i="37"/>
  <c r="O62" i="40"/>
  <c r="B62" i="33"/>
  <c r="B62" i="40"/>
  <c r="B62" i="36"/>
  <c r="O62" i="33"/>
  <c r="B62" i="31"/>
  <c r="O62" i="37"/>
  <c r="O62" i="34"/>
  <c r="O62" i="32"/>
  <c r="B62" i="32"/>
  <c r="B62" i="18"/>
  <c r="U60" i="37"/>
  <c r="V60" i="37"/>
  <c r="W60" i="37" s="1"/>
  <c r="AA58" i="17" s="1"/>
  <c r="AC56" i="17"/>
  <c r="AF56" i="17" s="1"/>
  <c r="U59" i="33"/>
  <c r="V59" i="33"/>
  <c r="W59" i="33" s="1"/>
  <c r="Y57" i="17" s="1"/>
  <c r="U61" i="31"/>
  <c r="V61" i="31"/>
  <c r="W61" i="31" s="1"/>
  <c r="U59" i="17" s="1"/>
  <c r="I61" i="31"/>
  <c r="J61" i="31"/>
  <c r="K53" i="38"/>
  <c r="K60" i="31"/>
  <c r="D58" i="17" s="1"/>
  <c r="U61" i="18"/>
  <c r="V61" i="18"/>
  <c r="W61" i="18" s="1"/>
  <c r="T59" i="17" s="1"/>
  <c r="V59" i="32"/>
  <c r="W59" i="32" s="1"/>
  <c r="W57" i="17" s="1"/>
  <c r="U59" i="32"/>
  <c r="N49" i="38"/>
  <c r="O49" i="38"/>
  <c r="J59" i="32"/>
  <c r="I59" i="32"/>
  <c r="V60" i="40"/>
  <c r="W60" i="40" s="1"/>
  <c r="AB58" i="17" s="1"/>
  <c r="U60" i="40"/>
  <c r="K58" i="32"/>
  <c r="F56" i="17" s="1"/>
  <c r="L56" i="17" s="1"/>
  <c r="J51" i="38"/>
  <c r="I61" i="35"/>
  <c r="J61" i="35"/>
  <c r="K61" i="35" s="1"/>
  <c r="E59" i="17" s="1"/>
  <c r="J61" i="33"/>
  <c r="K61" i="33" s="1"/>
  <c r="H59" i="17" s="1"/>
  <c r="I61" i="33"/>
  <c r="J60" i="18"/>
  <c r="K60" i="18" s="1"/>
  <c r="C58" i="17" s="1"/>
  <c r="I60" i="18"/>
  <c r="U61" i="34"/>
  <c r="V61" i="34"/>
  <c r="W61" i="34" s="1"/>
  <c r="X59" i="17" s="1"/>
  <c r="O55" i="17"/>
  <c r="E50" i="28"/>
  <c r="M50" i="38" s="1"/>
  <c r="U60" i="36"/>
  <c r="V60" i="36"/>
  <c r="W60" i="36" s="1"/>
  <c r="Z58" i="17" s="1"/>
  <c r="I60" i="40"/>
  <c r="J60" i="40"/>
  <c r="K60" i="40" s="1"/>
  <c r="K58" i="17" s="1"/>
  <c r="J61" i="37"/>
  <c r="K61" i="37" s="1"/>
  <c r="J59" i="17" s="1"/>
  <c r="I61" i="37"/>
  <c r="I63" i="36"/>
  <c r="J63" i="36"/>
  <c r="K63" i="36" s="1"/>
  <c r="I61" i="17" s="1"/>
  <c r="V62" i="35"/>
  <c r="W62" i="35" s="1"/>
  <c r="V60" i="17" s="1"/>
  <c r="U62" i="35"/>
  <c r="K60" i="34" l="1"/>
  <c r="G58" i="17" s="1"/>
  <c r="L53" i="38"/>
  <c r="I61" i="34"/>
  <c r="J61" i="34"/>
  <c r="AC57" i="17"/>
  <c r="AF57" i="17" s="1"/>
  <c r="B63" i="35"/>
  <c r="O63" i="36"/>
  <c r="O63" i="35"/>
  <c r="B59" i="7"/>
  <c r="O63" i="40"/>
  <c r="B63" i="18"/>
  <c r="O63" i="37"/>
  <c r="O63" i="18"/>
  <c r="O63" i="34"/>
  <c r="B63" i="37"/>
  <c r="O63" i="33"/>
  <c r="O63" i="32"/>
  <c r="B63" i="33"/>
  <c r="O63" i="31"/>
  <c r="B63" i="40"/>
  <c r="B63" i="31"/>
  <c r="B63" i="34"/>
  <c r="B63" i="32"/>
  <c r="B63" i="36"/>
  <c r="V61" i="37"/>
  <c r="W61" i="37" s="1"/>
  <c r="AA59" i="17" s="1"/>
  <c r="U61" i="37"/>
  <c r="U60" i="33"/>
  <c r="V60" i="33"/>
  <c r="W60" i="33" s="1"/>
  <c r="Y58" i="17" s="1"/>
  <c r="V62" i="31"/>
  <c r="W62" i="31" s="1"/>
  <c r="U60" i="17" s="1"/>
  <c r="U62" i="31"/>
  <c r="K61" i="31"/>
  <c r="D59" i="17" s="1"/>
  <c r="K54" i="38"/>
  <c r="I62" i="31"/>
  <c r="J62" i="31"/>
  <c r="U62" i="18"/>
  <c r="V62" i="18"/>
  <c r="W62" i="18" s="1"/>
  <c r="T60" i="17" s="1"/>
  <c r="U60" i="32"/>
  <c r="V60" i="32"/>
  <c r="W60" i="32" s="1"/>
  <c r="W58" i="17" s="1"/>
  <c r="I61" i="40"/>
  <c r="J61" i="40"/>
  <c r="K61" i="40" s="1"/>
  <c r="K59" i="17" s="1"/>
  <c r="U61" i="36"/>
  <c r="V61" i="36"/>
  <c r="W61" i="36" s="1"/>
  <c r="Z59" i="17" s="1"/>
  <c r="U62" i="34"/>
  <c r="V62" i="34"/>
  <c r="W62" i="34" s="1"/>
  <c r="X60" i="17" s="1"/>
  <c r="I62" i="33"/>
  <c r="J62" i="33"/>
  <c r="K62" i="33" s="1"/>
  <c r="H60" i="17" s="1"/>
  <c r="O56" i="17"/>
  <c r="E51" i="28"/>
  <c r="M51" i="38" s="1"/>
  <c r="J52" i="38"/>
  <c r="K59" i="32"/>
  <c r="F57" i="17" s="1"/>
  <c r="L57" i="17" s="1"/>
  <c r="J60" i="32"/>
  <c r="I60" i="32"/>
  <c r="U61" i="40"/>
  <c r="V61" i="40"/>
  <c r="W61" i="40" s="1"/>
  <c r="AB59" i="17" s="1"/>
  <c r="O50" i="38"/>
  <c r="N50" i="38"/>
  <c r="I61" i="18"/>
  <c r="J61" i="18"/>
  <c r="K61" i="18" s="1"/>
  <c r="C59" i="17" s="1"/>
  <c r="I62" i="35"/>
  <c r="J62" i="35"/>
  <c r="K62" i="35" s="1"/>
  <c r="E60" i="17" s="1"/>
  <c r="J62" i="37"/>
  <c r="K62" i="37" s="1"/>
  <c r="J60" i="17" s="1"/>
  <c r="I62" i="37"/>
  <c r="J64" i="36"/>
  <c r="K64" i="36" s="1"/>
  <c r="I62" i="17" s="1"/>
  <c r="I64" i="36"/>
  <c r="V63" i="35"/>
  <c r="W63" i="35" s="1"/>
  <c r="V61" i="17" s="1"/>
  <c r="U63" i="35"/>
  <c r="L54" i="38" l="1"/>
  <c r="K61" i="34"/>
  <c r="G59" i="17" s="1"/>
  <c r="I62" i="34"/>
  <c r="J62" i="34"/>
  <c r="O64" i="34"/>
  <c r="B64" i="36"/>
  <c r="B64" i="31"/>
  <c r="B64" i="18"/>
  <c r="O64" i="36"/>
  <c r="O64" i="40"/>
  <c r="O64" i="37"/>
  <c r="B64" i="32"/>
  <c r="O64" i="35"/>
  <c r="B64" i="37"/>
  <c r="B64" i="34"/>
  <c r="B64" i="33"/>
  <c r="O64" i="31"/>
  <c r="O64" i="18"/>
  <c r="B64" i="35"/>
  <c r="B64" i="40"/>
  <c r="O64" i="32"/>
  <c r="B60" i="7"/>
  <c r="O64" i="33"/>
  <c r="AC58" i="17"/>
  <c r="AF58" i="17" s="1"/>
  <c r="U62" i="37"/>
  <c r="V62" i="37"/>
  <c r="W62" i="37" s="1"/>
  <c r="AA60" i="17" s="1"/>
  <c r="V61" i="33"/>
  <c r="W61" i="33" s="1"/>
  <c r="Y59" i="17" s="1"/>
  <c r="U61" i="33"/>
  <c r="V63" i="31"/>
  <c r="W63" i="31" s="1"/>
  <c r="U61" i="17" s="1"/>
  <c r="U63" i="31"/>
  <c r="I63" i="31"/>
  <c r="J63" i="31"/>
  <c r="K62" i="31"/>
  <c r="D60" i="17" s="1"/>
  <c r="K55" i="38"/>
  <c r="V61" i="32"/>
  <c r="W61" i="32" s="1"/>
  <c r="W59" i="17" s="1"/>
  <c r="U61" i="32"/>
  <c r="V63" i="18"/>
  <c r="W63" i="18" s="1"/>
  <c r="T61" i="17" s="1"/>
  <c r="U63" i="18"/>
  <c r="I61" i="32"/>
  <c r="J61" i="32"/>
  <c r="O57" i="17"/>
  <c r="E52" i="28"/>
  <c r="M52" i="38" s="1"/>
  <c r="I63" i="35"/>
  <c r="J63" i="35"/>
  <c r="K63" i="35" s="1"/>
  <c r="E61" i="17" s="1"/>
  <c r="V63" i="34"/>
  <c r="W63" i="34" s="1"/>
  <c r="X61" i="17" s="1"/>
  <c r="U63" i="34"/>
  <c r="J62" i="40"/>
  <c r="K62" i="40" s="1"/>
  <c r="K60" i="17" s="1"/>
  <c r="I62" i="40"/>
  <c r="N51" i="38"/>
  <c r="O51" i="38"/>
  <c r="I62" i="18"/>
  <c r="J62" i="18"/>
  <c r="K62" i="18" s="1"/>
  <c r="C60" i="17" s="1"/>
  <c r="U62" i="40"/>
  <c r="V62" i="40"/>
  <c r="W62" i="40" s="1"/>
  <c r="AB60" i="17" s="1"/>
  <c r="J53" i="38"/>
  <c r="K60" i="32"/>
  <c r="F58" i="17" s="1"/>
  <c r="L58" i="17" s="1"/>
  <c r="I63" i="33"/>
  <c r="J63" i="33"/>
  <c r="K63" i="33" s="1"/>
  <c r="H61" i="17" s="1"/>
  <c r="V62" i="36"/>
  <c r="W62" i="36" s="1"/>
  <c r="Z60" i="17" s="1"/>
  <c r="U62" i="36"/>
  <c r="J65" i="36"/>
  <c r="K65" i="36" s="1"/>
  <c r="I63" i="17" s="1"/>
  <c r="I65" i="36"/>
  <c r="V64" i="35"/>
  <c r="W64" i="35" s="1"/>
  <c r="V62" i="17" s="1"/>
  <c r="U64" i="35"/>
  <c r="J63" i="37"/>
  <c r="K63" i="37" s="1"/>
  <c r="J61" i="17" s="1"/>
  <c r="I63" i="37"/>
  <c r="L55" i="38" l="1"/>
  <c r="K62" i="34"/>
  <c r="G60" i="17" s="1"/>
  <c r="I63" i="34"/>
  <c r="J63" i="34"/>
  <c r="B65" i="36"/>
  <c r="B65" i="34"/>
  <c r="O65" i="31"/>
  <c r="B65" i="37"/>
  <c r="O65" i="36"/>
  <c r="O65" i="37"/>
  <c r="B61" i="7"/>
  <c r="O65" i="33"/>
  <c r="O65" i="35"/>
  <c r="B65" i="35"/>
  <c r="B65" i="31"/>
  <c r="B65" i="18"/>
  <c r="O65" i="34"/>
  <c r="B65" i="32"/>
  <c r="O65" i="40"/>
  <c r="B65" i="40"/>
  <c r="B65" i="33"/>
  <c r="O65" i="18"/>
  <c r="O65" i="32"/>
  <c r="U63" i="37"/>
  <c r="V63" i="37"/>
  <c r="W63" i="37" s="1"/>
  <c r="AA61" i="17" s="1"/>
  <c r="AC59" i="17"/>
  <c r="AF59" i="17" s="1"/>
  <c r="V62" i="33"/>
  <c r="W62" i="33" s="1"/>
  <c r="Y60" i="17" s="1"/>
  <c r="U62" i="33"/>
  <c r="V64" i="31"/>
  <c r="W64" i="31" s="1"/>
  <c r="U62" i="17" s="1"/>
  <c r="U64" i="31"/>
  <c r="K63" i="31"/>
  <c r="D61" i="17" s="1"/>
  <c r="K56" i="38"/>
  <c r="I64" i="31"/>
  <c r="J64" i="31"/>
  <c r="U62" i="32"/>
  <c r="V62" i="32"/>
  <c r="W62" i="32" s="1"/>
  <c r="W60" i="17" s="1"/>
  <c r="V64" i="18"/>
  <c r="W64" i="18" s="1"/>
  <c r="T62" i="17" s="1"/>
  <c r="U64" i="18"/>
  <c r="I63" i="18"/>
  <c r="J63" i="18"/>
  <c r="K63" i="18" s="1"/>
  <c r="C61" i="17" s="1"/>
  <c r="U63" i="36"/>
  <c r="V63" i="36"/>
  <c r="W63" i="36" s="1"/>
  <c r="Z61" i="17" s="1"/>
  <c r="O58" i="17"/>
  <c r="E53" i="28"/>
  <c r="M53" i="38" s="1"/>
  <c r="U64" i="34"/>
  <c r="V64" i="34"/>
  <c r="W64" i="34" s="1"/>
  <c r="X62" i="17" s="1"/>
  <c r="N52" i="38"/>
  <c r="O52" i="38"/>
  <c r="J64" i="33"/>
  <c r="K64" i="33" s="1"/>
  <c r="H62" i="17" s="1"/>
  <c r="I64" i="33"/>
  <c r="U63" i="40"/>
  <c r="V63" i="40"/>
  <c r="W63" i="40" s="1"/>
  <c r="AB61" i="17" s="1"/>
  <c r="I64" i="35"/>
  <c r="J64" i="35"/>
  <c r="K64" i="35" s="1"/>
  <c r="E62" i="17" s="1"/>
  <c r="J62" i="32"/>
  <c r="I62" i="32"/>
  <c r="J63" i="40"/>
  <c r="K63" i="40" s="1"/>
  <c r="K61" i="17" s="1"/>
  <c r="I63" i="40"/>
  <c r="J54" i="38"/>
  <c r="K61" i="32"/>
  <c r="F59" i="17" s="1"/>
  <c r="L59" i="17" s="1"/>
  <c r="J64" i="37"/>
  <c r="K64" i="37" s="1"/>
  <c r="J62" i="17" s="1"/>
  <c r="I64" i="37"/>
  <c r="V65" i="35"/>
  <c r="W65" i="35" s="1"/>
  <c r="V63" i="17" s="1"/>
  <c r="U65" i="35"/>
  <c r="J66" i="36"/>
  <c r="K66" i="36" s="1"/>
  <c r="I64" i="17" s="1"/>
  <c r="I66" i="36"/>
  <c r="AC60" i="17" l="1"/>
  <c r="AF60" i="17" s="1"/>
  <c r="J64" i="34"/>
  <c r="I64" i="34"/>
  <c r="L56" i="38"/>
  <c r="K63" i="34"/>
  <c r="G61" i="17" s="1"/>
  <c r="B66" i="33"/>
  <c r="O66" i="32"/>
  <c r="O66" i="35"/>
  <c r="O66" i="33"/>
  <c r="B66" i="31"/>
  <c r="O66" i="40"/>
  <c r="O66" i="31"/>
  <c r="B66" i="40"/>
  <c r="O66" i="18"/>
  <c r="B66" i="18"/>
  <c r="B66" i="37"/>
  <c r="B66" i="35"/>
  <c r="O66" i="34"/>
  <c r="O66" i="37"/>
  <c r="B66" i="32"/>
  <c r="B66" i="36"/>
  <c r="B62" i="7"/>
  <c r="B66" i="34"/>
  <c r="O66" i="36"/>
  <c r="V64" i="37"/>
  <c r="W64" i="37" s="1"/>
  <c r="AA62" i="17" s="1"/>
  <c r="U64" i="37"/>
  <c r="V63" i="33"/>
  <c r="W63" i="33" s="1"/>
  <c r="Y61" i="17" s="1"/>
  <c r="U63" i="33"/>
  <c r="V65" i="31"/>
  <c r="W65" i="31" s="1"/>
  <c r="U63" i="17" s="1"/>
  <c r="U65" i="31"/>
  <c r="K64" i="31"/>
  <c r="D62" i="17" s="1"/>
  <c r="K57" i="38"/>
  <c r="J65" i="31"/>
  <c r="I65" i="31"/>
  <c r="V63" i="32"/>
  <c r="W63" i="32" s="1"/>
  <c r="W61" i="17" s="1"/>
  <c r="U63" i="32"/>
  <c r="U65" i="18"/>
  <c r="V65" i="18"/>
  <c r="W65" i="18" s="1"/>
  <c r="T63" i="17" s="1"/>
  <c r="I64" i="40"/>
  <c r="J64" i="40"/>
  <c r="K64" i="40" s="1"/>
  <c r="K62" i="17" s="1"/>
  <c r="I65" i="33"/>
  <c r="J65" i="33"/>
  <c r="K65" i="33" s="1"/>
  <c r="H63" i="17" s="1"/>
  <c r="K62" i="32"/>
  <c r="F60" i="17" s="1"/>
  <c r="L60" i="17" s="1"/>
  <c r="J55" i="38"/>
  <c r="U64" i="40"/>
  <c r="V64" i="40"/>
  <c r="W64" i="40" s="1"/>
  <c r="AB62" i="17" s="1"/>
  <c r="U65" i="34"/>
  <c r="V65" i="34"/>
  <c r="W65" i="34" s="1"/>
  <c r="X63" i="17" s="1"/>
  <c r="J64" i="18"/>
  <c r="K64" i="18" s="1"/>
  <c r="C62" i="17" s="1"/>
  <c r="I64" i="18"/>
  <c r="O59" i="17"/>
  <c r="E54" i="28"/>
  <c r="I63" i="32"/>
  <c r="J63" i="32"/>
  <c r="N53" i="38"/>
  <c r="O53" i="38"/>
  <c r="I65" i="35"/>
  <c r="J65" i="35"/>
  <c r="K65" i="35" s="1"/>
  <c r="E63" i="17" s="1"/>
  <c r="U64" i="36"/>
  <c r="V64" i="36"/>
  <c r="W64" i="36" s="1"/>
  <c r="Z62" i="17" s="1"/>
  <c r="V66" i="35"/>
  <c r="W66" i="35" s="1"/>
  <c r="V64" i="17" s="1"/>
  <c r="U66" i="35"/>
  <c r="J65" i="37"/>
  <c r="K65" i="37" s="1"/>
  <c r="J63" i="17" s="1"/>
  <c r="I65" i="37"/>
  <c r="J67" i="36"/>
  <c r="K67" i="36" s="1"/>
  <c r="I65" i="17" s="1"/>
  <c r="I67" i="36"/>
  <c r="I65" i="34" l="1"/>
  <c r="J65" i="34"/>
  <c r="L57" i="38"/>
  <c r="K64" i="34"/>
  <c r="G62" i="17" s="1"/>
  <c r="O67" i="40"/>
  <c r="O67" i="36"/>
  <c r="B67" i="36"/>
  <c r="B67" i="34"/>
  <c r="O67" i="34"/>
  <c r="B67" i="31"/>
  <c r="B63" i="7"/>
  <c r="B67" i="33"/>
  <c r="O67" i="35"/>
  <c r="B67" i="32"/>
  <c r="B67" i="40"/>
  <c r="O67" i="31"/>
  <c r="O67" i="32"/>
  <c r="O67" i="37"/>
  <c r="B67" i="35"/>
  <c r="B67" i="18"/>
  <c r="B67" i="37"/>
  <c r="O67" i="33"/>
  <c r="O67" i="18"/>
  <c r="V65" i="37"/>
  <c r="W65" i="37" s="1"/>
  <c r="AA63" i="17" s="1"/>
  <c r="U65" i="37"/>
  <c r="AC61" i="17"/>
  <c r="AF61" i="17" s="1"/>
  <c r="V64" i="33"/>
  <c r="W64" i="33" s="1"/>
  <c r="Y62" i="17" s="1"/>
  <c r="U64" i="33"/>
  <c r="V66" i="31"/>
  <c r="W66" i="31" s="1"/>
  <c r="U64" i="17" s="1"/>
  <c r="U66" i="31"/>
  <c r="K65" i="31"/>
  <c r="D63" i="17" s="1"/>
  <c r="K58" i="38"/>
  <c r="I66" i="31"/>
  <c r="J66" i="31"/>
  <c r="U66" i="18"/>
  <c r="V66" i="18"/>
  <c r="W66" i="18" s="1"/>
  <c r="T64" i="17" s="1"/>
  <c r="V64" i="32"/>
  <c r="W64" i="32" s="1"/>
  <c r="W62" i="17" s="1"/>
  <c r="U64" i="32"/>
  <c r="V65" i="36"/>
  <c r="W65" i="36" s="1"/>
  <c r="Z63" i="17" s="1"/>
  <c r="U65" i="36"/>
  <c r="U66" i="34"/>
  <c r="V66" i="34"/>
  <c r="W66" i="34" s="1"/>
  <c r="X64" i="17" s="1"/>
  <c r="O60" i="17"/>
  <c r="E55" i="28"/>
  <c r="M55" i="38" s="1"/>
  <c r="I66" i="33"/>
  <c r="J66" i="33"/>
  <c r="K66" i="33" s="1"/>
  <c r="H64" i="17" s="1"/>
  <c r="N54" i="38"/>
  <c r="O54" i="38"/>
  <c r="I65" i="18"/>
  <c r="J65" i="18"/>
  <c r="K65" i="18" s="1"/>
  <c r="C63" i="17" s="1"/>
  <c r="I66" i="35"/>
  <c r="J66" i="35"/>
  <c r="K66" i="35" s="1"/>
  <c r="E64" i="17" s="1"/>
  <c r="I64" i="32"/>
  <c r="J64" i="32"/>
  <c r="V65" i="40"/>
  <c r="W65" i="40" s="1"/>
  <c r="AB63" i="17" s="1"/>
  <c r="U65" i="40"/>
  <c r="I65" i="40"/>
  <c r="J65" i="40"/>
  <c r="K65" i="40" s="1"/>
  <c r="K63" i="17" s="1"/>
  <c r="J56" i="38"/>
  <c r="K63" i="32"/>
  <c r="F61" i="17" s="1"/>
  <c r="L61" i="17" s="1"/>
  <c r="M54" i="38"/>
  <c r="V67" i="35"/>
  <c r="W67" i="35" s="1"/>
  <c r="V65" i="17" s="1"/>
  <c r="U67" i="35"/>
  <c r="J68" i="36"/>
  <c r="K68" i="36" s="1"/>
  <c r="I66" i="17" s="1"/>
  <c r="I68" i="36"/>
  <c r="J66" i="37"/>
  <c r="K66" i="37" s="1"/>
  <c r="J64" i="17" s="1"/>
  <c r="I66" i="37"/>
  <c r="L58" i="38" l="1"/>
  <c r="K65" i="34"/>
  <c r="G63" i="17" s="1"/>
  <c r="I66" i="34"/>
  <c r="J66" i="34"/>
  <c r="O68" i="31"/>
  <c r="O68" i="32"/>
  <c r="O68" i="37"/>
  <c r="O68" i="33"/>
  <c r="B68" i="18"/>
  <c r="O68" i="36"/>
  <c r="B68" i="37"/>
  <c r="O68" i="35"/>
  <c r="B68" i="35"/>
  <c r="B68" i="40"/>
  <c r="B68" i="32"/>
  <c r="B68" i="31"/>
  <c r="O68" i="40"/>
  <c r="O68" i="18"/>
  <c r="B68" i="33"/>
  <c r="O68" i="34"/>
  <c r="B68" i="34"/>
  <c r="B64" i="7"/>
  <c r="B68" i="36"/>
  <c r="AC62" i="17"/>
  <c r="AF62" i="17" s="1"/>
  <c r="V66" i="37"/>
  <c r="W66" i="37" s="1"/>
  <c r="AA64" i="17" s="1"/>
  <c r="U66" i="37"/>
  <c r="V65" i="33"/>
  <c r="W65" i="33" s="1"/>
  <c r="Y63" i="17" s="1"/>
  <c r="U65" i="33"/>
  <c r="V67" i="31"/>
  <c r="W67" i="31" s="1"/>
  <c r="U65" i="17" s="1"/>
  <c r="U67" i="31"/>
  <c r="K66" i="31"/>
  <c r="D64" i="17" s="1"/>
  <c r="K59" i="38"/>
  <c r="J67" i="31"/>
  <c r="I67" i="31"/>
  <c r="U65" i="32"/>
  <c r="V65" i="32"/>
  <c r="W65" i="32" s="1"/>
  <c r="W63" i="17" s="1"/>
  <c r="U67" i="18"/>
  <c r="V67" i="18"/>
  <c r="W67" i="18" s="1"/>
  <c r="T65" i="17" s="1"/>
  <c r="V66" i="40"/>
  <c r="W66" i="40" s="1"/>
  <c r="AB64" i="17" s="1"/>
  <c r="U66" i="40"/>
  <c r="J57" i="38"/>
  <c r="K64" i="32"/>
  <c r="F62" i="17" s="1"/>
  <c r="L62" i="17" s="1"/>
  <c r="I66" i="18"/>
  <c r="J66" i="18"/>
  <c r="K66" i="18" s="1"/>
  <c r="C64" i="17" s="1"/>
  <c r="I67" i="33"/>
  <c r="J67" i="33"/>
  <c r="K67" i="33" s="1"/>
  <c r="H65" i="17" s="1"/>
  <c r="U67" i="34"/>
  <c r="V67" i="34"/>
  <c r="W67" i="34" s="1"/>
  <c r="X65" i="17" s="1"/>
  <c r="I66" i="40"/>
  <c r="J66" i="40"/>
  <c r="K66" i="40" s="1"/>
  <c r="K64" i="17" s="1"/>
  <c r="I67" i="35"/>
  <c r="J67" i="35"/>
  <c r="K67" i="35" s="1"/>
  <c r="E65" i="17" s="1"/>
  <c r="E56" i="28"/>
  <c r="M56" i="38" s="1"/>
  <c r="O61" i="17"/>
  <c r="I65" i="32"/>
  <c r="J65" i="32"/>
  <c r="N55" i="38"/>
  <c r="O55" i="38"/>
  <c r="V66" i="36"/>
  <c r="W66" i="36" s="1"/>
  <c r="Z64" i="17" s="1"/>
  <c r="U66" i="36"/>
  <c r="J69" i="36"/>
  <c r="K69" i="36" s="1"/>
  <c r="I67" i="17" s="1"/>
  <c r="I69" i="36"/>
  <c r="V68" i="35"/>
  <c r="W68" i="35" s="1"/>
  <c r="V66" i="17" s="1"/>
  <c r="U68" i="35"/>
  <c r="J67" i="37"/>
  <c r="K67" i="37" s="1"/>
  <c r="J65" i="17" s="1"/>
  <c r="I67" i="37"/>
  <c r="K66" i="34" l="1"/>
  <c r="G64" i="17" s="1"/>
  <c r="L59" i="38"/>
  <c r="I67" i="34"/>
  <c r="J67" i="34"/>
  <c r="AC63" i="17"/>
  <c r="AF63" i="17" s="1"/>
  <c r="O69" i="33"/>
  <c r="B69" i="40"/>
  <c r="B69" i="36"/>
  <c r="O69" i="31"/>
  <c r="O69" i="32"/>
  <c r="B69" i="33"/>
  <c r="B69" i="32"/>
  <c r="O69" i="37"/>
  <c r="B65" i="7"/>
  <c r="B69" i="35"/>
  <c r="B69" i="31"/>
  <c r="O69" i="35"/>
  <c r="O69" i="36"/>
  <c r="O69" i="34"/>
  <c r="O69" i="40"/>
  <c r="B69" i="37"/>
  <c r="B69" i="34"/>
  <c r="O69" i="18"/>
  <c r="B69" i="18"/>
  <c r="V67" i="37"/>
  <c r="W67" i="37" s="1"/>
  <c r="AA65" i="17" s="1"/>
  <c r="U67" i="37"/>
  <c r="V66" i="33"/>
  <c r="W66" i="33" s="1"/>
  <c r="Y64" i="17" s="1"/>
  <c r="U66" i="33"/>
  <c r="V68" i="31"/>
  <c r="W68" i="31" s="1"/>
  <c r="U66" i="17" s="1"/>
  <c r="U68" i="31"/>
  <c r="I68" i="31"/>
  <c r="J68" i="31"/>
  <c r="K67" i="31"/>
  <c r="D65" i="17" s="1"/>
  <c r="K60" i="38"/>
  <c r="U68" i="18"/>
  <c r="V68" i="18"/>
  <c r="W68" i="18" s="1"/>
  <c r="T66" i="17" s="1"/>
  <c r="U66" i="32"/>
  <c r="V66" i="32"/>
  <c r="W66" i="32" s="1"/>
  <c r="W64" i="17" s="1"/>
  <c r="J58" i="38"/>
  <c r="K65" i="32"/>
  <c r="F63" i="17" s="1"/>
  <c r="L63" i="17" s="1"/>
  <c r="E57" i="28"/>
  <c r="M57" i="38" s="1"/>
  <c r="O62" i="17"/>
  <c r="N56" i="38"/>
  <c r="O56" i="38"/>
  <c r="I68" i="35"/>
  <c r="J68" i="35"/>
  <c r="K68" i="35" s="1"/>
  <c r="E66" i="17" s="1"/>
  <c r="J67" i="40"/>
  <c r="K67" i="40" s="1"/>
  <c r="K65" i="17" s="1"/>
  <c r="I67" i="40"/>
  <c r="I68" i="33"/>
  <c r="J68" i="33"/>
  <c r="K68" i="33" s="1"/>
  <c r="H66" i="17" s="1"/>
  <c r="U67" i="36"/>
  <c r="V67" i="36"/>
  <c r="W67" i="36" s="1"/>
  <c r="Z65" i="17" s="1"/>
  <c r="V67" i="40"/>
  <c r="W67" i="40" s="1"/>
  <c r="AB65" i="17" s="1"/>
  <c r="U67" i="40"/>
  <c r="I66" i="32"/>
  <c r="J66" i="32"/>
  <c r="U68" i="34"/>
  <c r="V68" i="34"/>
  <c r="W68" i="34" s="1"/>
  <c r="X66" i="17" s="1"/>
  <c r="I67" i="18"/>
  <c r="J67" i="18"/>
  <c r="K67" i="18" s="1"/>
  <c r="C65" i="17" s="1"/>
  <c r="V69" i="35"/>
  <c r="W69" i="35" s="1"/>
  <c r="V67" i="17" s="1"/>
  <c r="U69" i="35"/>
  <c r="J68" i="37"/>
  <c r="K68" i="37" s="1"/>
  <c r="J66" i="17" s="1"/>
  <c r="I68" i="37"/>
  <c r="J70" i="36"/>
  <c r="K70" i="36" s="1"/>
  <c r="I68" i="17" s="1"/>
  <c r="I70" i="36"/>
  <c r="K67" i="34" l="1"/>
  <c r="G65" i="17" s="1"/>
  <c r="L60" i="38"/>
  <c r="I68" i="34"/>
  <c r="J68" i="34"/>
  <c r="O70" i="35"/>
  <c r="B70" i="32"/>
  <c r="B70" i="40"/>
  <c r="B70" i="18"/>
  <c r="O70" i="36"/>
  <c r="B66" i="7"/>
  <c r="O70" i="32"/>
  <c r="O70" i="18"/>
  <c r="O70" i="33"/>
  <c r="B70" i="37"/>
  <c r="O70" i="34"/>
  <c r="B70" i="36"/>
  <c r="B70" i="34"/>
  <c r="B70" i="35"/>
  <c r="B70" i="31"/>
  <c r="O70" i="40"/>
  <c r="O70" i="31"/>
  <c r="O70" i="37"/>
  <c r="B70" i="33"/>
  <c r="U68" i="37"/>
  <c r="V68" i="37"/>
  <c r="W68" i="37" s="1"/>
  <c r="AA66" i="17" s="1"/>
  <c r="AC64" i="17"/>
  <c r="AF64" i="17" s="1"/>
  <c r="V67" i="33"/>
  <c r="W67" i="33" s="1"/>
  <c r="Y65" i="17" s="1"/>
  <c r="U67" i="33"/>
  <c r="V69" i="31"/>
  <c r="W69" i="31" s="1"/>
  <c r="U67" i="17" s="1"/>
  <c r="U69" i="31"/>
  <c r="K61" i="38"/>
  <c r="K68" i="31"/>
  <c r="D66" i="17" s="1"/>
  <c r="I69" i="31"/>
  <c r="J69" i="31"/>
  <c r="V67" i="32"/>
  <c r="W67" i="32" s="1"/>
  <c r="W65" i="17" s="1"/>
  <c r="U67" i="32"/>
  <c r="U69" i="18"/>
  <c r="V69" i="18"/>
  <c r="W69" i="18" s="1"/>
  <c r="T67" i="17" s="1"/>
  <c r="I68" i="18"/>
  <c r="J68" i="18"/>
  <c r="K68" i="18" s="1"/>
  <c r="C66" i="17" s="1"/>
  <c r="V68" i="36"/>
  <c r="W68" i="36" s="1"/>
  <c r="Z66" i="17" s="1"/>
  <c r="U68" i="36"/>
  <c r="I69" i="35"/>
  <c r="J69" i="35"/>
  <c r="K69" i="35" s="1"/>
  <c r="E67" i="17" s="1"/>
  <c r="U69" i="34"/>
  <c r="V69" i="34"/>
  <c r="W69" i="34" s="1"/>
  <c r="X67" i="17" s="1"/>
  <c r="J67" i="32"/>
  <c r="I67" i="32"/>
  <c r="N57" i="38"/>
  <c r="O57" i="38"/>
  <c r="K66" i="32"/>
  <c r="F64" i="17" s="1"/>
  <c r="L64" i="17" s="1"/>
  <c r="J59" i="38"/>
  <c r="J68" i="40"/>
  <c r="K68" i="40" s="1"/>
  <c r="K66" i="17" s="1"/>
  <c r="I68" i="40"/>
  <c r="I69" i="33"/>
  <c r="J69" i="33"/>
  <c r="K69" i="33" s="1"/>
  <c r="H67" i="17" s="1"/>
  <c r="U68" i="40"/>
  <c r="V68" i="40"/>
  <c r="W68" i="40" s="1"/>
  <c r="AB66" i="17" s="1"/>
  <c r="O63" i="17"/>
  <c r="E58" i="28"/>
  <c r="J69" i="37"/>
  <c r="K69" i="37" s="1"/>
  <c r="J67" i="17" s="1"/>
  <c r="I69" i="37"/>
  <c r="V70" i="35"/>
  <c r="W70" i="35" s="1"/>
  <c r="V68" i="17" s="1"/>
  <c r="U70" i="35"/>
  <c r="J71" i="36"/>
  <c r="K71" i="36" s="1"/>
  <c r="I69" i="17" s="1"/>
  <c r="I71" i="36"/>
  <c r="L61" i="38" l="1"/>
  <c r="K68" i="34"/>
  <c r="G66" i="17" s="1"/>
  <c r="J69" i="34"/>
  <c r="I69" i="34"/>
  <c r="B71" i="35"/>
  <c r="B71" i="36"/>
  <c r="B71" i="32"/>
  <c r="O71" i="31"/>
  <c r="B71" i="33"/>
  <c r="B71" i="40"/>
  <c r="O71" i="32"/>
  <c r="B71" i="37"/>
  <c r="O71" i="33"/>
  <c r="O71" i="18"/>
  <c r="O71" i="35"/>
  <c r="B71" i="34"/>
  <c r="B67" i="7"/>
  <c r="B71" i="18"/>
  <c r="O71" i="36"/>
  <c r="O71" i="37"/>
  <c r="B71" i="31"/>
  <c r="O71" i="40"/>
  <c r="O71" i="34"/>
  <c r="AC65" i="17"/>
  <c r="AF65" i="17" s="1"/>
  <c r="U69" i="37"/>
  <c r="V69" i="37"/>
  <c r="W69" i="37" s="1"/>
  <c r="AA67" i="17" s="1"/>
  <c r="V68" i="33"/>
  <c r="W68" i="33" s="1"/>
  <c r="Y66" i="17" s="1"/>
  <c r="U68" i="33"/>
  <c r="U70" i="31"/>
  <c r="V70" i="31"/>
  <c r="W70" i="31" s="1"/>
  <c r="U68" i="17" s="1"/>
  <c r="K62" i="38"/>
  <c r="K69" i="31"/>
  <c r="D67" i="17" s="1"/>
  <c r="I70" i="31"/>
  <c r="J70" i="31"/>
  <c r="U70" i="18"/>
  <c r="V70" i="18"/>
  <c r="W70" i="18" s="1"/>
  <c r="T68" i="17" s="1"/>
  <c r="V68" i="32"/>
  <c r="W68" i="32" s="1"/>
  <c r="W66" i="17" s="1"/>
  <c r="U68" i="32"/>
  <c r="J69" i="40"/>
  <c r="K69" i="40" s="1"/>
  <c r="K67" i="17" s="1"/>
  <c r="I69" i="40"/>
  <c r="U69" i="36"/>
  <c r="V69" i="36"/>
  <c r="W69" i="36" s="1"/>
  <c r="Z67" i="17" s="1"/>
  <c r="O58" i="38"/>
  <c r="N58" i="38"/>
  <c r="K67" i="32"/>
  <c r="F65" i="17" s="1"/>
  <c r="L65" i="17" s="1"/>
  <c r="J60" i="38"/>
  <c r="I70" i="35"/>
  <c r="J70" i="35"/>
  <c r="K70" i="35" s="1"/>
  <c r="E68" i="17" s="1"/>
  <c r="I69" i="18"/>
  <c r="J69" i="18"/>
  <c r="K69" i="18" s="1"/>
  <c r="C67" i="17" s="1"/>
  <c r="U69" i="40"/>
  <c r="V69" i="40"/>
  <c r="W69" i="40" s="1"/>
  <c r="AB67" i="17" s="1"/>
  <c r="I70" i="33"/>
  <c r="J70" i="33"/>
  <c r="K70" i="33" s="1"/>
  <c r="H68" i="17" s="1"/>
  <c r="I68" i="32"/>
  <c r="J68" i="32"/>
  <c r="M58" i="38"/>
  <c r="O64" i="17"/>
  <c r="E59" i="28"/>
  <c r="M59" i="38" s="1"/>
  <c r="V70" i="34"/>
  <c r="W70" i="34" s="1"/>
  <c r="X68" i="17" s="1"/>
  <c r="U70" i="34"/>
  <c r="J70" i="37"/>
  <c r="K70" i="37" s="1"/>
  <c r="J68" i="17" s="1"/>
  <c r="I70" i="37"/>
  <c r="J72" i="36"/>
  <c r="K72" i="36" s="1"/>
  <c r="I70" i="17" s="1"/>
  <c r="I72" i="36"/>
  <c r="V71" i="35"/>
  <c r="W71" i="35" s="1"/>
  <c r="V69" i="17" s="1"/>
  <c r="U71" i="35"/>
  <c r="I70" i="34" l="1"/>
  <c r="J70" i="34"/>
  <c r="K69" i="34"/>
  <c r="G67" i="17" s="1"/>
  <c r="L62" i="38"/>
  <c r="B72" i="36"/>
  <c r="B72" i="37"/>
  <c r="O72" i="35"/>
  <c r="B68" i="7"/>
  <c r="O72" i="31"/>
  <c r="O72" i="32"/>
  <c r="B72" i="40"/>
  <c r="B72" i="32"/>
  <c r="O72" i="18"/>
  <c r="O72" i="33"/>
  <c r="O72" i="36"/>
  <c r="B72" i="33"/>
  <c r="B72" i="31"/>
  <c r="O72" i="37"/>
  <c r="O72" i="40"/>
  <c r="B72" i="34"/>
  <c r="O72" i="34"/>
  <c r="B72" i="18"/>
  <c r="B72" i="35"/>
  <c r="V70" i="37"/>
  <c r="W70" i="37" s="1"/>
  <c r="AA68" i="17" s="1"/>
  <c r="U70" i="37"/>
  <c r="AC66" i="17"/>
  <c r="AF66" i="17" s="1"/>
  <c r="U69" i="33"/>
  <c r="V69" i="33"/>
  <c r="W69" i="33" s="1"/>
  <c r="Y67" i="17" s="1"/>
  <c r="V71" i="31"/>
  <c r="W71" i="31" s="1"/>
  <c r="U69" i="17" s="1"/>
  <c r="U71" i="31"/>
  <c r="K63" i="38"/>
  <c r="K70" i="31"/>
  <c r="D68" i="17" s="1"/>
  <c r="I71" i="31"/>
  <c r="J71" i="31"/>
  <c r="V69" i="32"/>
  <c r="W69" i="32" s="1"/>
  <c r="W67" i="17" s="1"/>
  <c r="U69" i="32"/>
  <c r="U71" i="18"/>
  <c r="V71" i="18"/>
  <c r="W71" i="18" s="1"/>
  <c r="T69" i="17" s="1"/>
  <c r="K68" i="32"/>
  <c r="F66" i="17" s="1"/>
  <c r="L66" i="17" s="1"/>
  <c r="J61" i="38"/>
  <c r="U71" i="34"/>
  <c r="V71" i="34"/>
  <c r="W71" i="34" s="1"/>
  <c r="X69" i="17" s="1"/>
  <c r="N59" i="38"/>
  <c r="O59" i="38"/>
  <c r="I71" i="33"/>
  <c r="J71" i="33"/>
  <c r="K71" i="33" s="1"/>
  <c r="H69" i="17" s="1"/>
  <c r="I70" i="18"/>
  <c r="J70" i="18"/>
  <c r="K70" i="18" s="1"/>
  <c r="C68" i="17" s="1"/>
  <c r="O65" i="17"/>
  <c r="E60" i="28"/>
  <c r="M60" i="38" s="1"/>
  <c r="J70" i="40"/>
  <c r="K70" i="40" s="1"/>
  <c r="K68" i="17" s="1"/>
  <c r="I70" i="40"/>
  <c r="I69" i="32"/>
  <c r="J69" i="32"/>
  <c r="V70" i="40"/>
  <c r="W70" i="40" s="1"/>
  <c r="AB68" i="17" s="1"/>
  <c r="U70" i="40"/>
  <c r="I71" i="35"/>
  <c r="J71" i="35"/>
  <c r="K71" i="35" s="1"/>
  <c r="E69" i="17" s="1"/>
  <c r="V70" i="36"/>
  <c r="W70" i="36" s="1"/>
  <c r="Z68" i="17" s="1"/>
  <c r="U70" i="36"/>
  <c r="V72" i="35"/>
  <c r="W72" i="35" s="1"/>
  <c r="V70" i="17" s="1"/>
  <c r="U72" i="35"/>
  <c r="J73" i="36"/>
  <c r="K73" i="36" s="1"/>
  <c r="I71" i="17" s="1"/>
  <c r="I73" i="36"/>
  <c r="J71" i="37"/>
  <c r="K71" i="37" s="1"/>
  <c r="J69" i="17" s="1"/>
  <c r="I71" i="37"/>
  <c r="K70" i="34" l="1"/>
  <c r="G68" i="17" s="1"/>
  <c r="L63" i="38"/>
  <c r="J71" i="34"/>
  <c r="I71" i="34"/>
  <c r="O73" i="37"/>
  <c r="B73" i="32"/>
  <c r="O73" i="18"/>
  <c r="B73" i="36"/>
  <c r="O73" i="40"/>
  <c r="B73" i="18"/>
  <c r="B73" i="35"/>
  <c r="B69" i="7"/>
  <c r="O73" i="33"/>
  <c r="O73" i="35"/>
  <c r="O73" i="36"/>
  <c r="O73" i="32"/>
  <c r="B73" i="31"/>
  <c r="B73" i="40"/>
  <c r="O73" i="31"/>
  <c r="B73" i="33"/>
  <c r="O73" i="34"/>
  <c r="B73" i="34"/>
  <c r="B73" i="37"/>
  <c r="U71" i="37"/>
  <c r="V71" i="37"/>
  <c r="W71" i="37" s="1"/>
  <c r="AA69" i="17" s="1"/>
  <c r="AC67" i="17"/>
  <c r="AF67" i="17" s="1"/>
  <c r="U70" i="33"/>
  <c r="V70" i="33"/>
  <c r="W70" i="33" s="1"/>
  <c r="Y68" i="17" s="1"/>
  <c r="V72" i="31"/>
  <c r="W72" i="31" s="1"/>
  <c r="U70" i="17" s="1"/>
  <c r="U72" i="31"/>
  <c r="I72" i="31"/>
  <c r="J72" i="31"/>
  <c r="K71" i="31"/>
  <c r="D69" i="17" s="1"/>
  <c r="K64" i="38"/>
  <c r="U72" i="18"/>
  <c r="V72" i="18"/>
  <c r="W72" i="18" s="1"/>
  <c r="T70" i="17" s="1"/>
  <c r="V70" i="32"/>
  <c r="W70" i="32" s="1"/>
  <c r="W68" i="17" s="1"/>
  <c r="U70" i="32"/>
  <c r="K69" i="32"/>
  <c r="F67" i="17" s="1"/>
  <c r="L67" i="17" s="1"/>
  <c r="J62" i="38"/>
  <c r="J71" i="40"/>
  <c r="K71" i="40" s="1"/>
  <c r="K69" i="17" s="1"/>
  <c r="I71" i="40"/>
  <c r="J71" i="18"/>
  <c r="K71" i="18" s="1"/>
  <c r="C69" i="17" s="1"/>
  <c r="I71" i="18"/>
  <c r="U71" i="36"/>
  <c r="V71" i="36"/>
  <c r="W71" i="36" s="1"/>
  <c r="Z69" i="17" s="1"/>
  <c r="V71" i="40"/>
  <c r="W71" i="40" s="1"/>
  <c r="AB69" i="17" s="1"/>
  <c r="U71" i="40"/>
  <c r="J72" i="33"/>
  <c r="K72" i="33" s="1"/>
  <c r="H70" i="17" s="1"/>
  <c r="I72" i="33"/>
  <c r="U72" i="34"/>
  <c r="V72" i="34"/>
  <c r="W72" i="34" s="1"/>
  <c r="X70" i="17" s="1"/>
  <c r="E61" i="28"/>
  <c r="M61" i="38" s="1"/>
  <c r="O66" i="17"/>
  <c r="I72" i="35"/>
  <c r="J72" i="35"/>
  <c r="K72" i="35" s="1"/>
  <c r="E70" i="17" s="1"/>
  <c r="I70" i="32"/>
  <c r="J70" i="32"/>
  <c r="N60" i="38"/>
  <c r="O60" i="38"/>
  <c r="J74" i="36"/>
  <c r="K74" i="36" s="1"/>
  <c r="I72" i="17" s="1"/>
  <c r="I74" i="36"/>
  <c r="J72" i="37"/>
  <c r="K72" i="37" s="1"/>
  <c r="J70" i="17" s="1"/>
  <c r="I72" i="37"/>
  <c r="V73" i="35"/>
  <c r="W73" i="35" s="1"/>
  <c r="V71" i="17" s="1"/>
  <c r="U73" i="35"/>
  <c r="J72" i="34" l="1"/>
  <c r="I72" i="34"/>
  <c r="K71" i="34"/>
  <c r="G69" i="17" s="1"/>
  <c r="L64" i="38"/>
  <c r="AC68" i="17"/>
  <c r="AF68" i="17" s="1"/>
  <c r="O74" i="18"/>
  <c r="B74" i="37"/>
  <c r="O74" i="40"/>
  <c r="B74" i="36"/>
  <c r="B74" i="40"/>
  <c r="B74" i="32"/>
  <c r="O74" i="31"/>
  <c r="O74" i="33"/>
  <c r="B74" i="18"/>
  <c r="B74" i="35"/>
  <c r="O74" i="34"/>
  <c r="B74" i="34"/>
  <c r="O74" i="36"/>
  <c r="B70" i="7"/>
  <c r="B74" i="31"/>
  <c r="O74" i="35"/>
  <c r="B74" i="33"/>
  <c r="O74" i="32"/>
  <c r="O74" i="37"/>
  <c r="V72" i="37"/>
  <c r="W72" i="37" s="1"/>
  <c r="AA70" i="17" s="1"/>
  <c r="U72" i="37"/>
  <c r="V71" i="33"/>
  <c r="W71" i="33" s="1"/>
  <c r="Y69" i="17" s="1"/>
  <c r="U71" i="33"/>
  <c r="V73" i="31"/>
  <c r="W73" i="31" s="1"/>
  <c r="U71" i="17" s="1"/>
  <c r="U73" i="31"/>
  <c r="K72" i="31"/>
  <c r="D70" i="17" s="1"/>
  <c r="K65" i="38"/>
  <c r="J73" i="31"/>
  <c r="I73" i="31"/>
  <c r="V73" i="18"/>
  <c r="W73" i="18" s="1"/>
  <c r="T71" i="17" s="1"/>
  <c r="U73" i="18"/>
  <c r="V71" i="32"/>
  <c r="W71" i="32" s="1"/>
  <c r="W69" i="17" s="1"/>
  <c r="U71" i="32"/>
  <c r="J73" i="35"/>
  <c r="K73" i="35" s="1"/>
  <c r="E71" i="17" s="1"/>
  <c r="I73" i="35"/>
  <c r="U73" i="34"/>
  <c r="V73" i="34"/>
  <c r="W73" i="34" s="1"/>
  <c r="X71" i="17" s="1"/>
  <c r="V72" i="36"/>
  <c r="W72" i="36" s="1"/>
  <c r="Z70" i="17" s="1"/>
  <c r="U72" i="36"/>
  <c r="E62" i="28"/>
  <c r="O67" i="17"/>
  <c r="J72" i="18"/>
  <c r="K72" i="18" s="1"/>
  <c r="C70" i="17" s="1"/>
  <c r="I72" i="18"/>
  <c r="I71" i="32"/>
  <c r="J71" i="32"/>
  <c r="N61" i="38"/>
  <c r="O61" i="38"/>
  <c r="K70" i="32"/>
  <c r="F68" i="17" s="1"/>
  <c r="L68" i="17" s="1"/>
  <c r="J63" i="38"/>
  <c r="J73" i="33"/>
  <c r="K73" i="33" s="1"/>
  <c r="H71" i="17" s="1"/>
  <c r="I73" i="33"/>
  <c r="U72" i="40"/>
  <c r="V72" i="40"/>
  <c r="W72" i="40" s="1"/>
  <c r="AB70" i="17" s="1"/>
  <c r="I72" i="40"/>
  <c r="J72" i="40"/>
  <c r="K72" i="40" s="1"/>
  <c r="K70" i="17" s="1"/>
  <c r="J73" i="37"/>
  <c r="K73" i="37" s="1"/>
  <c r="J71" i="17" s="1"/>
  <c r="I73" i="37"/>
  <c r="U74" i="35"/>
  <c r="V74" i="35"/>
  <c r="W74" i="35" s="1"/>
  <c r="V72" i="17" s="1"/>
  <c r="J75" i="36"/>
  <c r="K75" i="36" s="1"/>
  <c r="I73" i="17" s="1"/>
  <c r="I75" i="36"/>
  <c r="J73" i="34" l="1"/>
  <c r="I73" i="34"/>
  <c r="L65" i="38"/>
  <c r="K72" i="34"/>
  <c r="G70" i="17" s="1"/>
  <c r="B75" i="32"/>
  <c r="O75" i="31"/>
  <c r="O75" i="18"/>
  <c r="B71" i="7"/>
  <c r="O75" i="36"/>
  <c r="B75" i="33"/>
  <c r="B75" i="31"/>
  <c r="B75" i="37"/>
  <c r="O75" i="35"/>
  <c r="O75" i="33"/>
  <c r="B75" i="40"/>
  <c r="B75" i="34"/>
  <c r="O75" i="40"/>
  <c r="B75" i="35"/>
  <c r="O75" i="34"/>
  <c r="O75" i="32"/>
  <c r="O75" i="37"/>
  <c r="B75" i="36"/>
  <c r="B75" i="18"/>
  <c r="U73" i="37"/>
  <c r="V73" i="37"/>
  <c r="W73" i="37" s="1"/>
  <c r="AA71" i="17" s="1"/>
  <c r="AC69" i="17"/>
  <c r="AF69" i="17" s="1"/>
  <c r="V72" i="33"/>
  <c r="W72" i="33" s="1"/>
  <c r="Y70" i="17" s="1"/>
  <c r="U72" i="33"/>
  <c r="U74" i="31"/>
  <c r="V74" i="31"/>
  <c r="W74" i="31" s="1"/>
  <c r="U72" i="17" s="1"/>
  <c r="J74" i="31"/>
  <c r="I74" i="31"/>
  <c r="K66" i="38"/>
  <c r="K73" i="31"/>
  <c r="D71" i="17" s="1"/>
  <c r="V74" i="18"/>
  <c r="W74" i="18" s="1"/>
  <c r="T72" i="17" s="1"/>
  <c r="U74" i="18"/>
  <c r="V72" i="32"/>
  <c r="W72" i="32" s="1"/>
  <c r="W70" i="17" s="1"/>
  <c r="U72" i="32"/>
  <c r="J73" i="40"/>
  <c r="K73" i="40" s="1"/>
  <c r="K71" i="17" s="1"/>
  <c r="I73" i="40"/>
  <c r="J72" i="32"/>
  <c r="I72" i="32"/>
  <c r="V74" i="34"/>
  <c r="W74" i="34" s="1"/>
  <c r="X72" i="17" s="1"/>
  <c r="U74" i="34"/>
  <c r="I74" i="33"/>
  <c r="J74" i="33"/>
  <c r="K74" i="33" s="1"/>
  <c r="H72" i="17" s="1"/>
  <c r="K71" i="32"/>
  <c r="F69" i="17" s="1"/>
  <c r="L69" i="17" s="1"/>
  <c r="J64" i="38"/>
  <c r="U73" i="40"/>
  <c r="V73" i="40"/>
  <c r="W73" i="40" s="1"/>
  <c r="AB71" i="17" s="1"/>
  <c r="O68" i="17"/>
  <c r="E63" i="28"/>
  <c r="M63" i="38" s="1"/>
  <c r="M62" i="38"/>
  <c r="N62" i="38"/>
  <c r="O62" i="38"/>
  <c r="I73" i="18"/>
  <c r="J73" i="18"/>
  <c r="K73" i="18" s="1"/>
  <c r="C71" i="17" s="1"/>
  <c r="U73" i="36"/>
  <c r="V73" i="36"/>
  <c r="W73" i="36" s="1"/>
  <c r="Z71" i="17" s="1"/>
  <c r="I74" i="35"/>
  <c r="J74" i="35"/>
  <c r="K74" i="35" s="1"/>
  <c r="E72" i="17" s="1"/>
  <c r="V75" i="35"/>
  <c r="W75" i="35" s="1"/>
  <c r="V73" i="17" s="1"/>
  <c r="U75" i="35"/>
  <c r="J74" i="37"/>
  <c r="K74" i="37" s="1"/>
  <c r="J72" i="17" s="1"/>
  <c r="I74" i="37"/>
  <c r="J76" i="36"/>
  <c r="K76" i="36" s="1"/>
  <c r="I74" i="17" s="1"/>
  <c r="I76" i="36"/>
  <c r="J74" i="34" l="1"/>
  <c r="I74" i="34"/>
  <c r="K73" i="34"/>
  <c r="G71" i="17" s="1"/>
  <c r="L66" i="38"/>
  <c r="O76" i="32"/>
  <c r="O76" i="33"/>
  <c r="B76" i="40"/>
  <c r="O76" i="36"/>
  <c r="B76" i="31"/>
  <c r="O76" i="37"/>
  <c r="O76" i="35"/>
  <c r="B76" i="34"/>
  <c r="B76" i="35"/>
  <c r="B76" i="37"/>
  <c r="B76" i="36"/>
  <c r="O76" i="18"/>
  <c r="B76" i="18"/>
  <c r="B72" i="7"/>
  <c r="O76" i="40"/>
  <c r="B76" i="32"/>
  <c r="O76" i="31"/>
  <c r="O76" i="34"/>
  <c r="B76" i="33"/>
  <c r="AC70" i="17"/>
  <c r="AF70" i="17" s="1"/>
  <c r="V74" i="37"/>
  <c r="W74" i="37" s="1"/>
  <c r="AA72" i="17" s="1"/>
  <c r="U74" i="37"/>
  <c r="V73" i="33"/>
  <c r="W73" i="33" s="1"/>
  <c r="Y71" i="17" s="1"/>
  <c r="U73" i="33"/>
  <c r="V75" i="31"/>
  <c r="W75" i="31" s="1"/>
  <c r="U73" i="17" s="1"/>
  <c r="U75" i="31"/>
  <c r="I75" i="31"/>
  <c r="J75" i="31"/>
  <c r="K74" i="31"/>
  <c r="D72" i="17" s="1"/>
  <c r="K67" i="38"/>
  <c r="V73" i="32"/>
  <c r="W73" i="32" s="1"/>
  <c r="W71" i="17" s="1"/>
  <c r="U73" i="32"/>
  <c r="U75" i="18"/>
  <c r="V75" i="18"/>
  <c r="W75" i="18" s="1"/>
  <c r="T73" i="17" s="1"/>
  <c r="V74" i="40"/>
  <c r="W74" i="40" s="1"/>
  <c r="AB72" i="17" s="1"/>
  <c r="U74" i="40"/>
  <c r="I75" i="33"/>
  <c r="J75" i="33"/>
  <c r="K75" i="33" s="1"/>
  <c r="H73" i="17" s="1"/>
  <c r="U74" i="36"/>
  <c r="V74" i="36"/>
  <c r="W74" i="36" s="1"/>
  <c r="Z72" i="17" s="1"/>
  <c r="O69" i="17"/>
  <c r="E64" i="28"/>
  <c r="M64" i="38" s="1"/>
  <c r="J65" i="38"/>
  <c r="K72" i="32"/>
  <c r="F70" i="17" s="1"/>
  <c r="L70" i="17" s="1"/>
  <c r="I75" i="35"/>
  <c r="J75" i="35"/>
  <c r="K75" i="35" s="1"/>
  <c r="E73" i="17" s="1"/>
  <c r="J74" i="18"/>
  <c r="K74" i="18" s="1"/>
  <c r="C72" i="17" s="1"/>
  <c r="I74" i="18"/>
  <c r="N63" i="38"/>
  <c r="O63" i="38"/>
  <c r="U75" i="34"/>
  <c r="V75" i="34"/>
  <c r="W75" i="34" s="1"/>
  <c r="X73" i="17" s="1"/>
  <c r="I73" i="32"/>
  <c r="J73" i="32"/>
  <c r="J74" i="40"/>
  <c r="K74" i="40" s="1"/>
  <c r="K72" i="17" s="1"/>
  <c r="I74" i="40"/>
  <c r="J75" i="37"/>
  <c r="K75" i="37" s="1"/>
  <c r="J73" i="17" s="1"/>
  <c r="I75" i="37"/>
  <c r="J77" i="36"/>
  <c r="K77" i="36" s="1"/>
  <c r="I75" i="17" s="1"/>
  <c r="I77" i="36"/>
  <c r="V76" i="35"/>
  <c r="W76" i="35" s="1"/>
  <c r="V74" i="17" s="1"/>
  <c r="U76" i="35"/>
  <c r="I75" i="34" l="1"/>
  <c r="J75" i="34"/>
  <c r="L67" i="38"/>
  <c r="K74" i="34"/>
  <c r="G72" i="17" s="1"/>
  <c r="B77" i="31"/>
  <c r="O77" i="32"/>
  <c r="B77" i="35"/>
  <c r="B77" i="37"/>
  <c r="B77" i="36"/>
  <c r="O77" i="33"/>
  <c r="B77" i="18"/>
  <c r="B73" i="7"/>
  <c r="O77" i="36"/>
  <c r="B77" i="33"/>
  <c r="O77" i="34"/>
  <c r="B77" i="34"/>
  <c r="O77" i="35"/>
  <c r="B77" i="32"/>
  <c r="O77" i="37"/>
  <c r="O77" i="31"/>
  <c r="O77" i="40"/>
  <c r="O77" i="18"/>
  <c r="B77" i="40"/>
  <c r="V75" i="37"/>
  <c r="W75" i="37" s="1"/>
  <c r="AA73" i="17" s="1"/>
  <c r="U75" i="37"/>
  <c r="AC71" i="17"/>
  <c r="AF71" i="17" s="1"/>
  <c r="U74" i="33"/>
  <c r="V74" i="33"/>
  <c r="W74" i="33" s="1"/>
  <c r="Y72" i="17" s="1"/>
  <c r="U76" i="31"/>
  <c r="V76" i="31"/>
  <c r="W76" i="31" s="1"/>
  <c r="U74" i="17" s="1"/>
  <c r="I76" i="31"/>
  <c r="J76" i="31"/>
  <c r="K68" i="38"/>
  <c r="K75" i="31"/>
  <c r="D73" i="17" s="1"/>
  <c r="U74" i="32"/>
  <c r="V74" i="32"/>
  <c r="W74" i="32" s="1"/>
  <c r="W72" i="17" s="1"/>
  <c r="U76" i="18"/>
  <c r="V76" i="18"/>
  <c r="W76" i="18" s="1"/>
  <c r="T74" i="17" s="1"/>
  <c r="J66" i="38"/>
  <c r="K73" i="32"/>
  <c r="F71" i="17" s="1"/>
  <c r="L71" i="17" s="1"/>
  <c r="V76" i="34"/>
  <c r="W76" i="34" s="1"/>
  <c r="X74" i="17" s="1"/>
  <c r="U76" i="34"/>
  <c r="E65" i="28"/>
  <c r="M65" i="38" s="1"/>
  <c r="O70" i="17"/>
  <c r="J75" i="40"/>
  <c r="K75" i="40" s="1"/>
  <c r="K73" i="17" s="1"/>
  <c r="I75" i="40"/>
  <c r="J75" i="18"/>
  <c r="K75" i="18" s="1"/>
  <c r="C73" i="17" s="1"/>
  <c r="I75" i="18"/>
  <c r="U75" i="36"/>
  <c r="V75" i="36"/>
  <c r="W75" i="36" s="1"/>
  <c r="Z73" i="17" s="1"/>
  <c r="I76" i="33"/>
  <c r="J76" i="33"/>
  <c r="K76" i="33" s="1"/>
  <c r="H74" i="17" s="1"/>
  <c r="J74" i="32"/>
  <c r="I74" i="32"/>
  <c r="J76" i="35"/>
  <c r="K76" i="35" s="1"/>
  <c r="E74" i="17" s="1"/>
  <c r="I76" i="35"/>
  <c r="N64" i="38"/>
  <c r="O64" i="38"/>
  <c r="U75" i="40"/>
  <c r="V75" i="40"/>
  <c r="W75" i="40" s="1"/>
  <c r="AB73" i="17" s="1"/>
  <c r="J76" i="37"/>
  <c r="K76" i="37" s="1"/>
  <c r="J74" i="17" s="1"/>
  <c r="I76" i="37"/>
  <c r="V77" i="35"/>
  <c r="W77" i="35" s="1"/>
  <c r="V75" i="17" s="1"/>
  <c r="U77" i="35"/>
  <c r="J78" i="36"/>
  <c r="K78" i="36" s="1"/>
  <c r="I76" i="17" s="1"/>
  <c r="I78" i="36"/>
  <c r="L68" i="38" l="1"/>
  <c r="K75" i="34"/>
  <c r="G73" i="17" s="1"/>
  <c r="J76" i="34"/>
  <c r="I76" i="34"/>
  <c r="B78" i="34"/>
  <c r="B78" i="32"/>
  <c r="B78" i="36"/>
  <c r="B74" i="7"/>
  <c r="B78" i="35"/>
  <c r="O78" i="31"/>
  <c r="B78" i="18"/>
  <c r="O78" i="18"/>
  <c r="O78" i="34"/>
  <c r="B78" i="40"/>
  <c r="O78" i="40"/>
  <c r="O78" i="37"/>
  <c r="O78" i="33"/>
  <c r="B78" i="31"/>
  <c r="O78" i="36"/>
  <c r="B78" i="33"/>
  <c r="O78" i="32"/>
  <c r="O78" i="35"/>
  <c r="B78" i="37"/>
  <c r="U76" i="37"/>
  <c r="V76" i="37"/>
  <c r="W76" i="37" s="1"/>
  <c r="AA74" i="17" s="1"/>
  <c r="AC72" i="17"/>
  <c r="AF72" i="17" s="1"/>
  <c r="U75" i="33"/>
  <c r="V75" i="33"/>
  <c r="W75" i="33" s="1"/>
  <c r="Y73" i="17" s="1"/>
  <c r="V77" i="31"/>
  <c r="W77" i="31" s="1"/>
  <c r="U75" i="17" s="1"/>
  <c r="U77" i="31"/>
  <c r="K69" i="38"/>
  <c r="K76" i="31"/>
  <c r="D74" i="17" s="1"/>
  <c r="J77" i="31"/>
  <c r="I77" i="31"/>
  <c r="V77" i="18"/>
  <c r="W77" i="18" s="1"/>
  <c r="T75" i="17" s="1"/>
  <c r="U77" i="18"/>
  <c r="U75" i="32"/>
  <c r="V75" i="32"/>
  <c r="W75" i="32" s="1"/>
  <c r="W73" i="17" s="1"/>
  <c r="J67" i="38"/>
  <c r="K74" i="32"/>
  <c r="F72" i="17" s="1"/>
  <c r="L72" i="17" s="1"/>
  <c r="J77" i="33"/>
  <c r="K77" i="33" s="1"/>
  <c r="H75" i="17" s="1"/>
  <c r="I77" i="33"/>
  <c r="I75" i="32"/>
  <c r="J75" i="32"/>
  <c r="I76" i="40"/>
  <c r="J76" i="40"/>
  <c r="K76" i="40" s="1"/>
  <c r="K74" i="17" s="1"/>
  <c r="U77" i="34"/>
  <c r="V77" i="34"/>
  <c r="W77" i="34" s="1"/>
  <c r="X75" i="17" s="1"/>
  <c r="U76" i="40"/>
  <c r="V76" i="40"/>
  <c r="W76" i="40" s="1"/>
  <c r="AB74" i="17" s="1"/>
  <c r="V76" i="36"/>
  <c r="W76" i="36" s="1"/>
  <c r="Z74" i="17" s="1"/>
  <c r="U76" i="36"/>
  <c r="O65" i="38"/>
  <c r="N65" i="38"/>
  <c r="J77" i="35"/>
  <c r="K77" i="35" s="1"/>
  <c r="E75" i="17" s="1"/>
  <c r="I77" i="35"/>
  <c r="I76" i="18"/>
  <c r="J76" i="18"/>
  <c r="K76" i="18" s="1"/>
  <c r="C74" i="17" s="1"/>
  <c r="O71" i="17"/>
  <c r="E66" i="28"/>
  <c r="M66" i="38" s="1"/>
  <c r="V78" i="35"/>
  <c r="W78" i="35" s="1"/>
  <c r="V76" i="17" s="1"/>
  <c r="U78" i="35"/>
  <c r="J79" i="36"/>
  <c r="K79" i="36" s="1"/>
  <c r="I77" i="17" s="1"/>
  <c r="I79" i="36"/>
  <c r="J77" i="37"/>
  <c r="K77" i="37" s="1"/>
  <c r="J75" i="17" s="1"/>
  <c r="I77" i="37"/>
  <c r="I77" i="34" l="1"/>
  <c r="J77" i="34"/>
  <c r="L69" i="38"/>
  <c r="K76" i="34"/>
  <c r="G74" i="17" s="1"/>
  <c r="O79" i="37"/>
  <c r="B79" i="31"/>
  <c r="O79" i="18"/>
  <c r="B79" i="37"/>
  <c r="B79" i="36"/>
  <c r="B79" i="35"/>
  <c r="B79" i="34"/>
  <c r="B79" i="18"/>
  <c r="O79" i="32"/>
  <c r="B79" i="40"/>
  <c r="O79" i="34"/>
  <c r="O79" i="36"/>
  <c r="O79" i="33"/>
  <c r="O79" i="35"/>
  <c r="B75" i="7"/>
  <c r="B79" i="32"/>
  <c r="B79" i="33"/>
  <c r="O79" i="31"/>
  <c r="O79" i="40"/>
  <c r="V77" i="37"/>
  <c r="W77" i="37" s="1"/>
  <c r="AA75" i="17" s="1"/>
  <c r="U77" i="37"/>
  <c r="AC73" i="17"/>
  <c r="AF73" i="17" s="1"/>
  <c r="U76" i="33"/>
  <c r="V76" i="33"/>
  <c r="W76" i="33" s="1"/>
  <c r="Y74" i="17" s="1"/>
  <c r="U78" i="31"/>
  <c r="V78" i="31"/>
  <c r="W78" i="31" s="1"/>
  <c r="U76" i="17" s="1"/>
  <c r="J78" i="31"/>
  <c r="I78" i="31"/>
  <c r="K77" i="31"/>
  <c r="D75" i="17" s="1"/>
  <c r="K70" i="38"/>
  <c r="U78" i="18"/>
  <c r="V78" i="18"/>
  <c r="W78" i="18" s="1"/>
  <c r="T76" i="17" s="1"/>
  <c r="V76" i="32"/>
  <c r="W76" i="32" s="1"/>
  <c r="W74" i="17" s="1"/>
  <c r="U76" i="32"/>
  <c r="J78" i="33"/>
  <c r="K78" i="33" s="1"/>
  <c r="H76" i="17" s="1"/>
  <c r="I78" i="33"/>
  <c r="O66" i="38"/>
  <c r="N66" i="38"/>
  <c r="I77" i="40"/>
  <c r="J77" i="40"/>
  <c r="K77" i="40" s="1"/>
  <c r="K75" i="17" s="1"/>
  <c r="I76" i="32"/>
  <c r="J76" i="32"/>
  <c r="I77" i="18"/>
  <c r="J77" i="18"/>
  <c r="K77" i="18" s="1"/>
  <c r="C75" i="17" s="1"/>
  <c r="V77" i="40"/>
  <c r="W77" i="40" s="1"/>
  <c r="AB75" i="17" s="1"/>
  <c r="U77" i="40"/>
  <c r="J68" i="38"/>
  <c r="K75" i="32"/>
  <c r="F73" i="17" s="1"/>
  <c r="L73" i="17" s="1"/>
  <c r="O72" i="17"/>
  <c r="E67" i="28"/>
  <c r="I78" i="35"/>
  <c r="J78" i="35"/>
  <c r="K78" i="35" s="1"/>
  <c r="E76" i="17" s="1"/>
  <c r="V77" i="36"/>
  <c r="W77" i="36" s="1"/>
  <c r="Z75" i="17" s="1"/>
  <c r="U77" i="36"/>
  <c r="U78" i="34"/>
  <c r="V78" i="34"/>
  <c r="W78" i="34" s="1"/>
  <c r="X76" i="17" s="1"/>
  <c r="U79" i="35"/>
  <c r="V79" i="35"/>
  <c r="W79" i="35" s="1"/>
  <c r="V77" i="17" s="1"/>
  <c r="I80" i="36"/>
  <c r="J80" i="36"/>
  <c r="K80" i="36" s="1"/>
  <c r="I78" i="17" s="1"/>
  <c r="J78" i="37"/>
  <c r="K78" i="37" s="1"/>
  <c r="J76" i="17" s="1"/>
  <c r="I78" i="37"/>
  <c r="L70" i="38" l="1"/>
  <c r="K77" i="34"/>
  <c r="G75" i="17" s="1"/>
  <c r="I78" i="34"/>
  <c r="J78" i="34"/>
  <c r="O80" i="32"/>
  <c r="B76" i="7"/>
  <c r="O80" i="18"/>
  <c r="O80" i="31"/>
  <c r="O80" i="36"/>
  <c r="B80" i="32"/>
  <c r="B80" i="31"/>
  <c r="B80" i="37"/>
  <c r="O80" i="35"/>
  <c r="B80" i="18"/>
  <c r="O80" i="40"/>
  <c r="B80" i="33"/>
  <c r="O80" i="33"/>
  <c r="B80" i="40"/>
  <c r="B80" i="35"/>
  <c r="B80" i="36"/>
  <c r="B80" i="34"/>
  <c r="O80" i="37"/>
  <c r="O80" i="34"/>
  <c r="V78" i="37"/>
  <c r="W78" i="37" s="1"/>
  <c r="AA76" i="17" s="1"/>
  <c r="U78" i="37"/>
  <c r="AC74" i="17"/>
  <c r="AF74" i="17" s="1"/>
  <c r="U77" i="33"/>
  <c r="V77" i="33"/>
  <c r="W77" i="33" s="1"/>
  <c r="Y75" i="17" s="1"/>
  <c r="V79" i="31"/>
  <c r="W79" i="31" s="1"/>
  <c r="U77" i="17" s="1"/>
  <c r="U79" i="31"/>
  <c r="I79" i="31"/>
  <c r="J79" i="31"/>
  <c r="K71" i="38"/>
  <c r="K78" i="31"/>
  <c r="D76" i="17" s="1"/>
  <c r="V77" i="32"/>
  <c r="W77" i="32" s="1"/>
  <c r="W75" i="17" s="1"/>
  <c r="U77" i="32"/>
  <c r="U79" i="18"/>
  <c r="V79" i="18"/>
  <c r="W79" i="18" s="1"/>
  <c r="T77" i="17" s="1"/>
  <c r="U79" i="34"/>
  <c r="V79" i="34"/>
  <c r="W79" i="34" s="1"/>
  <c r="X77" i="17" s="1"/>
  <c r="I79" i="35"/>
  <c r="J79" i="35"/>
  <c r="K79" i="35" s="1"/>
  <c r="E77" i="17" s="1"/>
  <c r="I78" i="18"/>
  <c r="J78" i="18"/>
  <c r="K78" i="18" s="1"/>
  <c r="C76" i="17" s="1"/>
  <c r="O73" i="17"/>
  <c r="E68" i="28"/>
  <c r="M68" i="38" s="1"/>
  <c r="I77" i="32"/>
  <c r="J77" i="32"/>
  <c r="J69" i="38"/>
  <c r="K76" i="32"/>
  <c r="F74" i="17" s="1"/>
  <c r="L74" i="17" s="1"/>
  <c r="J79" i="33"/>
  <c r="K79" i="33" s="1"/>
  <c r="H77" i="17" s="1"/>
  <c r="I79" i="33"/>
  <c r="V78" i="36"/>
  <c r="W78" i="36" s="1"/>
  <c r="Z76" i="17" s="1"/>
  <c r="U78" i="36"/>
  <c r="N67" i="38"/>
  <c r="O67" i="38"/>
  <c r="U78" i="40"/>
  <c r="V78" i="40"/>
  <c r="W78" i="40" s="1"/>
  <c r="AB76" i="17" s="1"/>
  <c r="I78" i="40"/>
  <c r="J78" i="40"/>
  <c r="K78" i="40" s="1"/>
  <c r="K76" i="17" s="1"/>
  <c r="M67" i="38"/>
  <c r="J79" i="37"/>
  <c r="K79" i="37" s="1"/>
  <c r="J77" i="17" s="1"/>
  <c r="I79" i="37"/>
  <c r="J81" i="36"/>
  <c r="K81" i="36" s="1"/>
  <c r="I79" i="17" s="1"/>
  <c r="I81" i="36"/>
  <c r="V80" i="35"/>
  <c r="W80" i="35" s="1"/>
  <c r="V78" i="17" s="1"/>
  <c r="U80" i="35"/>
  <c r="L71" i="38" l="1"/>
  <c r="K78" i="34"/>
  <c r="G76" i="17" s="1"/>
  <c r="I79" i="34"/>
  <c r="J79" i="34"/>
  <c r="O81" i="18"/>
  <c r="O81" i="33"/>
  <c r="B81" i="31"/>
  <c r="O81" i="34"/>
  <c r="B77" i="7"/>
  <c r="B81" i="32"/>
  <c r="B81" i="34"/>
  <c r="B81" i="37"/>
  <c r="O81" i="35"/>
  <c r="O81" i="32"/>
  <c r="O81" i="37"/>
  <c r="O81" i="36"/>
  <c r="B81" i="36"/>
  <c r="B81" i="33"/>
  <c r="B81" i="35"/>
  <c r="O81" i="31"/>
  <c r="B81" i="40"/>
  <c r="O81" i="40"/>
  <c r="B81" i="18"/>
  <c r="V79" i="37"/>
  <c r="W79" i="37" s="1"/>
  <c r="AA77" i="17" s="1"/>
  <c r="U79" i="37"/>
  <c r="AC75" i="17"/>
  <c r="AF75" i="17" s="1"/>
  <c r="U78" i="33"/>
  <c r="V78" i="33"/>
  <c r="W78" i="33" s="1"/>
  <c r="Y76" i="17" s="1"/>
  <c r="V80" i="31"/>
  <c r="W80" i="31" s="1"/>
  <c r="U78" i="17" s="1"/>
  <c r="U80" i="31"/>
  <c r="K72" i="38"/>
  <c r="K79" i="31"/>
  <c r="D77" i="17" s="1"/>
  <c r="J80" i="31"/>
  <c r="I80" i="31"/>
  <c r="V80" i="18"/>
  <c r="W80" i="18" s="1"/>
  <c r="T78" i="17" s="1"/>
  <c r="U80" i="18"/>
  <c r="U78" i="32"/>
  <c r="V78" i="32"/>
  <c r="W78" i="32" s="1"/>
  <c r="W76" i="17" s="1"/>
  <c r="U79" i="36"/>
  <c r="V79" i="36"/>
  <c r="W79" i="36" s="1"/>
  <c r="Z77" i="17" s="1"/>
  <c r="I78" i="32"/>
  <c r="J78" i="32"/>
  <c r="J80" i="35"/>
  <c r="K80" i="35" s="1"/>
  <c r="E78" i="17" s="1"/>
  <c r="I80" i="35"/>
  <c r="I79" i="40"/>
  <c r="J79" i="40"/>
  <c r="K79" i="40" s="1"/>
  <c r="K77" i="17" s="1"/>
  <c r="K77" i="32"/>
  <c r="F75" i="17" s="1"/>
  <c r="L75" i="17" s="1"/>
  <c r="J70" i="38"/>
  <c r="I80" i="33"/>
  <c r="J80" i="33"/>
  <c r="K80" i="33" s="1"/>
  <c r="H78" i="17" s="1"/>
  <c r="E69" i="28"/>
  <c r="M69" i="38" s="1"/>
  <c r="O74" i="17"/>
  <c r="J79" i="18"/>
  <c r="K79" i="18" s="1"/>
  <c r="C77" i="17" s="1"/>
  <c r="I79" i="18"/>
  <c r="U80" i="34"/>
  <c r="V80" i="34"/>
  <c r="W80" i="34" s="1"/>
  <c r="X78" i="17" s="1"/>
  <c r="U79" i="40"/>
  <c r="V79" i="40"/>
  <c r="W79" i="40" s="1"/>
  <c r="AB77" i="17" s="1"/>
  <c r="N68" i="38"/>
  <c r="O68" i="38"/>
  <c r="J82" i="36"/>
  <c r="K82" i="36" s="1"/>
  <c r="I80" i="17" s="1"/>
  <c r="I82" i="36"/>
  <c r="V81" i="35"/>
  <c r="W81" i="35" s="1"/>
  <c r="V79" i="17" s="1"/>
  <c r="U81" i="35"/>
  <c r="J80" i="37"/>
  <c r="K80" i="37" s="1"/>
  <c r="J78" i="17" s="1"/>
  <c r="I80" i="37"/>
  <c r="L72" i="38" l="1"/>
  <c r="K79" i="34"/>
  <c r="G77" i="17" s="1"/>
  <c r="I80" i="34"/>
  <c r="J80" i="34"/>
  <c r="B82" i="37"/>
  <c r="B82" i="40"/>
  <c r="O82" i="33"/>
  <c r="O82" i="35"/>
  <c r="O82" i="18"/>
  <c r="O82" i="31"/>
  <c r="O82" i="34"/>
  <c r="B82" i="35"/>
  <c r="B82" i="31"/>
  <c r="B82" i="32"/>
  <c r="O82" i="37"/>
  <c r="B82" i="18"/>
  <c r="B78" i="7"/>
  <c r="O82" i="40"/>
  <c r="O82" i="32"/>
  <c r="B82" i="36"/>
  <c r="B82" i="33"/>
  <c r="O82" i="36"/>
  <c r="B82" i="34"/>
  <c r="V80" i="37"/>
  <c r="W80" i="37" s="1"/>
  <c r="AA78" i="17" s="1"/>
  <c r="U80" i="37"/>
  <c r="AC76" i="17"/>
  <c r="AF76" i="17" s="1"/>
  <c r="V79" i="33"/>
  <c r="W79" i="33" s="1"/>
  <c r="Y77" i="17" s="1"/>
  <c r="U79" i="33"/>
  <c r="V81" i="31"/>
  <c r="W81" i="31" s="1"/>
  <c r="U79" i="17" s="1"/>
  <c r="U81" i="31"/>
  <c r="J81" i="31"/>
  <c r="I81" i="31"/>
  <c r="K80" i="31"/>
  <c r="D78" i="17" s="1"/>
  <c r="K73" i="38"/>
  <c r="U81" i="18"/>
  <c r="V81" i="18"/>
  <c r="W81" i="18" s="1"/>
  <c r="T79" i="17" s="1"/>
  <c r="V79" i="32"/>
  <c r="W79" i="32" s="1"/>
  <c r="W77" i="17" s="1"/>
  <c r="U79" i="32"/>
  <c r="J71" i="38"/>
  <c r="K78" i="32"/>
  <c r="F76" i="17" s="1"/>
  <c r="L76" i="17" s="1"/>
  <c r="U80" i="40"/>
  <c r="V80" i="40"/>
  <c r="W80" i="40" s="1"/>
  <c r="AB78" i="17" s="1"/>
  <c r="N69" i="38"/>
  <c r="O69" i="38"/>
  <c r="O75" i="17"/>
  <c r="E70" i="28"/>
  <c r="M70" i="38" s="1"/>
  <c r="V80" i="36"/>
  <c r="W80" i="36" s="1"/>
  <c r="Z78" i="17" s="1"/>
  <c r="U80" i="36"/>
  <c r="J80" i="18"/>
  <c r="K80" i="18" s="1"/>
  <c r="C78" i="17" s="1"/>
  <c r="I80" i="18"/>
  <c r="J81" i="35"/>
  <c r="K81" i="35" s="1"/>
  <c r="E79" i="17" s="1"/>
  <c r="I81" i="35"/>
  <c r="U81" i="34"/>
  <c r="V81" i="34"/>
  <c r="W81" i="34" s="1"/>
  <c r="X79" i="17" s="1"/>
  <c r="J81" i="33"/>
  <c r="K81" i="33" s="1"/>
  <c r="H79" i="17" s="1"/>
  <c r="I81" i="33"/>
  <c r="J80" i="40"/>
  <c r="K80" i="40" s="1"/>
  <c r="K78" i="17" s="1"/>
  <c r="I80" i="40"/>
  <c r="J79" i="32"/>
  <c r="I79" i="32"/>
  <c r="J81" i="37"/>
  <c r="K81" i="37" s="1"/>
  <c r="J79" i="17" s="1"/>
  <c r="I81" i="37"/>
  <c r="U82" i="35"/>
  <c r="V82" i="35"/>
  <c r="W82" i="35" s="1"/>
  <c r="V80" i="17" s="1"/>
  <c r="J83" i="36"/>
  <c r="K83" i="36" s="1"/>
  <c r="I81" i="17" s="1"/>
  <c r="I83" i="36"/>
  <c r="K80" i="34" l="1"/>
  <c r="G78" i="17" s="1"/>
  <c r="L73" i="38"/>
  <c r="I81" i="34"/>
  <c r="J81" i="34"/>
  <c r="B83" i="33"/>
  <c r="O83" i="40"/>
  <c r="B79" i="7"/>
  <c r="B83" i="40"/>
  <c r="B83" i="35"/>
  <c r="O83" i="37"/>
  <c r="O83" i="31"/>
  <c r="B83" i="31"/>
  <c r="O83" i="36"/>
  <c r="B83" i="37"/>
  <c r="B83" i="18"/>
  <c r="B83" i="36"/>
  <c r="O83" i="33"/>
  <c r="O83" i="32"/>
  <c r="O83" i="18"/>
  <c r="B83" i="34"/>
  <c r="O83" i="34"/>
  <c r="O83" i="35"/>
  <c r="B83" i="32"/>
  <c r="AC77" i="17"/>
  <c r="AF77" i="17" s="1"/>
  <c r="V81" i="37"/>
  <c r="W81" i="37" s="1"/>
  <c r="AA79" i="17" s="1"/>
  <c r="U81" i="37"/>
  <c r="V80" i="33"/>
  <c r="W80" i="33" s="1"/>
  <c r="Y78" i="17" s="1"/>
  <c r="U80" i="33"/>
  <c r="V82" i="31"/>
  <c r="W82" i="31" s="1"/>
  <c r="U80" i="17" s="1"/>
  <c r="U82" i="31"/>
  <c r="I82" i="31"/>
  <c r="J82" i="31"/>
  <c r="K81" i="31"/>
  <c r="D79" i="17" s="1"/>
  <c r="K74" i="38"/>
  <c r="V80" i="32"/>
  <c r="W80" i="32" s="1"/>
  <c r="W78" i="17" s="1"/>
  <c r="U80" i="32"/>
  <c r="U82" i="18"/>
  <c r="V82" i="18"/>
  <c r="W82" i="18" s="1"/>
  <c r="T80" i="17" s="1"/>
  <c r="J72" i="38"/>
  <c r="K79" i="32"/>
  <c r="F77" i="17" s="1"/>
  <c r="L77" i="17" s="1"/>
  <c r="I82" i="35"/>
  <c r="J82" i="35"/>
  <c r="K82" i="35" s="1"/>
  <c r="E80" i="17" s="1"/>
  <c r="V81" i="36"/>
  <c r="W81" i="36" s="1"/>
  <c r="Z79" i="17" s="1"/>
  <c r="U81" i="36"/>
  <c r="V82" i="34"/>
  <c r="W82" i="34" s="1"/>
  <c r="X80" i="17" s="1"/>
  <c r="U82" i="34"/>
  <c r="V81" i="40"/>
  <c r="W81" i="40" s="1"/>
  <c r="AB79" i="17" s="1"/>
  <c r="U81" i="40"/>
  <c r="I80" i="32"/>
  <c r="J80" i="32"/>
  <c r="E71" i="28"/>
  <c r="O76" i="17"/>
  <c r="I81" i="40"/>
  <c r="J81" i="40"/>
  <c r="K81" i="40" s="1"/>
  <c r="K79" i="17" s="1"/>
  <c r="J82" i="33"/>
  <c r="K82" i="33" s="1"/>
  <c r="H80" i="17" s="1"/>
  <c r="I82" i="33"/>
  <c r="I81" i="18"/>
  <c r="J81" i="18"/>
  <c r="K81" i="18" s="1"/>
  <c r="C79" i="17" s="1"/>
  <c r="N70" i="38"/>
  <c r="O70" i="38"/>
  <c r="V83" i="35"/>
  <c r="W83" i="35" s="1"/>
  <c r="V81" i="17" s="1"/>
  <c r="U83" i="35"/>
  <c r="J82" i="37"/>
  <c r="K82" i="37" s="1"/>
  <c r="J80" i="17" s="1"/>
  <c r="I82" i="37"/>
  <c r="J84" i="36"/>
  <c r="K84" i="36" s="1"/>
  <c r="I82" i="17" s="1"/>
  <c r="I84" i="36"/>
  <c r="K81" i="34" l="1"/>
  <c r="G79" i="17" s="1"/>
  <c r="L74" i="38"/>
  <c r="I82" i="34"/>
  <c r="J82" i="34"/>
  <c r="B84" i="32"/>
  <c r="O84" i="37"/>
  <c r="B84" i="18"/>
  <c r="B84" i="34"/>
  <c r="O84" i="32"/>
  <c r="O84" i="18"/>
  <c r="B84" i="37"/>
  <c r="O84" i="34"/>
  <c r="O84" i="36"/>
  <c r="O84" i="40"/>
  <c r="O84" i="31"/>
  <c r="B80" i="7"/>
  <c r="B84" i="36"/>
  <c r="B84" i="33"/>
  <c r="O84" i="33"/>
  <c r="O84" i="35"/>
  <c r="B84" i="35"/>
  <c r="B84" i="31"/>
  <c r="B84" i="40"/>
  <c r="U82" i="37"/>
  <c r="V82" i="37"/>
  <c r="W82" i="37" s="1"/>
  <c r="AA80" i="17" s="1"/>
  <c r="AC78" i="17"/>
  <c r="AF78" i="17" s="1"/>
  <c r="V81" i="33"/>
  <c r="W81" i="33" s="1"/>
  <c r="Y79" i="17" s="1"/>
  <c r="U81" i="33"/>
  <c r="V83" i="31"/>
  <c r="W83" i="31" s="1"/>
  <c r="U81" i="17" s="1"/>
  <c r="U83" i="31"/>
  <c r="K75" i="38"/>
  <c r="K82" i="31"/>
  <c r="D80" i="17" s="1"/>
  <c r="J83" i="31"/>
  <c r="I83" i="31"/>
  <c r="V83" i="18"/>
  <c r="W83" i="18" s="1"/>
  <c r="T81" i="17" s="1"/>
  <c r="U83" i="18"/>
  <c r="U81" i="32"/>
  <c r="V81" i="32"/>
  <c r="W81" i="32" s="1"/>
  <c r="W79" i="17" s="1"/>
  <c r="U82" i="40"/>
  <c r="V82" i="40"/>
  <c r="W82" i="40" s="1"/>
  <c r="AB80" i="17" s="1"/>
  <c r="U82" i="36"/>
  <c r="V82" i="36"/>
  <c r="W82" i="36" s="1"/>
  <c r="Z80" i="17" s="1"/>
  <c r="N71" i="38"/>
  <c r="O71" i="38"/>
  <c r="I83" i="35"/>
  <c r="J83" i="35"/>
  <c r="K83" i="35" s="1"/>
  <c r="E81" i="17" s="1"/>
  <c r="I83" i="33"/>
  <c r="J83" i="33"/>
  <c r="K83" i="33" s="1"/>
  <c r="H81" i="17" s="1"/>
  <c r="V83" i="34"/>
  <c r="W83" i="34" s="1"/>
  <c r="X81" i="17" s="1"/>
  <c r="U83" i="34"/>
  <c r="E72" i="28"/>
  <c r="M72" i="38" s="1"/>
  <c r="O77" i="17"/>
  <c r="M71" i="38"/>
  <c r="J73" i="38"/>
  <c r="K80" i="32"/>
  <c r="F78" i="17" s="1"/>
  <c r="L78" i="17" s="1"/>
  <c r="J82" i="18"/>
  <c r="K82" i="18" s="1"/>
  <c r="C80" i="17" s="1"/>
  <c r="I82" i="18"/>
  <c r="J82" i="40"/>
  <c r="K82" i="40" s="1"/>
  <c r="K80" i="17" s="1"/>
  <c r="I82" i="40"/>
  <c r="I81" i="32"/>
  <c r="J81" i="32"/>
  <c r="I85" i="36"/>
  <c r="J85" i="36"/>
  <c r="K85" i="36" s="1"/>
  <c r="I83" i="17" s="1"/>
  <c r="J83" i="37"/>
  <c r="K83" i="37" s="1"/>
  <c r="J81" i="17" s="1"/>
  <c r="I83" i="37"/>
  <c r="V84" i="35"/>
  <c r="W84" i="35" s="1"/>
  <c r="V82" i="17" s="1"/>
  <c r="U84" i="35"/>
  <c r="L75" i="38" l="1"/>
  <c r="K82" i="34"/>
  <c r="G80" i="17" s="1"/>
  <c r="I83" i="34"/>
  <c r="J83" i="34"/>
  <c r="B81" i="7"/>
  <c r="B85" i="32"/>
  <c r="B85" i="35"/>
  <c r="B85" i="36"/>
  <c r="O85" i="36"/>
  <c r="O85" i="34"/>
  <c r="O85" i="37"/>
  <c r="B85" i="18"/>
  <c r="B85" i="33"/>
  <c r="B85" i="31"/>
  <c r="O85" i="31"/>
  <c r="O85" i="32"/>
  <c r="O85" i="18"/>
  <c r="B85" i="37"/>
  <c r="O85" i="40"/>
  <c r="B85" i="34"/>
  <c r="O85" i="33"/>
  <c r="B85" i="40"/>
  <c r="O85" i="35"/>
  <c r="U83" i="37"/>
  <c r="V83" i="37"/>
  <c r="W83" i="37" s="1"/>
  <c r="AA81" i="17" s="1"/>
  <c r="AC79" i="17"/>
  <c r="AF79" i="17" s="1"/>
  <c r="U82" i="33"/>
  <c r="V82" i="33"/>
  <c r="W82" i="33" s="1"/>
  <c r="Y80" i="17" s="1"/>
  <c r="V84" i="31"/>
  <c r="W84" i="31" s="1"/>
  <c r="U82" i="17" s="1"/>
  <c r="U84" i="31"/>
  <c r="I84" i="31"/>
  <c r="J84" i="31"/>
  <c r="K76" i="38"/>
  <c r="K83" i="31"/>
  <c r="D81" i="17" s="1"/>
  <c r="V84" i="18"/>
  <c r="W84" i="18" s="1"/>
  <c r="T82" i="17" s="1"/>
  <c r="U84" i="18"/>
  <c r="U82" i="32"/>
  <c r="V82" i="32"/>
  <c r="W82" i="32" s="1"/>
  <c r="W80" i="17" s="1"/>
  <c r="J82" i="32"/>
  <c r="I82" i="32"/>
  <c r="I84" i="33"/>
  <c r="J84" i="33"/>
  <c r="K84" i="33" s="1"/>
  <c r="H82" i="17" s="1"/>
  <c r="U83" i="36"/>
  <c r="V83" i="36"/>
  <c r="W83" i="36" s="1"/>
  <c r="Z81" i="17" s="1"/>
  <c r="J74" i="38"/>
  <c r="K81" i="32"/>
  <c r="F79" i="17" s="1"/>
  <c r="L79" i="17" s="1"/>
  <c r="I83" i="18"/>
  <c r="J83" i="18"/>
  <c r="K83" i="18" s="1"/>
  <c r="C81" i="17" s="1"/>
  <c r="O72" i="38"/>
  <c r="N72" i="38"/>
  <c r="V83" i="40"/>
  <c r="W83" i="40" s="1"/>
  <c r="AB81" i="17" s="1"/>
  <c r="U83" i="40"/>
  <c r="I84" i="35"/>
  <c r="J84" i="35"/>
  <c r="K84" i="35" s="1"/>
  <c r="E82" i="17" s="1"/>
  <c r="J83" i="40"/>
  <c r="K83" i="40" s="1"/>
  <c r="K81" i="17" s="1"/>
  <c r="I83" i="40"/>
  <c r="E73" i="28"/>
  <c r="M73" i="38" s="1"/>
  <c r="O78" i="17"/>
  <c r="U84" i="34"/>
  <c r="V84" i="34"/>
  <c r="W84" i="34" s="1"/>
  <c r="X82" i="17" s="1"/>
  <c r="J86" i="36"/>
  <c r="K86" i="36" s="1"/>
  <c r="I84" i="17" s="1"/>
  <c r="I86" i="36"/>
  <c r="U85" i="35"/>
  <c r="V85" i="35"/>
  <c r="W85" i="35" s="1"/>
  <c r="V83" i="17" s="1"/>
  <c r="J84" i="37"/>
  <c r="K84" i="37" s="1"/>
  <c r="J82" i="17" s="1"/>
  <c r="I84" i="37"/>
  <c r="L76" i="38" l="1"/>
  <c r="K83" i="34"/>
  <c r="G81" i="17" s="1"/>
  <c r="J84" i="34"/>
  <c r="I84" i="34"/>
  <c r="O86" i="18"/>
  <c r="B86" i="35"/>
  <c r="B86" i="31"/>
  <c r="O86" i="37"/>
  <c r="B86" i="36"/>
  <c r="B86" i="33"/>
  <c r="O86" i="36"/>
  <c r="O86" i="32"/>
  <c r="O86" i="34"/>
  <c r="O86" i="33"/>
  <c r="B86" i="40"/>
  <c r="B82" i="7"/>
  <c r="B86" i="34"/>
  <c r="B86" i="18"/>
  <c r="B86" i="37"/>
  <c r="O86" i="40"/>
  <c r="O86" i="31"/>
  <c r="O86" i="35"/>
  <c r="B86" i="32"/>
  <c r="V84" i="37"/>
  <c r="W84" i="37" s="1"/>
  <c r="AA82" i="17" s="1"/>
  <c r="U84" i="37"/>
  <c r="AC80" i="17"/>
  <c r="AF80" i="17" s="1"/>
  <c r="V83" i="33"/>
  <c r="W83" i="33" s="1"/>
  <c r="Y81" i="17" s="1"/>
  <c r="U83" i="33"/>
  <c r="V85" i="31"/>
  <c r="W85" i="31" s="1"/>
  <c r="U83" i="17" s="1"/>
  <c r="U85" i="31"/>
  <c r="K84" i="31"/>
  <c r="D82" i="17" s="1"/>
  <c r="K77" i="38"/>
  <c r="J85" i="31"/>
  <c r="I85" i="31"/>
  <c r="U83" i="32"/>
  <c r="V83" i="32"/>
  <c r="W83" i="32" s="1"/>
  <c r="W81" i="17" s="1"/>
  <c r="V85" i="18"/>
  <c r="W85" i="18" s="1"/>
  <c r="T83" i="17" s="1"/>
  <c r="U85" i="18"/>
  <c r="V84" i="40"/>
  <c r="W84" i="40" s="1"/>
  <c r="AB82" i="17" s="1"/>
  <c r="U84" i="40"/>
  <c r="E74" i="28"/>
  <c r="M74" i="38" s="1"/>
  <c r="O79" i="17"/>
  <c r="U85" i="34"/>
  <c r="V85" i="34"/>
  <c r="W85" i="34" s="1"/>
  <c r="X83" i="17" s="1"/>
  <c r="I85" i="35"/>
  <c r="J85" i="35"/>
  <c r="K85" i="35" s="1"/>
  <c r="E83" i="17" s="1"/>
  <c r="J84" i="18"/>
  <c r="K84" i="18" s="1"/>
  <c r="C82" i="17" s="1"/>
  <c r="I84" i="18"/>
  <c r="U84" i="36"/>
  <c r="V84" i="36"/>
  <c r="W84" i="36" s="1"/>
  <c r="Z82" i="17" s="1"/>
  <c r="J75" i="38"/>
  <c r="K82" i="32"/>
  <c r="F80" i="17" s="1"/>
  <c r="L80" i="17" s="1"/>
  <c r="I84" i="40"/>
  <c r="J84" i="40"/>
  <c r="K84" i="40" s="1"/>
  <c r="K82" i="17" s="1"/>
  <c r="I83" i="32"/>
  <c r="J83" i="32"/>
  <c r="N73" i="38"/>
  <c r="O73" i="38"/>
  <c r="I85" i="33"/>
  <c r="J85" i="33"/>
  <c r="K85" i="33" s="1"/>
  <c r="H83" i="17" s="1"/>
  <c r="J85" i="37"/>
  <c r="K85" i="37" s="1"/>
  <c r="J83" i="17" s="1"/>
  <c r="I85" i="37"/>
  <c r="U86" i="35"/>
  <c r="V86" i="35"/>
  <c r="W86" i="35" s="1"/>
  <c r="V84" i="17" s="1"/>
  <c r="I87" i="36"/>
  <c r="J87" i="36"/>
  <c r="K87" i="36" s="1"/>
  <c r="I85" i="17" s="1"/>
  <c r="J85" i="34" l="1"/>
  <c r="I85" i="34"/>
  <c r="L77" i="38"/>
  <c r="K84" i="34"/>
  <c r="G82" i="17" s="1"/>
  <c r="AC81" i="17"/>
  <c r="AF81" i="17" s="1"/>
  <c r="O87" i="32"/>
  <c r="B87" i="18"/>
  <c r="O87" i="18"/>
  <c r="B87" i="33"/>
  <c r="B87" i="36"/>
  <c r="B87" i="32"/>
  <c r="B87" i="40"/>
  <c r="B87" i="35"/>
  <c r="B87" i="31"/>
  <c r="O87" i="34"/>
  <c r="O87" i="35"/>
  <c r="B87" i="37"/>
  <c r="B87" i="34"/>
  <c r="O87" i="36"/>
  <c r="O87" i="31"/>
  <c r="O87" i="37"/>
  <c r="O87" i="40"/>
  <c r="B83" i="7"/>
  <c r="O87" i="33"/>
  <c r="V85" i="37"/>
  <c r="W85" i="37" s="1"/>
  <c r="AA83" i="17" s="1"/>
  <c r="U85" i="37"/>
  <c r="V84" i="33"/>
  <c r="W84" i="33" s="1"/>
  <c r="Y82" i="17" s="1"/>
  <c r="U84" i="33"/>
  <c r="V86" i="31"/>
  <c r="W86" i="31" s="1"/>
  <c r="U84" i="17" s="1"/>
  <c r="U86" i="31"/>
  <c r="I86" i="31"/>
  <c r="J86" i="31"/>
  <c r="K85" i="31"/>
  <c r="D83" i="17" s="1"/>
  <c r="K78" i="38"/>
  <c r="U86" i="18"/>
  <c r="V86" i="18"/>
  <c r="W86" i="18" s="1"/>
  <c r="T84" i="17" s="1"/>
  <c r="U84" i="32"/>
  <c r="V84" i="32"/>
  <c r="W84" i="32" s="1"/>
  <c r="W82" i="17" s="1"/>
  <c r="J86" i="33"/>
  <c r="K86" i="33" s="1"/>
  <c r="H84" i="17" s="1"/>
  <c r="I86" i="33"/>
  <c r="O80" i="17"/>
  <c r="E75" i="28"/>
  <c r="M75" i="38" s="1"/>
  <c r="J85" i="18"/>
  <c r="K85" i="18" s="1"/>
  <c r="C83" i="17" s="1"/>
  <c r="I85" i="18"/>
  <c r="K83" i="32"/>
  <c r="F81" i="17" s="1"/>
  <c r="L81" i="17" s="1"/>
  <c r="J76" i="38"/>
  <c r="V85" i="36"/>
  <c r="W85" i="36" s="1"/>
  <c r="Z83" i="17" s="1"/>
  <c r="U85" i="36"/>
  <c r="I86" i="35"/>
  <c r="J86" i="35"/>
  <c r="K86" i="35" s="1"/>
  <c r="E84" i="17" s="1"/>
  <c r="N74" i="38"/>
  <c r="O74" i="38"/>
  <c r="V86" i="34"/>
  <c r="W86" i="34" s="1"/>
  <c r="X84" i="17" s="1"/>
  <c r="U86" i="34"/>
  <c r="J84" i="32"/>
  <c r="I84" i="32"/>
  <c r="I85" i="40"/>
  <c r="J85" i="40"/>
  <c r="K85" i="40" s="1"/>
  <c r="K83" i="17" s="1"/>
  <c r="U85" i="40"/>
  <c r="V85" i="40"/>
  <c r="W85" i="40" s="1"/>
  <c r="AB83" i="17" s="1"/>
  <c r="V87" i="35"/>
  <c r="W87" i="35" s="1"/>
  <c r="V85" i="17" s="1"/>
  <c r="U87" i="35"/>
  <c r="I88" i="36"/>
  <c r="J88" i="36"/>
  <c r="K88" i="36" s="1"/>
  <c r="I86" i="17" s="1"/>
  <c r="J86" i="37"/>
  <c r="K86" i="37" s="1"/>
  <c r="J84" i="17" s="1"/>
  <c r="I86" i="37"/>
  <c r="J86" i="34" l="1"/>
  <c r="I86" i="34"/>
  <c r="L78" i="38"/>
  <c r="K85" i="34"/>
  <c r="G83" i="17" s="1"/>
  <c r="B88" i="34"/>
  <c r="O88" i="33"/>
  <c r="B88" i="18"/>
  <c r="B88" i="31"/>
  <c r="B88" i="37"/>
  <c r="B84" i="7"/>
  <c r="B88" i="35"/>
  <c r="B88" i="36"/>
  <c r="O88" i="36"/>
  <c r="O88" i="31"/>
  <c r="O88" i="34"/>
  <c r="O88" i="32"/>
  <c r="O88" i="37"/>
  <c r="B88" i="32"/>
  <c r="O88" i="40"/>
  <c r="O88" i="35"/>
  <c r="B88" i="40"/>
  <c r="B88" i="33"/>
  <c r="O88" i="18"/>
  <c r="V86" i="37"/>
  <c r="W86" i="37" s="1"/>
  <c r="AA84" i="17" s="1"/>
  <c r="U86" i="37"/>
  <c r="AC82" i="17"/>
  <c r="AF82" i="17" s="1"/>
  <c r="V85" i="33"/>
  <c r="W85" i="33" s="1"/>
  <c r="Y83" i="17" s="1"/>
  <c r="U85" i="33"/>
  <c r="V87" i="31"/>
  <c r="W87" i="31" s="1"/>
  <c r="U85" i="17" s="1"/>
  <c r="U87" i="31"/>
  <c r="K79" i="38"/>
  <c r="K86" i="31"/>
  <c r="D84" i="17" s="1"/>
  <c r="J87" i="31"/>
  <c r="I87" i="31"/>
  <c r="V85" i="32"/>
  <c r="W85" i="32" s="1"/>
  <c r="W83" i="17" s="1"/>
  <c r="U85" i="32"/>
  <c r="U87" i="18"/>
  <c r="V87" i="18"/>
  <c r="W87" i="18" s="1"/>
  <c r="T85" i="17" s="1"/>
  <c r="J87" i="35"/>
  <c r="K87" i="35" s="1"/>
  <c r="E85" i="17" s="1"/>
  <c r="I87" i="35"/>
  <c r="E76" i="28"/>
  <c r="M76" i="38" s="1"/>
  <c r="O81" i="17"/>
  <c r="U86" i="40"/>
  <c r="V86" i="40"/>
  <c r="W86" i="40" s="1"/>
  <c r="AB84" i="17" s="1"/>
  <c r="J77" i="38"/>
  <c r="K84" i="32"/>
  <c r="F82" i="17" s="1"/>
  <c r="L82" i="17" s="1"/>
  <c r="N75" i="38"/>
  <c r="O75" i="38"/>
  <c r="J85" i="32"/>
  <c r="I85" i="32"/>
  <c r="U87" i="34"/>
  <c r="V87" i="34"/>
  <c r="W87" i="34" s="1"/>
  <c r="X85" i="17" s="1"/>
  <c r="I86" i="40"/>
  <c r="J86" i="40"/>
  <c r="K86" i="40" s="1"/>
  <c r="K84" i="17" s="1"/>
  <c r="U86" i="36"/>
  <c r="V86" i="36"/>
  <c r="W86" i="36" s="1"/>
  <c r="Z84" i="17" s="1"/>
  <c r="J86" i="18"/>
  <c r="K86" i="18" s="1"/>
  <c r="C84" i="17" s="1"/>
  <c r="I86" i="18"/>
  <c r="J87" i="33"/>
  <c r="K87" i="33" s="1"/>
  <c r="H85" i="17" s="1"/>
  <c r="I87" i="33"/>
  <c r="I87" i="37"/>
  <c r="J87" i="37"/>
  <c r="K87" i="37" s="1"/>
  <c r="J85" i="17" s="1"/>
  <c r="V88" i="35"/>
  <c r="W88" i="35" s="1"/>
  <c r="V86" i="17" s="1"/>
  <c r="U88" i="35"/>
  <c r="I89" i="36"/>
  <c r="J89" i="36"/>
  <c r="K89" i="36" s="1"/>
  <c r="I87" i="17" s="1"/>
  <c r="I87" i="34" l="1"/>
  <c r="J87" i="34"/>
  <c r="L79" i="38"/>
  <c r="K86" i="34"/>
  <c r="G84" i="17" s="1"/>
  <c r="B85" i="7"/>
  <c r="O89" i="34"/>
  <c r="B89" i="40"/>
  <c r="B89" i="32"/>
  <c r="B89" i="18"/>
  <c r="B89" i="31"/>
  <c r="B89" i="34"/>
  <c r="B89" i="36"/>
  <c r="O89" i="36"/>
  <c r="O89" i="33"/>
  <c r="B89" i="35"/>
  <c r="B89" i="37"/>
  <c r="O89" i="35"/>
  <c r="B89" i="33"/>
  <c r="O89" i="40"/>
  <c r="O89" i="32"/>
  <c r="O89" i="18"/>
  <c r="O89" i="31"/>
  <c r="O89" i="37"/>
  <c r="U87" i="37"/>
  <c r="V87" i="37"/>
  <c r="W87" i="37" s="1"/>
  <c r="AA85" i="17" s="1"/>
  <c r="AC83" i="17"/>
  <c r="AF83" i="17" s="1"/>
  <c r="V86" i="33"/>
  <c r="W86" i="33" s="1"/>
  <c r="Y84" i="17" s="1"/>
  <c r="U86" i="33"/>
  <c r="V88" i="31"/>
  <c r="W88" i="31" s="1"/>
  <c r="U86" i="17" s="1"/>
  <c r="U88" i="31"/>
  <c r="J88" i="31"/>
  <c r="I88" i="31"/>
  <c r="K80" i="38"/>
  <c r="K87" i="31"/>
  <c r="D85" i="17" s="1"/>
  <c r="V88" i="18"/>
  <c r="W88" i="18" s="1"/>
  <c r="T86" i="17" s="1"/>
  <c r="U88" i="18"/>
  <c r="V86" i="32"/>
  <c r="W86" i="32" s="1"/>
  <c r="W84" i="17" s="1"/>
  <c r="U86" i="32"/>
  <c r="U88" i="34"/>
  <c r="V88" i="34"/>
  <c r="W88" i="34" s="1"/>
  <c r="X86" i="17" s="1"/>
  <c r="J88" i="35"/>
  <c r="K88" i="35" s="1"/>
  <c r="E86" i="17" s="1"/>
  <c r="I88" i="35"/>
  <c r="J88" i="33"/>
  <c r="K88" i="33" s="1"/>
  <c r="H86" i="17" s="1"/>
  <c r="I88" i="33"/>
  <c r="O76" i="38"/>
  <c r="N76" i="38"/>
  <c r="U87" i="36"/>
  <c r="V87" i="36"/>
  <c r="W87" i="36" s="1"/>
  <c r="Z85" i="17" s="1"/>
  <c r="J87" i="40"/>
  <c r="K87" i="40" s="1"/>
  <c r="K85" i="17" s="1"/>
  <c r="I87" i="40"/>
  <c r="K85" i="32"/>
  <c r="F83" i="17" s="1"/>
  <c r="L83" i="17" s="1"/>
  <c r="J78" i="38"/>
  <c r="E77" i="28"/>
  <c r="O82" i="17"/>
  <c r="J87" i="18"/>
  <c r="K87" i="18" s="1"/>
  <c r="C85" i="17" s="1"/>
  <c r="I87" i="18"/>
  <c r="I86" i="32"/>
  <c r="J86" i="32"/>
  <c r="U87" i="40"/>
  <c r="V87" i="40"/>
  <c r="W87" i="40" s="1"/>
  <c r="AB85" i="17" s="1"/>
  <c r="V89" i="35"/>
  <c r="W89" i="35" s="1"/>
  <c r="V87" i="17" s="1"/>
  <c r="U89" i="35"/>
  <c r="J88" i="37"/>
  <c r="K88" i="37" s="1"/>
  <c r="J86" i="17" s="1"/>
  <c r="I88" i="37"/>
  <c r="I90" i="36"/>
  <c r="J90" i="36"/>
  <c r="K90" i="36" s="1"/>
  <c r="I88" i="17" s="1"/>
  <c r="K87" i="34" l="1"/>
  <c r="G85" i="17" s="1"/>
  <c r="L80" i="38"/>
  <c r="J88" i="34"/>
  <c r="I88" i="34"/>
  <c r="O90" i="31"/>
  <c r="O90" i="18"/>
  <c r="O90" i="40"/>
  <c r="O90" i="34"/>
  <c r="O90" i="33"/>
  <c r="B90" i="37"/>
  <c r="B90" i="33"/>
  <c r="B90" i="31"/>
  <c r="B90" i="34"/>
  <c r="O90" i="36"/>
  <c r="B90" i="36"/>
  <c r="B90" i="40"/>
  <c r="B90" i="32"/>
  <c r="B86" i="7"/>
  <c r="B90" i="18"/>
  <c r="B90" i="35"/>
  <c r="O90" i="37"/>
  <c r="O90" i="32"/>
  <c r="O90" i="35"/>
  <c r="AC84" i="17"/>
  <c r="AF84" i="17" s="1"/>
  <c r="U88" i="37"/>
  <c r="V88" i="37"/>
  <c r="W88" i="37" s="1"/>
  <c r="AA86" i="17" s="1"/>
  <c r="U87" i="33"/>
  <c r="V87" i="33"/>
  <c r="W87" i="33" s="1"/>
  <c r="Y85" i="17" s="1"/>
  <c r="V89" i="31"/>
  <c r="W89" i="31" s="1"/>
  <c r="U87" i="17" s="1"/>
  <c r="U89" i="31"/>
  <c r="J89" i="31"/>
  <c r="I89" i="31"/>
  <c r="K88" i="31"/>
  <c r="D86" i="17" s="1"/>
  <c r="K81" i="38"/>
  <c r="U87" i="32"/>
  <c r="V87" i="32"/>
  <c r="W87" i="32" s="1"/>
  <c r="W85" i="17" s="1"/>
  <c r="V89" i="18"/>
  <c r="W89" i="18" s="1"/>
  <c r="T87" i="17" s="1"/>
  <c r="U89" i="18"/>
  <c r="E78" i="28"/>
  <c r="M78" i="38" s="1"/>
  <c r="O83" i="17"/>
  <c r="U88" i="36"/>
  <c r="V88" i="36"/>
  <c r="W88" i="36" s="1"/>
  <c r="Z86" i="17" s="1"/>
  <c r="J79" i="38"/>
  <c r="K86" i="32"/>
  <c r="F84" i="17" s="1"/>
  <c r="L84" i="17" s="1"/>
  <c r="U88" i="40"/>
  <c r="V88" i="40"/>
  <c r="W88" i="40" s="1"/>
  <c r="AB86" i="17" s="1"/>
  <c r="O77" i="38"/>
  <c r="N77" i="38"/>
  <c r="J89" i="33"/>
  <c r="K89" i="33" s="1"/>
  <c r="H87" i="17" s="1"/>
  <c r="I89" i="33"/>
  <c r="I87" i="32"/>
  <c r="J87" i="32"/>
  <c r="J89" i="35"/>
  <c r="K89" i="35" s="1"/>
  <c r="E87" i="17" s="1"/>
  <c r="I89" i="35"/>
  <c r="U89" i="34"/>
  <c r="V89" i="34"/>
  <c r="W89" i="34" s="1"/>
  <c r="X87" i="17" s="1"/>
  <c r="J88" i="18"/>
  <c r="K88" i="18" s="1"/>
  <c r="C86" i="17" s="1"/>
  <c r="I88" i="18"/>
  <c r="J88" i="40"/>
  <c r="K88" i="40" s="1"/>
  <c r="K86" i="17" s="1"/>
  <c r="I88" i="40"/>
  <c r="M77" i="38"/>
  <c r="J91" i="36"/>
  <c r="K91" i="36" s="1"/>
  <c r="I89" i="17" s="1"/>
  <c r="I91" i="36"/>
  <c r="J89" i="37"/>
  <c r="K89" i="37" s="1"/>
  <c r="J87" i="17" s="1"/>
  <c r="I89" i="37"/>
  <c r="V90" i="35"/>
  <c r="W90" i="35" s="1"/>
  <c r="V88" i="17" s="1"/>
  <c r="U90" i="35"/>
  <c r="I89" i="34" l="1"/>
  <c r="J89" i="34"/>
  <c r="L81" i="38"/>
  <c r="K88" i="34"/>
  <c r="G86" i="17" s="1"/>
  <c r="B91" i="35"/>
  <c r="O91" i="33"/>
  <c r="B87" i="7"/>
  <c r="O91" i="40"/>
  <c r="O91" i="36"/>
  <c r="O91" i="18"/>
  <c r="B91" i="36"/>
  <c r="B91" i="33"/>
  <c r="O91" i="35"/>
  <c r="B91" i="31"/>
  <c r="O91" i="37"/>
  <c r="B91" i="32"/>
  <c r="B91" i="34"/>
  <c r="O91" i="32"/>
  <c r="O91" i="34"/>
  <c r="B91" i="37"/>
  <c r="O91" i="31"/>
  <c r="B91" i="40"/>
  <c r="B91" i="18"/>
  <c r="V89" i="37"/>
  <c r="W89" i="37" s="1"/>
  <c r="AA87" i="17" s="1"/>
  <c r="U89" i="37"/>
  <c r="AC85" i="17"/>
  <c r="AF85" i="17" s="1"/>
  <c r="U88" i="33"/>
  <c r="V88" i="33"/>
  <c r="W88" i="33" s="1"/>
  <c r="Y86" i="17" s="1"/>
  <c r="U90" i="31"/>
  <c r="V90" i="31"/>
  <c r="W90" i="31" s="1"/>
  <c r="U88" i="17" s="1"/>
  <c r="J90" i="31"/>
  <c r="I90" i="31"/>
  <c r="K89" i="31"/>
  <c r="D87" i="17" s="1"/>
  <c r="K82" i="38"/>
  <c r="U90" i="18"/>
  <c r="V90" i="18"/>
  <c r="W90" i="18" s="1"/>
  <c r="T88" i="17" s="1"/>
  <c r="V88" i="32"/>
  <c r="W88" i="32" s="1"/>
  <c r="W86" i="17" s="1"/>
  <c r="U88" i="32"/>
  <c r="V89" i="36"/>
  <c r="W89" i="36" s="1"/>
  <c r="Z87" i="17" s="1"/>
  <c r="U89" i="36"/>
  <c r="I89" i="18"/>
  <c r="J89" i="18"/>
  <c r="K89" i="18" s="1"/>
  <c r="C87" i="17" s="1"/>
  <c r="J90" i="35"/>
  <c r="K90" i="35" s="1"/>
  <c r="E88" i="17" s="1"/>
  <c r="I90" i="35"/>
  <c r="E79" i="28"/>
  <c r="O84" i="17"/>
  <c r="U90" i="34"/>
  <c r="V90" i="34"/>
  <c r="W90" i="34" s="1"/>
  <c r="X88" i="17" s="1"/>
  <c r="I88" i="32"/>
  <c r="J88" i="32"/>
  <c r="V89" i="40"/>
  <c r="W89" i="40" s="1"/>
  <c r="AB87" i="17" s="1"/>
  <c r="U89" i="40"/>
  <c r="N78" i="38"/>
  <c r="O78" i="38"/>
  <c r="J89" i="40"/>
  <c r="K89" i="40" s="1"/>
  <c r="K87" i="17" s="1"/>
  <c r="I89" i="40"/>
  <c r="J80" i="38"/>
  <c r="K87" i="32"/>
  <c r="F85" i="17" s="1"/>
  <c r="L85" i="17" s="1"/>
  <c r="I90" i="33"/>
  <c r="J90" i="33"/>
  <c r="K90" i="33" s="1"/>
  <c r="H88" i="17" s="1"/>
  <c r="V91" i="35"/>
  <c r="W91" i="35" s="1"/>
  <c r="V89" i="17" s="1"/>
  <c r="U91" i="35"/>
  <c r="J90" i="37"/>
  <c r="K90" i="37" s="1"/>
  <c r="J88" i="17" s="1"/>
  <c r="I90" i="37"/>
  <c r="J92" i="36"/>
  <c r="K92" i="36" s="1"/>
  <c r="I90" i="17" s="1"/>
  <c r="I92" i="36"/>
  <c r="L82" i="38" l="1"/>
  <c r="K89" i="34"/>
  <c r="G87" i="17" s="1"/>
  <c r="J90" i="34"/>
  <c r="I90" i="34"/>
  <c r="AC86" i="17"/>
  <c r="AF86" i="17" s="1"/>
  <c r="O92" i="33"/>
  <c r="B92" i="33"/>
  <c r="B88" i="7"/>
  <c r="O92" i="31"/>
  <c r="B92" i="37"/>
  <c r="B92" i="32"/>
  <c r="B92" i="35"/>
  <c r="O92" i="36"/>
  <c r="O92" i="32"/>
  <c r="O92" i="18"/>
  <c r="O92" i="35"/>
  <c r="B92" i="36"/>
  <c r="B92" i="31"/>
  <c r="O92" i="40"/>
  <c r="B92" i="34"/>
  <c r="B92" i="18"/>
  <c r="O92" i="37"/>
  <c r="O92" i="34"/>
  <c r="B92" i="40"/>
  <c r="U90" i="37"/>
  <c r="V90" i="37"/>
  <c r="W90" i="37" s="1"/>
  <c r="AA88" i="17" s="1"/>
  <c r="V89" i="33"/>
  <c r="W89" i="33" s="1"/>
  <c r="Y87" i="17" s="1"/>
  <c r="U89" i="33"/>
  <c r="U91" i="31"/>
  <c r="V91" i="31"/>
  <c r="W91" i="31" s="1"/>
  <c r="U89" i="17" s="1"/>
  <c r="J91" i="31"/>
  <c r="I91" i="31"/>
  <c r="K90" i="31"/>
  <c r="D88" i="17" s="1"/>
  <c r="K83" i="38"/>
  <c r="U89" i="32"/>
  <c r="V89" i="32"/>
  <c r="W89" i="32" s="1"/>
  <c r="W87" i="17" s="1"/>
  <c r="V91" i="18"/>
  <c r="W91" i="18" s="1"/>
  <c r="T89" i="17" s="1"/>
  <c r="U91" i="18"/>
  <c r="I91" i="33"/>
  <c r="J91" i="33"/>
  <c r="K91" i="33" s="1"/>
  <c r="H89" i="17" s="1"/>
  <c r="U91" i="34"/>
  <c r="V91" i="34"/>
  <c r="W91" i="34" s="1"/>
  <c r="X89" i="17" s="1"/>
  <c r="N79" i="38"/>
  <c r="O79" i="38"/>
  <c r="J90" i="18"/>
  <c r="K90" i="18" s="1"/>
  <c r="C88" i="17" s="1"/>
  <c r="I90" i="18"/>
  <c r="J90" i="40"/>
  <c r="K90" i="40" s="1"/>
  <c r="K88" i="17" s="1"/>
  <c r="I90" i="40"/>
  <c r="U90" i="40"/>
  <c r="V90" i="40"/>
  <c r="W90" i="40" s="1"/>
  <c r="AB88" i="17" s="1"/>
  <c r="J89" i="32"/>
  <c r="I89" i="32"/>
  <c r="E80" i="28"/>
  <c r="O85" i="17"/>
  <c r="J81" i="38"/>
  <c r="K88" i="32"/>
  <c r="F86" i="17" s="1"/>
  <c r="L86" i="17" s="1"/>
  <c r="J91" i="35"/>
  <c r="K91" i="35" s="1"/>
  <c r="E89" i="17" s="1"/>
  <c r="I91" i="35"/>
  <c r="V90" i="36"/>
  <c r="W90" i="36" s="1"/>
  <c r="Z88" i="17" s="1"/>
  <c r="U90" i="36"/>
  <c r="M79" i="38"/>
  <c r="J93" i="36"/>
  <c r="K93" i="36" s="1"/>
  <c r="I91" i="17" s="1"/>
  <c r="I93" i="36"/>
  <c r="V92" i="35"/>
  <c r="W92" i="35" s="1"/>
  <c r="V90" i="17" s="1"/>
  <c r="U92" i="35"/>
  <c r="J91" i="37"/>
  <c r="K91" i="37" s="1"/>
  <c r="J89" i="17" s="1"/>
  <c r="I91" i="37"/>
  <c r="K90" i="34" l="1"/>
  <c r="G88" i="17" s="1"/>
  <c r="L83" i="38"/>
  <c r="J91" i="34"/>
  <c r="I91" i="34"/>
  <c r="B89" i="7"/>
  <c r="O93" i="33"/>
  <c r="O93" i="35"/>
  <c r="B93" i="35"/>
  <c r="B93" i="36"/>
  <c r="O93" i="31"/>
  <c r="B93" i="18"/>
  <c r="O93" i="37"/>
  <c r="B93" i="37"/>
  <c r="O93" i="18"/>
  <c r="B93" i="33"/>
  <c r="O93" i="34"/>
  <c r="O93" i="40"/>
  <c r="O93" i="36"/>
  <c r="B93" i="34"/>
  <c r="B93" i="32"/>
  <c r="B93" i="40"/>
  <c r="B93" i="31"/>
  <c r="O93" i="32"/>
  <c r="AC87" i="17"/>
  <c r="AF87" i="17" s="1"/>
  <c r="U91" i="37"/>
  <c r="V91" i="37"/>
  <c r="W91" i="37" s="1"/>
  <c r="AA89" i="17" s="1"/>
  <c r="U90" i="33"/>
  <c r="V90" i="33"/>
  <c r="W90" i="33" s="1"/>
  <c r="Y88" i="17" s="1"/>
  <c r="V92" i="31"/>
  <c r="W92" i="31" s="1"/>
  <c r="U90" i="17" s="1"/>
  <c r="U92" i="31"/>
  <c r="J92" i="31"/>
  <c r="I92" i="31"/>
  <c r="K84" i="38"/>
  <c r="K91" i="31"/>
  <c r="D89" i="17" s="1"/>
  <c r="U92" i="18"/>
  <c r="V92" i="18"/>
  <c r="W92" i="18" s="1"/>
  <c r="T90" i="17" s="1"/>
  <c r="U90" i="32"/>
  <c r="V90" i="32"/>
  <c r="W90" i="32" s="1"/>
  <c r="W88" i="17" s="1"/>
  <c r="N80" i="38"/>
  <c r="O80" i="38"/>
  <c r="U91" i="40"/>
  <c r="V91" i="40"/>
  <c r="W91" i="40" s="1"/>
  <c r="AB89" i="17" s="1"/>
  <c r="V92" i="34"/>
  <c r="W92" i="34" s="1"/>
  <c r="X90" i="17" s="1"/>
  <c r="U92" i="34"/>
  <c r="U91" i="36"/>
  <c r="V91" i="36"/>
  <c r="W91" i="36" s="1"/>
  <c r="Z89" i="17" s="1"/>
  <c r="O86" i="17"/>
  <c r="E81" i="28"/>
  <c r="I91" i="18"/>
  <c r="J91" i="18"/>
  <c r="K91" i="18" s="1"/>
  <c r="C89" i="17" s="1"/>
  <c r="J82" i="38"/>
  <c r="K89" i="32"/>
  <c r="F87" i="17" s="1"/>
  <c r="L87" i="17" s="1"/>
  <c r="J92" i="33"/>
  <c r="K92" i="33" s="1"/>
  <c r="H90" i="17" s="1"/>
  <c r="I92" i="33"/>
  <c r="M80" i="38"/>
  <c r="I92" i="35"/>
  <c r="J92" i="35"/>
  <c r="K92" i="35" s="1"/>
  <c r="E90" i="17" s="1"/>
  <c r="I90" i="32"/>
  <c r="J90" i="32"/>
  <c r="J91" i="40"/>
  <c r="K91" i="40" s="1"/>
  <c r="K89" i="17" s="1"/>
  <c r="I91" i="40"/>
  <c r="J92" i="37"/>
  <c r="K92" i="37" s="1"/>
  <c r="J90" i="17" s="1"/>
  <c r="I92" i="37"/>
  <c r="V93" i="35"/>
  <c r="W93" i="35" s="1"/>
  <c r="V91" i="17" s="1"/>
  <c r="U93" i="35"/>
  <c r="J94" i="36"/>
  <c r="K94" i="36" s="1"/>
  <c r="I92" i="17" s="1"/>
  <c r="I94" i="36"/>
  <c r="L84" i="38" l="1"/>
  <c r="K91" i="34"/>
  <c r="G89" i="17" s="1"/>
  <c r="I92" i="34"/>
  <c r="J92" i="34"/>
  <c r="O94" i="37"/>
  <c r="O94" i="35"/>
  <c r="O94" i="32"/>
  <c r="O94" i="34"/>
  <c r="O94" i="40"/>
  <c r="B94" i="37"/>
  <c r="O94" i="33"/>
  <c r="B94" i="31"/>
  <c r="B90" i="7"/>
  <c r="O94" i="31"/>
  <c r="B94" i="32"/>
  <c r="B94" i="40"/>
  <c r="B94" i="36"/>
  <c r="B94" i="18"/>
  <c r="B94" i="34"/>
  <c r="O94" i="18"/>
  <c r="B94" i="33"/>
  <c r="O94" i="36"/>
  <c r="B94" i="35"/>
  <c r="AC88" i="17"/>
  <c r="AF88" i="17" s="1"/>
  <c r="V92" i="37"/>
  <c r="W92" i="37" s="1"/>
  <c r="AA90" i="17" s="1"/>
  <c r="U92" i="37"/>
  <c r="U91" i="33"/>
  <c r="V91" i="33"/>
  <c r="W91" i="33" s="1"/>
  <c r="Y89" i="17" s="1"/>
  <c r="V93" i="31"/>
  <c r="W93" i="31" s="1"/>
  <c r="U91" i="17" s="1"/>
  <c r="U93" i="31"/>
  <c r="I93" i="31"/>
  <c r="J93" i="31"/>
  <c r="K92" i="31"/>
  <c r="D90" i="17" s="1"/>
  <c r="K85" i="38"/>
  <c r="V91" i="32"/>
  <c r="W91" i="32" s="1"/>
  <c r="W89" i="17" s="1"/>
  <c r="U91" i="32"/>
  <c r="V93" i="18"/>
  <c r="W93" i="18" s="1"/>
  <c r="T91" i="17" s="1"/>
  <c r="U93" i="18"/>
  <c r="J91" i="32"/>
  <c r="I91" i="32"/>
  <c r="I92" i="18"/>
  <c r="J92" i="18"/>
  <c r="K92" i="18" s="1"/>
  <c r="C90" i="17" s="1"/>
  <c r="U92" i="40"/>
  <c r="V92" i="40"/>
  <c r="W92" i="40" s="1"/>
  <c r="AB90" i="17" s="1"/>
  <c r="K90" i="32"/>
  <c r="F88" i="17" s="1"/>
  <c r="L88" i="17" s="1"/>
  <c r="J83" i="38"/>
  <c r="J93" i="33"/>
  <c r="K93" i="33" s="1"/>
  <c r="H91" i="17" s="1"/>
  <c r="I93" i="33"/>
  <c r="N81" i="38"/>
  <c r="O81" i="38"/>
  <c r="I93" i="35"/>
  <c r="J93" i="35"/>
  <c r="K93" i="35" s="1"/>
  <c r="E91" i="17" s="1"/>
  <c r="U92" i="36"/>
  <c r="V92" i="36"/>
  <c r="W92" i="36" s="1"/>
  <c r="Z90" i="17" s="1"/>
  <c r="J92" i="40"/>
  <c r="K92" i="40" s="1"/>
  <c r="K90" i="17" s="1"/>
  <c r="I92" i="40"/>
  <c r="O87" i="17"/>
  <c r="E82" i="28"/>
  <c r="M82" i="38" s="1"/>
  <c r="V93" i="34"/>
  <c r="W93" i="34" s="1"/>
  <c r="X91" i="17" s="1"/>
  <c r="U93" i="34"/>
  <c r="M81" i="38"/>
  <c r="J93" i="37"/>
  <c r="K93" i="37" s="1"/>
  <c r="J91" i="17" s="1"/>
  <c r="I93" i="37"/>
  <c r="V94" i="35"/>
  <c r="W94" i="35" s="1"/>
  <c r="V92" i="17" s="1"/>
  <c r="U94" i="35"/>
  <c r="I95" i="36"/>
  <c r="J95" i="36"/>
  <c r="K95" i="36" s="1"/>
  <c r="I93" i="17" s="1"/>
  <c r="I93" i="34" l="1"/>
  <c r="J93" i="34"/>
  <c r="L85" i="38"/>
  <c r="K92" i="34"/>
  <c r="G90" i="17" s="1"/>
  <c r="O95" i="31"/>
  <c r="B95" i="40"/>
  <c r="B95" i="33"/>
  <c r="O95" i="34"/>
  <c r="B95" i="34"/>
  <c r="O95" i="40"/>
  <c r="O95" i="35"/>
  <c r="O95" i="18"/>
  <c r="O95" i="37"/>
  <c r="B91" i="7"/>
  <c r="B95" i="35"/>
  <c r="B95" i="18"/>
  <c r="B95" i="36"/>
  <c r="O95" i="36"/>
  <c r="B95" i="37"/>
  <c r="O95" i="33"/>
  <c r="B95" i="31"/>
  <c r="O95" i="32"/>
  <c r="B95" i="32"/>
  <c r="V93" i="37"/>
  <c r="W93" i="37" s="1"/>
  <c r="AA91" i="17" s="1"/>
  <c r="U93" i="37"/>
  <c r="AC89" i="17"/>
  <c r="AF89" i="17" s="1"/>
  <c r="U92" i="33"/>
  <c r="V92" i="33"/>
  <c r="W92" i="33" s="1"/>
  <c r="Y90" i="17" s="1"/>
  <c r="U94" i="31"/>
  <c r="V94" i="31"/>
  <c r="W94" i="31" s="1"/>
  <c r="U92" i="17" s="1"/>
  <c r="K93" i="31"/>
  <c r="D91" i="17" s="1"/>
  <c r="K86" i="38"/>
  <c r="I94" i="31"/>
  <c r="J94" i="31"/>
  <c r="U94" i="18"/>
  <c r="V94" i="18"/>
  <c r="W94" i="18" s="1"/>
  <c r="T92" i="17" s="1"/>
  <c r="U92" i="32"/>
  <c r="V92" i="32"/>
  <c r="W92" i="32" s="1"/>
  <c r="W90" i="17" s="1"/>
  <c r="U94" i="34"/>
  <c r="V94" i="34"/>
  <c r="W94" i="34" s="1"/>
  <c r="X92" i="17" s="1"/>
  <c r="O82" i="38"/>
  <c r="N82" i="38"/>
  <c r="I94" i="33"/>
  <c r="J94" i="33"/>
  <c r="K94" i="33" s="1"/>
  <c r="H92" i="17" s="1"/>
  <c r="O88" i="17"/>
  <c r="E83" i="28"/>
  <c r="M83" i="38" s="1"/>
  <c r="K91" i="32"/>
  <c r="F89" i="17" s="1"/>
  <c r="L89" i="17" s="1"/>
  <c r="J84" i="38"/>
  <c r="J93" i="40"/>
  <c r="K93" i="40" s="1"/>
  <c r="K91" i="17" s="1"/>
  <c r="I93" i="40"/>
  <c r="I92" i="32"/>
  <c r="J92" i="32"/>
  <c r="U93" i="36"/>
  <c r="V93" i="36"/>
  <c r="W93" i="36" s="1"/>
  <c r="Z91" i="17" s="1"/>
  <c r="I94" i="35"/>
  <c r="J94" i="35"/>
  <c r="K94" i="35" s="1"/>
  <c r="E92" i="17" s="1"/>
  <c r="U93" i="40"/>
  <c r="V93" i="40"/>
  <c r="W93" i="40" s="1"/>
  <c r="AB91" i="17" s="1"/>
  <c r="I93" i="18"/>
  <c r="J93" i="18"/>
  <c r="K93" i="18" s="1"/>
  <c r="C91" i="17" s="1"/>
  <c r="V95" i="35"/>
  <c r="W95" i="35" s="1"/>
  <c r="V93" i="17" s="1"/>
  <c r="U95" i="35"/>
  <c r="J94" i="37"/>
  <c r="K94" i="37" s="1"/>
  <c r="J92" i="17" s="1"/>
  <c r="I94" i="37"/>
  <c r="J96" i="36"/>
  <c r="K96" i="36" s="1"/>
  <c r="I94" i="17" s="1"/>
  <c r="I96" i="36"/>
  <c r="I94" i="34" l="1"/>
  <c r="J94" i="34"/>
  <c r="K93" i="34"/>
  <c r="G91" i="17" s="1"/>
  <c r="L86" i="38"/>
  <c r="B92" i="7"/>
  <c r="B96" i="36"/>
  <c r="B96" i="35"/>
  <c r="B96" i="32"/>
  <c r="B96" i="37"/>
  <c r="O96" i="33"/>
  <c r="O96" i="18"/>
  <c r="O96" i="31"/>
  <c r="O96" i="40"/>
  <c r="O96" i="32"/>
  <c r="B96" i="40"/>
  <c r="O96" i="34"/>
  <c r="B96" i="18"/>
  <c r="B96" i="33"/>
  <c r="O96" i="36"/>
  <c r="B96" i="31"/>
  <c r="O96" i="35"/>
  <c r="O96" i="37"/>
  <c r="B96" i="34"/>
  <c r="U94" i="37"/>
  <c r="V94" i="37"/>
  <c r="W94" i="37" s="1"/>
  <c r="AA92" i="17" s="1"/>
  <c r="V93" i="33"/>
  <c r="W93" i="33" s="1"/>
  <c r="Y91" i="17" s="1"/>
  <c r="U93" i="33"/>
  <c r="AC90" i="17"/>
  <c r="AF90" i="17" s="1"/>
  <c r="U95" i="31"/>
  <c r="V95" i="31"/>
  <c r="W95" i="31" s="1"/>
  <c r="U93" i="17" s="1"/>
  <c r="K87" i="38"/>
  <c r="K94" i="31"/>
  <c r="D92" i="17" s="1"/>
  <c r="J95" i="31"/>
  <c r="I95" i="31"/>
  <c r="V93" i="32"/>
  <c r="W93" i="32" s="1"/>
  <c r="W91" i="17" s="1"/>
  <c r="U93" i="32"/>
  <c r="V95" i="18"/>
  <c r="W95" i="18" s="1"/>
  <c r="T93" i="17" s="1"/>
  <c r="U95" i="18"/>
  <c r="I94" i="18"/>
  <c r="J94" i="18"/>
  <c r="K94" i="18" s="1"/>
  <c r="C92" i="17" s="1"/>
  <c r="I95" i="33"/>
  <c r="J95" i="33"/>
  <c r="K95" i="33" s="1"/>
  <c r="H93" i="17" s="1"/>
  <c r="J85" i="38"/>
  <c r="K92" i="32"/>
  <c r="F90" i="17" s="1"/>
  <c r="L90" i="17" s="1"/>
  <c r="J94" i="40"/>
  <c r="K94" i="40" s="1"/>
  <c r="K92" i="17" s="1"/>
  <c r="I94" i="40"/>
  <c r="N83" i="38"/>
  <c r="O83" i="38"/>
  <c r="J95" i="35"/>
  <c r="K95" i="35" s="1"/>
  <c r="E93" i="17" s="1"/>
  <c r="I95" i="35"/>
  <c r="I93" i="32"/>
  <c r="J93" i="32"/>
  <c r="V95" i="34"/>
  <c r="W95" i="34" s="1"/>
  <c r="X93" i="17" s="1"/>
  <c r="U95" i="34"/>
  <c r="U94" i="40"/>
  <c r="V94" i="40"/>
  <c r="W94" i="40" s="1"/>
  <c r="AB92" i="17" s="1"/>
  <c r="U94" i="36"/>
  <c r="V94" i="36"/>
  <c r="W94" i="36" s="1"/>
  <c r="Z92" i="17" s="1"/>
  <c r="O89" i="17"/>
  <c r="E84" i="28"/>
  <c r="M84" i="38" s="1"/>
  <c r="I97" i="36"/>
  <c r="J97" i="36"/>
  <c r="K97" i="36" s="1"/>
  <c r="I95" i="17" s="1"/>
  <c r="V96" i="35"/>
  <c r="W96" i="35" s="1"/>
  <c r="V94" i="17" s="1"/>
  <c r="U96" i="35"/>
  <c r="J95" i="37"/>
  <c r="K95" i="37" s="1"/>
  <c r="J93" i="17" s="1"/>
  <c r="I95" i="37"/>
  <c r="K94" i="34" l="1"/>
  <c r="G92" i="17" s="1"/>
  <c r="L87" i="38"/>
  <c r="J95" i="34"/>
  <c r="I95" i="34"/>
  <c r="B97" i="32"/>
  <c r="O97" i="35"/>
  <c r="O97" i="31"/>
  <c r="B97" i="31"/>
  <c r="O97" i="18"/>
  <c r="B93" i="7"/>
  <c r="O97" i="33"/>
  <c r="B97" i="18"/>
  <c r="B97" i="37"/>
  <c r="O97" i="34"/>
  <c r="O97" i="32"/>
  <c r="B97" i="33"/>
  <c r="B97" i="35"/>
  <c r="O97" i="40"/>
  <c r="B97" i="36"/>
  <c r="B97" i="40"/>
  <c r="O97" i="37"/>
  <c r="O97" i="36"/>
  <c r="B97" i="34"/>
  <c r="V95" i="37"/>
  <c r="W95" i="37" s="1"/>
  <c r="AA93" i="17" s="1"/>
  <c r="U95" i="37"/>
  <c r="AC91" i="17"/>
  <c r="AF91" i="17" s="1"/>
  <c r="V94" i="33"/>
  <c r="W94" i="33" s="1"/>
  <c r="Y92" i="17" s="1"/>
  <c r="U94" i="33"/>
  <c r="V96" i="31"/>
  <c r="W96" i="31" s="1"/>
  <c r="U94" i="17" s="1"/>
  <c r="U96" i="31"/>
  <c r="K95" i="31"/>
  <c r="D93" i="17" s="1"/>
  <c r="K88" i="38"/>
  <c r="I96" i="31"/>
  <c r="J96" i="31"/>
  <c r="U96" i="18"/>
  <c r="V96" i="18"/>
  <c r="W96" i="18" s="1"/>
  <c r="T94" i="17" s="1"/>
  <c r="U94" i="32"/>
  <c r="V94" i="32"/>
  <c r="W94" i="32" s="1"/>
  <c r="W92" i="17" s="1"/>
  <c r="J86" i="38"/>
  <c r="K93" i="32"/>
  <c r="F91" i="17" s="1"/>
  <c r="L91" i="17" s="1"/>
  <c r="I96" i="33"/>
  <c r="J96" i="33"/>
  <c r="K96" i="33" s="1"/>
  <c r="H94" i="17" s="1"/>
  <c r="V95" i="36"/>
  <c r="W95" i="36" s="1"/>
  <c r="Z93" i="17" s="1"/>
  <c r="U95" i="36"/>
  <c r="J95" i="40"/>
  <c r="K95" i="40" s="1"/>
  <c r="K93" i="17" s="1"/>
  <c r="I95" i="40"/>
  <c r="O84" i="38"/>
  <c r="N84" i="38"/>
  <c r="V96" i="34"/>
  <c r="W96" i="34" s="1"/>
  <c r="X94" i="17" s="1"/>
  <c r="U96" i="34"/>
  <c r="J96" i="35"/>
  <c r="K96" i="35" s="1"/>
  <c r="E94" i="17" s="1"/>
  <c r="I96" i="35"/>
  <c r="I95" i="18"/>
  <c r="J95" i="18"/>
  <c r="K95" i="18" s="1"/>
  <c r="C93" i="17" s="1"/>
  <c r="V95" i="40"/>
  <c r="W95" i="40" s="1"/>
  <c r="AB93" i="17" s="1"/>
  <c r="U95" i="40"/>
  <c r="J94" i="32"/>
  <c r="I94" i="32"/>
  <c r="E85" i="28"/>
  <c r="M85" i="38" s="1"/>
  <c r="O90" i="17"/>
  <c r="V97" i="35"/>
  <c r="W97" i="35" s="1"/>
  <c r="V95" i="17" s="1"/>
  <c r="U97" i="35"/>
  <c r="I98" i="36"/>
  <c r="J98" i="36"/>
  <c r="K98" i="36" s="1"/>
  <c r="I96" i="17" s="1"/>
  <c r="J96" i="37"/>
  <c r="K96" i="37" s="1"/>
  <c r="J94" i="17" s="1"/>
  <c r="I96" i="37"/>
  <c r="L88" i="38" l="1"/>
  <c r="K95" i="34"/>
  <c r="G93" i="17" s="1"/>
  <c r="J96" i="34"/>
  <c r="I96" i="34"/>
  <c r="O98" i="40"/>
  <c r="O98" i="33"/>
  <c r="O98" i="18"/>
  <c r="B98" i="40"/>
  <c r="O98" i="37"/>
  <c r="O98" i="32"/>
  <c r="B98" i="35"/>
  <c r="B98" i="34"/>
  <c r="B98" i="31"/>
  <c r="O98" i="36"/>
  <c r="O98" i="35"/>
  <c r="O98" i="31"/>
  <c r="B98" i="18"/>
  <c r="B98" i="36"/>
  <c r="B94" i="7"/>
  <c r="B98" i="37"/>
  <c r="O98" i="34"/>
  <c r="B98" i="33"/>
  <c r="B98" i="32"/>
  <c r="U96" i="37"/>
  <c r="V96" i="37"/>
  <c r="W96" i="37" s="1"/>
  <c r="AA94" i="17" s="1"/>
  <c r="AC92" i="17"/>
  <c r="AF92" i="17" s="1"/>
  <c r="V95" i="33"/>
  <c r="W95" i="33" s="1"/>
  <c r="Y93" i="17" s="1"/>
  <c r="U95" i="33"/>
  <c r="V97" i="31"/>
  <c r="W97" i="31" s="1"/>
  <c r="U95" i="17" s="1"/>
  <c r="U97" i="31"/>
  <c r="K96" i="31"/>
  <c r="D94" i="17" s="1"/>
  <c r="K89" i="38"/>
  <c r="J97" i="31"/>
  <c r="I97" i="31"/>
  <c r="V95" i="32"/>
  <c r="W95" i="32" s="1"/>
  <c r="W93" i="17" s="1"/>
  <c r="U95" i="32"/>
  <c r="U97" i="18"/>
  <c r="V97" i="18"/>
  <c r="W97" i="18" s="1"/>
  <c r="T95" i="17" s="1"/>
  <c r="I95" i="32"/>
  <c r="J95" i="32"/>
  <c r="I96" i="18"/>
  <c r="J96" i="18"/>
  <c r="K96" i="18" s="1"/>
  <c r="C94" i="17" s="1"/>
  <c r="I97" i="35"/>
  <c r="J97" i="35"/>
  <c r="K97" i="35" s="1"/>
  <c r="E95" i="17" s="1"/>
  <c r="E86" i="28"/>
  <c r="O91" i="17"/>
  <c r="V96" i="40"/>
  <c r="W96" i="40" s="1"/>
  <c r="AB94" i="17" s="1"/>
  <c r="U96" i="40"/>
  <c r="I97" i="33"/>
  <c r="J97" i="33"/>
  <c r="K97" i="33" s="1"/>
  <c r="H95" i="17" s="1"/>
  <c r="U96" i="36"/>
  <c r="V96" i="36"/>
  <c r="W96" i="36" s="1"/>
  <c r="Z94" i="17" s="1"/>
  <c r="N85" i="38"/>
  <c r="O85" i="38"/>
  <c r="K94" i="32"/>
  <c r="F92" i="17" s="1"/>
  <c r="L92" i="17" s="1"/>
  <c r="J87" i="38"/>
  <c r="V97" i="34"/>
  <c r="W97" i="34" s="1"/>
  <c r="X95" i="17" s="1"/>
  <c r="U97" i="34"/>
  <c r="I96" i="40"/>
  <c r="J96" i="40"/>
  <c r="K96" i="40" s="1"/>
  <c r="K94" i="17" s="1"/>
  <c r="J97" i="37"/>
  <c r="K97" i="37" s="1"/>
  <c r="J95" i="17" s="1"/>
  <c r="I97" i="37"/>
  <c r="I99" i="36"/>
  <c r="J99" i="36"/>
  <c r="K99" i="36" s="1"/>
  <c r="I97" i="17" s="1"/>
  <c r="V98" i="35"/>
  <c r="W98" i="35" s="1"/>
  <c r="V96" i="17" s="1"/>
  <c r="U98" i="35"/>
  <c r="I97" i="34" l="1"/>
  <c r="J97" i="34"/>
  <c r="L89" i="38"/>
  <c r="K96" i="34"/>
  <c r="G94" i="17" s="1"/>
  <c r="B99" i="18"/>
  <c r="B99" i="31"/>
  <c r="B99" i="32"/>
  <c r="B99" i="37"/>
  <c r="B99" i="34"/>
  <c r="O99" i="40"/>
  <c r="O99" i="36"/>
  <c r="O99" i="31"/>
  <c r="B99" i="40"/>
  <c r="O99" i="37"/>
  <c r="O99" i="33"/>
  <c r="O99" i="18"/>
  <c r="O99" i="34"/>
  <c r="B99" i="35"/>
  <c r="O99" i="32"/>
  <c r="B99" i="33"/>
  <c r="O99" i="35"/>
  <c r="B99" i="36"/>
  <c r="AC93" i="17"/>
  <c r="AF93" i="17" s="1"/>
  <c r="V97" i="37"/>
  <c r="W97" i="37" s="1"/>
  <c r="AA95" i="17" s="1"/>
  <c r="U97" i="37"/>
  <c r="V96" i="33"/>
  <c r="W96" i="33" s="1"/>
  <c r="Y94" i="17" s="1"/>
  <c r="U96" i="33"/>
  <c r="U98" i="31"/>
  <c r="V98" i="31"/>
  <c r="W98" i="31" s="1"/>
  <c r="U96" i="17" s="1"/>
  <c r="J98" i="31"/>
  <c r="I98" i="31"/>
  <c r="K97" i="31"/>
  <c r="D95" i="17" s="1"/>
  <c r="K90" i="38"/>
  <c r="U98" i="18"/>
  <c r="V98" i="18"/>
  <c r="W98" i="18" s="1"/>
  <c r="T96" i="17" s="1"/>
  <c r="V96" i="32"/>
  <c r="W96" i="32" s="1"/>
  <c r="W94" i="17" s="1"/>
  <c r="U96" i="32"/>
  <c r="J97" i="40"/>
  <c r="K97" i="40" s="1"/>
  <c r="K95" i="17" s="1"/>
  <c r="I97" i="40"/>
  <c r="N86" i="38"/>
  <c r="O86" i="38"/>
  <c r="I96" i="32"/>
  <c r="J96" i="32"/>
  <c r="U97" i="40"/>
  <c r="V97" i="40"/>
  <c r="W97" i="40" s="1"/>
  <c r="AB95" i="17" s="1"/>
  <c r="K95" i="32"/>
  <c r="F93" i="17" s="1"/>
  <c r="L93" i="17" s="1"/>
  <c r="J88" i="38"/>
  <c r="M86" i="38"/>
  <c r="U98" i="34"/>
  <c r="V98" i="34"/>
  <c r="W98" i="34" s="1"/>
  <c r="X96" i="17" s="1"/>
  <c r="E87" i="28"/>
  <c r="O92" i="17"/>
  <c r="U97" i="36"/>
  <c r="V97" i="36"/>
  <c r="W97" i="36" s="1"/>
  <c r="Z95" i="17" s="1"/>
  <c r="J98" i="33"/>
  <c r="K98" i="33" s="1"/>
  <c r="H96" i="17" s="1"/>
  <c r="I98" i="33"/>
  <c r="I98" i="35"/>
  <c r="J98" i="35"/>
  <c r="K98" i="35" s="1"/>
  <c r="E96" i="17" s="1"/>
  <c r="I97" i="18"/>
  <c r="J97" i="18"/>
  <c r="K97" i="18" s="1"/>
  <c r="C95" i="17" s="1"/>
  <c r="J98" i="37"/>
  <c r="K98" i="37" s="1"/>
  <c r="J96" i="17" s="1"/>
  <c r="I98" i="37"/>
  <c r="V99" i="35"/>
  <c r="W99" i="35" s="1"/>
  <c r="V97" i="17" s="1"/>
  <c r="U99" i="35"/>
  <c r="K97" i="34" l="1"/>
  <c r="G95" i="17" s="1"/>
  <c r="L90" i="38"/>
  <c r="I98" i="34"/>
  <c r="J98" i="34"/>
  <c r="U98" i="37"/>
  <c r="V98" i="37"/>
  <c r="W98" i="37" s="1"/>
  <c r="AA96" i="17" s="1"/>
  <c r="AC94" i="17"/>
  <c r="AF94" i="17" s="1"/>
  <c r="U97" i="33"/>
  <c r="V97" i="33"/>
  <c r="W97" i="33" s="1"/>
  <c r="Y95" i="17" s="1"/>
  <c r="V99" i="31"/>
  <c r="W99" i="31" s="1"/>
  <c r="U97" i="17" s="1"/>
  <c r="U99" i="31"/>
  <c r="I99" i="31"/>
  <c r="J99" i="31"/>
  <c r="K91" i="38"/>
  <c r="K98" i="31"/>
  <c r="D96" i="17" s="1"/>
  <c r="U97" i="32"/>
  <c r="V97" i="32"/>
  <c r="W97" i="32" s="1"/>
  <c r="W95" i="17" s="1"/>
  <c r="AC95" i="17" s="1"/>
  <c r="AF95" i="17" s="1"/>
  <c r="V99" i="18"/>
  <c r="W99" i="18" s="1"/>
  <c r="T97" i="17" s="1"/>
  <c r="U99" i="18"/>
  <c r="M87" i="38"/>
  <c r="N87" i="38"/>
  <c r="O87" i="38"/>
  <c r="I99" i="33"/>
  <c r="J99" i="33"/>
  <c r="K99" i="33" s="1"/>
  <c r="H97" i="17" s="1"/>
  <c r="V98" i="40"/>
  <c r="W98" i="40" s="1"/>
  <c r="AB96" i="17" s="1"/>
  <c r="U98" i="40"/>
  <c r="I97" i="32"/>
  <c r="J97" i="32"/>
  <c r="E88" i="28"/>
  <c r="M88" i="38" s="1"/>
  <c r="O93" i="17"/>
  <c r="I99" i="35"/>
  <c r="J99" i="35"/>
  <c r="K99" i="35" s="1"/>
  <c r="E97" i="17" s="1"/>
  <c r="J98" i="18"/>
  <c r="K98" i="18" s="1"/>
  <c r="C96" i="17" s="1"/>
  <c r="I98" i="18"/>
  <c r="U98" i="36"/>
  <c r="V98" i="36"/>
  <c r="W98" i="36" s="1"/>
  <c r="Z96" i="17" s="1"/>
  <c r="V99" i="34"/>
  <c r="W99" i="34" s="1"/>
  <c r="X97" i="17" s="1"/>
  <c r="U99" i="34"/>
  <c r="K96" i="32"/>
  <c r="F94" i="17" s="1"/>
  <c r="L94" i="17" s="1"/>
  <c r="J89" i="38"/>
  <c r="J98" i="40"/>
  <c r="K98" i="40" s="1"/>
  <c r="K96" i="17" s="1"/>
  <c r="I98" i="40"/>
  <c r="J99" i="37"/>
  <c r="K99" i="37" s="1"/>
  <c r="J97" i="17" s="1"/>
  <c r="I99" i="37"/>
  <c r="J99" i="34" l="1"/>
  <c r="I99" i="34"/>
  <c r="K98" i="34"/>
  <c r="G96" i="17" s="1"/>
  <c r="L91" i="38"/>
  <c r="V99" i="37"/>
  <c r="W99" i="37" s="1"/>
  <c r="AA97" i="17" s="1"/>
  <c r="U99" i="37"/>
  <c r="V98" i="33"/>
  <c r="W98" i="33" s="1"/>
  <c r="Y96" i="17" s="1"/>
  <c r="U98" i="33"/>
  <c r="K92" i="38"/>
  <c r="K99" i="31"/>
  <c r="D97" i="17" s="1"/>
  <c r="U98" i="32"/>
  <c r="V98" i="32"/>
  <c r="W98" i="32" s="1"/>
  <c r="W96" i="17" s="1"/>
  <c r="J99" i="40"/>
  <c r="K99" i="40" s="1"/>
  <c r="K97" i="17" s="1"/>
  <c r="I99" i="40"/>
  <c r="I99" i="18"/>
  <c r="J99" i="18"/>
  <c r="K99" i="18" s="1"/>
  <c r="C97" i="17" s="1"/>
  <c r="J90" i="38"/>
  <c r="K97" i="32"/>
  <c r="F95" i="17" s="1"/>
  <c r="L95" i="17" s="1"/>
  <c r="O94" i="17"/>
  <c r="E89" i="28"/>
  <c r="U99" i="40"/>
  <c r="V99" i="40"/>
  <c r="W99" i="40" s="1"/>
  <c r="AB97" i="17" s="1"/>
  <c r="U99" i="36"/>
  <c r="V99" i="36"/>
  <c r="W99" i="36" s="1"/>
  <c r="Z97" i="17" s="1"/>
  <c r="N88" i="38"/>
  <c r="O88" i="38"/>
  <c r="I98" i="32"/>
  <c r="J98" i="32"/>
  <c r="K99" i="34" l="1"/>
  <c r="G97" i="17" s="1"/>
  <c r="L92" i="38"/>
  <c r="AC96" i="17"/>
  <c r="AF96" i="17" s="1"/>
  <c r="U99" i="33"/>
  <c r="V99" i="33"/>
  <c r="W99" i="33" s="1"/>
  <c r="Y97" i="17" s="1"/>
  <c r="V99" i="32"/>
  <c r="W99" i="32" s="1"/>
  <c r="W97" i="17" s="1"/>
  <c r="U99" i="32"/>
  <c r="J99" i="32"/>
  <c r="I99" i="32"/>
  <c r="O89" i="38"/>
  <c r="N89" i="38"/>
  <c r="K98" i="32"/>
  <c r="F96" i="17" s="1"/>
  <c r="L96" i="17" s="1"/>
  <c r="J91" i="38"/>
  <c r="E90" i="28"/>
  <c r="M90" i="38" s="1"/>
  <c r="O95" i="17"/>
  <c r="M89" i="38"/>
  <c r="AC97" i="17" l="1"/>
  <c r="AF97" i="17" s="1"/>
  <c r="E91" i="28"/>
  <c r="M91" i="38" s="1"/>
  <c r="O96" i="17"/>
  <c r="J92" i="38"/>
  <c r="K99" i="32"/>
  <c r="F97" i="17" s="1"/>
  <c r="L97" i="17" s="1"/>
  <c r="N90" i="38"/>
  <c r="O90" i="38"/>
  <c r="E92" i="28" l="1"/>
  <c r="M92" i="38" s="1"/>
  <c r="O97" i="17"/>
  <c r="O91" i="38"/>
  <c r="N91" i="38"/>
  <c r="O92" i="38" l="1"/>
  <c r="N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<sst xmlns="http://schemas.openxmlformats.org/spreadsheetml/2006/main" count="1446" uniqueCount="343">
  <si>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</si>
  <si>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</si>
  <si>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</si>
  <si>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</si>
  <si>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</si>
  <si>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</si>
  <si>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</si>
  <si>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</si>
  <si>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</si>
  <si>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</si>
  <si>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</si>
  <si>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</si>
  <si>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</si>
  <si>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</si>
  <si>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</si>
  <si>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</si>
  <si>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</si>
  <si>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</si>
  <si>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</si>
  <si>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</si>
  <si>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</si>
  <si>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</si>
  <si>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</si>
  <si>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</si>
  <si>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</si>
  <si>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</si>
  <si>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</si>
  <si>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</si>
  <si>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</si>
  <si>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</si>
  <si>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</si>
  <si>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</si>
  <si>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</si>
  <si>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</si>
  <si>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</si>
  <si>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</si>
  <si>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</si>
  <si>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</si>
  <si>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</si>
  <si>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</si>
  <si>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</si>
  <si>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</si>
  <si>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</si>
  <si>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</si>
  <si>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</si>
  <si>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</si>
  <si>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</si>
  <si>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</si>
  <si>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</si>
  <si>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</si>
  <si>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</si>
  <si>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</si>
  <si>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</si>
  <si>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</si>
  <si>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</si>
  <si>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</si>
  <si>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</si>
  <si>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</si>
  <si>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</si>
  <si>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</si>
  <si>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</si>
  <si>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</si>
  <si>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</si>
  <si>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</si>
  <si>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</si>
  <si>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</si>
  <si>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</si>
  <si>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</si>
  <si>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</si>
  <si>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</si>
  <si>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</si>
  <si>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</si>
  <si>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</si>
  <si>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</si>
  <si>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</si>
  <si>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</si>
  <si>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</si>
  <si>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</si>
  <si>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</si>
  <si>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</si>
  <si>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</si>
  <si>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</si>
  <si>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</si>
  <si>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</si>
  <si>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</si>
  <si>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</si>
  <si>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</si>
  <si>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</si>
  <si>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</si>
  <si>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</si>
  <si>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</si>
  <si>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</si>
  <si>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</si>
  <si>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</si>
  <si>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</si>
  <si>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</si>
  <si>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</si>
  <si>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</si>
  <si>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</si>
  <si>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</si>
  <si>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</si>
  <si>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</si>
  <si>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</si>
  <si>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</si>
  <si>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</si>
  <si>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</si>
  <si>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</si>
  <si>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</si>
  <si>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</si>
  <si>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</si>
  <si>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</si>
  <si>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</si>
  <si>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</si>
  <si>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</si>
  <si>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</si>
  <si>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</si>
  <si>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</si>
  <si>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</si>
  <si>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</si>
  <si>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</si>
  <si>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</si>
  <si>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</si>
  <si>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</si>
  <si>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</si>
  <si>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</si>
  <si>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</si>
  <si>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</si>
  <si>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</si>
  <si>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</si>
  <si>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</si>
  <si>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</si>
  <si>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</si>
  <si>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</si>
  <si>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</si>
  <si>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</si>
  <si>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</si>
  <si>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</si>
  <si>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</si>
  <si>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</si>
  <si>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</si>
  <si>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</si>
  <si>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</si>
  <si>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</si>
  <si>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</si>
  <si>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</si>
  <si>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</si>
  <si>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</si>
  <si>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</si>
  <si>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</si>
  <si>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</si>
  <si>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</si>
  <si>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</si>
  <si>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</si>
  <si>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</si>
  <si>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</si>
  <si>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</si>
  <si>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</si>
  <si>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</si>
  <si>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</si>
  <si>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</si>
  <si>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</si>
  <si>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</si>
  <si>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</si>
  <si>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</si>
  <si>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</si>
  <si>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</si>
  <si>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</si>
  <si>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</si>
  <si>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</si>
  <si>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</si>
  <si>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</si>
  <si>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</si>
  <si>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</si>
  <si>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</si>
  <si>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</si>
  <si>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</si>
  <si>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</si>
  <si>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</si>
  <si>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</si>
  <si>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</si>
  <si>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</si>
  <si>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</si>
  <si>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</si>
  <si>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</si>
  <si>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</si>
  <si>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</si>
  <si>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</si>
  <si>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</si>
  <si>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</si>
  <si>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</si>
  <si>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</si>
  <si>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</si>
  <si>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</si>
  <si>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</si>
  <si>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</si>
  <si>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</si>
  <si>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</si>
  <si>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</si>
  <si>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</si>
  <si>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</si>
  <si>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</si>
  <si>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</si>
  <si>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</si>
  <si>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</si>
  <si>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</si>
  <si>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</si>
  <si>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</si>
  <si>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</si>
  <si>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</si>
  <si>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</si>
  <si>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</si>
  <si>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</si>
  <si>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</si>
  <si>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</si>
  <si>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</si>
  <si>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</si>
  <si>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</si>
  <si>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</si>
  <si>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</si>
  <si>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</si>
  <si>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</si>
  <si>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</si>
  <si>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</si>
  <si>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</si>
  <si>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</si>
  <si>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</si>
  <si>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</si>
  <si>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</si>
  <si>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</si>
  <si>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</si>
  <si>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</si>
  <si>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</si>
  <si>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</si>
  <si>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</si>
  <si>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</si>
  <si>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</si>
  <si>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</si>
  <si>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</si>
  <si>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</si>
  <si>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</si>
  <si>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</si>
  <si>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</si>
  <si>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</si>
  <si>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</si>
  <si>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</si>
  <si>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</si>
  <si>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</si>
  <si>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</si>
  <si>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</si>
  <si>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</si>
  <si>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</si>
  <si>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</si>
  <si>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</si>
  <si>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</si>
  <si>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</si>
  <si>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</si>
  <si>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</si>
  <si>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</si>
  <si>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</si>
  <si>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</si>
  <si>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</si>
  <si>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</si>
  <si>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</si>
  <si>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</si>
  <si>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</si>
  <si>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</si>
  <si>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</si>
  <si>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</si>
  <si>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</si>
  <si>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</si>
  <si>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</si>
  <si>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</si>
  <si>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</si>
  <si>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</si>
  <si>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</si>
  <si>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</si>
  <si>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</si>
  <si>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</si>
  <si>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</si>
  <si>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</si>
  <si>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</si>
  <si>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</si>
  <si>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</si>
  <si>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</si>
  <si>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</si>
  <si>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</si>
  <si>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</si>
  <si>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</si>
  <si>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</si>
  <si>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</si>
  <si>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</si>
  <si>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</si>
  <si>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</si>
  <si>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</si>
  <si>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</si>
  <si>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</si>
  <si>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</si>
  <si>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</si>
  <si>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</si>
  <si>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</si>
  <si>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</si>
  <si>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</si>
  <si>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</si>
  <si>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</si>
  <si>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</si>
  <si>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</si>
  <si>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</si>
  <si>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</si>
  <si>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</si>
  <si>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</si>
  <si>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</si>
  <si>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</si>
  <si>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</si>
  <si>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</si>
  <si>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</si>
  <si>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</si>
  <si>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</si>
  <si>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</si>
  <si>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</si>
  <si>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</si>
  <si>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</si>
  <si>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</si>
  <si>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</si>
  <si>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</si>
  <si>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</si>
  <si>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</si>
  <si>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</si>
  <si>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</si>
  <si>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</si>
  <si>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</si>
  <si>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</si>
  <si>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</si>
  <si>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</si>
  <si>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</si>
  <si>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</si>
  <si>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</si>
  <si>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</si>
  <si>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</si>
  <si>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Dibuang Ke sungai</t>
  </si>
  <si>
    <t>Diangkut ke TPA</t>
  </si>
  <si>
    <t>Open Dumping</t>
  </si>
  <si>
    <t>Dibuang Sembarangan</t>
  </si>
  <si>
    <t>SAMARINDA</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</si>
</sst>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_ * #,##0.00_ ;_ * \-#,##0.00_ ;_ * &quot;-&quot;??_ ;_ @_ "/>
    <numFmt numFmtId="165" formatCode="#,##0.0"/>
    <numFmt numFmtId="166" formatCode="#,##0.000"/>
    <numFmt numFmtId="167" formatCode="0.000"/>
    <numFmt numFmtId="168" formatCode="0.0"/>
    <numFmt numFmtId="169" formatCode="0.0%"/>
    <numFmt numFmtId="170"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sz val="10"/>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847">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3" fontId="0" fillId="8" borderId="25" xfId="0" applyNumberFormat="1" applyFill="1" applyBorder="1"/>
    <xf numFmtId="3" fontId="0" fillId="8" borderId="1" xfId="0" applyNumberFormat="1" applyFill="1" applyBorder="1"/>
    <xf numFmtId="3" fontId="0" fillId="8" borderId="20" xfId="0" applyNumberFormat="1" applyFill="1" applyBorder="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2" fillId="7" borderId="0" xfId="0" applyNumberFormat="1" applyFont="1" applyFill="1" applyBorder="1" applyAlignment="1">
      <alignment horizontal="left"/>
    </xf>
    <xf numFmtId="3" fontId="15" fillId="7" borderId="0" xfId="0" applyNumberFormat="1" applyFont="1" applyFill="1"/>
    <xf numFmtId="3" fontId="13" fillId="2" borderId="49" xfId="0" applyNumberFormat="1" applyFont="1" applyFill="1" applyBorder="1" applyAlignment="1">
      <alignment horizontal="center" wrapText="1"/>
    </xf>
    <xf numFmtId="3" fontId="13" fillId="2" borderId="7" xfId="0" applyNumberFormat="1" applyFont="1" applyFill="1" applyBorder="1" applyAlignment="1">
      <alignment horizontal="center" wrapText="1"/>
    </xf>
    <xf numFmtId="3" fontId="13" fillId="2" borderId="12" xfId="0" applyNumberFormat="1" applyFont="1" applyFill="1" applyBorder="1" applyAlignment="1">
      <alignment horizontal="center" wrapText="1"/>
    </xf>
    <xf numFmtId="3" fontId="13" fillId="2" borderId="22" xfId="0" applyNumberFormat="1" applyFont="1" applyFill="1" applyBorder="1" applyAlignment="1">
      <alignment horizontal="center" wrapText="1"/>
    </xf>
    <xf numFmtId="3" fontId="13" fillId="8" borderId="26"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2" borderId="5" xfId="0" applyNumberFormat="1" applyFill="1" applyBorder="1" applyAlignment="1">
      <alignment horizontal="center" wrapText="1"/>
    </xf>
    <xf numFmtId="3" fontId="0" fillId="2" borderId="6" xfId="0" applyNumberFormat="1" applyFill="1" applyBorder="1" applyAlignment="1">
      <alignment horizontal="center" wrapText="1"/>
    </xf>
    <xf numFmtId="3" fontId="0" fillId="2" borderId="20" xfId="0" applyNumberFormat="1" applyFill="1" applyBorder="1" applyAlignment="1">
      <alignment horizontal="center" wrapText="1"/>
    </xf>
    <xf numFmtId="3" fontId="0" fillId="8" borderId="26" xfId="0" applyNumberFormat="1" applyFill="1" applyBorder="1" applyAlignment="1">
      <alignment horizontal="center" wrapText="1"/>
    </xf>
    <xf numFmtId="3" fontId="0" fillId="0" borderId="35" xfId="0" applyNumberFormat="1" applyBorder="1" applyAlignment="1">
      <alignment wrapText="1"/>
    </xf>
    <xf numFmtId="3" fontId="0" fillId="0" borderId="27" xfId="0" applyNumberFormat="1" applyBorder="1" applyAlignment="1">
      <alignment wrapText="1"/>
    </xf>
    <xf numFmtId="3" fontId="0" fillId="0" borderId="28" xfId="0" applyNumberFormat="1" applyBorder="1" applyAlignment="1">
      <alignment wrapText="1"/>
    </xf>
    <xf numFmtId="3" fontId="0" fillId="0" borderId="26" xfId="0" applyNumberFormat="1" applyBorder="1" applyAlignment="1">
      <alignment wrapText="1"/>
    </xf>
    <xf numFmtId="3" fontId="0" fillId="0" borderId="52" xfId="0" applyNumberFormat="1" applyBorder="1" applyAlignment="1">
      <alignment wrapText="1"/>
    </xf>
    <xf numFmtId="3" fontId="0" fillId="0" borderId="22" xfId="0" applyNumberFormat="1" applyFill="1" applyBorder="1" applyAlignment="1">
      <alignment wrapText="1"/>
    </xf>
    <xf numFmtId="3" fontId="0" fillId="0" borderId="51" xfId="0" applyNumberFormat="1" applyFill="1" applyBorder="1"/>
    <xf numFmtId="3" fontId="0" fillId="0" borderId="25" xfId="0" applyNumberFormat="1" applyFill="1" applyBorder="1"/>
    <xf numFmtId="3" fontId="0" fillId="0" borderId="3" xfId="0" applyNumberFormat="1" applyFill="1" applyBorder="1"/>
    <xf numFmtId="3" fontId="0" fillId="0" borderId="25" xfId="0" applyNumberFormat="1" applyFill="1" applyBorder="1" applyProtection="1"/>
    <xf numFmtId="3" fontId="0" fillId="0" borderId="30" xfId="0" applyNumberFormat="1" applyFill="1" applyBorder="1"/>
    <xf numFmtId="3" fontId="0" fillId="0" borderId="1" xfId="0" applyNumberFormat="1" applyFill="1" applyBorder="1"/>
    <xf numFmtId="3" fontId="0" fillId="0" borderId="1" xfId="0" applyNumberFormat="1" applyFill="1" applyBorder="1" applyProtection="1"/>
    <xf numFmtId="3" fontId="0" fillId="0" borderId="6" xfId="0" applyNumberFormat="1" applyFill="1" applyBorder="1"/>
    <xf numFmtId="3" fontId="0" fillId="0" borderId="20" xfId="0" applyNumberFormat="1" applyFill="1" applyBorder="1"/>
    <xf numFmtId="3" fontId="0" fillId="0" borderId="20" xfId="0" applyNumberFormat="1" applyFill="1" applyBorder="1" applyProtection="1"/>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3" fontId="0" fillId="0" borderId="56" xfId="0" applyNumberFormat="1" applyFill="1" applyBorder="1"/>
    <xf numFmtId="3" fontId="0" fillId="0" borderId="43" xfId="0" applyNumberFormat="1" applyFill="1" applyBorder="1"/>
    <xf numFmtId="3" fontId="0" fillId="0" borderId="63" xfId="0" applyNumberFormat="1" applyFill="1" applyBorder="1"/>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3" fontId="13" fillId="2" borderId="1" xfId="0" applyNumberFormat="1" applyFont="1" applyFill="1" applyBorder="1" applyAlignment="1">
      <alignment horizontal="center" wrapText="1"/>
    </xf>
    <xf numFmtId="3" fontId="13" fillId="2" borderId="0" xfId="0" applyNumberFormat="1" applyFont="1" applyFill="1" applyBorder="1" applyAlignment="1">
      <alignment horizontal="center" wrapText="1"/>
    </xf>
    <xf numFmtId="3" fontId="0" fillId="2" borderId="62" xfId="0" applyNumberFormat="1" applyFill="1" applyBorder="1" applyAlignment="1">
      <alignment horizontal="center" wrapText="1"/>
    </xf>
    <xf numFmtId="3" fontId="0" fillId="0" borderId="36" xfId="0" applyNumberFormat="1" applyBorder="1" applyAlignment="1">
      <alignment wrapText="1"/>
    </xf>
    <xf numFmtId="3" fontId="0" fillId="0" borderId="47" xfId="0" applyNumberFormat="1" applyFill="1" applyBorder="1"/>
    <xf numFmtId="3" fontId="0" fillId="0" borderId="48" xfId="0" applyNumberFormat="1" applyFill="1" applyBorder="1"/>
    <xf numFmtId="3" fontId="0" fillId="0" borderId="64" xfId="0" applyNumberFormat="1"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11" borderId="0" xfId="0" applyNumberFormat="1" applyFont="1" applyFill="1" applyBorder="1" applyAlignment="1"/>
    <xf numFmtId="3" fontId="0" fillId="11" borderId="0" xfId="0" applyNumberFormat="1" applyFill="1" applyBorder="1" applyAlignment="1">
      <alignment horizontal="center"/>
    </xf>
    <xf numFmtId="3" fontId="0" fillId="11" borderId="0" xfId="0" applyNumberFormat="1" applyFill="1" applyBorder="1"/>
    <xf numFmtId="3" fontId="13" fillId="11" borderId="0" xfId="0" applyNumberFormat="1" applyFont="1" applyFill="1" applyBorder="1" applyAlignment="1">
      <alignment horizontal="center" wrapText="1"/>
    </xf>
    <xf numFmtId="3" fontId="0" fillId="11" borderId="0" xfId="0" applyNumberFormat="1" applyFill="1" applyBorder="1" applyAlignment="1">
      <alignment horizontal="center" wrapText="1"/>
    </xf>
    <xf numFmtId="3" fontId="0" fillId="11" borderId="0" xfId="0" applyNumberFormat="1" applyFill="1" applyBorder="1" applyAlignment="1">
      <alignment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5"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6" fillId="13" borderId="0" xfId="0" applyFont="1" applyFill="1"/>
    <xf numFmtId="0" fontId="0" fillId="13" borderId="0" xfId="0" applyFill="1"/>
    <xf numFmtId="0" fontId="0" fillId="13" borderId="30" xfId="0" applyFill="1" applyBorder="1"/>
    <xf numFmtId="0" fontId="0" fillId="13" borderId="0" xfId="0" applyFill="1" applyBorder="1"/>
    <xf numFmtId="0" fontId="25" fillId="13" borderId="0" xfId="0" applyFont="1" applyFill="1" applyBorder="1" applyAlignment="1">
      <alignment horizontal="center"/>
    </xf>
    <xf numFmtId="0" fontId="0" fillId="13" borderId="0" xfId="0" applyFill="1" applyBorder="1" applyAlignment="1">
      <alignment horizontal="center"/>
    </xf>
    <xf numFmtId="0" fontId="25"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5"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0" fontId="0" fillId="14" borderId="1" xfId="0" applyFill="1" applyBorder="1"/>
    <xf numFmtId="0" fontId="0" fillId="14" borderId="20" xfId="0" applyFill="1" applyBorder="1"/>
    <xf numFmtId="9" fontId="28" fillId="16" borderId="61" xfId="2" applyFont="1" applyFill="1" applyBorder="1" applyProtection="1">
      <protection locked="0"/>
    </xf>
    <xf numFmtId="9" fontId="0" fillId="5" borderId="8" xfId="2" applyFont="1" applyFill="1" applyBorder="1" applyProtection="1">
      <protection locked="0"/>
    </xf>
    <xf numFmtId="9" fontId="0" fillId="5" borderId="20"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8" fillId="14" borderId="51" xfId="2" applyNumberFormat="1" applyFont="1" applyFill="1" applyBorder="1"/>
    <xf numFmtId="10" fontId="23" fillId="14" borderId="27" xfId="2" applyNumberFormat="1" applyFont="1" applyFill="1" applyBorder="1"/>
    <xf numFmtId="10" fontId="23" fillId="14" borderId="28" xfId="2" applyNumberFormat="1" applyFont="1" applyFill="1" applyBorder="1"/>
    <xf numFmtId="10" fontId="8" fillId="14" borderId="28" xfId="2" applyNumberFormat="1" applyFont="1" applyFill="1" applyBorder="1"/>
    <xf numFmtId="0" fontId="8" fillId="18" borderId="20" xfId="0" applyFont="1" applyFill="1" applyBorder="1" applyAlignment="1">
      <alignment horizontal="center" vertical="center" wrapText="1"/>
    </xf>
    <xf numFmtId="0" fontId="25"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5" fillId="18" borderId="52" xfId="0" applyFont="1" applyFill="1" applyBorder="1" applyAlignment="1">
      <alignment horizontal="center" vertical="center" wrapText="1"/>
    </xf>
    <xf numFmtId="0" fontId="25" fillId="18" borderId="70" xfId="0" applyFont="1" applyFill="1" applyBorder="1" applyAlignment="1">
      <alignment horizontal="center"/>
    </xf>
    <xf numFmtId="3" fontId="2" fillId="7" borderId="45" xfId="0" applyNumberFormat="1" applyFont="1" applyFill="1" applyBorder="1" applyAlignment="1"/>
    <xf numFmtId="3" fontId="2" fillId="7" borderId="46" xfId="0" applyNumberFormat="1" applyFont="1" applyFill="1" applyBorder="1" applyAlignment="1"/>
    <xf numFmtId="3" fontId="2" fillId="7" borderId="34" xfId="0" applyNumberFormat="1" applyFont="1" applyFill="1" applyBorder="1" applyAlignment="1"/>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9"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30"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30"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3"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3" fontId="0" fillId="0" borderId="31" xfId="0" applyNumberFormat="1" applyFill="1" applyBorder="1" applyProtection="1">
      <protection locked="0"/>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0" fontId="35" fillId="14" borderId="30" xfId="0" applyNumberFormat="1" applyFont="1" applyFill="1" applyBorder="1" applyAlignment="1">
      <alignment horizontal="center" vertical="top" wrapText="1"/>
    </xf>
    <xf numFmtId="10" fontId="0" fillId="0" borderId="0" xfId="2" applyNumberFormat="1" applyFont="1"/>
    <xf numFmtId="170" fontId="0" fillId="7" borderId="0" xfId="0" applyNumberFormat="1" applyFill="1"/>
    <xf numFmtId="170" fontId="2" fillId="7" borderId="0" xfId="0" applyNumberFormat="1" applyFont="1" applyFill="1" applyBorder="1" applyAlignment="1">
      <alignment horizontal="left"/>
    </xf>
    <xf numFmtId="170" fontId="0" fillId="11" borderId="0" xfId="0" applyNumberFormat="1" applyFill="1" applyBorder="1" applyAlignment="1">
      <alignment horizontal="center"/>
    </xf>
    <xf numFmtId="170" fontId="2" fillId="8" borderId="26" xfId="0" applyNumberFormat="1" applyFont="1" applyFill="1" applyBorder="1" applyAlignment="1">
      <alignment horizontal="center" vertical="center" wrapText="1"/>
    </xf>
    <xf numFmtId="170" fontId="13" fillId="8" borderId="26" xfId="0" applyNumberFormat="1" applyFont="1" applyFill="1" applyBorder="1" applyAlignment="1">
      <alignment horizontal="center" wrapText="1"/>
    </xf>
    <xf numFmtId="170" fontId="0" fillId="8" borderId="26" xfId="0" applyNumberFormat="1" applyFill="1" applyBorder="1" applyAlignment="1">
      <alignment horizontal="center" wrapText="1"/>
    </xf>
    <xf numFmtId="170" fontId="0" fillId="0" borderId="22" xfId="0" applyNumberFormat="1" applyFill="1" applyBorder="1" applyAlignment="1">
      <alignment wrapText="1"/>
    </xf>
    <xf numFmtId="170" fontId="0" fillId="8" borderId="25" xfId="0" applyNumberFormat="1" applyFill="1" applyBorder="1"/>
    <xf numFmtId="170" fontId="0" fillId="8" borderId="1" xfId="0" applyNumberFormat="1" applyFill="1" applyBorder="1"/>
    <xf numFmtId="170" fontId="0" fillId="8" borderId="20" xfId="0" applyNumberFormat="1" applyFill="1" applyBorder="1"/>
    <xf numFmtId="9" fontId="1" fillId="5" borderId="29" xfId="2" applyFont="1" applyFill="1" applyBorder="1" applyAlignment="1" applyProtection="1">
      <alignment horizontal="center" wrapText="1"/>
      <protection locked="0"/>
    </xf>
    <xf numFmtId="0" fontId="0" fillId="14" borderId="3" xfId="0" applyFill="1" applyBorder="1"/>
    <xf numFmtId="2" fontId="0" fillId="14" borderId="30" xfId="0" applyNumberFormat="1" applyFill="1" applyBorder="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4"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1" fillId="0" borderId="66" xfId="0" applyFont="1" applyFill="1" applyBorder="1" applyAlignment="1">
      <alignment horizontal="center"/>
    </xf>
    <xf numFmtId="0" fontId="31" fillId="0" borderId="46" xfId="0" applyFont="1" applyFill="1" applyBorder="1" applyAlignment="1">
      <alignment horizontal="center"/>
    </xf>
    <xf numFmtId="0" fontId="31" fillId="0" borderId="34" xfId="0" applyFont="1" applyFill="1" applyBorder="1" applyAlignment="1">
      <alignment horizontal="center"/>
    </xf>
    <xf numFmtId="0" fontId="32" fillId="0" borderId="45" xfId="0" applyFont="1" applyBorder="1" applyAlignment="1" applyProtection="1">
      <alignment horizontal="center"/>
      <protection locked="0"/>
    </xf>
    <xf numFmtId="0" fontId="32"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3" fontId="2" fillId="2" borderId="45" xfId="0" applyNumberFormat="1" applyFont="1" applyFill="1" applyBorder="1" applyAlignment="1">
      <alignment horizontal="center"/>
    </xf>
    <xf numFmtId="3" fontId="2" fillId="2" borderId="46" xfId="0" applyNumberFormat="1" applyFont="1" applyFill="1" applyBorder="1" applyAlignment="1">
      <alignment horizontal="center"/>
    </xf>
    <xf numFmtId="3"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 xmlns:a16="http://schemas.microsoft.com/office/drawing/2014/main"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 xmlns:a16="http://schemas.microsoft.com/office/drawing/2014/main"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 xmlns:a16="http://schemas.microsoft.com/office/drawing/2014/main"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 xmlns:a16="http://schemas.microsoft.com/office/drawing/2014/main"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 xmlns:a16="http://schemas.microsoft.com/office/drawing/2014/main"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 xmlns:a16="http://schemas.microsoft.com/office/drawing/2014/main"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 xmlns:a16="http://schemas.microsoft.com/office/drawing/2014/main"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 xmlns:a16="http://schemas.microsoft.com/office/drawing/2014/main"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 xmlns:a16="http://schemas.microsoft.com/office/drawing/2014/main"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 xmlns:a16="http://schemas.microsoft.com/office/drawing/2014/main"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 xmlns:a16="http://schemas.microsoft.com/office/drawing/2014/main"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MARINDA_Hitungan%20BaU-skenario-Rekap%20Emis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G30">
            <v>0</v>
          </cell>
        </row>
        <row r="31">
          <cell r="G31">
            <v>0</v>
          </cell>
        </row>
        <row r="32">
          <cell r="G32">
            <v>0</v>
          </cell>
        </row>
        <row r="33">
          <cell r="G33">
            <v>0</v>
          </cell>
        </row>
        <row r="34">
          <cell r="G34">
            <v>0</v>
          </cell>
        </row>
        <row r="35">
          <cell r="G35">
            <v>0</v>
          </cell>
        </row>
        <row r="36">
          <cell r="G36">
            <v>0</v>
          </cell>
        </row>
        <row r="37">
          <cell r="G37">
            <v>0</v>
          </cell>
        </row>
        <row r="38">
          <cell r="G38">
            <v>0</v>
          </cell>
        </row>
        <row r="39">
          <cell r="G39">
            <v>0</v>
          </cell>
        </row>
        <row r="40">
          <cell r="G40">
            <v>0</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51" t="s">
        <v>212</v>
      </c>
      <c r="C7" s="751"/>
      <c r="D7" s="751"/>
      <c r="E7" s="751"/>
      <c r="F7" s="751"/>
      <c r="G7" s="751"/>
      <c r="H7" s="751"/>
      <c r="I7" s="751"/>
      <c r="J7" s="458"/>
      <c r="K7" s="458"/>
    </row>
    <row r="8" spans="2:11" s="9" customFormat="1">
      <c r="B8" s="10"/>
      <c r="C8" s="10"/>
      <c r="D8" s="10"/>
      <c r="E8" s="10"/>
      <c r="F8" s="10"/>
      <c r="G8" s="10"/>
      <c r="H8" s="10"/>
      <c r="I8" s="10"/>
      <c r="J8" s="10"/>
      <c r="K8" s="10"/>
    </row>
    <row r="9" spans="2:11" ht="44.1" customHeight="1">
      <c r="B9" s="752" t="s">
        <v>227</v>
      </c>
      <c r="C9" s="752"/>
      <c r="D9" s="752"/>
      <c r="E9" s="752"/>
      <c r="F9" s="752"/>
      <c r="G9" s="752"/>
      <c r="H9" s="752"/>
      <c r="I9" s="752"/>
      <c r="J9" s="459"/>
      <c r="K9" s="459"/>
    </row>
    <row r="10" spans="2:11" ht="14.45" customHeight="1">
      <c r="I10" s="460" t="s">
        <v>213</v>
      </c>
    </row>
    <row r="11" spans="2:11" ht="6.75" customHeight="1"/>
    <row r="135" spans="9:9">
      <c r="I135" s="460"/>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616" customWidth="1"/>
    <col min="3" max="3" width="8.85546875" style="561" customWidth="1"/>
    <col min="4" max="4" width="8.28515625" style="561" customWidth="1"/>
    <col min="5" max="5" width="9.85546875" style="561" customWidth="1"/>
    <col min="6" max="6" width="9.140625" style="561" customWidth="1"/>
    <col min="7" max="9" width="8.42578125" style="561" customWidth="1"/>
    <col min="10" max="10" width="8.140625" style="561" customWidth="1"/>
    <col min="11" max="11" width="9.140625" style="561" customWidth="1"/>
    <col min="12" max="13" width="8.85546875" style="6" customWidth="1"/>
    <col min="14" max="14" width="12.28515625" style="561" customWidth="1"/>
    <col min="15" max="15" width="13.85546875" style="6" customWidth="1"/>
    <col min="16" max="16384" width="11.42578125" style="6"/>
  </cols>
  <sheetData>
    <row r="1" spans="2:15" ht="13.5" thickBot="1"/>
    <row r="2" spans="2:15" ht="13.5" thickBot="1">
      <c r="C2" s="618" t="s">
        <v>265</v>
      </c>
      <c r="D2" s="814" t="str">
        <f>city</f>
        <v>SAMARINDA</v>
      </c>
      <c r="E2" s="815"/>
      <c r="F2" s="816"/>
    </row>
    <row r="3" spans="2:15" ht="13.5" thickBot="1">
      <c r="C3" s="618" t="s">
        <v>276</v>
      </c>
      <c r="D3" s="814" t="str">
        <f>province</f>
        <v>Kalimantan Timur</v>
      </c>
      <c r="E3" s="815"/>
      <c r="F3" s="816"/>
    </row>
    <row r="4" spans="2:15" ht="13.5" thickBot="1">
      <c r="B4" s="617"/>
      <c r="C4" s="618" t="s">
        <v>30</v>
      </c>
      <c r="D4" s="814">
        <f>country</f>
        <v>0</v>
      </c>
      <c r="E4" s="815"/>
      <c r="F4" s="816"/>
      <c r="H4" s="817"/>
      <c r="I4" s="817"/>
      <c r="J4" s="817"/>
      <c r="K4" s="817"/>
    </row>
    <row r="5" spans="2:15">
      <c r="B5" s="617"/>
      <c r="H5" s="818"/>
      <c r="I5" s="818"/>
      <c r="J5" s="818"/>
      <c r="K5" s="818"/>
    </row>
    <row r="6" spans="2:15" s="60" customFormat="1" ht="15.75">
      <c r="C6" s="619" t="s">
        <v>291</v>
      </c>
      <c r="D6" s="619"/>
      <c r="E6" s="619"/>
      <c r="F6" s="620"/>
      <c r="G6" s="620"/>
      <c r="H6" s="620"/>
      <c r="I6" s="620"/>
      <c r="J6" s="620"/>
      <c r="K6" s="620"/>
      <c r="N6" s="620"/>
    </row>
    <row r="7" spans="2:15">
      <c r="C7" s="621" t="s">
        <v>292</v>
      </c>
      <c r="D7" s="621"/>
      <c r="E7" s="621"/>
    </row>
    <row r="8" spans="2:15" ht="13.5" thickBot="1">
      <c r="B8" s="621"/>
    </row>
    <row r="9" spans="2:15" ht="13.5" thickBot="1">
      <c r="B9" s="621"/>
      <c r="C9" s="622" t="s">
        <v>293</v>
      </c>
      <c r="D9" s="621"/>
    </row>
    <row r="10" spans="2:15">
      <c r="B10" s="621"/>
      <c r="C10" s="623" t="s">
        <v>95</v>
      </c>
      <c r="D10" s="624">
        <f>Parameters!R26</f>
        <v>0</v>
      </c>
      <c r="E10" s="625" t="s">
        <v>6</v>
      </c>
      <c r="F10" s="624">
        <f>Parameters!R15</f>
        <v>0.15</v>
      </c>
      <c r="G10" s="626" t="s">
        <v>267</v>
      </c>
      <c r="H10" s="627">
        <f>Parameters!R21</f>
        <v>0.24</v>
      </c>
      <c r="I10" s="628"/>
      <c r="J10" s="628"/>
      <c r="K10" s="628"/>
      <c r="L10" s="629"/>
    </row>
    <row r="11" spans="2:15">
      <c r="B11" s="621"/>
      <c r="C11" s="630" t="s">
        <v>262</v>
      </c>
      <c r="D11" s="631">
        <f>Parameters!R16</f>
        <v>0.4</v>
      </c>
      <c r="E11" s="632" t="s">
        <v>261</v>
      </c>
      <c r="F11" s="631">
        <f>Parameters!R17</f>
        <v>0.2</v>
      </c>
      <c r="G11" s="633" t="s">
        <v>146</v>
      </c>
      <c r="H11" s="634">
        <f>Parameters!R27</f>
        <v>0.05</v>
      </c>
      <c r="I11" s="628"/>
      <c r="J11" s="628"/>
      <c r="K11" s="628"/>
      <c r="L11" s="629"/>
    </row>
    <row r="12" spans="2:15" ht="13.5" thickBot="1">
      <c r="B12" s="621"/>
      <c r="C12" s="635" t="s">
        <v>2</v>
      </c>
      <c r="D12" s="636">
        <f>Parameters!R20</f>
        <v>0.43</v>
      </c>
      <c r="E12" s="637" t="s">
        <v>16</v>
      </c>
      <c r="F12" s="636">
        <f>Parameters!R18</f>
        <v>0.24</v>
      </c>
      <c r="G12" s="637" t="s">
        <v>294</v>
      </c>
      <c r="H12" s="638">
        <f>Parameters!R28</f>
        <v>0.15</v>
      </c>
      <c r="I12" s="628"/>
      <c r="J12" s="628"/>
      <c r="K12" s="628"/>
      <c r="L12" s="307"/>
    </row>
    <row r="13" spans="2:15">
      <c r="B13" s="621"/>
    </row>
    <row r="14" spans="2:15" ht="13.5" thickBot="1">
      <c r="B14" s="639"/>
    </row>
    <row r="15" spans="2:15" s="646" customFormat="1" ht="39" thickBot="1">
      <c r="B15" s="640" t="s">
        <v>1</v>
      </c>
      <c r="C15" s="640" t="s">
        <v>95</v>
      </c>
      <c r="D15" s="567" t="s">
        <v>295</v>
      </c>
      <c r="E15" s="568" t="s">
        <v>261</v>
      </c>
      <c r="F15" s="568" t="s">
        <v>262</v>
      </c>
      <c r="G15" s="568" t="s">
        <v>2</v>
      </c>
      <c r="H15" s="568" t="s">
        <v>16</v>
      </c>
      <c r="I15" s="641" t="s">
        <v>267</v>
      </c>
      <c r="J15" s="642" t="s">
        <v>146</v>
      </c>
      <c r="K15" s="643" t="s">
        <v>296</v>
      </c>
      <c r="L15" s="568" t="s">
        <v>297</v>
      </c>
      <c r="M15" s="569" t="s">
        <v>298</v>
      </c>
      <c r="N15" s="644" t="s">
        <v>284</v>
      </c>
      <c r="O15" s="645" t="s">
        <v>299</v>
      </c>
    </row>
    <row r="16" spans="2:15" s="646" customFormat="1" ht="13.5" thickBot="1">
      <c r="B16" s="647"/>
      <c r="C16" s="49" t="s">
        <v>15</v>
      </c>
      <c r="D16" s="576" t="s">
        <v>15</v>
      </c>
      <c r="E16" s="574" t="s">
        <v>15</v>
      </c>
      <c r="F16" s="574" t="s">
        <v>15</v>
      </c>
      <c r="G16" s="574" t="s">
        <v>15</v>
      </c>
      <c r="H16" s="574" t="s">
        <v>15</v>
      </c>
      <c r="I16" s="648" t="s">
        <v>15</v>
      </c>
      <c r="J16" s="649" t="s">
        <v>15</v>
      </c>
      <c r="K16" s="650" t="s">
        <v>15</v>
      </c>
      <c r="L16" s="574" t="s">
        <v>15</v>
      </c>
      <c r="M16" s="575" t="s">
        <v>15</v>
      </c>
      <c r="N16" s="651" t="s">
        <v>15</v>
      </c>
      <c r="O16" s="575" t="s">
        <v>15</v>
      </c>
    </row>
    <row r="17" spans="2:15">
      <c r="B17" s="589"/>
      <c r="C17" s="652"/>
      <c r="D17" s="653"/>
      <c r="E17" s="654"/>
      <c r="F17" s="654"/>
      <c r="G17" s="654"/>
      <c r="H17" s="654"/>
      <c r="I17" s="655"/>
      <c r="J17" s="656"/>
      <c r="K17" s="657"/>
      <c r="L17" s="658"/>
      <c r="M17" s="659"/>
      <c r="N17" s="653"/>
      <c r="O17" s="660"/>
    </row>
    <row r="18" spans="2:15">
      <c r="B18" s="598">
        <f>year</f>
        <v>1950</v>
      </c>
      <c r="C18" s="661">
        <f>Amnt_Deposited!O14*$D$10*(1-DOCF)*MSW!E19</f>
        <v>0</v>
      </c>
      <c r="D18" s="662">
        <f>Amnt_Deposited!C14*$F$10*(1-DOCF)*Food!E19</f>
        <v>0</v>
      </c>
      <c r="E18" s="663">
        <f>Amnt_Deposited!F14*$F$11*(1-DOCF)*Garden!E19</f>
        <v>0</v>
      </c>
      <c r="F18" s="663">
        <f>Amnt_Deposited!D14*$D$11*(1-DOCF)*Paper!E19</f>
        <v>0</v>
      </c>
      <c r="G18" s="663">
        <f>Amnt_Deposited!G14*$D$12*(1-DOCF)*Wood!E19</f>
        <v>0</v>
      </c>
      <c r="H18" s="663">
        <f>Amnt_Deposited!H14*$F$12*(1-DOCF)*Textiles!E19</f>
        <v>0</v>
      </c>
      <c r="I18" s="664">
        <f>Amnt_Deposited!E14*$H$10*(1-DOCF)*Nappies!E19</f>
        <v>0</v>
      </c>
      <c r="J18" s="665">
        <f>Amnt_Deposited!N14*$H$11*(1-DOCF)*Sludge!E19</f>
        <v>0</v>
      </c>
      <c r="K18" s="666">
        <f>Amnt_Deposited!P14*$H$12*(1-DOCF)*Industry!E19</f>
        <v>0</v>
      </c>
      <c r="L18" s="663">
        <f>Amnt_Deposited!P14*Parameters!$E$58*$D$11*(1-DOCF)*Industry!E19</f>
        <v>0</v>
      </c>
      <c r="M18" s="664">
        <f>Amnt_Deposited!P14*Parameters!$E$59*$D$12*(1-DOCF)*Industry!E19</f>
        <v>0</v>
      </c>
      <c r="N18" s="599">
        <f t="shared" ref="N18:N49" si="0">IF(Select2=2,C18+J18+K18, D18+E18+F18+G18+H18+I18+J18+K18)</f>
        <v>0</v>
      </c>
      <c r="O18" s="601">
        <f t="shared" ref="O18:O81" si="1">O17+N18</f>
        <v>0</v>
      </c>
    </row>
    <row r="19" spans="2:15">
      <c r="B19" s="598">
        <f>B18+1</f>
        <v>1951</v>
      </c>
      <c r="C19" s="661">
        <f>Amnt_Deposited!O15*$D$10*(1-DOCF)*MSW!E20</f>
        <v>0</v>
      </c>
      <c r="D19" s="662">
        <f>Amnt_Deposited!C15*$F$10*(1-DOCF)*Food!E20</f>
        <v>0</v>
      </c>
      <c r="E19" s="663">
        <f>Amnt_Deposited!F15*$F$11*(1-DOCF)*Garden!E20</f>
        <v>0</v>
      </c>
      <c r="F19" s="663">
        <f>Amnt_Deposited!D15*$D$11*(1-DOCF)*Paper!E20</f>
        <v>0</v>
      </c>
      <c r="G19" s="663">
        <f>Amnt_Deposited!G15*$D$12*(1-DOCF)*Wood!E20</f>
        <v>0</v>
      </c>
      <c r="H19" s="663">
        <f>Amnt_Deposited!H15*$F$12*(1-DOCF)*Textiles!E20</f>
        <v>0</v>
      </c>
      <c r="I19" s="664">
        <f>Amnt_Deposited!E15*$H$10*(1-DOCF)*Nappies!E20</f>
        <v>0</v>
      </c>
      <c r="J19" s="665">
        <f>Amnt_Deposited!N15*$H$11*(1-DOCF)*Sludge!E20</f>
        <v>0</v>
      </c>
      <c r="K19" s="666">
        <f>Amnt_Deposited!P15*$H$12*(1-DOCF)*Industry!D20</f>
        <v>0</v>
      </c>
      <c r="L19" s="663">
        <f>Amnt_Deposited!P15*Parameters!$E$58*$D$11*(1-DOCF)*Industry!E20</f>
        <v>0</v>
      </c>
      <c r="M19" s="664">
        <f>Amnt_Deposited!P15*Parameters!$E$59*$D$12*(1-DOCF)*Industry!E20</f>
        <v>0</v>
      </c>
      <c r="N19" s="599">
        <f t="shared" si="0"/>
        <v>0</v>
      </c>
      <c r="O19" s="601">
        <f t="shared" si="1"/>
        <v>0</v>
      </c>
    </row>
    <row r="20" spans="2:15">
      <c r="B20" s="598">
        <f t="shared" ref="B20:B83" si="2">B19+1</f>
        <v>1952</v>
      </c>
      <c r="C20" s="661">
        <f>Amnt_Deposited!O16*$D$10*(1-DOCF)*MSW!E21</f>
        <v>0</v>
      </c>
      <c r="D20" s="662">
        <f>Amnt_Deposited!C16*$F$10*(1-DOCF)*Food!E21</f>
        <v>0</v>
      </c>
      <c r="E20" s="663">
        <f>Amnt_Deposited!F16*$F$11*(1-DOCF)*Garden!E21</f>
        <v>0</v>
      </c>
      <c r="F20" s="663">
        <f>Amnt_Deposited!D16*$D$11*(1-DOCF)*Paper!E21</f>
        <v>0</v>
      </c>
      <c r="G20" s="663">
        <f>Amnt_Deposited!G16*$D$12*(1-DOCF)*Wood!E21</f>
        <v>0</v>
      </c>
      <c r="H20" s="663">
        <f>Amnt_Deposited!H16*$F$12*(1-DOCF)*Textiles!E21</f>
        <v>0</v>
      </c>
      <c r="I20" s="664">
        <f>Amnt_Deposited!E16*$H$10*(1-DOCF)*Nappies!E21</f>
        <v>0</v>
      </c>
      <c r="J20" s="665">
        <f>Amnt_Deposited!N16*$H$11*(1-DOCF)*Sludge!E21</f>
        <v>0</v>
      </c>
      <c r="K20" s="666">
        <f>Amnt_Deposited!P16*$H$12*(1-DOCF)*Industry!D21</f>
        <v>0</v>
      </c>
      <c r="L20" s="663">
        <f>Amnt_Deposited!P16*Parameters!$E$58*$D$11*(1-DOCF)*Industry!E21</f>
        <v>0</v>
      </c>
      <c r="M20" s="664">
        <f>Amnt_Deposited!P16*Parameters!$E$59*$D$12*(1-DOCF)*Industry!E21</f>
        <v>0</v>
      </c>
      <c r="N20" s="599">
        <f t="shared" si="0"/>
        <v>0</v>
      </c>
      <c r="O20" s="601">
        <f t="shared" si="1"/>
        <v>0</v>
      </c>
    </row>
    <row r="21" spans="2:15">
      <c r="B21" s="598">
        <f t="shared" si="2"/>
        <v>1953</v>
      </c>
      <c r="C21" s="661">
        <f>Amnt_Deposited!O17*$D$10*(1-DOCF)*MSW!E22</f>
        <v>0</v>
      </c>
      <c r="D21" s="662">
        <f>Amnt_Deposited!C17*$F$10*(1-DOCF)*Food!E22</f>
        <v>0</v>
      </c>
      <c r="E21" s="663">
        <f>Amnt_Deposited!F17*$F$11*(1-DOCF)*Garden!E22</f>
        <v>0</v>
      </c>
      <c r="F21" s="663">
        <f>Amnt_Deposited!D17*$D$11*(1-DOCF)*Paper!E22</f>
        <v>0</v>
      </c>
      <c r="G21" s="663">
        <f>Amnt_Deposited!G17*$D$12*(1-DOCF)*Wood!E22</f>
        <v>0</v>
      </c>
      <c r="H21" s="663">
        <f>Amnt_Deposited!H17*$F$12*(1-DOCF)*Textiles!E22</f>
        <v>0</v>
      </c>
      <c r="I21" s="664">
        <f>Amnt_Deposited!E17*$H$10*(1-DOCF)*Nappies!E22</f>
        <v>0</v>
      </c>
      <c r="J21" s="665">
        <f>Amnt_Deposited!N17*$H$11*(1-DOCF)*Sludge!E22</f>
        <v>0</v>
      </c>
      <c r="K21" s="666">
        <f>Amnt_Deposited!P17*$H$12*(1-DOCF)*Industry!D22</f>
        <v>0</v>
      </c>
      <c r="L21" s="663">
        <f>Amnt_Deposited!P17*Parameters!$E$58*$D$11*(1-DOCF)*Industry!E22</f>
        <v>0</v>
      </c>
      <c r="M21" s="664">
        <f>Amnt_Deposited!P17*Parameters!$E$59*$D$12*(1-DOCF)*Industry!E22</f>
        <v>0</v>
      </c>
      <c r="N21" s="599">
        <f t="shared" si="0"/>
        <v>0</v>
      </c>
      <c r="O21" s="601">
        <f t="shared" si="1"/>
        <v>0</v>
      </c>
    </row>
    <row r="22" spans="2:15">
      <c r="B22" s="598">
        <f t="shared" si="2"/>
        <v>1954</v>
      </c>
      <c r="C22" s="661">
        <f>Amnt_Deposited!O18*$D$10*(1-DOCF)*MSW!E23</f>
        <v>0</v>
      </c>
      <c r="D22" s="662">
        <f>Amnt_Deposited!C18*$F$10*(1-DOCF)*Food!E23</f>
        <v>0</v>
      </c>
      <c r="E22" s="663">
        <f>Amnt_Deposited!F18*$F$11*(1-DOCF)*Garden!E23</f>
        <v>0</v>
      </c>
      <c r="F22" s="663">
        <f>Amnt_Deposited!D18*$D$11*(1-DOCF)*Paper!E23</f>
        <v>0</v>
      </c>
      <c r="G22" s="663">
        <f>Amnt_Deposited!G18*$D$12*(1-DOCF)*Wood!E23</f>
        <v>0</v>
      </c>
      <c r="H22" s="663">
        <f>Amnt_Deposited!H18*$F$12*(1-DOCF)*Textiles!E23</f>
        <v>0</v>
      </c>
      <c r="I22" s="664">
        <f>Amnt_Deposited!E18*$H$10*(1-DOCF)*Nappies!E23</f>
        <v>0</v>
      </c>
      <c r="J22" s="665">
        <f>Amnt_Deposited!N18*$H$11*(1-DOCF)*Sludge!E23</f>
        <v>0</v>
      </c>
      <c r="K22" s="666">
        <f>Amnt_Deposited!P18*$H$12*(1-DOCF)*Industry!D23</f>
        <v>0</v>
      </c>
      <c r="L22" s="663">
        <f>Amnt_Deposited!P18*Parameters!$E$58*$D$11*(1-DOCF)*Industry!E23</f>
        <v>0</v>
      </c>
      <c r="M22" s="664">
        <f>Amnt_Deposited!P18*Parameters!$E$59*$D$12*(1-DOCF)*Industry!E23</f>
        <v>0</v>
      </c>
      <c r="N22" s="599">
        <f t="shared" si="0"/>
        <v>0</v>
      </c>
      <c r="O22" s="601">
        <f t="shared" si="1"/>
        <v>0</v>
      </c>
    </row>
    <row r="23" spans="2:15">
      <c r="B23" s="598">
        <f t="shared" si="2"/>
        <v>1955</v>
      </c>
      <c r="C23" s="661">
        <f>Amnt_Deposited!O19*$D$10*(1-DOCF)*MSW!E24</f>
        <v>0</v>
      </c>
      <c r="D23" s="662">
        <f>Amnt_Deposited!C19*$F$10*(1-DOCF)*Food!E24</f>
        <v>0</v>
      </c>
      <c r="E23" s="663">
        <f>Amnt_Deposited!F19*$F$11*(1-DOCF)*Garden!E24</f>
        <v>0</v>
      </c>
      <c r="F23" s="663">
        <f>Amnt_Deposited!D19*$D$11*(1-DOCF)*Paper!E24</f>
        <v>0</v>
      </c>
      <c r="G23" s="663">
        <f>Amnt_Deposited!G19*$D$12*(1-DOCF)*Wood!E24</f>
        <v>0</v>
      </c>
      <c r="H23" s="663">
        <f>Amnt_Deposited!H19*$F$12*(1-DOCF)*Textiles!E24</f>
        <v>0</v>
      </c>
      <c r="I23" s="664">
        <f>Amnt_Deposited!E19*$H$10*(1-DOCF)*Nappies!E24</f>
        <v>0</v>
      </c>
      <c r="J23" s="665">
        <f>Amnt_Deposited!N19*$H$11*(1-DOCF)*Sludge!E24</f>
        <v>0</v>
      </c>
      <c r="K23" s="666">
        <f>Amnt_Deposited!P19*$H$12*(1-DOCF)*Industry!D24</f>
        <v>0</v>
      </c>
      <c r="L23" s="663">
        <f>Amnt_Deposited!P19*Parameters!$E$58*$D$11*(1-DOCF)*Industry!E24</f>
        <v>0</v>
      </c>
      <c r="M23" s="664">
        <f>Amnt_Deposited!P19*Parameters!$E$59*$D$12*(1-DOCF)*Industry!E24</f>
        <v>0</v>
      </c>
      <c r="N23" s="599">
        <f t="shared" si="0"/>
        <v>0</v>
      </c>
      <c r="O23" s="601">
        <f t="shared" si="1"/>
        <v>0</v>
      </c>
    </row>
    <row r="24" spans="2:15">
      <c r="B24" s="598">
        <f t="shared" si="2"/>
        <v>1956</v>
      </c>
      <c r="C24" s="661">
        <f>Amnt_Deposited!O20*$D$10*(1-DOCF)*MSW!E25</f>
        <v>0</v>
      </c>
      <c r="D24" s="662">
        <f>Amnt_Deposited!C20*$F$10*(1-DOCF)*Food!E25</f>
        <v>0</v>
      </c>
      <c r="E24" s="663">
        <f>Amnt_Deposited!F20*$F$11*(1-DOCF)*Garden!E25</f>
        <v>0</v>
      </c>
      <c r="F24" s="663">
        <f>Amnt_Deposited!D20*$D$11*(1-DOCF)*Paper!E25</f>
        <v>0</v>
      </c>
      <c r="G24" s="663">
        <f>Amnt_Deposited!G20*$D$12*(1-DOCF)*Wood!E25</f>
        <v>0</v>
      </c>
      <c r="H24" s="663">
        <f>Amnt_Deposited!H20*$F$12*(1-DOCF)*Textiles!E25</f>
        <v>0</v>
      </c>
      <c r="I24" s="664">
        <f>Amnt_Deposited!E20*$H$10*(1-DOCF)*Nappies!E25</f>
        <v>0</v>
      </c>
      <c r="J24" s="665">
        <f>Amnt_Deposited!N20*$H$11*(1-DOCF)*Sludge!E25</f>
        <v>0</v>
      </c>
      <c r="K24" s="666">
        <f>Amnt_Deposited!P20*$H$12*(1-DOCF)*Industry!D25</f>
        <v>0</v>
      </c>
      <c r="L24" s="663">
        <f>Amnt_Deposited!P20*Parameters!$E$58*$D$11*(1-DOCF)*Industry!E25</f>
        <v>0</v>
      </c>
      <c r="M24" s="664">
        <f>Amnt_Deposited!P20*Parameters!$E$59*$D$12*(1-DOCF)*Industry!E25</f>
        <v>0</v>
      </c>
      <c r="N24" s="599">
        <f t="shared" si="0"/>
        <v>0</v>
      </c>
      <c r="O24" s="601">
        <f t="shared" si="1"/>
        <v>0</v>
      </c>
    </row>
    <row r="25" spans="2:15">
      <c r="B25" s="598">
        <f t="shared" si="2"/>
        <v>1957</v>
      </c>
      <c r="C25" s="661">
        <f>Amnt_Deposited!O21*$D$10*(1-DOCF)*MSW!E26</f>
        <v>0</v>
      </c>
      <c r="D25" s="662">
        <f>Amnt_Deposited!C21*$F$10*(1-DOCF)*Food!E26</f>
        <v>0</v>
      </c>
      <c r="E25" s="663">
        <f>Amnt_Deposited!F21*$F$11*(1-DOCF)*Garden!E26</f>
        <v>0</v>
      </c>
      <c r="F25" s="663">
        <f>Amnt_Deposited!D21*$D$11*(1-DOCF)*Paper!E26</f>
        <v>0</v>
      </c>
      <c r="G25" s="663">
        <f>Amnt_Deposited!G21*$D$12*(1-DOCF)*Wood!E26</f>
        <v>0</v>
      </c>
      <c r="H25" s="663">
        <f>Amnt_Deposited!H21*$F$12*(1-DOCF)*Textiles!E26</f>
        <v>0</v>
      </c>
      <c r="I25" s="664">
        <f>Amnt_Deposited!E21*$H$10*(1-DOCF)*Nappies!E26</f>
        <v>0</v>
      </c>
      <c r="J25" s="665">
        <f>Amnt_Deposited!N21*$H$11*(1-DOCF)*Sludge!E26</f>
        <v>0</v>
      </c>
      <c r="K25" s="666">
        <f>Amnt_Deposited!P21*$H$12*(1-DOCF)*Industry!D26</f>
        <v>0</v>
      </c>
      <c r="L25" s="663">
        <f>Amnt_Deposited!P21*Parameters!$E$58*$D$11*(1-DOCF)*Industry!E26</f>
        <v>0</v>
      </c>
      <c r="M25" s="664">
        <f>Amnt_Deposited!P21*Parameters!$E$59*$D$12*(1-DOCF)*Industry!E26</f>
        <v>0</v>
      </c>
      <c r="N25" s="599">
        <f t="shared" si="0"/>
        <v>0</v>
      </c>
      <c r="O25" s="601">
        <f t="shared" si="1"/>
        <v>0</v>
      </c>
    </row>
    <row r="26" spans="2:15">
      <c r="B26" s="598">
        <f t="shared" si="2"/>
        <v>1958</v>
      </c>
      <c r="C26" s="661">
        <f>Amnt_Deposited!O22*$D$10*(1-DOCF)*MSW!E27</f>
        <v>0</v>
      </c>
      <c r="D26" s="662">
        <f>Amnt_Deposited!C22*$F$10*(1-DOCF)*Food!E27</f>
        <v>0</v>
      </c>
      <c r="E26" s="663">
        <f>Amnt_Deposited!F22*$F$11*(1-DOCF)*Garden!E27</f>
        <v>0</v>
      </c>
      <c r="F26" s="663">
        <f>Amnt_Deposited!D22*$D$11*(1-DOCF)*Paper!E27</f>
        <v>0</v>
      </c>
      <c r="G26" s="663">
        <f>Amnt_Deposited!G22*$D$12*(1-DOCF)*Wood!E27</f>
        <v>0</v>
      </c>
      <c r="H26" s="663">
        <f>Amnt_Deposited!H22*$F$12*(1-DOCF)*Textiles!E27</f>
        <v>0</v>
      </c>
      <c r="I26" s="664">
        <f>Amnt_Deposited!E22*$H$10*(1-DOCF)*Nappies!E27</f>
        <v>0</v>
      </c>
      <c r="J26" s="665">
        <f>Amnt_Deposited!N22*$H$11*(1-DOCF)*Sludge!E27</f>
        <v>0</v>
      </c>
      <c r="K26" s="666">
        <f>Amnt_Deposited!P22*$H$12*(1-DOCF)*Industry!D27</f>
        <v>0</v>
      </c>
      <c r="L26" s="663">
        <f>Amnt_Deposited!P22*Parameters!$E$58*$D$11*(1-DOCF)*Industry!E27</f>
        <v>0</v>
      </c>
      <c r="M26" s="664">
        <f>Amnt_Deposited!P22*Parameters!$E$59*$D$12*(1-DOCF)*Industry!E27</f>
        <v>0</v>
      </c>
      <c r="N26" s="599">
        <f t="shared" si="0"/>
        <v>0</v>
      </c>
      <c r="O26" s="601">
        <f t="shared" si="1"/>
        <v>0</v>
      </c>
    </row>
    <row r="27" spans="2:15">
      <c r="B27" s="598">
        <f t="shared" si="2"/>
        <v>1959</v>
      </c>
      <c r="C27" s="661">
        <f>Amnt_Deposited!O23*$D$10*(1-DOCF)*MSW!E28</f>
        <v>0</v>
      </c>
      <c r="D27" s="662">
        <f>Amnt_Deposited!C23*$F$10*(1-DOCF)*Food!E28</f>
        <v>0</v>
      </c>
      <c r="E27" s="663">
        <f>Amnt_Deposited!F23*$F$11*(1-DOCF)*Garden!E28</f>
        <v>0</v>
      </c>
      <c r="F27" s="663">
        <f>Amnt_Deposited!D23*$D$11*(1-DOCF)*Paper!E28</f>
        <v>0</v>
      </c>
      <c r="G27" s="663">
        <f>Amnt_Deposited!G23*$D$12*(1-DOCF)*Wood!E28</f>
        <v>0</v>
      </c>
      <c r="H27" s="663">
        <f>Amnt_Deposited!H23*$F$12*(1-DOCF)*Textiles!E28</f>
        <v>0</v>
      </c>
      <c r="I27" s="664">
        <f>Amnt_Deposited!E23*$H$10*(1-DOCF)*Nappies!E28</f>
        <v>0</v>
      </c>
      <c r="J27" s="665">
        <f>Amnt_Deposited!N23*$H$11*(1-DOCF)*Sludge!E28</f>
        <v>0</v>
      </c>
      <c r="K27" s="666">
        <f>Amnt_Deposited!P23*$H$12*(1-DOCF)*Industry!D28</f>
        <v>0</v>
      </c>
      <c r="L27" s="663">
        <f>Amnt_Deposited!P23*Parameters!$E$58*$D$11*(1-DOCF)*Industry!E28</f>
        <v>0</v>
      </c>
      <c r="M27" s="664">
        <f>Amnt_Deposited!P23*Parameters!$E$59*$D$12*(1-DOCF)*Industry!E28</f>
        <v>0</v>
      </c>
      <c r="N27" s="599">
        <f t="shared" si="0"/>
        <v>0</v>
      </c>
      <c r="O27" s="601">
        <f t="shared" si="1"/>
        <v>0</v>
      </c>
    </row>
    <row r="28" spans="2:15">
      <c r="B28" s="598">
        <f t="shared" si="2"/>
        <v>1960</v>
      </c>
      <c r="C28" s="661">
        <f>Amnt_Deposited!O24*$D$10*(1-DOCF)*MSW!E29</f>
        <v>0</v>
      </c>
      <c r="D28" s="662">
        <f>Amnt_Deposited!C24*$F$10*(1-DOCF)*Food!E29</f>
        <v>0</v>
      </c>
      <c r="E28" s="663">
        <f>Amnt_Deposited!F24*$F$11*(1-DOCF)*Garden!E29</f>
        <v>0</v>
      </c>
      <c r="F28" s="663">
        <f>Amnt_Deposited!D24*$D$11*(1-DOCF)*Paper!E29</f>
        <v>0</v>
      </c>
      <c r="G28" s="663">
        <f>Amnt_Deposited!G24*$D$12*(1-DOCF)*Wood!E29</f>
        <v>0</v>
      </c>
      <c r="H28" s="663">
        <f>Amnt_Deposited!H24*$F$12*(1-DOCF)*Textiles!E29</f>
        <v>0</v>
      </c>
      <c r="I28" s="664">
        <f>Amnt_Deposited!E24*$H$10*(1-DOCF)*Nappies!E29</f>
        <v>0</v>
      </c>
      <c r="J28" s="665">
        <f>Amnt_Deposited!N24*$H$11*(1-DOCF)*Sludge!E29</f>
        <v>0</v>
      </c>
      <c r="K28" s="666">
        <f>Amnt_Deposited!P24*$H$12*(1-DOCF)*Industry!D29</f>
        <v>0</v>
      </c>
      <c r="L28" s="663">
        <f>Amnt_Deposited!P24*Parameters!$E$58*$D$11*(1-DOCF)*Industry!E29</f>
        <v>0</v>
      </c>
      <c r="M28" s="664">
        <f>Amnt_Deposited!P24*Parameters!$E$59*$D$12*(1-DOCF)*Industry!E29</f>
        <v>0</v>
      </c>
      <c r="N28" s="599">
        <f t="shared" si="0"/>
        <v>0</v>
      </c>
      <c r="O28" s="601">
        <f t="shared" si="1"/>
        <v>0</v>
      </c>
    </row>
    <row r="29" spans="2:15">
      <c r="B29" s="598">
        <f t="shared" si="2"/>
        <v>1961</v>
      </c>
      <c r="C29" s="661">
        <f>Amnt_Deposited!O25*$D$10*(1-DOCF)*MSW!E30</f>
        <v>0</v>
      </c>
      <c r="D29" s="662">
        <f>Amnt_Deposited!C25*$F$10*(1-DOCF)*Food!E30</f>
        <v>0</v>
      </c>
      <c r="E29" s="663">
        <f>Amnt_Deposited!F25*$F$11*(1-DOCF)*Garden!E30</f>
        <v>0</v>
      </c>
      <c r="F29" s="663">
        <f>Amnt_Deposited!D25*$D$11*(1-DOCF)*Paper!E30</f>
        <v>0</v>
      </c>
      <c r="G29" s="663">
        <f>Amnt_Deposited!G25*$D$12*(1-DOCF)*Wood!E30</f>
        <v>0</v>
      </c>
      <c r="H29" s="663">
        <f>Amnt_Deposited!H25*$F$12*(1-DOCF)*Textiles!E30</f>
        <v>0</v>
      </c>
      <c r="I29" s="664">
        <f>Amnt_Deposited!E25*$H$10*(1-DOCF)*Nappies!E30</f>
        <v>0</v>
      </c>
      <c r="J29" s="665">
        <f>Amnt_Deposited!N25*$H$11*(1-DOCF)*Sludge!E30</f>
        <v>0</v>
      </c>
      <c r="K29" s="666">
        <f>Amnt_Deposited!P25*$H$12*(1-DOCF)*Industry!D30</f>
        <v>0</v>
      </c>
      <c r="L29" s="663">
        <f>Amnt_Deposited!P25*Parameters!$E$58*$D$11*(1-DOCF)*Industry!E30</f>
        <v>0</v>
      </c>
      <c r="M29" s="664">
        <f>Amnt_Deposited!P25*Parameters!$E$59*$D$12*(1-DOCF)*Industry!E30</f>
        <v>0</v>
      </c>
      <c r="N29" s="599">
        <f t="shared" si="0"/>
        <v>0</v>
      </c>
      <c r="O29" s="601">
        <f t="shared" si="1"/>
        <v>0</v>
      </c>
    </row>
    <row r="30" spans="2:15">
      <c r="B30" s="598">
        <f t="shared" si="2"/>
        <v>1962</v>
      </c>
      <c r="C30" s="661">
        <f>Amnt_Deposited!O26*$D$10*(1-DOCF)*MSW!E31</f>
        <v>0</v>
      </c>
      <c r="D30" s="662">
        <f>Amnt_Deposited!C26*$F$10*(1-DOCF)*Food!E31</f>
        <v>0</v>
      </c>
      <c r="E30" s="663">
        <f>Amnt_Deposited!F26*$F$11*(1-DOCF)*Garden!E31</f>
        <v>0</v>
      </c>
      <c r="F30" s="663">
        <f>Amnt_Deposited!D26*$D$11*(1-DOCF)*Paper!E31</f>
        <v>0</v>
      </c>
      <c r="G30" s="663">
        <f>Amnt_Deposited!G26*$D$12*(1-DOCF)*Wood!E31</f>
        <v>0</v>
      </c>
      <c r="H30" s="663">
        <f>Amnt_Deposited!H26*$F$12*(1-DOCF)*Textiles!E31</f>
        <v>0</v>
      </c>
      <c r="I30" s="664">
        <f>Amnt_Deposited!E26*$H$10*(1-DOCF)*Nappies!E31</f>
        <v>0</v>
      </c>
      <c r="J30" s="665">
        <f>Amnt_Deposited!N26*$H$11*(1-DOCF)*Sludge!E31</f>
        <v>0</v>
      </c>
      <c r="K30" s="666">
        <f>Amnt_Deposited!P26*$H$12*(1-DOCF)*Industry!D31</f>
        <v>0</v>
      </c>
      <c r="L30" s="663">
        <f>Amnt_Deposited!P26*Parameters!$E$58*$D$11*(1-DOCF)*Industry!E31</f>
        <v>0</v>
      </c>
      <c r="M30" s="664">
        <f>Amnt_Deposited!P26*Parameters!$E$59*$D$12*(1-DOCF)*Industry!E31</f>
        <v>0</v>
      </c>
      <c r="N30" s="599">
        <f t="shared" si="0"/>
        <v>0</v>
      </c>
      <c r="O30" s="601">
        <f t="shared" si="1"/>
        <v>0</v>
      </c>
    </row>
    <row r="31" spans="2:15">
      <c r="B31" s="598">
        <f t="shared" si="2"/>
        <v>1963</v>
      </c>
      <c r="C31" s="661">
        <f>Amnt_Deposited!O27*$D$10*(1-DOCF)*MSW!E32</f>
        <v>0</v>
      </c>
      <c r="D31" s="662">
        <f>Amnt_Deposited!C27*$F$10*(1-DOCF)*Food!E32</f>
        <v>0</v>
      </c>
      <c r="E31" s="663">
        <f>Amnt_Deposited!F27*$F$11*(1-DOCF)*Garden!E32</f>
        <v>0</v>
      </c>
      <c r="F31" s="663">
        <f>Amnt_Deposited!D27*$D$11*(1-DOCF)*Paper!E32</f>
        <v>0</v>
      </c>
      <c r="G31" s="663">
        <f>Amnt_Deposited!G27*$D$12*(1-DOCF)*Wood!E32</f>
        <v>0</v>
      </c>
      <c r="H31" s="663">
        <f>Amnt_Deposited!H27*$F$12*(1-DOCF)*Textiles!E32</f>
        <v>0</v>
      </c>
      <c r="I31" s="664">
        <f>Amnt_Deposited!E27*$H$10*(1-DOCF)*Nappies!E32</f>
        <v>0</v>
      </c>
      <c r="J31" s="665">
        <f>Amnt_Deposited!N27*$H$11*(1-DOCF)*Sludge!E32</f>
        <v>0</v>
      </c>
      <c r="K31" s="666">
        <f>Amnt_Deposited!P27*$H$12*(1-DOCF)*Industry!D32</f>
        <v>0</v>
      </c>
      <c r="L31" s="663">
        <f>Amnt_Deposited!P27*Parameters!$E$58*$D$11*(1-DOCF)*Industry!E32</f>
        <v>0</v>
      </c>
      <c r="M31" s="664">
        <f>Amnt_Deposited!P27*Parameters!$E$59*$D$12*(1-DOCF)*Industry!E32</f>
        <v>0</v>
      </c>
      <c r="N31" s="599">
        <f t="shared" si="0"/>
        <v>0</v>
      </c>
      <c r="O31" s="601">
        <f t="shared" si="1"/>
        <v>0</v>
      </c>
    </row>
    <row r="32" spans="2:15">
      <c r="B32" s="598">
        <f t="shared" si="2"/>
        <v>1964</v>
      </c>
      <c r="C32" s="661">
        <f>Amnt_Deposited!O28*$D$10*(1-DOCF)*MSW!E33</f>
        <v>0</v>
      </c>
      <c r="D32" s="662">
        <f>Amnt_Deposited!C28*$F$10*(1-DOCF)*Food!E33</f>
        <v>0</v>
      </c>
      <c r="E32" s="663">
        <f>Amnt_Deposited!F28*$F$11*(1-DOCF)*Garden!E33</f>
        <v>0</v>
      </c>
      <c r="F32" s="663">
        <f>Amnt_Deposited!D28*$D$11*(1-DOCF)*Paper!E33</f>
        <v>0</v>
      </c>
      <c r="G32" s="663">
        <f>Amnt_Deposited!G28*$D$12*(1-DOCF)*Wood!E33</f>
        <v>0</v>
      </c>
      <c r="H32" s="663">
        <f>Amnt_Deposited!H28*$F$12*(1-DOCF)*Textiles!E33</f>
        <v>0</v>
      </c>
      <c r="I32" s="664">
        <f>Amnt_Deposited!E28*$H$10*(1-DOCF)*Nappies!E33</f>
        <v>0</v>
      </c>
      <c r="J32" s="665">
        <f>Amnt_Deposited!N28*$H$11*(1-DOCF)*Sludge!E33</f>
        <v>0</v>
      </c>
      <c r="K32" s="666">
        <f>Amnt_Deposited!P28*$H$12*(1-DOCF)*Industry!D33</f>
        <v>0</v>
      </c>
      <c r="L32" s="663">
        <f>Amnt_Deposited!P28*Parameters!$E$58*$D$11*(1-DOCF)*Industry!E33</f>
        <v>0</v>
      </c>
      <c r="M32" s="664">
        <f>Amnt_Deposited!P28*Parameters!$E$59*$D$12*(1-DOCF)*Industry!E33</f>
        <v>0</v>
      </c>
      <c r="N32" s="599">
        <f t="shared" si="0"/>
        <v>0</v>
      </c>
      <c r="O32" s="601">
        <f t="shared" si="1"/>
        <v>0</v>
      </c>
    </row>
    <row r="33" spans="2:15">
      <c r="B33" s="598">
        <f t="shared" si="2"/>
        <v>1965</v>
      </c>
      <c r="C33" s="661">
        <f>Amnt_Deposited!O29*$D$10*(1-DOCF)*MSW!E34</f>
        <v>0</v>
      </c>
      <c r="D33" s="662">
        <f>Amnt_Deposited!C29*$F$10*(1-DOCF)*Food!E34</f>
        <v>0</v>
      </c>
      <c r="E33" s="663">
        <f>Amnt_Deposited!F29*$F$11*(1-DOCF)*Garden!E34</f>
        <v>0</v>
      </c>
      <c r="F33" s="663">
        <f>Amnt_Deposited!D29*$D$11*(1-DOCF)*Paper!E34</f>
        <v>0</v>
      </c>
      <c r="G33" s="663">
        <f>Amnt_Deposited!G29*$D$12*(1-DOCF)*Wood!E34</f>
        <v>0</v>
      </c>
      <c r="H33" s="663">
        <f>Amnt_Deposited!H29*$F$12*(1-DOCF)*Textiles!E34</f>
        <v>0</v>
      </c>
      <c r="I33" s="664">
        <f>Amnt_Deposited!E29*$H$10*(1-DOCF)*Nappies!E34</f>
        <v>0</v>
      </c>
      <c r="J33" s="665">
        <f>Amnt_Deposited!N29*$H$11*(1-DOCF)*Sludge!E34</f>
        <v>0</v>
      </c>
      <c r="K33" s="666">
        <f>Amnt_Deposited!P29*$H$12*(1-DOCF)*Industry!D34</f>
        <v>0</v>
      </c>
      <c r="L33" s="663">
        <f>Amnt_Deposited!P29*Parameters!$E$58*$D$11*(1-DOCF)*Industry!E34</f>
        <v>0</v>
      </c>
      <c r="M33" s="664">
        <f>Amnt_Deposited!P29*Parameters!$E$59*$D$12*(1-DOCF)*Industry!E34</f>
        <v>0</v>
      </c>
      <c r="N33" s="599">
        <f t="shared" si="0"/>
        <v>0</v>
      </c>
      <c r="O33" s="601">
        <f t="shared" si="1"/>
        <v>0</v>
      </c>
    </row>
    <row r="34" spans="2:15">
      <c r="B34" s="598">
        <f t="shared" si="2"/>
        <v>1966</v>
      </c>
      <c r="C34" s="661">
        <f>Amnt_Deposited!O30*$D$10*(1-DOCF)*MSW!E35</f>
        <v>0</v>
      </c>
      <c r="D34" s="662">
        <f>Amnt_Deposited!C30*$F$10*(1-DOCF)*Food!E35</f>
        <v>0</v>
      </c>
      <c r="E34" s="663">
        <f>Amnt_Deposited!F30*$F$11*(1-DOCF)*Garden!E35</f>
        <v>0</v>
      </c>
      <c r="F34" s="663">
        <f>Amnt_Deposited!D30*$D$11*(1-DOCF)*Paper!E35</f>
        <v>0</v>
      </c>
      <c r="G34" s="663">
        <f>Amnt_Deposited!G30*$D$12*(1-DOCF)*Wood!E35</f>
        <v>0</v>
      </c>
      <c r="H34" s="663">
        <f>Amnt_Deposited!H30*$F$12*(1-DOCF)*Textiles!E35</f>
        <v>0</v>
      </c>
      <c r="I34" s="664">
        <f>Amnt_Deposited!E30*$H$10*(1-DOCF)*Nappies!E35</f>
        <v>0</v>
      </c>
      <c r="J34" s="665">
        <f>Amnt_Deposited!N30*$H$11*(1-DOCF)*Sludge!E35</f>
        <v>0</v>
      </c>
      <c r="K34" s="666">
        <f>Amnt_Deposited!P30*$H$12*(1-DOCF)*Industry!D35</f>
        <v>0</v>
      </c>
      <c r="L34" s="663">
        <f>Amnt_Deposited!P30*Parameters!$E$58*$D$11*(1-DOCF)*Industry!E35</f>
        <v>0</v>
      </c>
      <c r="M34" s="664">
        <f>Amnt_Deposited!P30*Parameters!$E$59*$D$12*(1-DOCF)*Industry!E35</f>
        <v>0</v>
      </c>
      <c r="N34" s="599">
        <f t="shared" si="0"/>
        <v>0</v>
      </c>
      <c r="O34" s="601">
        <f t="shared" si="1"/>
        <v>0</v>
      </c>
    </row>
    <row r="35" spans="2:15">
      <c r="B35" s="598">
        <f t="shared" si="2"/>
        <v>1967</v>
      </c>
      <c r="C35" s="661">
        <f>Amnt_Deposited!O31*$D$10*(1-DOCF)*MSW!E36</f>
        <v>0</v>
      </c>
      <c r="D35" s="662">
        <f>Amnt_Deposited!C31*$F$10*(1-DOCF)*Food!E36</f>
        <v>0</v>
      </c>
      <c r="E35" s="663">
        <f>Amnt_Deposited!F31*$F$11*(1-DOCF)*Garden!E36</f>
        <v>0</v>
      </c>
      <c r="F35" s="663">
        <f>Amnt_Deposited!D31*$D$11*(1-DOCF)*Paper!E36</f>
        <v>0</v>
      </c>
      <c r="G35" s="663">
        <f>Amnt_Deposited!G31*$D$12*(1-DOCF)*Wood!E36</f>
        <v>0</v>
      </c>
      <c r="H35" s="663">
        <f>Amnt_Deposited!H31*$F$12*(1-DOCF)*Textiles!E36</f>
        <v>0</v>
      </c>
      <c r="I35" s="664">
        <f>Amnt_Deposited!E31*$H$10*(1-DOCF)*Nappies!E36</f>
        <v>0</v>
      </c>
      <c r="J35" s="665">
        <f>Amnt_Deposited!N31*$H$11*(1-DOCF)*Sludge!E36</f>
        <v>0</v>
      </c>
      <c r="K35" s="666">
        <f>Amnt_Deposited!P31*$H$12*(1-DOCF)*Industry!D36</f>
        <v>0</v>
      </c>
      <c r="L35" s="663">
        <f>Amnt_Deposited!P31*Parameters!$E$58*$D$11*(1-DOCF)*Industry!E36</f>
        <v>0</v>
      </c>
      <c r="M35" s="664">
        <f>Amnt_Deposited!P31*Parameters!$E$59*$D$12*(1-DOCF)*Industry!E36</f>
        <v>0</v>
      </c>
      <c r="N35" s="599">
        <f t="shared" si="0"/>
        <v>0</v>
      </c>
      <c r="O35" s="601">
        <f t="shared" si="1"/>
        <v>0</v>
      </c>
    </row>
    <row r="36" spans="2:15">
      <c r="B36" s="598">
        <f t="shared" si="2"/>
        <v>1968</v>
      </c>
      <c r="C36" s="661">
        <f>Amnt_Deposited!O32*$D$10*(1-DOCF)*MSW!E37</f>
        <v>0</v>
      </c>
      <c r="D36" s="662">
        <f>Amnt_Deposited!C32*$F$10*(1-DOCF)*Food!E37</f>
        <v>0</v>
      </c>
      <c r="E36" s="663">
        <f>Amnt_Deposited!F32*$F$11*(1-DOCF)*Garden!E37</f>
        <v>0</v>
      </c>
      <c r="F36" s="663">
        <f>Amnt_Deposited!D32*$D$11*(1-DOCF)*Paper!E37</f>
        <v>0</v>
      </c>
      <c r="G36" s="663">
        <f>Amnt_Deposited!G32*$D$12*(1-DOCF)*Wood!E37</f>
        <v>0</v>
      </c>
      <c r="H36" s="663">
        <f>Amnt_Deposited!H32*$F$12*(1-DOCF)*Textiles!E37</f>
        <v>0</v>
      </c>
      <c r="I36" s="664">
        <f>Amnt_Deposited!E32*$H$10*(1-DOCF)*Nappies!E37</f>
        <v>0</v>
      </c>
      <c r="J36" s="665">
        <f>Amnt_Deposited!N32*$H$11*(1-DOCF)*Sludge!E37</f>
        <v>0</v>
      </c>
      <c r="K36" s="666">
        <f>Amnt_Deposited!P32*$H$12*(1-DOCF)*Industry!D37</f>
        <v>0</v>
      </c>
      <c r="L36" s="663">
        <f>Amnt_Deposited!P32*Parameters!$E$58*$D$11*(1-DOCF)*Industry!E37</f>
        <v>0</v>
      </c>
      <c r="M36" s="664">
        <f>Amnt_Deposited!P32*Parameters!$E$59*$D$12*(1-DOCF)*Industry!E37</f>
        <v>0</v>
      </c>
      <c r="N36" s="599">
        <f t="shared" si="0"/>
        <v>0</v>
      </c>
      <c r="O36" s="601">
        <f t="shared" si="1"/>
        <v>0</v>
      </c>
    </row>
    <row r="37" spans="2:15">
      <c r="B37" s="598">
        <f t="shared" si="2"/>
        <v>1969</v>
      </c>
      <c r="C37" s="661">
        <f>Amnt_Deposited!O33*$D$10*(1-DOCF)*MSW!E38</f>
        <v>0</v>
      </c>
      <c r="D37" s="662">
        <f>Amnt_Deposited!C33*$F$10*(1-DOCF)*Food!E38</f>
        <v>0</v>
      </c>
      <c r="E37" s="663">
        <f>Amnt_Deposited!F33*$F$11*(1-DOCF)*Garden!E38</f>
        <v>0</v>
      </c>
      <c r="F37" s="663">
        <f>Amnt_Deposited!D33*$D$11*(1-DOCF)*Paper!E38</f>
        <v>0</v>
      </c>
      <c r="G37" s="663">
        <f>Amnt_Deposited!G33*$D$12*(1-DOCF)*Wood!E38</f>
        <v>0</v>
      </c>
      <c r="H37" s="663">
        <f>Amnt_Deposited!H33*$F$12*(1-DOCF)*Textiles!E38</f>
        <v>0</v>
      </c>
      <c r="I37" s="664">
        <f>Amnt_Deposited!E33*$H$10*(1-DOCF)*Nappies!E38</f>
        <v>0</v>
      </c>
      <c r="J37" s="665">
        <f>Amnt_Deposited!N33*$H$11*(1-DOCF)*Sludge!E38</f>
        <v>0</v>
      </c>
      <c r="K37" s="666">
        <f>Amnt_Deposited!P33*$H$12*(1-DOCF)*Industry!D38</f>
        <v>0</v>
      </c>
      <c r="L37" s="663">
        <f>Amnt_Deposited!P33*Parameters!$E$58*$D$11*(1-DOCF)*Industry!E38</f>
        <v>0</v>
      </c>
      <c r="M37" s="664">
        <f>Amnt_Deposited!P33*Parameters!$E$59*$D$12*(1-DOCF)*Industry!E38</f>
        <v>0</v>
      </c>
      <c r="N37" s="599">
        <f t="shared" si="0"/>
        <v>0</v>
      </c>
      <c r="O37" s="601">
        <f t="shared" si="1"/>
        <v>0</v>
      </c>
    </row>
    <row r="38" spans="2:15">
      <c r="B38" s="598">
        <f t="shared" si="2"/>
        <v>1970</v>
      </c>
      <c r="C38" s="661">
        <f>Amnt_Deposited!O34*$D$10*(1-DOCF)*MSW!E39</f>
        <v>0</v>
      </c>
      <c r="D38" s="662">
        <f>Amnt_Deposited!C34*$F$10*(1-DOCF)*Food!E39</f>
        <v>0</v>
      </c>
      <c r="E38" s="663">
        <f>Amnt_Deposited!F34*$F$11*(1-DOCF)*Garden!E39</f>
        <v>0</v>
      </c>
      <c r="F38" s="663">
        <f>Amnt_Deposited!D34*$D$11*(1-DOCF)*Paper!E39</f>
        <v>0</v>
      </c>
      <c r="G38" s="663">
        <f>Amnt_Deposited!G34*$D$12*(1-DOCF)*Wood!E39</f>
        <v>0</v>
      </c>
      <c r="H38" s="663">
        <f>Amnt_Deposited!H34*$F$12*(1-DOCF)*Textiles!E39</f>
        <v>0</v>
      </c>
      <c r="I38" s="664">
        <f>Amnt_Deposited!E34*$H$10*(1-DOCF)*Nappies!E39</f>
        <v>0</v>
      </c>
      <c r="J38" s="665">
        <f>Amnt_Deposited!N34*$H$11*(1-DOCF)*Sludge!E39</f>
        <v>0</v>
      </c>
      <c r="K38" s="666">
        <f>Amnt_Deposited!P34*$H$12*(1-DOCF)*Industry!D39</f>
        <v>0</v>
      </c>
      <c r="L38" s="663">
        <f>Amnt_Deposited!P34*Parameters!$E$58*$D$11*(1-DOCF)*Industry!E39</f>
        <v>0</v>
      </c>
      <c r="M38" s="664">
        <f>Amnt_Deposited!P34*Parameters!$E$59*$D$12*(1-DOCF)*Industry!E39</f>
        <v>0</v>
      </c>
      <c r="N38" s="599">
        <f t="shared" si="0"/>
        <v>0</v>
      </c>
      <c r="O38" s="601">
        <f t="shared" si="1"/>
        <v>0</v>
      </c>
    </row>
    <row r="39" spans="2:15">
      <c r="B39" s="598">
        <f t="shared" si="2"/>
        <v>1971</v>
      </c>
      <c r="C39" s="661">
        <f>Amnt_Deposited!O35*$D$10*(1-DOCF)*MSW!E40</f>
        <v>0</v>
      </c>
      <c r="D39" s="662">
        <f>Amnt_Deposited!C35*$F$10*(1-DOCF)*Food!E40</f>
        <v>0</v>
      </c>
      <c r="E39" s="663">
        <f>Amnt_Deposited!F35*$F$11*(1-DOCF)*Garden!E40</f>
        <v>0</v>
      </c>
      <c r="F39" s="663">
        <f>Amnt_Deposited!D35*$D$11*(1-DOCF)*Paper!E40</f>
        <v>0</v>
      </c>
      <c r="G39" s="663">
        <f>Amnt_Deposited!G35*$D$12*(1-DOCF)*Wood!E40</f>
        <v>0</v>
      </c>
      <c r="H39" s="663">
        <f>Amnt_Deposited!H35*$F$12*(1-DOCF)*Textiles!E40</f>
        <v>0</v>
      </c>
      <c r="I39" s="664">
        <f>Amnt_Deposited!E35*$H$10*(1-DOCF)*Nappies!E40</f>
        <v>0</v>
      </c>
      <c r="J39" s="665">
        <f>Amnt_Deposited!N35*$H$11*(1-DOCF)*Sludge!E40</f>
        <v>0</v>
      </c>
      <c r="K39" s="666">
        <f>Amnt_Deposited!P35*$H$12*(1-DOCF)*Industry!D40</f>
        <v>0</v>
      </c>
      <c r="L39" s="663">
        <f>Amnt_Deposited!P35*Parameters!$E$58*$D$11*(1-DOCF)*Industry!E40</f>
        <v>0</v>
      </c>
      <c r="M39" s="664">
        <f>Amnt_Deposited!P35*Parameters!$E$59*$D$12*(1-DOCF)*Industry!E40</f>
        <v>0</v>
      </c>
      <c r="N39" s="599">
        <f t="shared" si="0"/>
        <v>0</v>
      </c>
      <c r="O39" s="601">
        <f t="shared" si="1"/>
        <v>0</v>
      </c>
    </row>
    <row r="40" spans="2:15">
      <c r="B40" s="598">
        <f t="shared" si="2"/>
        <v>1972</v>
      </c>
      <c r="C40" s="661">
        <f>Amnt_Deposited!O36*$D$10*(1-DOCF)*MSW!E41</f>
        <v>0</v>
      </c>
      <c r="D40" s="662">
        <f>Amnt_Deposited!C36*$F$10*(1-DOCF)*Food!E41</f>
        <v>0</v>
      </c>
      <c r="E40" s="663">
        <f>Amnt_Deposited!F36*$F$11*(1-DOCF)*Garden!E41</f>
        <v>0</v>
      </c>
      <c r="F40" s="663">
        <f>Amnt_Deposited!D36*$D$11*(1-DOCF)*Paper!E41</f>
        <v>0</v>
      </c>
      <c r="G40" s="663">
        <f>Amnt_Deposited!G36*$D$12*(1-DOCF)*Wood!E41</f>
        <v>0</v>
      </c>
      <c r="H40" s="663">
        <f>Amnt_Deposited!H36*$F$12*(1-DOCF)*Textiles!E41</f>
        <v>0</v>
      </c>
      <c r="I40" s="664">
        <f>Amnt_Deposited!E36*$H$10*(1-DOCF)*Nappies!E41</f>
        <v>0</v>
      </c>
      <c r="J40" s="665">
        <f>Amnt_Deposited!N36*$H$11*(1-DOCF)*Sludge!E41</f>
        <v>0</v>
      </c>
      <c r="K40" s="666">
        <f>Amnt_Deposited!P36*$H$12*(1-DOCF)*Industry!D41</f>
        <v>0</v>
      </c>
      <c r="L40" s="663">
        <f>Amnt_Deposited!P36*Parameters!$E$58*$D$11*(1-DOCF)*Industry!E41</f>
        <v>0</v>
      </c>
      <c r="M40" s="664">
        <f>Amnt_Deposited!P36*Parameters!$E$59*$D$12*(1-DOCF)*Industry!E41</f>
        <v>0</v>
      </c>
      <c r="N40" s="599">
        <f t="shared" si="0"/>
        <v>0</v>
      </c>
      <c r="O40" s="601">
        <f t="shared" si="1"/>
        <v>0</v>
      </c>
    </row>
    <row r="41" spans="2:15">
      <c r="B41" s="598">
        <f t="shared" si="2"/>
        <v>1973</v>
      </c>
      <c r="C41" s="661">
        <f>Amnt_Deposited!O37*$D$10*(1-DOCF)*MSW!E42</f>
        <v>0</v>
      </c>
      <c r="D41" s="662">
        <f>Amnt_Deposited!C37*$F$10*(1-DOCF)*Food!E42</f>
        <v>0</v>
      </c>
      <c r="E41" s="663">
        <f>Amnt_Deposited!F37*$F$11*(1-DOCF)*Garden!E42</f>
        <v>0</v>
      </c>
      <c r="F41" s="663">
        <f>Amnt_Deposited!D37*$D$11*(1-DOCF)*Paper!E42</f>
        <v>0</v>
      </c>
      <c r="G41" s="663">
        <f>Amnt_Deposited!G37*$D$12*(1-DOCF)*Wood!E42</f>
        <v>0</v>
      </c>
      <c r="H41" s="663">
        <f>Amnt_Deposited!H37*$F$12*(1-DOCF)*Textiles!E42</f>
        <v>0</v>
      </c>
      <c r="I41" s="664">
        <f>Amnt_Deposited!E37*$H$10*(1-DOCF)*Nappies!E42</f>
        <v>0</v>
      </c>
      <c r="J41" s="665">
        <f>Amnt_Deposited!N37*$H$11*(1-DOCF)*Sludge!E42</f>
        <v>0</v>
      </c>
      <c r="K41" s="666">
        <f>Amnt_Deposited!P37*$H$12*(1-DOCF)*Industry!D42</f>
        <v>0</v>
      </c>
      <c r="L41" s="663">
        <f>Amnt_Deposited!P37*Parameters!$E$58*$D$11*(1-DOCF)*Industry!E42</f>
        <v>0</v>
      </c>
      <c r="M41" s="664">
        <f>Amnt_Deposited!P37*Parameters!$E$59*$D$12*(1-DOCF)*Industry!E42</f>
        <v>0</v>
      </c>
      <c r="N41" s="599">
        <f t="shared" si="0"/>
        <v>0</v>
      </c>
      <c r="O41" s="601">
        <f t="shared" si="1"/>
        <v>0</v>
      </c>
    </row>
    <row r="42" spans="2:15">
      <c r="B42" s="598">
        <f t="shared" si="2"/>
        <v>1974</v>
      </c>
      <c r="C42" s="661">
        <f>Amnt_Deposited!O38*$D$10*(1-DOCF)*MSW!E43</f>
        <v>0</v>
      </c>
      <c r="D42" s="662">
        <f>Amnt_Deposited!C38*$F$10*(1-DOCF)*Food!E43</f>
        <v>0</v>
      </c>
      <c r="E42" s="663">
        <f>Amnt_Deposited!F38*$F$11*(1-DOCF)*Garden!E43</f>
        <v>0</v>
      </c>
      <c r="F42" s="663">
        <f>Amnt_Deposited!D38*$D$11*(1-DOCF)*Paper!E43</f>
        <v>0</v>
      </c>
      <c r="G42" s="663">
        <f>Amnt_Deposited!G38*$D$12*(1-DOCF)*Wood!E43</f>
        <v>0</v>
      </c>
      <c r="H42" s="663">
        <f>Amnt_Deposited!H38*$F$12*(1-DOCF)*Textiles!E43</f>
        <v>0</v>
      </c>
      <c r="I42" s="664">
        <f>Amnt_Deposited!E38*$H$10*(1-DOCF)*Nappies!E43</f>
        <v>0</v>
      </c>
      <c r="J42" s="665">
        <f>Amnt_Deposited!N38*$H$11*(1-DOCF)*Sludge!E43</f>
        <v>0</v>
      </c>
      <c r="K42" s="666">
        <f>Amnt_Deposited!P38*$H$12*(1-DOCF)*Industry!D43</f>
        <v>0</v>
      </c>
      <c r="L42" s="663">
        <f>Amnt_Deposited!P38*Parameters!$E$58*$D$11*(1-DOCF)*Industry!E43</f>
        <v>0</v>
      </c>
      <c r="M42" s="664">
        <f>Amnt_Deposited!P38*Parameters!$E$59*$D$12*(1-DOCF)*Industry!E43</f>
        <v>0</v>
      </c>
      <c r="N42" s="599">
        <f t="shared" si="0"/>
        <v>0</v>
      </c>
      <c r="O42" s="601">
        <f t="shared" si="1"/>
        <v>0</v>
      </c>
    </row>
    <row r="43" spans="2:15">
      <c r="B43" s="598">
        <f t="shared" si="2"/>
        <v>1975</v>
      </c>
      <c r="C43" s="661">
        <f>Amnt_Deposited!O39*$D$10*(1-DOCF)*MSW!E44</f>
        <v>0</v>
      </c>
      <c r="D43" s="662">
        <f>Amnt_Deposited!C39*$F$10*(1-DOCF)*Food!E44</f>
        <v>0</v>
      </c>
      <c r="E43" s="663">
        <f>Amnt_Deposited!F39*$F$11*(1-DOCF)*Garden!E44</f>
        <v>0</v>
      </c>
      <c r="F43" s="663">
        <f>Amnt_Deposited!D39*$D$11*(1-DOCF)*Paper!E44</f>
        <v>0</v>
      </c>
      <c r="G43" s="663">
        <f>Amnt_Deposited!G39*$D$12*(1-DOCF)*Wood!E44</f>
        <v>0</v>
      </c>
      <c r="H43" s="663">
        <f>Amnt_Deposited!H39*$F$12*(1-DOCF)*Textiles!E44</f>
        <v>0</v>
      </c>
      <c r="I43" s="664">
        <f>Amnt_Deposited!E39*$H$10*(1-DOCF)*Nappies!E44</f>
        <v>0</v>
      </c>
      <c r="J43" s="665">
        <f>Amnt_Deposited!N39*$H$11*(1-DOCF)*Sludge!E44</f>
        <v>0</v>
      </c>
      <c r="K43" s="666">
        <f>Amnt_Deposited!P39*$H$12*(1-DOCF)*Industry!D44</f>
        <v>0</v>
      </c>
      <c r="L43" s="663">
        <f>Amnt_Deposited!P39*Parameters!$E$58*$D$11*(1-DOCF)*Industry!E44</f>
        <v>0</v>
      </c>
      <c r="M43" s="664">
        <f>Amnt_Deposited!P39*Parameters!$E$59*$D$12*(1-DOCF)*Industry!E44</f>
        <v>0</v>
      </c>
      <c r="N43" s="599">
        <f t="shared" si="0"/>
        <v>0</v>
      </c>
      <c r="O43" s="601">
        <f t="shared" si="1"/>
        <v>0</v>
      </c>
    </row>
    <row r="44" spans="2:15">
      <c r="B44" s="598">
        <f t="shared" si="2"/>
        <v>1976</v>
      </c>
      <c r="C44" s="661">
        <f>Amnt_Deposited!O40*$D$10*(1-DOCF)*MSW!E45</f>
        <v>0</v>
      </c>
      <c r="D44" s="662">
        <f>Amnt_Deposited!C40*$F$10*(1-DOCF)*Food!E45</f>
        <v>0</v>
      </c>
      <c r="E44" s="663">
        <f>Amnt_Deposited!F40*$F$11*(1-DOCF)*Garden!E45</f>
        <v>0</v>
      </c>
      <c r="F44" s="663">
        <f>Amnt_Deposited!D40*$D$11*(1-DOCF)*Paper!E45</f>
        <v>0</v>
      </c>
      <c r="G44" s="663">
        <f>Amnt_Deposited!G40*$D$12*(1-DOCF)*Wood!E45</f>
        <v>0</v>
      </c>
      <c r="H44" s="663">
        <f>Amnt_Deposited!H40*$F$12*(1-DOCF)*Textiles!E45</f>
        <v>0</v>
      </c>
      <c r="I44" s="664">
        <f>Amnt_Deposited!E40*$H$10*(1-DOCF)*Nappies!E45</f>
        <v>0</v>
      </c>
      <c r="J44" s="665">
        <f>Amnt_Deposited!N40*$H$11*(1-DOCF)*Sludge!E45</f>
        <v>0</v>
      </c>
      <c r="K44" s="666">
        <f>Amnt_Deposited!P40*$H$12*(1-DOCF)*Industry!D45</f>
        <v>0</v>
      </c>
      <c r="L44" s="663">
        <f>Amnt_Deposited!P40*Parameters!$E$58*$D$11*(1-DOCF)*Industry!E45</f>
        <v>0</v>
      </c>
      <c r="M44" s="664">
        <f>Amnt_Deposited!P40*Parameters!$E$59*$D$12*(1-DOCF)*Industry!E45</f>
        <v>0</v>
      </c>
      <c r="N44" s="599">
        <f t="shared" si="0"/>
        <v>0</v>
      </c>
      <c r="O44" s="601">
        <f t="shared" si="1"/>
        <v>0</v>
      </c>
    </row>
    <row r="45" spans="2:15">
      <c r="B45" s="598">
        <f t="shared" si="2"/>
        <v>1977</v>
      </c>
      <c r="C45" s="661">
        <f>Amnt_Deposited!O41*$D$10*(1-DOCF)*MSW!E46</f>
        <v>0</v>
      </c>
      <c r="D45" s="662">
        <f>Amnt_Deposited!C41*$F$10*(1-DOCF)*Food!E46</f>
        <v>0</v>
      </c>
      <c r="E45" s="663">
        <f>Amnt_Deposited!F41*$F$11*(1-DOCF)*Garden!E46</f>
        <v>0</v>
      </c>
      <c r="F45" s="663">
        <f>Amnt_Deposited!D41*$D$11*(1-DOCF)*Paper!E46</f>
        <v>0</v>
      </c>
      <c r="G45" s="663">
        <f>Amnt_Deposited!G41*$D$12*(1-DOCF)*Wood!E46</f>
        <v>0</v>
      </c>
      <c r="H45" s="663">
        <f>Amnt_Deposited!H41*$F$12*(1-DOCF)*Textiles!E46</f>
        <v>0</v>
      </c>
      <c r="I45" s="664">
        <f>Amnt_Deposited!E41*$H$10*(1-DOCF)*Nappies!E46</f>
        <v>0</v>
      </c>
      <c r="J45" s="665">
        <f>Amnt_Deposited!N41*$H$11*(1-DOCF)*Sludge!E46</f>
        <v>0</v>
      </c>
      <c r="K45" s="666">
        <f>Amnt_Deposited!P41*$H$12*(1-DOCF)*Industry!D46</f>
        <v>0</v>
      </c>
      <c r="L45" s="663">
        <f>Amnt_Deposited!P41*Parameters!$E$58*$D$11*(1-DOCF)*Industry!E46</f>
        <v>0</v>
      </c>
      <c r="M45" s="664">
        <f>Amnt_Deposited!P41*Parameters!$E$59*$D$12*(1-DOCF)*Industry!E46</f>
        <v>0</v>
      </c>
      <c r="N45" s="599">
        <f t="shared" si="0"/>
        <v>0</v>
      </c>
      <c r="O45" s="601">
        <f t="shared" si="1"/>
        <v>0</v>
      </c>
    </row>
    <row r="46" spans="2:15">
      <c r="B46" s="598">
        <f t="shared" si="2"/>
        <v>1978</v>
      </c>
      <c r="C46" s="661">
        <f>Amnt_Deposited!O42*$D$10*(1-DOCF)*MSW!E47</f>
        <v>0</v>
      </c>
      <c r="D46" s="662">
        <f>Amnt_Deposited!C42*$F$10*(1-DOCF)*Food!E47</f>
        <v>0</v>
      </c>
      <c r="E46" s="663">
        <f>Amnt_Deposited!F42*$F$11*(1-DOCF)*Garden!E47</f>
        <v>0</v>
      </c>
      <c r="F46" s="663">
        <f>Amnt_Deposited!D42*$D$11*(1-DOCF)*Paper!E47</f>
        <v>0</v>
      </c>
      <c r="G46" s="663">
        <f>Amnt_Deposited!G42*$D$12*(1-DOCF)*Wood!E47</f>
        <v>0</v>
      </c>
      <c r="H46" s="663">
        <f>Amnt_Deposited!H42*$F$12*(1-DOCF)*Textiles!E47</f>
        <v>0</v>
      </c>
      <c r="I46" s="664">
        <f>Amnt_Deposited!E42*$H$10*(1-DOCF)*Nappies!E47</f>
        <v>0</v>
      </c>
      <c r="J46" s="665">
        <f>Amnt_Deposited!N42*$H$11*(1-DOCF)*Sludge!E47</f>
        <v>0</v>
      </c>
      <c r="K46" s="666">
        <f>Amnt_Deposited!P42*$H$12*(1-DOCF)*Industry!D47</f>
        <v>0</v>
      </c>
      <c r="L46" s="663">
        <f>Amnt_Deposited!P42*Parameters!$E$58*$D$11*(1-DOCF)*Industry!E47</f>
        <v>0</v>
      </c>
      <c r="M46" s="664">
        <f>Amnt_Deposited!P42*Parameters!$E$59*$D$12*(1-DOCF)*Industry!E47</f>
        <v>0</v>
      </c>
      <c r="N46" s="599">
        <f t="shared" si="0"/>
        <v>0</v>
      </c>
      <c r="O46" s="601">
        <f t="shared" si="1"/>
        <v>0</v>
      </c>
    </row>
    <row r="47" spans="2:15">
      <c r="B47" s="598">
        <f t="shared" si="2"/>
        <v>1979</v>
      </c>
      <c r="C47" s="661">
        <f>Amnt_Deposited!O43*$D$10*(1-DOCF)*MSW!E48</f>
        <v>0</v>
      </c>
      <c r="D47" s="662">
        <f>Amnt_Deposited!C43*$F$10*(1-DOCF)*Food!E48</f>
        <v>0</v>
      </c>
      <c r="E47" s="663">
        <f>Amnt_Deposited!F43*$F$11*(1-DOCF)*Garden!E48</f>
        <v>0</v>
      </c>
      <c r="F47" s="663">
        <f>Amnt_Deposited!D43*$D$11*(1-DOCF)*Paper!E48</f>
        <v>0</v>
      </c>
      <c r="G47" s="663">
        <f>Amnt_Deposited!G43*$D$12*(1-DOCF)*Wood!E48</f>
        <v>0</v>
      </c>
      <c r="H47" s="663">
        <f>Amnt_Deposited!H43*$F$12*(1-DOCF)*Textiles!E48</f>
        <v>0</v>
      </c>
      <c r="I47" s="664">
        <f>Amnt_Deposited!E43*$H$10*(1-DOCF)*Nappies!E48</f>
        <v>0</v>
      </c>
      <c r="J47" s="665">
        <f>Amnt_Deposited!N43*$H$11*(1-DOCF)*Sludge!E48</f>
        <v>0</v>
      </c>
      <c r="K47" s="666">
        <f>Amnt_Deposited!P43*$H$12*(1-DOCF)*Industry!D48</f>
        <v>0</v>
      </c>
      <c r="L47" s="663">
        <f>Amnt_Deposited!P43*Parameters!$E$58*$D$11*(1-DOCF)*Industry!E48</f>
        <v>0</v>
      </c>
      <c r="M47" s="664">
        <f>Amnt_Deposited!P43*Parameters!$E$59*$D$12*(1-DOCF)*Industry!E48</f>
        <v>0</v>
      </c>
      <c r="N47" s="599">
        <f t="shared" si="0"/>
        <v>0</v>
      </c>
      <c r="O47" s="601">
        <f t="shared" si="1"/>
        <v>0</v>
      </c>
    </row>
    <row r="48" spans="2:15">
      <c r="B48" s="598">
        <f t="shared" si="2"/>
        <v>1980</v>
      </c>
      <c r="C48" s="661">
        <f>Amnt_Deposited!O44*$D$10*(1-DOCF)*MSW!E49</f>
        <v>0</v>
      </c>
      <c r="D48" s="662">
        <f>Amnt_Deposited!C44*$F$10*(1-DOCF)*Food!E49</f>
        <v>0</v>
      </c>
      <c r="E48" s="663">
        <f>Amnt_Deposited!F44*$F$11*(1-DOCF)*Garden!E49</f>
        <v>0</v>
      </c>
      <c r="F48" s="663">
        <f>Amnt_Deposited!D44*$D$11*(1-DOCF)*Paper!E49</f>
        <v>0</v>
      </c>
      <c r="G48" s="663">
        <f>Amnt_Deposited!G44*$D$12*(1-DOCF)*Wood!E49</f>
        <v>0</v>
      </c>
      <c r="H48" s="663">
        <f>Amnt_Deposited!H44*$F$12*(1-DOCF)*Textiles!E49</f>
        <v>0</v>
      </c>
      <c r="I48" s="664">
        <f>Amnt_Deposited!E44*$H$10*(1-DOCF)*Nappies!E49</f>
        <v>0</v>
      </c>
      <c r="J48" s="665">
        <f>Amnt_Deposited!N44*$H$11*(1-DOCF)*Sludge!E49</f>
        <v>0</v>
      </c>
      <c r="K48" s="666">
        <f>Amnt_Deposited!P44*$H$12*(1-DOCF)*Industry!D49</f>
        <v>0</v>
      </c>
      <c r="L48" s="663">
        <f>Amnt_Deposited!P44*Parameters!$E$58*$D$11*(1-DOCF)*Industry!E49</f>
        <v>0</v>
      </c>
      <c r="M48" s="664">
        <f>Amnt_Deposited!P44*Parameters!$E$59*$D$12*(1-DOCF)*Industry!E49</f>
        <v>0</v>
      </c>
      <c r="N48" s="599">
        <f t="shared" si="0"/>
        <v>0</v>
      </c>
      <c r="O48" s="601">
        <f t="shared" si="1"/>
        <v>0</v>
      </c>
    </row>
    <row r="49" spans="2:15">
      <c r="B49" s="598">
        <f t="shared" si="2"/>
        <v>1981</v>
      </c>
      <c r="C49" s="661">
        <f>Amnt_Deposited!O45*$D$10*(1-DOCF)*MSW!E50</f>
        <v>0</v>
      </c>
      <c r="D49" s="662">
        <f>Amnt_Deposited!C45*$F$10*(1-DOCF)*Food!E50</f>
        <v>0</v>
      </c>
      <c r="E49" s="663">
        <f>Amnt_Deposited!F45*$F$11*(1-DOCF)*Garden!E50</f>
        <v>0</v>
      </c>
      <c r="F49" s="663">
        <f>Amnt_Deposited!D45*$D$11*(1-DOCF)*Paper!E50</f>
        <v>0</v>
      </c>
      <c r="G49" s="663">
        <f>Amnt_Deposited!G45*$D$12*(1-DOCF)*Wood!E50</f>
        <v>0</v>
      </c>
      <c r="H49" s="663">
        <f>Amnt_Deposited!H45*$F$12*(1-DOCF)*Textiles!E50</f>
        <v>0</v>
      </c>
      <c r="I49" s="664">
        <f>Amnt_Deposited!E45*$H$10*(1-DOCF)*Nappies!E50</f>
        <v>0</v>
      </c>
      <c r="J49" s="665">
        <f>Amnt_Deposited!N45*$H$11*(1-DOCF)*Sludge!E50</f>
        <v>0</v>
      </c>
      <c r="K49" s="666">
        <f>Amnt_Deposited!P45*$H$12*(1-DOCF)*Industry!D50</f>
        <v>0</v>
      </c>
      <c r="L49" s="663">
        <f>Amnt_Deposited!P45*Parameters!$E$58*$D$11*(1-DOCF)*Industry!E50</f>
        <v>0</v>
      </c>
      <c r="M49" s="664">
        <f>Amnt_Deposited!P45*Parameters!$E$59*$D$12*(1-DOCF)*Industry!E50</f>
        <v>0</v>
      </c>
      <c r="N49" s="599">
        <f t="shared" si="0"/>
        <v>0</v>
      </c>
      <c r="O49" s="601">
        <f t="shared" si="1"/>
        <v>0</v>
      </c>
    </row>
    <row r="50" spans="2:15">
      <c r="B50" s="598">
        <f t="shared" si="2"/>
        <v>1982</v>
      </c>
      <c r="C50" s="661">
        <f>Amnt_Deposited!O46*$D$10*(1-DOCF)*MSW!E51</f>
        <v>0</v>
      </c>
      <c r="D50" s="662">
        <f>Amnt_Deposited!C46*$F$10*(1-DOCF)*Food!E51</f>
        <v>0</v>
      </c>
      <c r="E50" s="663">
        <f>Amnt_Deposited!F46*$F$11*(1-DOCF)*Garden!E51</f>
        <v>0</v>
      </c>
      <c r="F50" s="663">
        <f>Amnt_Deposited!D46*$D$11*(1-DOCF)*Paper!E51</f>
        <v>0</v>
      </c>
      <c r="G50" s="663">
        <f>Amnt_Deposited!G46*$D$12*(1-DOCF)*Wood!E51</f>
        <v>0</v>
      </c>
      <c r="H50" s="663">
        <f>Amnt_Deposited!H46*$F$12*(1-DOCF)*Textiles!E51</f>
        <v>0</v>
      </c>
      <c r="I50" s="664">
        <f>Amnt_Deposited!E46*$H$10*(1-DOCF)*Nappies!E51</f>
        <v>0</v>
      </c>
      <c r="J50" s="665">
        <f>Amnt_Deposited!N46*$H$11*(1-DOCF)*Sludge!E51</f>
        <v>0</v>
      </c>
      <c r="K50" s="666">
        <f>Amnt_Deposited!P46*$H$12*(1-DOCF)*Industry!D51</f>
        <v>0</v>
      </c>
      <c r="L50" s="663">
        <f>Amnt_Deposited!P46*Parameters!$E$58*$D$11*(1-DOCF)*Industry!E51</f>
        <v>0</v>
      </c>
      <c r="M50" s="664">
        <f>Amnt_Deposited!P46*Parameters!$E$59*$D$12*(1-DOCF)*Industry!E51</f>
        <v>0</v>
      </c>
      <c r="N50" s="599">
        <f t="shared" ref="N50:N81" si="3">IF(Select2=2,C50+J50+K50, D50+E50+F50+G50+H50+I50+J50+K50)</f>
        <v>0</v>
      </c>
      <c r="O50" s="601">
        <f t="shared" si="1"/>
        <v>0</v>
      </c>
    </row>
    <row r="51" spans="2:15">
      <c r="B51" s="598">
        <f t="shared" si="2"/>
        <v>1983</v>
      </c>
      <c r="C51" s="661">
        <f>Amnt_Deposited!O47*$D$10*(1-DOCF)*MSW!E52</f>
        <v>0</v>
      </c>
      <c r="D51" s="662">
        <f>Amnt_Deposited!C47*$F$10*(1-DOCF)*Food!E52</f>
        <v>0</v>
      </c>
      <c r="E51" s="663">
        <f>Amnt_Deposited!F47*$F$11*(1-DOCF)*Garden!E52</f>
        <v>0</v>
      </c>
      <c r="F51" s="663">
        <f>Amnt_Deposited!D47*$D$11*(1-DOCF)*Paper!E52</f>
        <v>0</v>
      </c>
      <c r="G51" s="663">
        <f>Amnt_Deposited!G47*$D$12*(1-DOCF)*Wood!E52</f>
        <v>0</v>
      </c>
      <c r="H51" s="663">
        <f>Amnt_Deposited!H47*$F$12*(1-DOCF)*Textiles!E52</f>
        <v>0</v>
      </c>
      <c r="I51" s="664">
        <f>Amnt_Deposited!E47*$H$10*(1-DOCF)*Nappies!E52</f>
        <v>0</v>
      </c>
      <c r="J51" s="665">
        <f>Amnt_Deposited!N47*$H$11*(1-DOCF)*Sludge!E52</f>
        <v>0</v>
      </c>
      <c r="K51" s="666">
        <f>Amnt_Deposited!P47*$H$12*(1-DOCF)*Industry!D52</f>
        <v>0</v>
      </c>
      <c r="L51" s="663">
        <f>Amnt_Deposited!P47*Parameters!$E$58*$D$11*(1-DOCF)*Industry!E52</f>
        <v>0</v>
      </c>
      <c r="M51" s="664">
        <f>Amnt_Deposited!P47*Parameters!$E$59*$D$12*(1-DOCF)*Industry!E52</f>
        <v>0</v>
      </c>
      <c r="N51" s="599">
        <f t="shared" si="3"/>
        <v>0</v>
      </c>
      <c r="O51" s="601">
        <f t="shared" si="1"/>
        <v>0</v>
      </c>
    </row>
    <row r="52" spans="2:15">
      <c r="B52" s="598">
        <f t="shared" si="2"/>
        <v>1984</v>
      </c>
      <c r="C52" s="661">
        <f>Amnt_Deposited!O48*$D$10*(1-DOCF)*MSW!E53</f>
        <v>0</v>
      </c>
      <c r="D52" s="662">
        <f>Amnt_Deposited!C48*$F$10*(1-DOCF)*Food!E53</f>
        <v>0</v>
      </c>
      <c r="E52" s="663">
        <f>Amnt_Deposited!F48*$F$11*(1-DOCF)*Garden!E53</f>
        <v>0</v>
      </c>
      <c r="F52" s="663">
        <f>Amnt_Deposited!D48*$D$11*(1-DOCF)*Paper!E53</f>
        <v>0</v>
      </c>
      <c r="G52" s="663">
        <f>Amnt_Deposited!G48*$D$12*(1-DOCF)*Wood!E53</f>
        <v>0</v>
      </c>
      <c r="H52" s="663">
        <f>Amnt_Deposited!H48*$F$12*(1-DOCF)*Textiles!E53</f>
        <v>0</v>
      </c>
      <c r="I52" s="664">
        <f>Amnt_Deposited!E48*$H$10*(1-DOCF)*Nappies!E53</f>
        <v>0</v>
      </c>
      <c r="J52" s="665">
        <f>Amnt_Deposited!N48*$H$11*(1-DOCF)*Sludge!E53</f>
        <v>0</v>
      </c>
      <c r="K52" s="666">
        <f>Amnt_Deposited!P48*$H$12*(1-DOCF)*Industry!D53</f>
        <v>0</v>
      </c>
      <c r="L52" s="663">
        <f>Amnt_Deposited!P48*Parameters!$E$58*$D$11*(1-DOCF)*Industry!E53</f>
        <v>0</v>
      </c>
      <c r="M52" s="664">
        <f>Amnt_Deposited!P48*Parameters!$E$59*$D$12*(1-DOCF)*Industry!E53</f>
        <v>0</v>
      </c>
      <c r="N52" s="599">
        <f t="shared" si="3"/>
        <v>0</v>
      </c>
      <c r="O52" s="601">
        <f t="shared" si="1"/>
        <v>0</v>
      </c>
    </row>
    <row r="53" spans="2:15">
      <c r="B53" s="598">
        <f t="shared" si="2"/>
        <v>1985</v>
      </c>
      <c r="C53" s="661">
        <f>Amnt_Deposited!O49*$D$10*(1-DOCF)*MSW!E54</f>
        <v>0</v>
      </c>
      <c r="D53" s="662">
        <f>Amnt_Deposited!C49*$F$10*(1-DOCF)*Food!E54</f>
        <v>0</v>
      </c>
      <c r="E53" s="663">
        <f>Amnt_Deposited!F49*$F$11*(1-DOCF)*Garden!E54</f>
        <v>0</v>
      </c>
      <c r="F53" s="663">
        <f>Amnt_Deposited!D49*$D$11*(1-DOCF)*Paper!E54</f>
        <v>0</v>
      </c>
      <c r="G53" s="663">
        <f>Amnt_Deposited!G49*$D$12*(1-DOCF)*Wood!E54</f>
        <v>0</v>
      </c>
      <c r="H53" s="663">
        <f>Amnt_Deposited!H49*$F$12*(1-DOCF)*Textiles!E54</f>
        <v>0</v>
      </c>
      <c r="I53" s="664">
        <f>Amnt_Deposited!E49*$H$10*(1-DOCF)*Nappies!E54</f>
        <v>0</v>
      </c>
      <c r="J53" s="665">
        <f>Amnt_Deposited!N49*$H$11*(1-DOCF)*Sludge!E54</f>
        <v>0</v>
      </c>
      <c r="K53" s="666">
        <f>Amnt_Deposited!P49*$H$12*(1-DOCF)*Industry!D54</f>
        <v>0</v>
      </c>
      <c r="L53" s="663">
        <f>Amnt_Deposited!P49*Parameters!$E$58*$D$11*(1-DOCF)*Industry!E54</f>
        <v>0</v>
      </c>
      <c r="M53" s="664">
        <f>Amnt_Deposited!P49*Parameters!$E$59*$D$12*(1-DOCF)*Industry!E54</f>
        <v>0</v>
      </c>
      <c r="N53" s="599">
        <f t="shared" si="3"/>
        <v>0</v>
      </c>
      <c r="O53" s="601">
        <f t="shared" si="1"/>
        <v>0</v>
      </c>
    </row>
    <row r="54" spans="2:15">
      <c r="B54" s="598">
        <f t="shared" si="2"/>
        <v>1986</v>
      </c>
      <c r="C54" s="661">
        <f>Amnt_Deposited!O50*$D$10*(1-DOCF)*MSW!E55</f>
        <v>0</v>
      </c>
      <c r="D54" s="662">
        <f>Amnt_Deposited!C50*$F$10*(1-DOCF)*Food!E55</f>
        <v>0</v>
      </c>
      <c r="E54" s="663">
        <f>Amnt_Deposited!F50*$F$11*(1-DOCF)*Garden!E55</f>
        <v>0</v>
      </c>
      <c r="F54" s="663">
        <f>Amnt_Deposited!D50*$D$11*(1-DOCF)*Paper!E55</f>
        <v>0</v>
      </c>
      <c r="G54" s="663">
        <f>Amnt_Deposited!G50*$D$12*(1-DOCF)*Wood!E55</f>
        <v>0</v>
      </c>
      <c r="H54" s="663">
        <f>Amnt_Deposited!H50*$F$12*(1-DOCF)*Textiles!E55</f>
        <v>0</v>
      </c>
      <c r="I54" s="664">
        <f>Amnt_Deposited!E50*$H$10*(1-DOCF)*Nappies!E55</f>
        <v>0</v>
      </c>
      <c r="J54" s="665">
        <f>Amnt_Deposited!N50*$H$11*(1-DOCF)*Sludge!E55</f>
        <v>0</v>
      </c>
      <c r="K54" s="666">
        <f>Amnt_Deposited!P50*$H$12*(1-DOCF)*Industry!D55</f>
        <v>0</v>
      </c>
      <c r="L54" s="663">
        <f>Amnt_Deposited!P50*Parameters!$E$58*$D$11*(1-DOCF)*Industry!E55</f>
        <v>0</v>
      </c>
      <c r="M54" s="664">
        <f>Amnt_Deposited!P50*Parameters!$E$59*$D$12*(1-DOCF)*Industry!E55</f>
        <v>0</v>
      </c>
      <c r="N54" s="599">
        <f t="shared" si="3"/>
        <v>0</v>
      </c>
      <c r="O54" s="601">
        <f t="shared" si="1"/>
        <v>0</v>
      </c>
    </row>
    <row r="55" spans="2:15">
      <c r="B55" s="598">
        <f t="shared" si="2"/>
        <v>1987</v>
      </c>
      <c r="C55" s="661">
        <f>Amnt_Deposited!O51*$D$10*(1-DOCF)*MSW!E56</f>
        <v>0</v>
      </c>
      <c r="D55" s="662">
        <f>Amnt_Deposited!C51*$F$10*(1-DOCF)*Food!E56</f>
        <v>0</v>
      </c>
      <c r="E55" s="663">
        <f>Amnt_Deposited!F51*$F$11*(1-DOCF)*Garden!E56</f>
        <v>0</v>
      </c>
      <c r="F55" s="663">
        <f>Amnt_Deposited!D51*$D$11*(1-DOCF)*Paper!E56</f>
        <v>0</v>
      </c>
      <c r="G55" s="663">
        <f>Amnt_Deposited!G51*$D$12*(1-DOCF)*Wood!E56</f>
        <v>0</v>
      </c>
      <c r="H55" s="663">
        <f>Amnt_Deposited!H51*$F$12*(1-DOCF)*Textiles!E56</f>
        <v>0</v>
      </c>
      <c r="I55" s="664">
        <f>Amnt_Deposited!E51*$H$10*(1-DOCF)*Nappies!E56</f>
        <v>0</v>
      </c>
      <c r="J55" s="665">
        <f>Amnt_Deposited!N51*$H$11*(1-DOCF)*Sludge!E56</f>
        <v>0</v>
      </c>
      <c r="K55" s="666">
        <f>Amnt_Deposited!P51*$H$12*(1-DOCF)*Industry!D56</f>
        <v>0</v>
      </c>
      <c r="L55" s="663">
        <f>Amnt_Deposited!P51*Parameters!$E$58*$D$11*(1-DOCF)*Industry!E56</f>
        <v>0</v>
      </c>
      <c r="M55" s="664">
        <f>Amnt_Deposited!P51*Parameters!$E$59*$D$12*(1-DOCF)*Industry!E56</f>
        <v>0</v>
      </c>
      <c r="N55" s="599">
        <f t="shared" si="3"/>
        <v>0</v>
      </c>
      <c r="O55" s="601">
        <f t="shared" si="1"/>
        <v>0</v>
      </c>
    </row>
    <row r="56" spans="2:15">
      <c r="B56" s="598">
        <f t="shared" si="2"/>
        <v>1988</v>
      </c>
      <c r="C56" s="661">
        <f>Amnt_Deposited!O52*$D$10*(1-DOCF)*MSW!E57</f>
        <v>0</v>
      </c>
      <c r="D56" s="662">
        <f>Amnt_Deposited!C52*$F$10*(1-DOCF)*Food!E57</f>
        <v>0</v>
      </c>
      <c r="E56" s="663">
        <f>Amnt_Deposited!F52*$F$11*(1-DOCF)*Garden!E57</f>
        <v>0</v>
      </c>
      <c r="F56" s="663">
        <f>Amnt_Deposited!D52*$D$11*(1-DOCF)*Paper!E57</f>
        <v>0</v>
      </c>
      <c r="G56" s="663">
        <f>Amnt_Deposited!G52*$D$12*(1-DOCF)*Wood!E57</f>
        <v>0</v>
      </c>
      <c r="H56" s="663">
        <f>Amnt_Deposited!H52*$F$12*(1-DOCF)*Textiles!E57</f>
        <v>0</v>
      </c>
      <c r="I56" s="664">
        <f>Amnt_Deposited!E52*$H$10*(1-DOCF)*Nappies!E57</f>
        <v>0</v>
      </c>
      <c r="J56" s="665">
        <f>Amnt_Deposited!N52*$H$11*(1-DOCF)*Sludge!E57</f>
        <v>0</v>
      </c>
      <c r="K56" s="666">
        <f>Amnt_Deposited!P52*$H$12*(1-DOCF)*Industry!D57</f>
        <v>0</v>
      </c>
      <c r="L56" s="663">
        <f>Amnt_Deposited!P52*Parameters!$E$58*$D$11*(1-DOCF)*Industry!E57</f>
        <v>0</v>
      </c>
      <c r="M56" s="664">
        <f>Amnt_Deposited!P52*Parameters!$E$59*$D$12*(1-DOCF)*Industry!E57</f>
        <v>0</v>
      </c>
      <c r="N56" s="599">
        <f t="shared" si="3"/>
        <v>0</v>
      </c>
      <c r="O56" s="601">
        <f t="shared" si="1"/>
        <v>0</v>
      </c>
    </row>
    <row r="57" spans="2:15">
      <c r="B57" s="598">
        <f t="shared" si="2"/>
        <v>1989</v>
      </c>
      <c r="C57" s="661">
        <f>Amnt_Deposited!O53*$D$10*(1-DOCF)*MSW!E58</f>
        <v>0</v>
      </c>
      <c r="D57" s="662">
        <f>Amnt_Deposited!C53*$F$10*(1-DOCF)*Food!E58</f>
        <v>0</v>
      </c>
      <c r="E57" s="663">
        <f>Amnt_Deposited!F53*$F$11*(1-DOCF)*Garden!E58</f>
        <v>0</v>
      </c>
      <c r="F57" s="663">
        <f>Amnt_Deposited!D53*$D$11*(1-DOCF)*Paper!E58</f>
        <v>0</v>
      </c>
      <c r="G57" s="663">
        <f>Amnt_Deposited!G53*$D$12*(1-DOCF)*Wood!E58</f>
        <v>0</v>
      </c>
      <c r="H57" s="663">
        <f>Amnt_Deposited!H53*$F$12*(1-DOCF)*Textiles!E58</f>
        <v>0</v>
      </c>
      <c r="I57" s="664">
        <f>Amnt_Deposited!E53*$H$10*(1-DOCF)*Nappies!E58</f>
        <v>0</v>
      </c>
      <c r="J57" s="665">
        <f>Amnt_Deposited!N53*$H$11*(1-DOCF)*Sludge!E58</f>
        <v>0</v>
      </c>
      <c r="K57" s="666">
        <f>Amnt_Deposited!P53*$H$12*(1-DOCF)*Industry!D58</f>
        <v>0</v>
      </c>
      <c r="L57" s="663">
        <f>Amnt_Deposited!P53*Parameters!$E$58*$D$11*(1-DOCF)*Industry!E58</f>
        <v>0</v>
      </c>
      <c r="M57" s="664">
        <f>Amnt_Deposited!P53*Parameters!$E$59*$D$12*(1-DOCF)*Industry!E58</f>
        <v>0</v>
      </c>
      <c r="N57" s="599">
        <f t="shared" si="3"/>
        <v>0</v>
      </c>
      <c r="O57" s="601">
        <f t="shared" si="1"/>
        <v>0</v>
      </c>
    </row>
    <row r="58" spans="2:15">
      <c r="B58" s="598">
        <f t="shared" si="2"/>
        <v>1990</v>
      </c>
      <c r="C58" s="661">
        <f>Amnt_Deposited!O54*$D$10*(1-DOCF)*MSW!E59</f>
        <v>0</v>
      </c>
      <c r="D58" s="662">
        <f>Amnt_Deposited!C54*$F$10*(1-DOCF)*Food!E59</f>
        <v>0</v>
      </c>
      <c r="E58" s="663">
        <f>Amnt_Deposited!F54*$F$11*(1-DOCF)*Garden!E59</f>
        <v>0</v>
      </c>
      <c r="F58" s="663">
        <f>Amnt_Deposited!D54*$D$11*(1-DOCF)*Paper!E59</f>
        <v>0</v>
      </c>
      <c r="G58" s="663">
        <f>Amnt_Deposited!G54*$D$12*(1-DOCF)*Wood!E59</f>
        <v>0</v>
      </c>
      <c r="H58" s="663">
        <f>Amnt_Deposited!H54*$F$12*(1-DOCF)*Textiles!E59</f>
        <v>0</v>
      </c>
      <c r="I58" s="664">
        <f>Amnt_Deposited!E54*$H$10*(1-DOCF)*Nappies!E59</f>
        <v>0</v>
      </c>
      <c r="J58" s="665">
        <f>Amnt_Deposited!N54*$H$11*(1-DOCF)*Sludge!E59</f>
        <v>0</v>
      </c>
      <c r="K58" s="666">
        <f>Amnt_Deposited!P54*$H$12*(1-DOCF)*Industry!D59</f>
        <v>0</v>
      </c>
      <c r="L58" s="663">
        <f>Amnt_Deposited!P54*Parameters!$E$58*$D$11*(1-DOCF)*Industry!E59</f>
        <v>0</v>
      </c>
      <c r="M58" s="664">
        <f>Amnt_Deposited!P54*Parameters!$E$59*$D$12*(1-DOCF)*Industry!E59</f>
        <v>0</v>
      </c>
      <c r="N58" s="599">
        <f t="shared" si="3"/>
        <v>0</v>
      </c>
      <c r="O58" s="601">
        <f t="shared" si="1"/>
        <v>0</v>
      </c>
    </row>
    <row r="59" spans="2:15">
      <c r="B59" s="598">
        <f t="shared" si="2"/>
        <v>1991</v>
      </c>
      <c r="C59" s="661">
        <f>Amnt_Deposited!O55*$D$10*(1-DOCF)*MSW!E60</f>
        <v>0</v>
      </c>
      <c r="D59" s="662">
        <f>Amnt_Deposited!C55*$F$10*(1-DOCF)*Food!E60</f>
        <v>0</v>
      </c>
      <c r="E59" s="663">
        <f>Amnt_Deposited!F55*$F$11*(1-DOCF)*Garden!E60</f>
        <v>0</v>
      </c>
      <c r="F59" s="663">
        <f>Amnt_Deposited!D55*$D$11*(1-DOCF)*Paper!E60</f>
        <v>0</v>
      </c>
      <c r="G59" s="663">
        <f>Amnt_Deposited!G55*$D$12*(1-DOCF)*Wood!E60</f>
        <v>0</v>
      </c>
      <c r="H59" s="663">
        <f>Amnt_Deposited!H55*$F$12*(1-DOCF)*Textiles!E60</f>
        <v>0</v>
      </c>
      <c r="I59" s="664">
        <f>Amnt_Deposited!E55*$H$10*(1-DOCF)*Nappies!E60</f>
        <v>0</v>
      </c>
      <c r="J59" s="665">
        <f>Amnt_Deposited!N55*$H$11*(1-DOCF)*Sludge!E60</f>
        <v>0</v>
      </c>
      <c r="K59" s="666">
        <f>Amnt_Deposited!P55*$H$12*(1-DOCF)*Industry!D60</f>
        <v>0</v>
      </c>
      <c r="L59" s="663">
        <f>Amnt_Deposited!P55*Parameters!$E$58*$D$11*(1-DOCF)*Industry!E60</f>
        <v>0</v>
      </c>
      <c r="M59" s="664">
        <f>Amnt_Deposited!P55*Parameters!$E$59*$D$12*(1-DOCF)*Industry!E60</f>
        <v>0</v>
      </c>
      <c r="N59" s="599">
        <f t="shared" si="3"/>
        <v>0</v>
      </c>
      <c r="O59" s="601">
        <f t="shared" si="1"/>
        <v>0</v>
      </c>
    </row>
    <row r="60" spans="2:15">
      <c r="B60" s="598">
        <f t="shared" si="2"/>
        <v>1992</v>
      </c>
      <c r="C60" s="661">
        <f>Amnt_Deposited!O56*$D$10*(1-DOCF)*MSW!E61</f>
        <v>0</v>
      </c>
      <c r="D60" s="662">
        <f>Amnt_Deposited!C56*$F$10*(1-DOCF)*Food!E61</f>
        <v>0</v>
      </c>
      <c r="E60" s="663">
        <f>Amnt_Deposited!F56*$F$11*(1-DOCF)*Garden!E61</f>
        <v>0</v>
      </c>
      <c r="F60" s="663">
        <f>Amnt_Deposited!D56*$D$11*(1-DOCF)*Paper!E61</f>
        <v>0</v>
      </c>
      <c r="G60" s="663">
        <f>Amnt_Deposited!G56*$D$12*(1-DOCF)*Wood!E61</f>
        <v>0</v>
      </c>
      <c r="H60" s="663">
        <f>Amnt_Deposited!H56*$F$12*(1-DOCF)*Textiles!E61</f>
        <v>0</v>
      </c>
      <c r="I60" s="664">
        <f>Amnt_Deposited!E56*$H$10*(1-DOCF)*Nappies!E61</f>
        <v>0</v>
      </c>
      <c r="J60" s="665">
        <f>Amnt_Deposited!N56*$H$11*(1-DOCF)*Sludge!E61</f>
        <v>0</v>
      </c>
      <c r="K60" s="666">
        <f>Amnt_Deposited!P56*$H$12*(1-DOCF)*Industry!D61</f>
        <v>0</v>
      </c>
      <c r="L60" s="663">
        <f>Amnt_Deposited!P56*Parameters!$E$58*$D$11*(1-DOCF)*Industry!E61</f>
        <v>0</v>
      </c>
      <c r="M60" s="664">
        <f>Amnt_Deposited!P56*Parameters!$E$59*$D$12*(1-DOCF)*Industry!E61</f>
        <v>0</v>
      </c>
      <c r="N60" s="599">
        <f t="shared" si="3"/>
        <v>0</v>
      </c>
      <c r="O60" s="601">
        <f t="shared" si="1"/>
        <v>0</v>
      </c>
    </row>
    <row r="61" spans="2:15">
      <c r="B61" s="598">
        <f t="shared" si="2"/>
        <v>1993</v>
      </c>
      <c r="C61" s="661">
        <f>Amnt_Deposited!O57*$D$10*(1-DOCF)*MSW!E62</f>
        <v>0</v>
      </c>
      <c r="D61" s="662">
        <f>Amnt_Deposited!C57*$F$10*(1-DOCF)*Food!E62</f>
        <v>0</v>
      </c>
      <c r="E61" s="663">
        <f>Amnt_Deposited!F57*$F$11*(1-DOCF)*Garden!E62</f>
        <v>0</v>
      </c>
      <c r="F61" s="663">
        <f>Amnt_Deposited!D57*$D$11*(1-DOCF)*Paper!E62</f>
        <v>0</v>
      </c>
      <c r="G61" s="663">
        <f>Amnt_Deposited!G57*$D$12*(1-DOCF)*Wood!E62</f>
        <v>0</v>
      </c>
      <c r="H61" s="663">
        <f>Amnt_Deposited!H57*$F$12*(1-DOCF)*Textiles!E62</f>
        <v>0</v>
      </c>
      <c r="I61" s="664">
        <f>Amnt_Deposited!E57*$H$10*(1-DOCF)*Nappies!E62</f>
        <v>0</v>
      </c>
      <c r="J61" s="665">
        <f>Amnt_Deposited!N57*$H$11*(1-DOCF)*Sludge!E62</f>
        <v>0</v>
      </c>
      <c r="K61" s="666">
        <f>Amnt_Deposited!P57*$H$12*(1-DOCF)*Industry!D62</f>
        <v>0</v>
      </c>
      <c r="L61" s="663">
        <f>Amnt_Deposited!P57*Parameters!$E$58*$D$11*(1-DOCF)*Industry!E62</f>
        <v>0</v>
      </c>
      <c r="M61" s="664">
        <f>Amnt_Deposited!P57*Parameters!$E$59*$D$12*(1-DOCF)*Industry!E62</f>
        <v>0</v>
      </c>
      <c r="N61" s="599">
        <f t="shared" si="3"/>
        <v>0</v>
      </c>
      <c r="O61" s="601">
        <f t="shared" si="1"/>
        <v>0</v>
      </c>
    </row>
    <row r="62" spans="2:15">
      <c r="B62" s="598">
        <f t="shared" si="2"/>
        <v>1994</v>
      </c>
      <c r="C62" s="661">
        <f>Amnt_Deposited!O58*$D$10*(1-DOCF)*MSW!E63</f>
        <v>0</v>
      </c>
      <c r="D62" s="662">
        <f>Amnt_Deposited!C58*$F$10*(1-DOCF)*Food!E63</f>
        <v>0</v>
      </c>
      <c r="E62" s="663">
        <f>Amnt_Deposited!F58*$F$11*(1-DOCF)*Garden!E63</f>
        <v>0</v>
      </c>
      <c r="F62" s="663">
        <f>Amnt_Deposited!D58*$D$11*(1-DOCF)*Paper!E63</f>
        <v>0</v>
      </c>
      <c r="G62" s="663">
        <f>Amnt_Deposited!G58*$D$12*(1-DOCF)*Wood!E63</f>
        <v>0</v>
      </c>
      <c r="H62" s="663">
        <f>Amnt_Deposited!H58*$F$12*(1-DOCF)*Textiles!E63</f>
        <v>0</v>
      </c>
      <c r="I62" s="664">
        <f>Amnt_Deposited!E58*$H$10*(1-DOCF)*Nappies!E63</f>
        <v>0</v>
      </c>
      <c r="J62" s="665">
        <f>Amnt_Deposited!N58*$H$11*(1-DOCF)*Sludge!E63</f>
        <v>0</v>
      </c>
      <c r="K62" s="666">
        <f>Amnt_Deposited!P58*$H$12*(1-DOCF)*Industry!D63</f>
        <v>0</v>
      </c>
      <c r="L62" s="663">
        <f>Amnt_Deposited!P58*Parameters!$E$58*$D$11*(1-DOCF)*Industry!E63</f>
        <v>0</v>
      </c>
      <c r="M62" s="664">
        <f>Amnt_Deposited!P58*Parameters!$E$59*$D$12*(1-DOCF)*Industry!E63</f>
        <v>0</v>
      </c>
      <c r="N62" s="599">
        <f t="shared" si="3"/>
        <v>0</v>
      </c>
      <c r="O62" s="601">
        <f t="shared" si="1"/>
        <v>0</v>
      </c>
    </row>
    <row r="63" spans="2:15">
      <c r="B63" s="598">
        <f t="shared" si="2"/>
        <v>1995</v>
      </c>
      <c r="C63" s="661">
        <f>Amnt_Deposited!O59*$D$10*(1-DOCF)*MSW!E64</f>
        <v>0</v>
      </c>
      <c r="D63" s="662">
        <f>Amnt_Deposited!C59*$F$10*(1-DOCF)*Food!E64</f>
        <v>0</v>
      </c>
      <c r="E63" s="663">
        <f>Amnt_Deposited!F59*$F$11*(1-DOCF)*Garden!E64</f>
        <v>0</v>
      </c>
      <c r="F63" s="663">
        <f>Amnt_Deposited!D59*$D$11*(1-DOCF)*Paper!E64</f>
        <v>0</v>
      </c>
      <c r="G63" s="663">
        <f>Amnt_Deposited!G59*$D$12*(1-DOCF)*Wood!E64</f>
        <v>0</v>
      </c>
      <c r="H63" s="663">
        <f>Amnt_Deposited!H59*$F$12*(1-DOCF)*Textiles!E64</f>
        <v>0</v>
      </c>
      <c r="I63" s="664">
        <f>Amnt_Deposited!E59*$H$10*(1-DOCF)*Nappies!E64</f>
        <v>0</v>
      </c>
      <c r="J63" s="665">
        <f>Amnt_Deposited!N59*$H$11*(1-DOCF)*Sludge!E64</f>
        <v>0</v>
      </c>
      <c r="K63" s="666">
        <f>Amnt_Deposited!P59*$H$12*(1-DOCF)*Industry!D64</f>
        <v>0</v>
      </c>
      <c r="L63" s="663">
        <f>Amnt_Deposited!P59*Parameters!$E$58*$D$11*(1-DOCF)*Industry!E64</f>
        <v>0</v>
      </c>
      <c r="M63" s="664">
        <f>Amnt_Deposited!P59*Parameters!$E$59*$D$12*(1-DOCF)*Industry!E64</f>
        <v>0</v>
      </c>
      <c r="N63" s="599">
        <f t="shared" si="3"/>
        <v>0</v>
      </c>
      <c r="O63" s="601">
        <f t="shared" si="1"/>
        <v>0</v>
      </c>
    </row>
    <row r="64" spans="2:15">
      <c r="B64" s="598">
        <f t="shared" si="2"/>
        <v>1996</v>
      </c>
      <c r="C64" s="661">
        <f>Amnt_Deposited!O60*$D$10*(1-DOCF)*MSW!E65</f>
        <v>0</v>
      </c>
      <c r="D64" s="662">
        <f>Amnt_Deposited!C60*$F$10*(1-DOCF)*Food!E65</f>
        <v>0</v>
      </c>
      <c r="E64" s="663">
        <f>Amnt_Deposited!F60*$F$11*(1-DOCF)*Garden!E65</f>
        <v>0</v>
      </c>
      <c r="F64" s="663">
        <f>Amnt_Deposited!D60*$D$11*(1-DOCF)*Paper!E65</f>
        <v>0</v>
      </c>
      <c r="G64" s="663">
        <f>Amnt_Deposited!G60*$D$12*(1-DOCF)*Wood!E65</f>
        <v>0</v>
      </c>
      <c r="H64" s="663">
        <f>Amnt_Deposited!H60*$F$12*(1-DOCF)*Textiles!E65</f>
        <v>0</v>
      </c>
      <c r="I64" s="664">
        <f>Amnt_Deposited!E60*$H$10*(1-DOCF)*Nappies!E65</f>
        <v>0</v>
      </c>
      <c r="J64" s="665">
        <f>Amnt_Deposited!N60*$H$11*(1-DOCF)*Sludge!E65</f>
        <v>0</v>
      </c>
      <c r="K64" s="666">
        <f>Amnt_Deposited!P60*$H$12*(1-DOCF)*Industry!D65</f>
        <v>0</v>
      </c>
      <c r="L64" s="663">
        <f>Amnt_Deposited!P60*Parameters!$E$58*$D$11*(1-DOCF)*Industry!E65</f>
        <v>0</v>
      </c>
      <c r="M64" s="664">
        <f>Amnt_Deposited!P60*Parameters!$E$59*$D$12*(1-DOCF)*Industry!E65</f>
        <v>0</v>
      </c>
      <c r="N64" s="599">
        <f t="shared" si="3"/>
        <v>0</v>
      </c>
      <c r="O64" s="601">
        <f t="shared" si="1"/>
        <v>0</v>
      </c>
    </row>
    <row r="65" spans="2:15">
      <c r="B65" s="598">
        <f t="shared" si="2"/>
        <v>1997</v>
      </c>
      <c r="C65" s="661">
        <f>Amnt_Deposited!O61*$D$10*(1-DOCF)*MSW!E66</f>
        <v>0</v>
      </c>
      <c r="D65" s="662">
        <f>Amnt_Deposited!C61*$F$10*(1-DOCF)*Food!E66</f>
        <v>0</v>
      </c>
      <c r="E65" s="663">
        <f>Amnt_Deposited!F61*$F$11*(1-DOCF)*Garden!E66</f>
        <v>0</v>
      </c>
      <c r="F65" s="663">
        <f>Amnt_Deposited!D61*$D$11*(1-DOCF)*Paper!E66</f>
        <v>0</v>
      </c>
      <c r="G65" s="663">
        <f>Amnt_Deposited!G61*$D$12*(1-DOCF)*Wood!E66</f>
        <v>0</v>
      </c>
      <c r="H65" s="663">
        <f>Amnt_Deposited!H61*$F$12*(1-DOCF)*Textiles!E66</f>
        <v>0</v>
      </c>
      <c r="I65" s="664">
        <f>Amnt_Deposited!E61*$H$10*(1-DOCF)*Nappies!E66</f>
        <v>0</v>
      </c>
      <c r="J65" s="665">
        <f>Amnt_Deposited!N61*$H$11*(1-DOCF)*Sludge!E66</f>
        <v>0</v>
      </c>
      <c r="K65" s="666">
        <f>Amnt_Deposited!P61*$H$12*(1-DOCF)*Industry!D66</f>
        <v>0</v>
      </c>
      <c r="L65" s="663">
        <f>Amnt_Deposited!P61*Parameters!$E$58*$D$11*(1-DOCF)*Industry!E66</f>
        <v>0</v>
      </c>
      <c r="M65" s="664">
        <f>Amnt_Deposited!P61*Parameters!$E$59*$D$12*(1-DOCF)*Industry!E66</f>
        <v>0</v>
      </c>
      <c r="N65" s="599">
        <f t="shared" si="3"/>
        <v>0</v>
      </c>
      <c r="O65" s="601">
        <f t="shared" si="1"/>
        <v>0</v>
      </c>
    </row>
    <row r="66" spans="2:15">
      <c r="B66" s="598">
        <f t="shared" si="2"/>
        <v>1998</v>
      </c>
      <c r="C66" s="661">
        <f>Amnt_Deposited!O62*$D$10*(1-DOCF)*MSW!E67</f>
        <v>0</v>
      </c>
      <c r="D66" s="662">
        <f>Amnt_Deposited!C62*$F$10*(1-DOCF)*Food!E67</f>
        <v>0</v>
      </c>
      <c r="E66" s="663">
        <f>Amnt_Deposited!F62*$F$11*(1-DOCF)*Garden!E67</f>
        <v>0</v>
      </c>
      <c r="F66" s="663">
        <f>Amnt_Deposited!D62*$D$11*(1-DOCF)*Paper!E67</f>
        <v>0</v>
      </c>
      <c r="G66" s="663">
        <f>Amnt_Deposited!G62*$D$12*(1-DOCF)*Wood!E67</f>
        <v>0</v>
      </c>
      <c r="H66" s="663">
        <f>Amnt_Deposited!H62*$F$12*(1-DOCF)*Textiles!E67</f>
        <v>0</v>
      </c>
      <c r="I66" s="664">
        <f>Amnt_Deposited!E62*$H$10*(1-DOCF)*Nappies!E67</f>
        <v>0</v>
      </c>
      <c r="J66" s="665">
        <f>Amnt_Deposited!N62*$H$11*(1-DOCF)*Sludge!E67</f>
        <v>0</v>
      </c>
      <c r="K66" s="666">
        <f>Amnt_Deposited!P62*$H$12*(1-DOCF)*Industry!D67</f>
        <v>0</v>
      </c>
      <c r="L66" s="663">
        <f>Amnt_Deposited!P62*Parameters!$E$58*$D$11*(1-DOCF)*Industry!E67</f>
        <v>0</v>
      </c>
      <c r="M66" s="664">
        <f>Amnt_Deposited!P62*Parameters!$E$59*$D$12*(1-DOCF)*Industry!E67</f>
        <v>0</v>
      </c>
      <c r="N66" s="599">
        <f t="shared" si="3"/>
        <v>0</v>
      </c>
      <c r="O66" s="601">
        <f t="shared" si="1"/>
        <v>0</v>
      </c>
    </row>
    <row r="67" spans="2:15">
      <c r="B67" s="598">
        <f t="shared" si="2"/>
        <v>1999</v>
      </c>
      <c r="C67" s="661">
        <f>Amnt_Deposited!O63*$D$10*(1-DOCF)*MSW!E68</f>
        <v>0</v>
      </c>
      <c r="D67" s="662">
        <f>Amnt_Deposited!C63*$F$10*(1-DOCF)*Food!E68</f>
        <v>0</v>
      </c>
      <c r="E67" s="663">
        <f>Amnt_Deposited!F63*$F$11*(1-DOCF)*Garden!E68</f>
        <v>0</v>
      </c>
      <c r="F67" s="663">
        <f>Amnt_Deposited!D63*$D$11*(1-DOCF)*Paper!E68</f>
        <v>0</v>
      </c>
      <c r="G67" s="663">
        <f>Amnt_Deposited!G63*$D$12*(1-DOCF)*Wood!E68</f>
        <v>0</v>
      </c>
      <c r="H67" s="663">
        <f>Amnt_Deposited!H63*$F$12*(1-DOCF)*Textiles!E68</f>
        <v>0</v>
      </c>
      <c r="I67" s="664">
        <f>Amnt_Deposited!E63*$H$10*(1-DOCF)*Nappies!E68</f>
        <v>0</v>
      </c>
      <c r="J67" s="665">
        <f>Amnt_Deposited!N63*$H$11*(1-DOCF)*Sludge!E68</f>
        <v>0</v>
      </c>
      <c r="K67" s="666">
        <f>Amnt_Deposited!P63*$H$12*(1-DOCF)*Industry!D68</f>
        <v>0</v>
      </c>
      <c r="L67" s="663">
        <f>Amnt_Deposited!P63*Parameters!$E$58*$D$11*(1-DOCF)*Industry!E68</f>
        <v>0</v>
      </c>
      <c r="M67" s="664">
        <f>Amnt_Deposited!P63*Parameters!$E$59*$D$12*(1-DOCF)*Industry!E68</f>
        <v>0</v>
      </c>
      <c r="N67" s="599">
        <f t="shared" si="3"/>
        <v>0</v>
      </c>
      <c r="O67" s="601">
        <f t="shared" si="1"/>
        <v>0</v>
      </c>
    </row>
    <row r="68" spans="2:15">
      <c r="B68" s="598">
        <f t="shared" si="2"/>
        <v>2000</v>
      </c>
      <c r="C68" s="661">
        <f>Amnt_Deposited!O64*$D$10*(1-DOCF)*MSW!E69</f>
        <v>0</v>
      </c>
      <c r="D68" s="662">
        <f>Amnt_Deposited!C64*$F$10*(1-DOCF)*Food!E69</f>
        <v>0</v>
      </c>
      <c r="E68" s="663">
        <f>Amnt_Deposited!F64*$F$11*(1-DOCF)*Garden!E69</f>
        <v>0</v>
      </c>
      <c r="F68" s="663">
        <f>Amnt_Deposited!D64*$D$11*(1-DOCF)*Paper!E69</f>
        <v>0</v>
      </c>
      <c r="G68" s="663">
        <f>Amnt_Deposited!G64*$D$12*(1-DOCF)*Wood!E69</f>
        <v>0</v>
      </c>
      <c r="H68" s="663">
        <f>Amnt_Deposited!H64*$F$12*(1-DOCF)*Textiles!E69</f>
        <v>0</v>
      </c>
      <c r="I68" s="664">
        <f>Amnt_Deposited!E64*$H$10*(1-DOCF)*Nappies!E69</f>
        <v>0</v>
      </c>
      <c r="J68" s="665">
        <f>Amnt_Deposited!N64*$H$11*(1-DOCF)*Sludge!E69</f>
        <v>0</v>
      </c>
      <c r="K68" s="666">
        <f>Amnt_Deposited!P64*$H$12*(1-DOCF)*Industry!D69</f>
        <v>0</v>
      </c>
      <c r="L68" s="663">
        <f>Amnt_Deposited!P64*Parameters!$E$58*$D$11*(1-DOCF)*Industry!E69</f>
        <v>0</v>
      </c>
      <c r="M68" s="664">
        <f>Amnt_Deposited!P64*Parameters!$E$59*$D$12*(1-DOCF)*Industry!E69</f>
        <v>0</v>
      </c>
      <c r="N68" s="599">
        <f t="shared" si="3"/>
        <v>0</v>
      </c>
      <c r="O68" s="601">
        <f t="shared" si="1"/>
        <v>0</v>
      </c>
    </row>
    <row r="69" spans="2:15">
      <c r="B69" s="598">
        <f t="shared" si="2"/>
        <v>2001</v>
      </c>
      <c r="C69" s="661">
        <f>Amnt_Deposited!O65*$D$10*(1-DOCF)*MSW!E70</f>
        <v>0</v>
      </c>
      <c r="D69" s="662">
        <f>Amnt_Deposited!C65*$F$10*(1-DOCF)*Food!E70</f>
        <v>0</v>
      </c>
      <c r="E69" s="663">
        <f>Amnt_Deposited!F65*$F$11*(1-DOCF)*Garden!E70</f>
        <v>0</v>
      </c>
      <c r="F69" s="663">
        <f>Amnt_Deposited!D65*$D$11*(1-DOCF)*Paper!E70</f>
        <v>0</v>
      </c>
      <c r="G69" s="663">
        <f>Amnt_Deposited!G65*$D$12*(1-DOCF)*Wood!E70</f>
        <v>0</v>
      </c>
      <c r="H69" s="663">
        <f>Amnt_Deposited!H65*$F$12*(1-DOCF)*Textiles!E70</f>
        <v>0</v>
      </c>
      <c r="I69" s="664">
        <f>Amnt_Deposited!E65*$H$10*(1-DOCF)*Nappies!E70</f>
        <v>0</v>
      </c>
      <c r="J69" s="665">
        <f>Amnt_Deposited!N65*$H$11*(1-DOCF)*Sludge!E70</f>
        <v>0</v>
      </c>
      <c r="K69" s="666">
        <f>Amnt_Deposited!P65*$H$12*(1-DOCF)*Industry!D70</f>
        <v>0</v>
      </c>
      <c r="L69" s="663">
        <f>Amnt_Deposited!P65*Parameters!$E$58*$D$11*(1-DOCF)*Industry!E70</f>
        <v>0</v>
      </c>
      <c r="M69" s="664">
        <f>Amnt_Deposited!P65*Parameters!$E$59*$D$12*(1-DOCF)*Industry!E70</f>
        <v>0</v>
      </c>
      <c r="N69" s="599">
        <f t="shared" si="3"/>
        <v>0</v>
      </c>
      <c r="O69" s="601">
        <f t="shared" si="1"/>
        <v>0</v>
      </c>
    </row>
    <row r="70" spans="2:15">
      <c r="B70" s="598">
        <f t="shared" si="2"/>
        <v>2002</v>
      </c>
      <c r="C70" s="661">
        <f>Amnt_Deposited!O66*$D$10*(1-DOCF)*MSW!E71</f>
        <v>0</v>
      </c>
      <c r="D70" s="662">
        <f>Amnt_Deposited!C66*$F$10*(1-DOCF)*Food!E71</f>
        <v>0</v>
      </c>
      <c r="E70" s="663">
        <f>Amnt_Deposited!F66*$F$11*(1-DOCF)*Garden!E71</f>
        <v>0</v>
      </c>
      <c r="F70" s="663">
        <f>Amnt_Deposited!D66*$D$11*(1-DOCF)*Paper!E71</f>
        <v>0</v>
      </c>
      <c r="G70" s="663">
        <f>Amnt_Deposited!G66*$D$12*(1-DOCF)*Wood!E71</f>
        <v>0</v>
      </c>
      <c r="H70" s="663">
        <f>Amnt_Deposited!H66*$F$12*(1-DOCF)*Textiles!E71</f>
        <v>0</v>
      </c>
      <c r="I70" s="664">
        <f>Amnt_Deposited!E66*$H$10*(1-DOCF)*Nappies!E71</f>
        <v>0</v>
      </c>
      <c r="J70" s="665">
        <f>Amnt_Deposited!N66*$H$11*(1-DOCF)*Sludge!E71</f>
        <v>0</v>
      </c>
      <c r="K70" s="666">
        <f>Amnt_Deposited!P66*$H$12*(1-DOCF)*Industry!D71</f>
        <v>0</v>
      </c>
      <c r="L70" s="663">
        <f>Amnt_Deposited!P66*Parameters!$E$58*$D$11*(1-DOCF)*Industry!E71</f>
        <v>0</v>
      </c>
      <c r="M70" s="664">
        <f>Amnt_Deposited!P66*Parameters!$E$59*$D$12*(1-DOCF)*Industry!E71</f>
        <v>0</v>
      </c>
      <c r="N70" s="599">
        <f t="shared" si="3"/>
        <v>0</v>
      </c>
      <c r="O70" s="601">
        <f t="shared" si="1"/>
        <v>0</v>
      </c>
    </row>
    <row r="71" spans="2:15">
      <c r="B71" s="598">
        <f t="shared" si="2"/>
        <v>2003</v>
      </c>
      <c r="C71" s="661">
        <f>Amnt_Deposited!O67*$D$10*(1-DOCF)*MSW!E72</f>
        <v>0</v>
      </c>
      <c r="D71" s="662">
        <f>Amnt_Deposited!C67*$F$10*(1-DOCF)*Food!E72</f>
        <v>0</v>
      </c>
      <c r="E71" s="663">
        <f>Amnt_Deposited!F67*$F$11*(1-DOCF)*Garden!E72</f>
        <v>0</v>
      </c>
      <c r="F71" s="663">
        <f>Amnt_Deposited!D67*$D$11*(1-DOCF)*Paper!E72</f>
        <v>0</v>
      </c>
      <c r="G71" s="663">
        <f>Amnt_Deposited!G67*$D$12*(1-DOCF)*Wood!E72</f>
        <v>0</v>
      </c>
      <c r="H71" s="663">
        <f>Amnt_Deposited!H67*$F$12*(1-DOCF)*Textiles!E72</f>
        <v>0</v>
      </c>
      <c r="I71" s="664">
        <f>Amnt_Deposited!E67*$H$10*(1-DOCF)*Nappies!E72</f>
        <v>0</v>
      </c>
      <c r="J71" s="665">
        <f>Amnt_Deposited!N67*$H$11*(1-DOCF)*Sludge!E72</f>
        <v>0</v>
      </c>
      <c r="K71" s="666">
        <f>Amnt_Deposited!P67*$H$12*(1-DOCF)*Industry!D72</f>
        <v>0</v>
      </c>
      <c r="L71" s="663">
        <f>Amnt_Deposited!P67*Parameters!$E$58*$D$11*(1-DOCF)*Industry!E72</f>
        <v>0</v>
      </c>
      <c r="M71" s="664">
        <f>Amnt_Deposited!P67*Parameters!$E$59*$D$12*(1-DOCF)*Industry!E72</f>
        <v>0</v>
      </c>
      <c r="N71" s="599">
        <f t="shared" si="3"/>
        <v>0</v>
      </c>
      <c r="O71" s="601">
        <f t="shared" si="1"/>
        <v>0</v>
      </c>
    </row>
    <row r="72" spans="2:15">
      <c r="B72" s="598">
        <f t="shared" si="2"/>
        <v>2004</v>
      </c>
      <c r="C72" s="661">
        <f>Amnt_Deposited!O68*$D$10*(1-DOCF)*MSW!E73</f>
        <v>0</v>
      </c>
      <c r="D72" s="662">
        <f>Amnt_Deposited!C68*$F$10*(1-DOCF)*Food!E73</f>
        <v>0</v>
      </c>
      <c r="E72" s="663">
        <f>Amnt_Deposited!F68*$F$11*(1-DOCF)*Garden!E73</f>
        <v>0</v>
      </c>
      <c r="F72" s="663">
        <f>Amnt_Deposited!D68*$D$11*(1-DOCF)*Paper!E73</f>
        <v>0</v>
      </c>
      <c r="G72" s="663">
        <f>Amnt_Deposited!G68*$D$12*(1-DOCF)*Wood!E73</f>
        <v>0</v>
      </c>
      <c r="H72" s="663">
        <f>Amnt_Deposited!H68*$F$12*(1-DOCF)*Textiles!E73</f>
        <v>0</v>
      </c>
      <c r="I72" s="664">
        <f>Amnt_Deposited!E68*$H$10*(1-DOCF)*Nappies!E73</f>
        <v>0</v>
      </c>
      <c r="J72" s="665">
        <f>Amnt_Deposited!N68*$H$11*(1-DOCF)*Sludge!E73</f>
        <v>0</v>
      </c>
      <c r="K72" s="666">
        <f>Amnt_Deposited!P68*$H$12*(1-DOCF)*Industry!D73</f>
        <v>0</v>
      </c>
      <c r="L72" s="663">
        <f>Amnt_Deposited!P68*Parameters!$E$58*$D$11*(1-DOCF)*Industry!E73</f>
        <v>0</v>
      </c>
      <c r="M72" s="664">
        <f>Amnt_Deposited!P68*Parameters!$E$59*$D$12*(1-DOCF)*Industry!E73</f>
        <v>0</v>
      </c>
      <c r="N72" s="599">
        <f t="shared" si="3"/>
        <v>0</v>
      </c>
      <c r="O72" s="601">
        <f t="shared" si="1"/>
        <v>0</v>
      </c>
    </row>
    <row r="73" spans="2:15">
      <c r="B73" s="598">
        <f t="shared" si="2"/>
        <v>2005</v>
      </c>
      <c r="C73" s="661">
        <f>Amnt_Deposited!O69*$D$10*(1-DOCF)*MSW!E74</f>
        <v>0</v>
      </c>
      <c r="D73" s="662">
        <f>Amnt_Deposited!C69*$F$10*(1-DOCF)*Food!E74</f>
        <v>0</v>
      </c>
      <c r="E73" s="663">
        <f>Amnt_Deposited!F69*$F$11*(1-DOCF)*Garden!E74</f>
        <v>0</v>
      </c>
      <c r="F73" s="663">
        <f>Amnt_Deposited!D69*$D$11*(1-DOCF)*Paper!E74</f>
        <v>0</v>
      </c>
      <c r="G73" s="663">
        <f>Amnt_Deposited!G69*$D$12*(1-DOCF)*Wood!E74</f>
        <v>0</v>
      </c>
      <c r="H73" s="663">
        <f>Amnt_Deposited!H69*$F$12*(1-DOCF)*Textiles!E74</f>
        <v>0</v>
      </c>
      <c r="I73" s="664">
        <f>Amnt_Deposited!E69*$H$10*(1-DOCF)*Nappies!E74</f>
        <v>0</v>
      </c>
      <c r="J73" s="665">
        <f>Amnt_Deposited!N69*$H$11*(1-DOCF)*Sludge!E74</f>
        <v>0</v>
      </c>
      <c r="K73" s="666">
        <f>Amnt_Deposited!P69*$H$12*(1-DOCF)*Industry!D74</f>
        <v>0</v>
      </c>
      <c r="L73" s="663">
        <f>Amnt_Deposited!P69*Parameters!$E$58*$D$11*(1-DOCF)*Industry!E74</f>
        <v>0</v>
      </c>
      <c r="M73" s="664">
        <f>Amnt_Deposited!P69*Parameters!$E$59*$D$12*(1-DOCF)*Industry!E74</f>
        <v>0</v>
      </c>
      <c r="N73" s="599">
        <f t="shared" si="3"/>
        <v>0</v>
      </c>
      <c r="O73" s="601">
        <f t="shared" si="1"/>
        <v>0</v>
      </c>
    </row>
    <row r="74" spans="2:15">
      <c r="B74" s="598">
        <f t="shared" si="2"/>
        <v>2006</v>
      </c>
      <c r="C74" s="661">
        <f>Amnt_Deposited!O70*$D$10*(1-DOCF)*MSW!E75</f>
        <v>0</v>
      </c>
      <c r="D74" s="662">
        <f>Amnt_Deposited!C70*$F$10*(1-DOCF)*Food!E75</f>
        <v>0</v>
      </c>
      <c r="E74" s="663">
        <f>Amnt_Deposited!F70*$F$11*(1-DOCF)*Garden!E75</f>
        <v>0</v>
      </c>
      <c r="F74" s="663">
        <f>Amnt_Deposited!D70*$D$11*(1-DOCF)*Paper!E75</f>
        <v>0</v>
      </c>
      <c r="G74" s="663">
        <f>Amnt_Deposited!G70*$D$12*(1-DOCF)*Wood!E75</f>
        <v>0</v>
      </c>
      <c r="H74" s="663">
        <f>Amnt_Deposited!H70*$F$12*(1-DOCF)*Textiles!E75</f>
        <v>0</v>
      </c>
      <c r="I74" s="664">
        <f>Amnt_Deposited!E70*$H$10*(1-DOCF)*Nappies!E75</f>
        <v>0</v>
      </c>
      <c r="J74" s="665">
        <f>Amnt_Deposited!N70*$H$11*(1-DOCF)*Sludge!E75</f>
        <v>0</v>
      </c>
      <c r="K74" s="666">
        <f>Amnt_Deposited!P70*$H$12*(1-DOCF)*Industry!D75</f>
        <v>0</v>
      </c>
      <c r="L74" s="663">
        <f>Amnt_Deposited!P70*Parameters!$E$58*$D$11*(1-DOCF)*Industry!E75</f>
        <v>0</v>
      </c>
      <c r="M74" s="664">
        <f>Amnt_Deposited!P70*Parameters!$E$59*$D$12*(1-DOCF)*Industry!E75</f>
        <v>0</v>
      </c>
      <c r="N74" s="599">
        <f t="shared" si="3"/>
        <v>0</v>
      </c>
      <c r="O74" s="601">
        <f t="shared" si="1"/>
        <v>0</v>
      </c>
    </row>
    <row r="75" spans="2:15">
      <c r="B75" s="598">
        <f t="shared" si="2"/>
        <v>2007</v>
      </c>
      <c r="C75" s="661">
        <f>Amnt_Deposited!O71*$D$10*(1-DOCF)*MSW!E76</f>
        <v>0</v>
      </c>
      <c r="D75" s="662">
        <f>Amnt_Deposited!C71*$F$10*(1-DOCF)*Food!E76</f>
        <v>0</v>
      </c>
      <c r="E75" s="663">
        <f>Amnt_Deposited!F71*$F$11*(1-DOCF)*Garden!E76</f>
        <v>0</v>
      </c>
      <c r="F75" s="663">
        <f>Amnt_Deposited!D71*$D$11*(1-DOCF)*Paper!E76</f>
        <v>0</v>
      </c>
      <c r="G75" s="663">
        <f>Amnt_Deposited!G71*$D$12*(1-DOCF)*Wood!E76</f>
        <v>0</v>
      </c>
      <c r="H75" s="663">
        <f>Amnt_Deposited!H71*$F$12*(1-DOCF)*Textiles!E76</f>
        <v>0</v>
      </c>
      <c r="I75" s="664">
        <f>Amnt_Deposited!E71*$H$10*(1-DOCF)*Nappies!E76</f>
        <v>0</v>
      </c>
      <c r="J75" s="665">
        <f>Amnt_Deposited!N71*$H$11*(1-DOCF)*Sludge!E76</f>
        <v>0</v>
      </c>
      <c r="K75" s="666">
        <f>Amnt_Deposited!P71*$H$12*(1-DOCF)*Industry!D76</f>
        <v>0</v>
      </c>
      <c r="L75" s="663">
        <f>Amnt_Deposited!P71*Parameters!$E$58*$D$11*(1-DOCF)*Industry!E76</f>
        <v>0</v>
      </c>
      <c r="M75" s="664">
        <f>Amnt_Deposited!P71*Parameters!$E$59*$D$12*(1-DOCF)*Industry!E76</f>
        <v>0</v>
      </c>
      <c r="N75" s="599">
        <f t="shared" si="3"/>
        <v>0</v>
      </c>
      <c r="O75" s="601">
        <f t="shared" si="1"/>
        <v>0</v>
      </c>
    </row>
    <row r="76" spans="2:15">
      <c r="B76" s="598">
        <f t="shared" si="2"/>
        <v>2008</v>
      </c>
      <c r="C76" s="661">
        <f>Amnt_Deposited!O72*$D$10*(1-DOCF)*MSW!E77</f>
        <v>0</v>
      </c>
      <c r="D76" s="662">
        <f>Amnt_Deposited!C72*$F$10*(1-DOCF)*Food!E77</f>
        <v>0</v>
      </c>
      <c r="E76" s="663">
        <f>Amnt_Deposited!F72*$F$11*(1-DOCF)*Garden!E77</f>
        <v>0</v>
      </c>
      <c r="F76" s="663">
        <f>Amnt_Deposited!D72*$D$11*(1-DOCF)*Paper!E77</f>
        <v>0</v>
      </c>
      <c r="G76" s="663">
        <f>Amnt_Deposited!G72*$D$12*(1-DOCF)*Wood!E77</f>
        <v>0</v>
      </c>
      <c r="H76" s="663">
        <f>Amnt_Deposited!H72*$F$12*(1-DOCF)*Textiles!E77</f>
        <v>0</v>
      </c>
      <c r="I76" s="664">
        <f>Amnt_Deposited!E72*$H$10*(1-DOCF)*Nappies!E77</f>
        <v>0</v>
      </c>
      <c r="J76" s="665">
        <f>Amnt_Deposited!N72*$H$11*(1-DOCF)*Sludge!E77</f>
        <v>0</v>
      </c>
      <c r="K76" s="666">
        <f>Amnt_Deposited!P72*$H$12*(1-DOCF)*Industry!D77</f>
        <v>0</v>
      </c>
      <c r="L76" s="663">
        <f>Amnt_Deposited!P72*Parameters!$E$58*$D$11*(1-DOCF)*Industry!E77</f>
        <v>0</v>
      </c>
      <c r="M76" s="664">
        <f>Amnt_Deposited!P72*Parameters!$E$59*$D$12*(1-DOCF)*Industry!E77</f>
        <v>0</v>
      </c>
      <c r="N76" s="599">
        <f t="shared" si="3"/>
        <v>0</v>
      </c>
      <c r="O76" s="601">
        <f t="shared" si="1"/>
        <v>0</v>
      </c>
    </row>
    <row r="77" spans="2:15">
      <c r="B77" s="598">
        <f t="shared" si="2"/>
        <v>2009</v>
      </c>
      <c r="C77" s="661">
        <f>Amnt_Deposited!O73*$D$10*(1-DOCF)*MSW!E78</f>
        <v>0</v>
      </c>
      <c r="D77" s="662">
        <f>Amnt_Deposited!C73*$F$10*(1-DOCF)*Food!E78</f>
        <v>0</v>
      </c>
      <c r="E77" s="663">
        <f>Amnt_Deposited!F73*$F$11*(1-DOCF)*Garden!E78</f>
        <v>0</v>
      </c>
      <c r="F77" s="663">
        <f>Amnt_Deposited!D73*$D$11*(1-DOCF)*Paper!E78</f>
        <v>0</v>
      </c>
      <c r="G77" s="663">
        <f>Amnt_Deposited!G73*$D$12*(1-DOCF)*Wood!E78</f>
        <v>0</v>
      </c>
      <c r="H77" s="663">
        <f>Amnt_Deposited!H73*$F$12*(1-DOCF)*Textiles!E78</f>
        <v>0</v>
      </c>
      <c r="I77" s="664">
        <f>Amnt_Deposited!E73*$H$10*(1-DOCF)*Nappies!E78</f>
        <v>0</v>
      </c>
      <c r="J77" s="665">
        <f>Amnt_Deposited!N73*$H$11*(1-DOCF)*Sludge!E78</f>
        <v>0</v>
      </c>
      <c r="K77" s="666">
        <f>Amnt_Deposited!P73*$H$12*(1-DOCF)*Industry!D78</f>
        <v>0</v>
      </c>
      <c r="L77" s="663">
        <f>Amnt_Deposited!P73*Parameters!$E$58*$D$11*(1-DOCF)*Industry!E78</f>
        <v>0</v>
      </c>
      <c r="M77" s="664">
        <f>Amnt_Deposited!P73*Parameters!$E$59*$D$12*(1-DOCF)*Industry!E78</f>
        <v>0</v>
      </c>
      <c r="N77" s="599">
        <f t="shared" si="3"/>
        <v>0</v>
      </c>
      <c r="O77" s="601">
        <f t="shared" si="1"/>
        <v>0</v>
      </c>
    </row>
    <row r="78" spans="2:15">
      <c r="B78" s="598">
        <f t="shared" si="2"/>
        <v>2010</v>
      </c>
      <c r="C78" s="661">
        <f>Amnt_Deposited!O74*$D$10*(1-DOCF)*MSW!E79</f>
        <v>0</v>
      </c>
      <c r="D78" s="662">
        <f>Amnt_Deposited!C74*$F$10*(1-DOCF)*Food!E79</f>
        <v>0</v>
      </c>
      <c r="E78" s="663">
        <f>Amnt_Deposited!F74*$F$11*(1-DOCF)*Garden!E79</f>
        <v>0</v>
      </c>
      <c r="F78" s="663">
        <f>Amnt_Deposited!D74*$D$11*(1-DOCF)*Paper!E79</f>
        <v>0</v>
      </c>
      <c r="G78" s="663">
        <f>Amnt_Deposited!G74*$D$12*(1-DOCF)*Wood!E79</f>
        <v>0</v>
      </c>
      <c r="H78" s="663">
        <f>Amnt_Deposited!H74*$F$12*(1-DOCF)*Textiles!E79</f>
        <v>0</v>
      </c>
      <c r="I78" s="664">
        <f>Amnt_Deposited!E74*$H$10*(1-DOCF)*Nappies!E79</f>
        <v>0</v>
      </c>
      <c r="J78" s="665">
        <f>Amnt_Deposited!N74*$H$11*(1-DOCF)*Sludge!E79</f>
        <v>0</v>
      </c>
      <c r="K78" s="666">
        <f>Amnt_Deposited!P74*$H$12*(1-DOCF)*Industry!D79</f>
        <v>0</v>
      </c>
      <c r="L78" s="663">
        <f>Amnt_Deposited!P74*Parameters!$E$58*$D$11*(1-DOCF)*Industry!E79</f>
        <v>0</v>
      </c>
      <c r="M78" s="664">
        <f>Amnt_Deposited!P74*Parameters!$E$59*$D$12*(1-DOCF)*Industry!E79</f>
        <v>0</v>
      </c>
      <c r="N78" s="599">
        <f t="shared" si="3"/>
        <v>0</v>
      </c>
      <c r="O78" s="601">
        <f t="shared" si="1"/>
        <v>0</v>
      </c>
    </row>
    <row r="79" spans="2:15">
      <c r="B79" s="598">
        <f t="shared" si="2"/>
        <v>2011</v>
      </c>
      <c r="C79" s="661">
        <f>Amnt_Deposited!O75*$D$10*(1-DOCF)*MSW!E80</f>
        <v>0</v>
      </c>
      <c r="D79" s="662">
        <f>Amnt_Deposited!C75*$F$10*(1-DOCF)*Food!E80</f>
        <v>0</v>
      </c>
      <c r="E79" s="663">
        <f>Amnt_Deposited!F75*$F$11*(1-DOCF)*Garden!E80</f>
        <v>0</v>
      </c>
      <c r="F79" s="663">
        <f>Amnt_Deposited!D75*$D$11*(1-DOCF)*Paper!E80</f>
        <v>0</v>
      </c>
      <c r="G79" s="663">
        <f>Amnt_Deposited!G75*$D$12*(1-DOCF)*Wood!E80</f>
        <v>0</v>
      </c>
      <c r="H79" s="663">
        <f>Amnt_Deposited!H75*$F$12*(1-DOCF)*Textiles!E80</f>
        <v>0</v>
      </c>
      <c r="I79" s="664">
        <f>Amnt_Deposited!E75*$H$10*(1-DOCF)*Nappies!E80</f>
        <v>0</v>
      </c>
      <c r="J79" s="665">
        <f>Amnt_Deposited!N75*$H$11*(1-DOCF)*Sludge!E80</f>
        <v>0</v>
      </c>
      <c r="K79" s="666">
        <f>Amnt_Deposited!P75*$H$12*(1-DOCF)*Industry!D80</f>
        <v>0</v>
      </c>
      <c r="L79" s="663">
        <f>Amnt_Deposited!P75*Parameters!$E$58*$D$11*(1-DOCF)*Industry!E80</f>
        <v>0</v>
      </c>
      <c r="M79" s="664">
        <f>Amnt_Deposited!P75*Parameters!$E$59*$D$12*(1-DOCF)*Industry!E80</f>
        <v>0</v>
      </c>
      <c r="N79" s="599">
        <f t="shared" si="3"/>
        <v>0</v>
      </c>
      <c r="O79" s="601">
        <f t="shared" si="1"/>
        <v>0</v>
      </c>
    </row>
    <row r="80" spans="2:15">
      <c r="B80" s="598">
        <f t="shared" si="2"/>
        <v>2012</v>
      </c>
      <c r="C80" s="661">
        <f>Amnt_Deposited!O76*$D$10*(1-DOCF)*MSW!E81</f>
        <v>0</v>
      </c>
      <c r="D80" s="662">
        <f>Amnt_Deposited!C76*$F$10*(1-DOCF)*Food!E81</f>
        <v>0</v>
      </c>
      <c r="E80" s="663">
        <f>Amnt_Deposited!F76*$F$11*(1-DOCF)*Garden!E81</f>
        <v>0</v>
      </c>
      <c r="F80" s="663">
        <f>Amnt_Deposited!D76*$D$11*(1-DOCF)*Paper!E81</f>
        <v>0</v>
      </c>
      <c r="G80" s="663">
        <f>Amnt_Deposited!G76*$D$12*(1-DOCF)*Wood!E81</f>
        <v>0</v>
      </c>
      <c r="H80" s="663">
        <f>Amnt_Deposited!H76*$F$12*(1-DOCF)*Textiles!E81</f>
        <v>0</v>
      </c>
      <c r="I80" s="664">
        <f>Amnt_Deposited!E76*$H$10*(1-DOCF)*Nappies!E81</f>
        <v>0</v>
      </c>
      <c r="J80" s="665">
        <f>Amnt_Deposited!N76*$H$11*(1-DOCF)*Sludge!E81</f>
        <v>0</v>
      </c>
      <c r="K80" s="666">
        <f>Amnt_Deposited!P76*$H$12*(1-DOCF)*Industry!D81</f>
        <v>0</v>
      </c>
      <c r="L80" s="663">
        <f>Amnt_Deposited!P76*Parameters!$E$58*$D$11*(1-DOCF)*Industry!E81</f>
        <v>0</v>
      </c>
      <c r="M80" s="664">
        <f>Amnt_Deposited!P76*Parameters!$E$59*$D$12*(1-DOCF)*Industry!E81</f>
        <v>0</v>
      </c>
      <c r="N80" s="599">
        <f t="shared" si="3"/>
        <v>0</v>
      </c>
      <c r="O80" s="601">
        <f t="shared" si="1"/>
        <v>0</v>
      </c>
    </row>
    <row r="81" spans="2:15">
      <c r="B81" s="598">
        <f t="shared" si="2"/>
        <v>2013</v>
      </c>
      <c r="C81" s="661">
        <f>Amnt_Deposited!O77*$D$10*(1-DOCF)*MSW!E82</f>
        <v>0</v>
      </c>
      <c r="D81" s="662">
        <f>Amnt_Deposited!C77*$F$10*(1-DOCF)*Food!E82</f>
        <v>0</v>
      </c>
      <c r="E81" s="663">
        <f>Amnt_Deposited!F77*$F$11*(1-DOCF)*Garden!E82</f>
        <v>0</v>
      </c>
      <c r="F81" s="663">
        <f>Amnt_Deposited!D77*$D$11*(1-DOCF)*Paper!E82</f>
        <v>0</v>
      </c>
      <c r="G81" s="663">
        <f>Amnt_Deposited!G77*$D$12*(1-DOCF)*Wood!E82</f>
        <v>0</v>
      </c>
      <c r="H81" s="663">
        <f>Amnt_Deposited!H77*$F$12*(1-DOCF)*Textiles!E82</f>
        <v>0</v>
      </c>
      <c r="I81" s="664">
        <f>Amnt_Deposited!E77*$H$10*(1-DOCF)*Nappies!E82</f>
        <v>0</v>
      </c>
      <c r="J81" s="665">
        <f>Amnt_Deposited!N77*$H$11*(1-DOCF)*Sludge!E82</f>
        <v>0</v>
      </c>
      <c r="K81" s="666">
        <f>Amnt_Deposited!P77*$H$12*(1-DOCF)*Industry!D82</f>
        <v>0</v>
      </c>
      <c r="L81" s="663">
        <f>Amnt_Deposited!P77*Parameters!$E$58*$D$11*(1-DOCF)*Industry!E82</f>
        <v>0</v>
      </c>
      <c r="M81" s="664">
        <f>Amnt_Deposited!P77*Parameters!$E$59*$D$12*(1-DOCF)*Industry!E82</f>
        <v>0</v>
      </c>
      <c r="N81" s="599">
        <f t="shared" si="3"/>
        <v>0</v>
      </c>
      <c r="O81" s="601">
        <f t="shared" si="1"/>
        <v>0</v>
      </c>
    </row>
    <row r="82" spans="2:15">
      <c r="B82" s="598">
        <f t="shared" si="2"/>
        <v>2014</v>
      </c>
      <c r="C82" s="661">
        <f>Amnt_Deposited!O78*$D$10*(1-DOCF)*MSW!E83</f>
        <v>0</v>
      </c>
      <c r="D82" s="662">
        <f>Amnt_Deposited!C78*$F$10*(1-DOCF)*Food!E83</f>
        <v>0</v>
      </c>
      <c r="E82" s="663">
        <f>Amnt_Deposited!F78*$F$11*(1-DOCF)*Garden!E83</f>
        <v>0</v>
      </c>
      <c r="F82" s="663">
        <f>Amnt_Deposited!D78*$D$11*(1-DOCF)*Paper!E83</f>
        <v>0</v>
      </c>
      <c r="G82" s="663">
        <f>Amnt_Deposited!G78*$D$12*(1-DOCF)*Wood!E83</f>
        <v>0</v>
      </c>
      <c r="H82" s="663">
        <f>Amnt_Deposited!H78*$F$12*(1-DOCF)*Textiles!E83</f>
        <v>0</v>
      </c>
      <c r="I82" s="664">
        <f>Amnt_Deposited!E78*$H$10*(1-DOCF)*Nappies!E83</f>
        <v>0</v>
      </c>
      <c r="J82" s="665">
        <f>Amnt_Deposited!N78*$H$11*(1-DOCF)*Sludge!E83</f>
        <v>0</v>
      </c>
      <c r="K82" s="666">
        <f>Amnt_Deposited!P78*$H$12*(1-DOCF)*Industry!D83</f>
        <v>0</v>
      </c>
      <c r="L82" s="663">
        <f>Amnt_Deposited!P78*Parameters!$E$58*$D$11*(1-DOCF)*Industry!E83</f>
        <v>0</v>
      </c>
      <c r="M82" s="664">
        <f>Amnt_Deposited!P78*Parameters!$E$59*$D$12*(1-DOCF)*Industry!E83</f>
        <v>0</v>
      </c>
      <c r="N82" s="599">
        <f t="shared" ref="N82:N98" si="4">IF(Select2=2,C82+J82+K82, D82+E82+F82+G82+H82+I82+J82+K82)</f>
        <v>0</v>
      </c>
      <c r="O82" s="601">
        <f t="shared" ref="O82:O98" si="5">O81+N82</f>
        <v>0</v>
      </c>
    </row>
    <row r="83" spans="2:15">
      <c r="B83" s="598">
        <f t="shared" si="2"/>
        <v>2015</v>
      </c>
      <c r="C83" s="661">
        <f>Amnt_Deposited!O79*$D$10*(1-DOCF)*MSW!E84</f>
        <v>0</v>
      </c>
      <c r="D83" s="662">
        <f>Amnt_Deposited!C79*$F$10*(1-DOCF)*Food!E84</f>
        <v>0</v>
      </c>
      <c r="E83" s="663">
        <f>Amnt_Deposited!F79*$F$11*(1-DOCF)*Garden!E84</f>
        <v>0</v>
      </c>
      <c r="F83" s="663">
        <f>Amnt_Deposited!D79*$D$11*(1-DOCF)*Paper!E84</f>
        <v>0</v>
      </c>
      <c r="G83" s="663">
        <f>Amnt_Deposited!G79*$D$12*(1-DOCF)*Wood!E84</f>
        <v>0</v>
      </c>
      <c r="H83" s="663">
        <f>Amnt_Deposited!H79*$F$12*(1-DOCF)*Textiles!E84</f>
        <v>0</v>
      </c>
      <c r="I83" s="664">
        <f>Amnt_Deposited!E79*$H$10*(1-DOCF)*Nappies!E84</f>
        <v>0</v>
      </c>
      <c r="J83" s="665">
        <f>Amnt_Deposited!N79*$H$11*(1-DOCF)*Sludge!E84</f>
        <v>0</v>
      </c>
      <c r="K83" s="666">
        <f>Amnt_Deposited!P79*$H$12*(1-DOCF)*Industry!D84</f>
        <v>0</v>
      </c>
      <c r="L83" s="663">
        <f>Amnt_Deposited!P79*Parameters!$E$58*$D$11*(1-DOCF)*Industry!E84</f>
        <v>0</v>
      </c>
      <c r="M83" s="664">
        <f>Amnt_Deposited!P79*Parameters!$E$59*$D$12*(1-DOCF)*Industry!E84</f>
        <v>0</v>
      </c>
      <c r="N83" s="599">
        <f t="shared" si="4"/>
        <v>0</v>
      </c>
      <c r="O83" s="601">
        <f t="shared" si="5"/>
        <v>0</v>
      </c>
    </row>
    <row r="84" spans="2:15">
      <c r="B84" s="598">
        <f t="shared" ref="B84:B98" si="6">B83+1</f>
        <v>2016</v>
      </c>
      <c r="C84" s="661">
        <f>Amnt_Deposited!O80*$D$10*(1-DOCF)*MSW!E85</f>
        <v>0</v>
      </c>
      <c r="D84" s="662">
        <f>Amnt_Deposited!C80*$F$10*(1-DOCF)*Food!E85</f>
        <v>0</v>
      </c>
      <c r="E84" s="663">
        <f>Amnt_Deposited!F80*$F$11*(1-DOCF)*Garden!E85</f>
        <v>0</v>
      </c>
      <c r="F84" s="663">
        <f>Amnt_Deposited!D80*$D$11*(1-DOCF)*Paper!E85</f>
        <v>0</v>
      </c>
      <c r="G84" s="663">
        <f>Amnt_Deposited!G80*$D$12*(1-DOCF)*Wood!E85</f>
        <v>0</v>
      </c>
      <c r="H84" s="663">
        <f>Amnt_Deposited!H80*$F$12*(1-DOCF)*Textiles!E85</f>
        <v>0</v>
      </c>
      <c r="I84" s="664">
        <f>Amnt_Deposited!E80*$H$10*(1-DOCF)*Nappies!E85</f>
        <v>0</v>
      </c>
      <c r="J84" s="665">
        <f>Amnt_Deposited!N80*$H$11*(1-DOCF)*Sludge!E85</f>
        <v>0</v>
      </c>
      <c r="K84" s="666">
        <f>Amnt_Deposited!P80*$H$12*(1-DOCF)*Industry!D85</f>
        <v>0</v>
      </c>
      <c r="L84" s="663">
        <f>Amnt_Deposited!P80*Parameters!$E$58*$D$11*(1-DOCF)*Industry!E85</f>
        <v>0</v>
      </c>
      <c r="M84" s="664">
        <f>Amnt_Deposited!P80*Parameters!$E$59*$D$12*(1-DOCF)*Industry!E85</f>
        <v>0</v>
      </c>
      <c r="N84" s="599">
        <f t="shared" si="4"/>
        <v>0</v>
      </c>
      <c r="O84" s="601">
        <f t="shared" si="5"/>
        <v>0</v>
      </c>
    </row>
    <row r="85" spans="2:15">
      <c r="B85" s="598">
        <f t="shared" si="6"/>
        <v>2017</v>
      </c>
      <c r="C85" s="661">
        <f>Amnt_Deposited!O81*$D$10*(1-DOCF)*MSW!E86</f>
        <v>0</v>
      </c>
      <c r="D85" s="662">
        <f>Amnt_Deposited!C81*$F$10*(1-DOCF)*Food!E86</f>
        <v>0</v>
      </c>
      <c r="E85" s="663">
        <f>Amnt_Deposited!F81*$F$11*(1-DOCF)*Garden!E86</f>
        <v>0</v>
      </c>
      <c r="F85" s="663">
        <f>Amnt_Deposited!D81*$D$11*(1-DOCF)*Paper!E86</f>
        <v>0</v>
      </c>
      <c r="G85" s="663">
        <f>Amnt_Deposited!G81*$D$12*(1-DOCF)*Wood!E86</f>
        <v>0</v>
      </c>
      <c r="H85" s="663">
        <f>Amnt_Deposited!H81*$F$12*(1-DOCF)*Textiles!E86</f>
        <v>0</v>
      </c>
      <c r="I85" s="664">
        <f>Amnt_Deposited!E81*$H$10*(1-DOCF)*Nappies!E86</f>
        <v>0</v>
      </c>
      <c r="J85" s="665">
        <f>Amnt_Deposited!N81*$H$11*(1-DOCF)*Sludge!E86</f>
        <v>0</v>
      </c>
      <c r="K85" s="666">
        <f>Amnt_Deposited!P81*$H$12*(1-DOCF)*Industry!D86</f>
        <v>0</v>
      </c>
      <c r="L85" s="663">
        <f>Amnt_Deposited!P81*Parameters!$E$58*$D$11*(1-DOCF)*Industry!E86</f>
        <v>0</v>
      </c>
      <c r="M85" s="664">
        <f>Amnt_Deposited!P81*Parameters!$E$59*$D$12*(1-DOCF)*Industry!E86</f>
        <v>0</v>
      </c>
      <c r="N85" s="599">
        <f t="shared" si="4"/>
        <v>0</v>
      </c>
      <c r="O85" s="601">
        <f t="shared" si="5"/>
        <v>0</v>
      </c>
    </row>
    <row r="86" spans="2:15">
      <c r="B86" s="598">
        <f t="shared" si="6"/>
        <v>2018</v>
      </c>
      <c r="C86" s="661">
        <f>Amnt_Deposited!O82*$D$10*(1-DOCF)*MSW!E87</f>
        <v>0</v>
      </c>
      <c r="D86" s="662">
        <f>Amnt_Deposited!C82*$F$10*(1-DOCF)*Food!E87</f>
        <v>0</v>
      </c>
      <c r="E86" s="663">
        <f>Amnt_Deposited!F82*$F$11*(1-DOCF)*Garden!E87</f>
        <v>0</v>
      </c>
      <c r="F86" s="663">
        <f>Amnt_Deposited!D82*$D$11*(1-DOCF)*Paper!E87</f>
        <v>0</v>
      </c>
      <c r="G86" s="663">
        <f>Amnt_Deposited!G82*$D$12*(1-DOCF)*Wood!E87</f>
        <v>0</v>
      </c>
      <c r="H86" s="663">
        <f>Amnt_Deposited!H82*$F$12*(1-DOCF)*Textiles!E87</f>
        <v>0</v>
      </c>
      <c r="I86" s="664">
        <f>Amnt_Deposited!E82*$H$10*(1-DOCF)*Nappies!E87</f>
        <v>0</v>
      </c>
      <c r="J86" s="665">
        <f>Amnt_Deposited!N82*$H$11*(1-DOCF)*Sludge!E87</f>
        <v>0</v>
      </c>
      <c r="K86" s="666">
        <f>Amnt_Deposited!P82*$H$12*(1-DOCF)*Industry!D87</f>
        <v>0</v>
      </c>
      <c r="L86" s="663">
        <f>Amnt_Deposited!P82*Parameters!$E$58*$D$11*(1-DOCF)*Industry!E87</f>
        <v>0</v>
      </c>
      <c r="M86" s="664">
        <f>Amnt_Deposited!P82*Parameters!$E$59*$D$12*(1-DOCF)*Industry!E87</f>
        <v>0</v>
      </c>
      <c r="N86" s="599">
        <f t="shared" si="4"/>
        <v>0</v>
      </c>
      <c r="O86" s="601">
        <f t="shared" si="5"/>
        <v>0</v>
      </c>
    </row>
    <row r="87" spans="2:15">
      <c r="B87" s="598">
        <f t="shared" si="6"/>
        <v>2019</v>
      </c>
      <c r="C87" s="661">
        <f>Amnt_Deposited!O83*$D$10*(1-DOCF)*MSW!E88</f>
        <v>0</v>
      </c>
      <c r="D87" s="662">
        <f>Amnt_Deposited!C83*$F$10*(1-DOCF)*Food!E88</f>
        <v>0</v>
      </c>
      <c r="E87" s="663">
        <f>Amnt_Deposited!F83*$F$11*(1-DOCF)*Garden!E88</f>
        <v>0</v>
      </c>
      <c r="F87" s="663">
        <f>Amnt_Deposited!D83*$D$11*(1-DOCF)*Paper!E88</f>
        <v>0</v>
      </c>
      <c r="G87" s="663">
        <f>Amnt_Deposited!G83*$D$12*(1-DOCF)*Wood!E88</f>
        <v>0</v>
      </c>
      <c r="H87" s="663">
        <f>Amnt_Deposited!H83*$F$12*(1-DOCF)*Textiles!E88</f>
        <v>0</v>
      </c>
      <c r="I87" s="664">
        <f>Amnt_Deposited!E83*$H$10*(1-DOCF)*Nappies!E88</f>
        <v>0</v>
      </c>
      <c r="J87" s="665">
        <f>Amnt_Deposited!N83*$H$11*(1-DOCF)*Sludge!E88</f>
        <v>0</v>
      </c>
      <c r="K87" s="666">
        <f>Amnt_Deposited!P83*$H$12*(1-DOCF)*Industry!D88</f>
        <v>0</v>
      </c>
      <c r="L87" s="663">
        <f>Amnt_Deposited!P83*Parameters!$E$58*$D$11*(1-DOCF)*Industry!E88</f>
        <v>0</v>
      </c>
      <c r="M87" s="664">
        <f>Amnt_Deposited!P83*Parameters!$E$59*$D$12*(1-DOCF)*Industry!E88</f>
        <v>0</v>
      </c>
      <c r="N87" s="599">
        <f t="shared" si="4"/>
        <v>0</v>
      </c>
      <c r="O87" s="601">
        <f t="shared" si="5"/>
        <v>0</v>
      </c>
    </row>
    <row r="88" spans="2:15">
      <c r="B88" s="598">
        <f t="shared" si="6"/>
        <v>2020</v>
      </c>
      <c r="C88" s="661">
        <f>Amnt_Deposited!O84*$D$10*(1-DOCF)*MSW!E89</f>
        <v>0</v>
      </c>
      <c r="D88" s="662">
        <f>Amnt_Deposited!C84*$F$10*(1-DOCF)*Food!E89</f>
        <v>0</v>
      </c>
      <c r="E88" s="663">
        <f>Amnt_Deposited!F84*$F$11*(1-DOCF)*Garden!E89</f>
        <v>0</v>
      </c>
      <c r="F88" s="663">
        <f>Amnt_Deposited!D84*$D$11*(1-DOCF)*Paper!E89</f>
        <v>0</v>
      </c>
      <c r="G88" s="663">
        <f>Amnt_Deposited!G84*$D$12*(1-DOCF)*Wood!E89</f>
        <v>0</v>
      </c>
      <c r="H88" s="663">
        <f>Amnt_Deposited!H84*$F$12*(1-DOCF)*Textiles!E89</f>
        <v>0</v>
      </c>
      <c r="I88" s="664">
        <f>Amnt_Deposited!E84*$H$10*(1-DOCF)*Nappies!E89</f>
        <v>0</v>
      </c>
      <c r="J88" s="665">
        <f>Amnt_Deposited!N84*$H$11*(1-DOCF)*Sludge!E89</f>
        <v>0</v>
      </c>
      <c r="K88" s="666">
        <f>Amnt_Deposited!P84*$H$12*(1-DOCF)*Industry!D89</f>
        <v>0</v>
      </c>
      <c r="L88" s="663">
        <f>Amnt_Deposited!P84*Parameters!$E$58*$D$11*(1-DOCF)*Industry!E89</f>
        <v>0</v>
      </c>
      <c r="M88" s="664">
        <f>Amnt_Deposited!P84*Parameters!$E$59*$D$12*(1-DOCF)*Industry!E89</f>
        <v>0</v>
      </c>
      <c r="N88" s="599">
        <f t="shared" si="4"/>
        <v>0</v>
      </c>
      <c r="O88" s="601">
        <f t="shared" si="5"/>
        <v>0</v>
      </c>
    </row>
    <row r="89" spans="2:15">
      <c r="B89" s="598">
        <f t="shared" si="6"/>
        <v>2021</v>
      </c>
      <c r="C89" s="661">
        <f>Amnt_Deposited!O85*$D$10*(1-DOCF)*MSW!E90</f>
        <v>0</v>
      </c>
      <c r="D89" s="662">
        <f>Amnt_Deposited!C85*$F$10*(1-DOCF)*Food!E90</f>
        <v>0</v>
      </c>
      <c r="E89" s="663">
        <f>Amnt_Deposited!F85*$F$11*(1-DOCF)*Garden!E90</f>
        <v>0</v>
      </c>
      <c r="F89" s="663">
        <f>Amnt_Deposited!D85*$D$11*(1-DOCF)*Paper!E90</f>
        <v>0</v>
      </c>
      <c r="G89" s="663">
        <f>Amnt_Deposited!G85*$D$12*(1-DOCF)*Wood!E90</f>
        <v>0</v>
      </c>
      <c r="H89" s="663">
        <f>Amnt_Deposited!H85*$F$12*(1-DOCF)*Textiles!E90</f>
        <v>0</v>
      </c>
      <c r="I89" s="664">
        <f>Amnt_Deposited!E85*$H$10*(1-DOCF)*Nappies!E90</f>
        <v>0</v>
      </c>
      <c r="J89" s="665">
        <f>Amnt_Deposited!N85*$H$11*(1-DOCF)*Sludge!E90</f>
        <v>0</v>
      </c>
      <c r="K89" s="666">
        <f>Amnt_Deposited!P85*$H$12*(1-DOCF)*Industry!D90</f>
        <v>0</v>
      </c>
      <c r="L89" s="663">
        <f>Amnt_Deposited!P85*Parameters!$E$58*$D$11*(1-DOCF)*Industry!E90</f>
        <v>0</v>
      </c>
      <c r="M89" s="664">
        <f>Amnt_Deposited!P85*Parameters!$E$59*$D$12*(1-DOCF)*Industry!E90</f>
        <v>0</v>
      </c>
      <c r="N89" s="599">
        <f t="shared" si="4"/>
        <v>0</v>
      </c>
      <c r="O89" s="601">
        <f t="shared" si="5"/>
        <v>0</v>
      </c>
    </row>
    <row r="90" spans="2:15">
      <c r="B90" s="598">
        <f t="shared" si="6"/>
        <v>2022</v>
      </c>
      <c r="C90" s="661">
        <f>Amnt_Deposited!O86*$D$10*(1-DOCF)*MSW!E91</f>
        <v>0</v>
      </c>
      <c r="D90" s="662">
        <f>Amnt_Deposited!C86*$F$10*(1-DOCF)*Food!E91</f>
        <v>0</v>
      </c>
      <c r="E90" s="663">
        <f>Amnt_Deposited!F86*$F$11*(1-DOCF)*Garden!E91</f>
        <v>0</v>
      </c>
      <c r="F90" s="663">
        <f>Amnt_Deposited!D86*$D$11*(1-DOCF)*Paper!E91</f>
        <v>0</v>
      </c>
      <c r="G90" s="663">
        <f>Amnt_Deposited!G86*$D$12*(1-DOCF)*Wood!E91</f>
        <v>0</v>
      </c>
      <c r="H90" s="663">
        <f>Amnt_Deposited!H86*$F$12*(1-DOCF)*Textiles!E91</f>
        <v>0</v>
      </c>
      <c r="I90" s="664">
        <f>Amnt_Deposited!E86*$H$10*(1-DOCF)*Nappies!E91</f>
        <v>0</v>
      </c>
      <c r="J90" s="665">
        <f>Amnt_Deposited!N86*$H$11*(1-DOCF)*Sludge!E91</f>
        <v>0</v>
      </c>
      <c r="K90" s="666">
        <f>Amnt_Deposited!P86*$H$12*(1-DOCF)*Industry!D91</f>
        <v>0</v>
      </c>
      <c r="L90" s="663">
        <f>Amnt_Deposited!P86*Parameters!$E$58*$D$11*(1-DOCF)*Industry!E91</f>
        <v>0</v>
      </c>
      <c r="M90" s="664">
        <f>Amnt_Deposited!P86*Parameters!$E$59*$D$12*(1-DOCF)*Industry!E91</f>
        <v>0</v>
      </c>
      <c r="N90" s="599">
        <f t="shared" si="4"/>
        <v>0</v>
      </c>
      <c r="O90" s="601">
        <f t="shared" si="5"/>
        <v>0</v>
      </c>
    </row>
    <row r="91" spans="2:15">
      <c r="B91" s="598">
        <f t="shared" si="6"/>
        <v>2023</v>
      </c>
      <c r="C91" s="661">
        <f>Amnt_Deposited!O87*$D$10*(1-DOCF)*MSW!E92</f>
        <v>0</v>
      </c>
      <c r="D91" s="662">
        <f>Amnt_Deposited!C87*$F$10*(1-DOCF)*Food!E92</f>
        <v>0</v>
      </c>
      <c r="E91" s="663">
        <f>Amnt_Deposited!F87*$F$11*(1-DOCF)*Garden!E92</f>
        <v>0</v>
      </c>
      <c r="F91" s="663">
        <f>Amnt_Deposited!D87*$D$11*(1-DOCF)*Paper!E92</f>
        <v>0</v>
      </c>
      <c r="G91" s="663">
        <f>Amnt_Deposited!G87*$D$12*(1-DOCF)*Wood!E92</f>
        <v>0</v>
      </c>
      <c r="H91" s="663">
        <f>Amnt_Deposited!H87*$F$12*(1-DOCF)*Textiles!E92</f>
        <v>0</v>
      </c>
      <c r="I91" s="664">
        <f>Amnt_Deposited!E87*$H$10*(1-DOCF)*Nappies!E92</f>
        <v>0</v>
      </c>
      <c r="J91" s="665">
        <f>Amnt_Deposited!N87*$H$11*(1-DOCF)*Sludge!E92</f>
        <v>0</v>
      </c>
      <c r="K91" s="666">
        <f>Amnt_Deposited!P87*$H$12*(1-DOCF)*Industry!D92</f>
        <v>0</v>
      </c>
      <c r="L91" s="663">
        <f>Amnt_Deposited!P87*Parameters!$E$58*$D$11*(1-DOCF)*Industry!E92</f>
        <v>0</v>
      </c>
      <c r="M91" s="664">
        <f>Amnt_Deposited!P87*Parameters!$E$59*$D$12*(1-DOCF)*Industry!E92</f>
        <v>0</v>
      </c>
      <c r="N91" s="599">
        <f t="shared" si="4"/>
        <v>0</v>
      </c>
      <c r="O91" s="601">
        <f t="shared" si="5"/>
        <v>0</v>
      </c>
    </row>
    <row r="92" spans="2:15">
      <c r="B92" s="598">
        <f t="shared" si="6"/>
        <v>2024</v>
      </c>
      <c r="C92" s="661">
        <f>Amnt_Deposited!O88*$D$10*(1-DOCF)*MSW!E93</f>
        <v>0</v>
      </c>
      <c r="D92" s="662">
        <f>Amnt_Deposited!C88*$F$10*(1-DOCF)*Food!E93</f>
        <v>0</v>
      </c>
      <c r="E92" s="663">
        <f>Amnt_Deposited!F88*$F$11*(1-DOCF)*Garden!E93</f>
        <v>0</v>
      </c>
      <c r="F92" s="663">
        <f>Amnt_Deposited!D88*$D$11*(1-DOCF)*Paper!E93</f>
        <v>0</v>
      </c>
      <c r="G92" s="663">
        <f>Amnt_Deposited!G88*$D$12*(1-DOCF)*Wood!E93</f>
        <v>0</v>
      </c>
      <c r="H92" s="663">
        <f>Amnt_Deposited!H88*$F$12*(1-DOCF)*Textiles!E93</f>
        <v>0</v>
      </c>
      <c r="I92" s="664">
        <f>Amnt_Deposited!E88*$H$10*(1-DOCF)*Nappies!E93</f>
        <v>0</v>
      </c>
      <c r="J92" s="665">
        <f>Amnt_Deposited!N88*$H$11*(1-DOCF)*Sludge!E93</f>
        <v>0</v>
      </c>
      <c r="K92" s="666">
        <f>Amnt_Deposited!P88*$H$12*(1-DOCF)*Industry!D93</f>
        <v>0</v>
      </c>
      <c r="L92" s="663">
        <f>Amnt_Deposited!P88*Parameters!$E$58*$D$11*(1-DOCF)*Industry!E93</f>
        <v>0</v>
      </c>
      <c r="M92" s="664">
        <f>Amnt_Deposited!P88*Parameters!$E$59*$D$12*(1-DOCF)*Industry!E93</f>
        <v>0</v>
      </c>
      <c r="N92" s="599">
        <f t="shared" si="4"/>
        <v>0</v>
      </c>
      <c r="O92" s="601">
        <f t="shared" si="5"/>
        <v>0</v>
      </c>
    </row>
    <row r="93" spans="2:15">
      <c r="B93" s="598">
        <f t="shared" si="6"/>
        <v>2025</v>
      </c>
      <c r="C93" s="661">
        <f>Amnt_Deposited!O89*$D$10*(1-DOCF)*MSW!E94</f>
        <v>0</v>
      </c>
      <c r="D93" s="662">
        <f>Amnt_Deposited!C89*$F$10*(1-DOCF)*Food!E94</f>
        <v>0</v>
      </c>
      <c r="E93" s="663">
        <f>Amnt_Deposited!F89*$F$11*(1-DOCF)*Garden!E94</f>
        <v>0</v>
      </c>
      <c r="F93" s="663">
        <f>Amnt_Deposited!D89*$D$11*(1-DOCF)*Paper!E94</f>
        <v>0</v>
      </c>
      <c r="G93" s="663">
        <f>Amnt_Deposited!G89*$D$12*(1-DOCF)*Wood!E94</f>
        <v>0</v>
      </c>
      <c r="H93" s="663">
        <f>Amnt_Deposited!H89*$F$12*(1-DOCF)*Textiles!E94</f>
        <v>0</v>
      </c>
      <c r="I93" s="664">
        <f>Amnt_Deposited!E89*$H$10*(1-DOCF)*Nappies!E94</f>
        <v>0</v>
      </c>
      <c r="J93" s="665">
        <f>Amnt_Deposited!N89*$H$11*(1-DOCF)*Sludge!E94</f>
        <v>0</v>
      </c>
      <c r="K93" s="666">
        <f>Amnt_Deposited!P89*$H$12*(1-DOCF)*Industry!D94</f>
        <v>0</v>
      </c>
      <c r="L93" s="663">
        <f>Amnt_Deposited!P89*Parameters!$E$58*$D$11*(1-DOCF)*Industry!E94</f>
        <v>0</v>
      </c>
      <c r="M93" s="664">
        <f>Amnt_Deposited!P89*Parameters!$E$59*$D$12*(1-DOCF)*Industry!E94</f>
        <v>0</v>
      </c>
      <c r="N93" s="599">
        <f t="shared" si="4"/>
        <v>0</v>
      </c>
      <c r="O93" s="601">
        <f t="shared" si="5"/>
        <v>0</v>
      </c>
    </row>
    <row r="94" spans="2:15">
      <c r="B94" s="598">
        <f t="shared" si="6"/>
        <v>2026</v>
      </c>
      <c r="C94" s="661">
        <f>Amnt_Deposited!O90*$D$10*(1-DOCF)*MSW!E95</f>
        <v>0</v>
      </c>
      <c r="D94" s="662">
        <f>Amnt_Deposited!C90*$F$10*(1-DOCF)*Food!E95</f>
        <v>0</v>
      </c>
      <c r="E94" s="663">
        <f>Amnt_Deposited!F90*$F$11*(1-DOCF)*Garden!E95</f>
        <v>0</v>
      </c>
      <c r="F94" s="663">
        <f>Amnt_Deposited!D90*$D$11*(1-DOCF)*Paper!E95</f>
        <v>0</v>
      </c>
      <c r="G94" s="663">
        <f>Amnt_Deposited!G90*$D$12*(1-DOCF)*Wood!E95</f>
        <v>0</v>
      </c>
      <c r="H94" s="663">
        <f>Amnt_Deposited!H90*$F$12*(1-DOCF)*Textiles!E95</f>
        <v>0</v>
      </c>
      <c r="I94" s="664">
        <f>Amnt_Deposited!E90*$H$10*(1-DOCF)*Nappies!E95</f>
        <v>0</v>
      </c>
      <c r="J94" s="665">
        <f>Amnt_Deposited!N90*$H$11*(1-DOCF)*Sludge!E95</f>
        <v>0</v>
      </c>
      <c r="K94" s="666">
        <f>Amnt_Deposited!P90*$H$12*(1-DOCF)*Industry!D95</f>
        <v>0</v>
      </c>
      <c r="L94" s="663">
        <f>Amnt_Deposited!P90*Parameters!$E$58*$D$11*(1-DOCF)*Industry!E95</f>
        <v>0</v>
      </c>
      <c r="M94" s="664">
        <f>Amnt_Deposited!P90*Parameters!$E$59*$D$12*(1-DOCF)*Industry!E95</f>
        <v>0</v>
      </c>
      <c r="N94" s="599">
        <f t="shared" si="4"/>
        <v>0</v>
      </c>
      <c r="O94" s="601">
        <f t="shared" si="5"/>
        <v>0</v>
      </c>
    </row>
    <row r="95" spans="2:15">
      <c r="B95" s="598">
        <f t="shared" si="6"/>
        <v>2027</v>
      </c>
      <c r="C95" s="661">
        <f>Amnt_Deposited!O91*$D$10*(1-DOCF)*MSW!E96</f>
        <v>0</v>
      </c>
      <c r="D95" s="662">
        <f>Amnt_Deposited!C91*$F$10*(1-DOCF)*Food!E96</f>
        <v>0</v>
      </c>
      <c r="E95" s="663">
        <f>Amnt_Deposited!F91*$F$11*(1-DOCF)*Garden!E96</f>
        <v>0</v>
      </c>
      <c r="F95" s="663">
        <f>Amnt_Deposited!D91*$D$11*(1-DOCF)*Paper!E96</f>
        <v>0</v>
      </c>
      <c r="G95" s="663">
        <f>Amnt_Deposited!G91*$D$12*(1-DOCF)*Wood!E96</f>
        <v>0</v>
      </c>
      <c r="H95" s="663">
        <f>Amnt_Deposited!H91*$F$12*(1-DOCF)*Textiles!E96</f>
        <v>0</v>
      </c>
      <c r="I95" s="664">
        <f>Amnt_Deposited!E91*$H$10*(1-DOCF)*Nappies!E96</f>
        <v>0</v>
      </c>
      <c r="J95" s="665">
        <f>Amnt_Deposited!N91*$H$11*(1-DOCF)*Sludge!E96</f>
        <v>0</v>
      </c>
      <c r="K95" s="666">
        <f>Amnt_Deposited!P91*$H$12*(1-DOCF)*Industry!D96</f>
        <v>0</v>
      </c>
      <c r="L95" s="663">
        <f>Amnt_Deposited!P91*Parameters!$E$58*$D$11*(1-DOCF)*Industry!E96</f>
        <v>0</v>
      </c>
      <c r="M95" s="664">
        <f>Amnt_Deposited!P91*Parameters!$E$59*$D$12*(1-DOCF)*Industry!E96</f>
        <v>0</v>
      </c>
      <c r="N95" s="599">
        <f t="shared" si="4"/>
        <v>0</v>
      </c>
      <c r="O95" s="601">
        <f t="shared" si="5"/>
        <v>0</v>
      </c>
    </row>
    <row r="96" spans="2:15">
      <c r="B96" s="598">
        <f t="shared" si="6"/>
        <v>2028</v>
      </c>
      <c r="C96" s="661">
        <f>Amnt_Deposited!O92*$D$10*(1-DOCF)*MSW!E97</f>
        <v>0</v>
      </c>
      <c r="D96" s="662">
        <f>Amnt_Deposited!C92*$F$10*(1-DOCF)*Food!E97</f>
        <v>0</v>
      </c>
      <c r="E96" s="663">
        <f>Amnt_Deposited!F92*$F$11*(1-DOCF)*Garden!E97</f>
        <v>0</v>
      </c>
      <c r="F96" s="663">
        <f>Amnt_Deposited!D92*$D$11*(1-DOCF)*Paper!E97</f>
        <v>0</v>
      </c>
      <c r="G96" s="663">
        <f>Amnt_Deposited!G92*$D$12*(1-DOCF)*Wood!E97</f>
        <v>0</v>
      </c>
      <c r="H96" s="663">
        <f>Amnt_Deposited!H92*$F$12*(1-DOCF)*Textiles!E97</f>
        <v>0</v>
      </c>
      <c r="I96" s="664">
        <f>Amnt_Deposited!E92*$H$10*(1-DOCF)*Nappies!E97</f>
        <v>0</v>
      </c>
      <c r="J96" s="665">
        <f>Amnt_Deposited!N92*$H$11*(1-DOCF)*Sludge!E97</f>
        <v>0</v>
      </c>
      <c r="K96" s="666">
        <f>Amnt_Deposited!P92*$H$12*(1-DOCF)*Industry!D97</f>
        <v>0</v>
      </c>
      <c r="L96" s="663">
        <f>Amnt_Deposited!P92*Parameters!$E$58*$D$11*(1-DOCF)*Industry!E97</f>
        <v>0</v>
      </c>
      <c r="M96" s="664">
        <f>Amnt_Deposited!P92*Parameters!$E$59*$D$12*(1-DOCF)*Industry!E97</f>
        <v>0</v>
      </c>
      <c r="N96" s="599">
        <f t="shared" si="4"/>
        <v>0</v>
      </c>
      <c r="O96" s="601">
        <f t="shared" si="5"/>
        <v>0</v>
      </c>
    </row>
    <row r="97" spans="2:15">
      <c r="B97" s="598">
        <f t="shared" si="6"/>
        <v>2029</v>
      </c>
      <c r="C97" s="661">
        <f>Amnt_Deposited!O93*$D$10*(1-DOCF)*MSW!E98</f>
        <v>0</v>
      </c>
      <c r="D97" s="662">
        <f>Amnt_Deposited!C93*$F$10*(1-DOCF)*Food!E98</f>
        <v>0</v>
      </c>
      <c r="E97" s="663">
        <f>Amnt_Deposited!F93*$F$11*(1-DOCF)*Garden!E98</f>
        <v>0</v>
      </c>
      <c r="F97" s="663">
        <f>Amnt_Deposited!D93*$D$11*(1-DOCF)*Paper!E98</f>
        <v>0</v>
      </c>
      <c r="G97" s="663">
        <f>Amnt_Deposited!G93*$D$12*(1-DOCF)*Wood!E98</f>
        <v>0</v>
      </c>
      <c r="H97" s="663">
        <f>Amnt_Deposited!H93*$F$12*(1-DOCF)*Textiles!E98</f>
        <v>0</v>
      </c>
      <c r="I97" s="664">
        <f>Amnt_Deposited!E93*$H$10*(1-DOCF)*Nappies!E98</f>
        <v>0</v>
      </c>
      <c r="J97" s="665">
        <f>Amnt_Deposited!N93*$H$11*(1-DOCF)*Sludge!E98</f>
        <v>0</v>
      </c>
      <c r="K97" s="666">
        <f>Amnt_Deposited!P93*$H$12*(1-DOCF)*Industry!D98</f>
        <v>0</v>
      </c>
      <c r="L97" s="663">
        <f>Amnt_Deposited!P93*Parameters!$E$58*$D$11*(1-DOCF)*Industry!E98</f>
        <v>0</v>
      </c>
      <c r="M97" s="664">
        <f>Amnt_Deposited!P93*Parameters!$E$59*$D$12*(1-DOCF)*Industry!E98</f>
        <v>0</v>
      </c>
      <c r="N97" s="599">
        <f t="shared" si="4"/>
        <v>0</v>
      </c>
      <c r="O97" s="601">
        <f t="shared" si="5"/>
        <v>0</v>
      </c>
    </row>
    <row r="98" spans="2:15" ht="13.5" thickBot="1">
      <c r="B98" s="607">
        <f t="shared" si="6"/>
        <v>2030</v>
      </c>
      <c r="C98" s="661">
        <f>Amnt_Deposited!O94*$D$10*(1-DOCF)*MSW!E99</f>
        <v>0</v>
      </c>
      <c r="D98" s="662">
        <f>Amnt_Deposited!C94*$F$10*(1-DOCF)*Food!E99</f>
        <v>0</v>
      </c>
      <c r="E98" s="663">
        <f>Amnt_Deposited!F94*$F$11*(1-DOCF)*Garden!E99</f>
        <v>0</v>
      </c>
      <c r="F98" s="663">
        <f>Amnt_Deposited!D94*$D$11*(1-DOCF)*Paper!E99</f>
        <v>0</v>
      </c>
      <c r="G98" s="663">
        <f>Amnt_Deposited!G94*$D$12*(1-DOCF)*Wood!E99</f>
        <v>0</v>
      </c>
      <c r="H98" s="663">
        <f>Amnt_Deposited!H94*$F$12*(1-DOCF)*Textiles!E99</f>
        <v>0</v>
      </c>
      <c r="I98" s="664">
        <f>Amnt_Deposited!E94*$H$10*(1-DOCF)*Nappies!E99</f>
        <v>0</v>
      </c>
      <c r="J98" s="665">
        <f>Amnt_Deposited!N94*$H$11*(1-DOCF)*Sludge!E99</f>
        <v>0</v>
      </c>
      <c r="K98" s="666">
        <f>Amnt_Deposited!P94*$H$12*(1-DOCF)*Industry!D99</f>
        <v>0</v>
      </c>
      <c r="L98" s="663">
        <f>Amnt_Deposited!P94*Parameters!$E$58*$D$11*(1-DOCF)*Industry!E99</f>
        <v>0</v>
      </c>
      <c r="M98" s="664">
        <f>Amnt_Deposited!P94*Parameters!$E$59*$D$12*(1-DOCF)*Industry!E99</f>
        <v>0</v>
      </c>
      <c r="N98" s="608">
        <f t="shared" si="4"/>
        <v>0</v>
      </c>
      <c r="O98" s="610">
        <f t="shared" si="5"/>
        <v>0</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topLeftCell="Q1" workbookViewId="0">
      <pane ySplit="3" topLeftCell="A4" activePane="bottomLeft" state="frozen"/>
      <selection activeCell="E19" sqref="E19"/>
      <selection pane="bottomLeft" activeCell="W10" sqref="W10"/>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27" t="s">
        <v>52</v>
      </c>
      <c r="C2" s="827"/>
      <c r="D2" s="827"/>
      <c r="E2" s="827"/>
      <c r="F2" s="827"/>
      <c r="G2" s="827"/>
      <c r="H2" s="827"/>
    </row>
    <row r="3" spans="1:35" ht="13.5" thickBot="1">
      <c r="B3" s="827"/>
      <c r="C3" s="827"/>
      <c r="D3" s="827"/>
      <c r="E3" s="827"/>
      <c r="F3" s="827"/>
      <c r="G3" s="827"/>
      <c r="H3" s="827"/>
    </row>
    <row r="4" spans="1:35" ht="13.5" thickBot="1">
      <c r="P4" s="831" t="s">
        <v>242</v>
      </c>
      <c r="Q4" s="832"/>
      <c r="R4" s="833" t="s">
        <v>243</v>
      </c>
      <c r="S4" s="834"/>
      <c r="V4" s="211" t="s">
        <v>155</v>
      </c>
      <c r="W4" s="166">
        <f>P7</f>
        <v>0.44</v>
      </c>
      <c r="X4" s="278">
        <f>P9</f>
        <v>0.3</v>
      </c>
      <c r="Y4" s="278">
        <f>P6</f>
        <v>0.38</v>
      </c>
      <c r="Z4" s="278">
        <f>P11</f>
        <v>0.5</v>
      </c>
      <c r="AA4" s="278">
        <f>P8</f>
        <v>0.49</v>
      </c>
      <c r="AB4" s="278">
        <f>P12</f>
        <v>0.6</v>
      </c>
      <c r="AC4" s="278">
        <f>R18</f>
        <v>0.05</v>
      </c>
      <c r="AD4" s="278">
        <f>P10</f>
        <v>0.47</v>
      </c>
      <c r="AE4" s="279">
        <v>0</v>
      </c>
    </row>
    <row r="5" spans="1:35" ht="13.5" customHeight="1" thickBot="1">
      <c r="B5" s="99"/>
      <c r="C5" s="168"/>
      <c r="D5" s="828" t="s">
        <v>47</v>
      </c>
      <c r="E5" s="829"/>
      <c r="F5" s="829"/>
      <c r="G5" s="830"/>
      <c r="H5" s="829" t="s">
        <v>57</v>
      </c>
      <c r="I5" s="829"/>
      <c r="J5" s="829"/>
      <c r="K5" s="830"/>
      <c r="L5" s="162"/>
      <c r="M5" s="162"/>
      <c r="N5" s="162"/>
      <c r="O5" s="202"/>
      <c r="P5" s="248" t="s">
        <v>116</v>
      </c>
      <c r="Q5" s="249" t="s">
        <v>113</v>
      </c>
      <c r="R5" s="248" t="s">
        <v>116</v>
      </c>
      <c r="S5" s="249" t="s">
        <v>113</v>
      </c>
      <c r="V5" s="403" t="s">
        <v>118</v>
      </c>
      <c r="W5" s="404">
        <v>3</v>
      </c>
      <c r="AF5" s="819" t="s">
        <v>126</v>
      </c>
      <c r="AG5" s="819" t="s">
        <v>129</v>
      </c>
      <c r="AH5" s="819" t="s">
        <v>154</v>
      </c>
      <c r="AI5"/>
    </row>
    <row r="6" spans="1:35" ht="13.5" thickBot="1">
      <c r="B6" s="205"/>
      <c r="C6" s="191"/>
      <c r="D6" s="824" t="s">
        <v>45</v>
      </c>
      <c r="E6" s="824"/>
      <c r="F6" s="824" t="s">
        <v>46</v>
      </c>
      <c r="G6" s="824"/>
      <c r="H6" s="824" t="s">
        <v>45</v>
      </c>
      <c r="I6" s="824"/>
      <c r="J6" s="824" t="s">
        <v>99</v>
      </c>
      <c r="K6" s="824"/>
      <c r="L6" s="162"/>
      <c r="M6" s="162"/>
      <c r="N6" s="162"/>
      <c r="O6" s="244" t="s">
        <v>6</v>
      </c>
      <c r="P6" s="201">
        <v>0.38</v>
      </c>
      <c r="Q6" s="203" t="s">
        <v>234</v>
      </c>
      <c r="R6" s="201">
        <v>0.15</v>
      </c>
      <c r="S6" s="203" t="s">
        <v>244</v>
      </c>
      <c r="W6" s="794" t="s">
        <v>125</v>
      </c>
      <c r="X6" s="826"/>
      <c r="Y6" s="826"/>
      <c r="Z6" s="826"/>
      <c r="AA6" s="826"/>
      <c r="AB6" s="826"/>
      <c r="AC6" s="826"/>
      <c r="AD6" s="826"/>
      <c r="AE6" s="826"/>
      <c r="AF6" s="820"/>
      <c r="AG6" s="820"/>
      <c r="AH6" s="820"/>
      <c r="AI6"/>
    </row>
    <row r="7" spans="1:35" ht="26.25" thickBot="1">
      <c r="B7" s="794" t="s">
        <v>133</v>
      </c>
      <c r="C7" s="825"/>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21"/>
      <c r="AG7" s="821"/>
      <c r="AH7" s="821"/>
      <c r="AI7"/>
    </row>
    <row r="8" spans="1:35" ht="25.5" customHeight="1">
      <c r="B8" s="822"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80">
        <f>ROUND((W8*W$4+X8*X$4+Y8*Y$4+Z8*Z$4+AA8*AA$4+AB8*AB$4+AC8*AC$4+AD8*AD$4)/100,2)</f>
        <v>0.21</v>
      </c>
      <c r="AI8"/>
    </row>
    <row r="9" spans="1:35" ht="25.5">
      <c r="B9" s="823"/>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81">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81">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3">
        <f>AG$32</f>
        <v>0.676111111111111</v>
      </c>
      <c r="AH11" s="281">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3">
        <v>0.69</v>
      </c>
      <c r="AH12" s="281">
        <f t="shared" si="1"/>
        <v>0.28000000000000003</v>
      </c>
      <c r="AI12"/>
    </row>
    <row r="13" spans="1:35" ht="12.75" customHeight="1">
      <c r="I13" s="100"/>
      <c r="M13" s="163"/>
      <c r="N13" s="163"/>
      <c r="O13" s="844" t="s">
        <v>264</v>
      </c>
      <c r="P13" s="845"/>
      <c r="Q13" s="845"/>
      <c r="R13" s="845"/>
      <c r="S13" s="846"/>
      <c r="U13" s="210">
        <v>6</v>
      </c>
      <c r="V13" s="214" t="s">
        <v>216</v>
      </c>
      <c r="W13" s="215">
        <v>16.8</v>
      </c>
      <c r="X13" s="216">
        <v>2.5</v>
      </c>
      <c r="Y13" s="216">
        <v>43.4</v>
      </c>
      <c r="Z13" s="216">
        <v>6.5</v>
      </c>
      <c r="AA13" s="217"/>
      <c r="AB13" s="216"/>
      <c r="AC13" s="216"/>
      <c r="AD13" s="217"/>
      <c r="AE13" s="216">
        <f t="shared" si="0"/>
        <v>30.799999999999997</v>
      </c>
      <c r="AF13" s="222">
        <v>0.28999999999999998</v>
      </c>
      <c r="AG13" s="293">
        <v>0.69</v>
      </c>
      <c r="AH13" s="281">
        <f t="shared" si="1"/>
        <v>0.28000000000000003</v>
      </c>
      <c r="AI13"/>
    </row>
    <row r="14" spans="1:35">
      <c r="A14" s="100"/>
      <c r="B14" s="101" t="s">
        <v>58</v>
      </c>
      <c r="C14" s="100"/>
      <c r="D14" s="100"/>
      <c r="E14" s="100"/>
      <c r="F14" s="100"/>
      <c r="G14" s="100"/>
      <c r="H14" s="100"/>
      <c r="I14" s="100"/>
      <c r="J14" s="100"/>
      <c r="K14" s="100"/>
      <c r="L14" s="100"/>
      <c r="M14" s="163"/>
      <c r="N14" s="163"/>
      <c r="O14" s="510"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3">
        <v>0.69</v>
      </c>
      <c r="AH14" s="281">
        <f t="shared" si="1"/>
        <v>0.28000000000000003</v>
      </c>
      <c r="AI14"/>
    </row>
    <row r="15" spans="1:35" ht="13.5" thickBot="1">
      <c r="M15" s="163"/>
      <c r="N15" s="163"/>
      <c r="O15" s="511"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3">
        <v>0.69</v>
      </c>
      <c r="AH15" s="281">
        <f t="shared" si="1"/>
        <v>0.27</v>
      </c>
      <c r="AI15"/>
    </row>
    <row r="16" spans="1:35" ht="13.5" thickBot="1">
      <c r="C16" s="102" t="s">
        <v>59</v>
      </c>
      <c r="D16" s="103" t="s">
        <v>60</v>
      </c>
      <c r="E16" s="104" t="s">
        <v>61</v>
      </c>
      <c r="G16" s="400" t="s">
        <v>62</v>
      </c>
      <c r="N16" s="163"/>
      <c r="O16" s="511"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3">
        <v>0.69</v>
      </c>
      <c r="AH16" s="281">
        <f t="shared" si="1"/>
        <v>0.22</v>
      </c>
      <c r="AI16"/>
    </row>
    <row r="17" spans="1:35" ht="13.5" thickBot="1">
      <c r="A17" s="96">
        <v>1</v>
      </c>
      <c r="B17" s="461" t="s">
        <v>44</v>
      </c>
      <c r="C17" s="105" t="s">
        <v>63</v>
      </c>
      <c r="D17" s="106"/>
      <c r="E17" s="107" t="s">
        <v>64</v>
      </c>
      <c r="G17" s="401">
        <v>4</v>
      </c>
      <c r="M17" s="100"/>
      <c r="O17" s="511"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81">
        <f t="shared" si="1"/>
        <v>0.27</v>
      </c>
      <c r="AI17"/>
    </row>
    <row r="18" spans="1:35" ht="13.5" thickBot="1">
      <c r="A18" s="96">
        <v>2</v>
      </c>
      <c r="B18" s="461" t="s">
        <v>65</v>
      </c>
      <c r="C18" s="108" t="s">
        <v>63</v>
      </c>
      <c r="D18" s="109"/>
      <c r="E18" s="110" t="s">
        <v>66</v>
      </c>
      <c r="O18" s="245" t="s">
        <v>135</v>
      </c>
      <c r="P18" s="519"/>
      <c r="Q18" s="520" t="s">
        <v>277</v>
      </c>
      <c r="R18" s="519">
        <v>0.05</v>
      </c>
      <c r="S18" s="520"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81">
        <f t="shared" si="1"/>
        <v>0.28000000000000003</v>
      </c>
      <c r="AI18"/>
    </row>
    <row r="19" spans="1:35" s="100" customFormat="1" ht="26.25" thickBot="1">
      <c r="A19" s="96">
        <v>3</v>
      </c>
      <c r="B19" s="461" t="s">
        <v>67</v>
      </c>
      <c r="C19" s="108" t="s">
        <v>68</v>
      </c>
      <c r="D19" s="109" t="s">
        <v>69</v>
      </c>
      <c r="E19" s="110"/>
      <c r="F19" s="96"/>
      <c r="G19" s="96"/>
      <c r="H19" s="96"/>
      <c r="I19" s="96"/>
      <c r="J19" s="96"/>
      <c r="K19" s="96"/>
      <c r="L19" s="96"/>
      <c r="M19" s="96"/>
      <c r="O19" s="516" t="s">
        <v>143</v>
      </c>
      <c r="P19" s="517"/>
      <c r="Q19" s="518" t="s">
        <v>277</v>
      </c>
      <c r="R19" s="517">
        <v>0.18</v>
      </c>
      <c r="S19" s="518" t="s">
        <v>156</v>
      </c>
      <c r="U19" s="210">
        <v>12</v>
      </c>
      <c r="V19" s="214" t="s">
        <v>123</v>
      </c>
      <c r="W19" s="215">
        <v>17</v>
      </c>
      <c r="X19" s="216"/>
      <c r="Y19" s="216">
        <v>36.9</v>
      </c>
      <c r="Z19" s="216">
        <v>10.6</v>
      </c>
      <c r="AA19" s="216"/>
      <c r="AB19" s="216"/>
      <c r="AC19" s="216"/>
      <c r="AD19" s="216"/>
      <c r="AE19" s="216">
        <f t="shared" si="0"/>
        <v>35.5</v>
      </c>
      <c r="AF19" s="222">
        <v>0.52</v>
      </c>
      <c r="AG19" s="225">
        <v>0.85</v>
      </c>
      <c r="AH19" s="281">
        <f t="shared" si="1"/>
        <v>0.27</v>
      </c>
      <c r="AI19"/>
    </row>
    <row r="20" spans="1:35" ht="26.25" thickBot="1">
      <c r="A20" s="111">
        <v>4</v>
      </c>
      <c r="B20" s="461" t="s">
        <v>98</v>
      </c>
      <c r="C20" s="112" t="s">
        <v>68</v>
      </c>
      <c r="D20" s="113" t="s">
        <v>97</v>
      </c>
      <c r="E20" s="114"/>
      <c r="O20" s="247" t="s">
        <v>23</v>
      </c>
      <c r="P20" s="481"/>
      <c r="Q20" s="482" t="s">
        <v>277</v>
      </c>
      <c r="R20" s="481">
        <v>0.15</v>
      </c>
      <c r="S20" s="482"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81">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81">
        <f t="shared" si="1"/>
        <v>0.39</v>
      </c>
      <c r="AI21"/>
    </row>
    <row r="22" spans="1:35" ht="26.25" thickBot="1">
      <c r="O22" s="402"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81">
        <f t="shared" si="1"/>
        <v>0.3</v>
      </c>
      <c r="AI22"/>
    </row>
    <row r="23" spans="1:35" ht="13.5" thickBot="1">
      <c r="B23" s="96" t="s">
        <v>53</v>
      </c>
      <c r="O23" s="401">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81">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81">
        <f t="shared" si="1"/>
        <v>0.31</v>
      </c>
      <c r="AI24"/>
    </row>
    <row r="25" spans="1:35">
      <c r="B25" s="96" t="s">
        <v>55</v>
      </c>
      <c r="O25" s="111"/>
      <c r="P25" s="512"/>
      <c r="Q25" s="512"/>
      <c r="R25" s="513"/>
      <c r="S25" s="513"/>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81">
        <f t="shared" si="1"/>
        <v>0.28000000000000003</v>
      </c>
      <c r="AI25"/>
    </row>
    <row r="26" spans="1:35" ht="13.5" thickBot="1">
      <c r="B26" s="837" t="s">
        <v>70</v>
      </c>
      <c r="C26" s="837"/>
      <c r="D26" s="837"/>
      <c r="E26" s="837"/>
      <c r="F26" s="837"/>
      <c r="G26" s="837"/>
      <c r="H26" s="837"/>
      <c r="O26" s="111"/>
      <c r="P26" s="514"/>
      <c r="Q26" s="512"/>
      <c r="R26" s="514"/>
      <c r="S26" s="512"/>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82">
        <f t="shared" si="1"/>
        <v>0.28999999999999998</v>
      </c>
      <c r="AI26"/>
    </row>
    <row r="27" spans="1:35">
      <c r="B27" s="838"/>
      <c r="C27" s="838"/>
      <c r="D27" s="838"/>
      <c r="E27" s="838"/>
      <c r="F27" s="838"/>
      <c r="G27" s="838"/>
      <c r="H27" s="838"/>
      <c r="O27" s="111"/>
      <c r="P27" s="515"/>
      <c r="Q27" s="111"/>
      <c r="R27" s="111"/>
      <c r="S27" s="111"/>
      <c r="U27" s="210"/>
      <c r="V27" s="212"/>
    </row>
    <row r="28" spans="1:35">
      <c r="B28" s="838"/>
      <c r="C28" s="838"/>
      <c r="D28" s="838"/>
      <c r="E28" s="838"/>
      <c r="F28" s="838"/>
      <c r="G28" s="838"/>
      <c r="H28" s="838"/>
      <c r="O28" s="111"/>
      <c r="P28" s="515"/>
      <c r="Q28" s="111"/>
      <c r="R28" s="111"/>
      <c r="S28" s="111"/>
      <c r="V28" s="212"/>
    </row>
    <row r="29" spans="1:35">
      <c r="B29" s="838"/>
      <c r="C29" s="838"/>
      <c r="D29" s="838"/>
      <c r="E29" s="838"/>
      <c r="F29" s="838"/>
      <c r="G29" s="838"/>
      <c r="H29" s="838"/>
      <c r="O29" s="507"/>
      <c r="P29" s="508"/>
      <c r="Q29" s="509"/>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38"/>
      <c r="C30" s="838"/>
      <c r="D30" s="838"/>
      <c r="E30" s="838"/>
      <c r="F30" s="838"/>
      <c r="G30" s="838"/>
      <c r="H30" s="838"/>
      <c r="O30" s="507"/>
      <c r="P30" s="508"/>
      <c r="Q30" s="509"/>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507"/>
      <c r="P31" s="508"/>
      <c r="Q31" s="509"/>
      <c r="R31" s="111"/>
    </row>
    <row r="32" spans="1:35" ht="13.5" thickBot="1">
      <c r="B32" s="115" t="s">
        <v>71</v>
      </c>
      <c r="O32" s="507"/>
      <c r="P32" s="508"/>
      <c r="Q32" s="509"/>
      <c r="R32" s="111"/>
      <c r="AE32" s="166" t="s">
        <v>178</v>
      </c>
      <c r="AF32" s="294">
        <f>AVERAGE(AF12:AF26,AF8:AF10)</f>
        <v>0.42055555555555557</v>
      </c>
      <c r="AG32" s="348">
        <f>AVERAGE(AG12:AG26,AG8:AG10)</f>
        <v>0.676111111111111</v>
      </c>
      <c r="AH32" s="349">
        <f>AVERAGE(AH8:AH26)</f>
        <v>0.27947368421052637</v>
      </c>
    </row>
    <row r="33" spans="2:18">
      <c r="O33" s="507"/>
      <c r="P33" s="508"/>
      <c r="Q33" s="509"/>
      <c r="R33" s="111"/>
    </row>
    <row r="34" spans="2:18">
      <c r="B34" s="96" t="s">
        <v>72</v>
      </c>
      <c r="O34" s="507"/>
      <c r="P34" s="508"/>
      <c r="Q34" s="509"/>
      <c r="R34" s="111"/>
    </row>
    <row r="35" spans="2:18">
      <c r="O35" s="507"/>
      <c r="P35" s="508"/>
      <c r="Q35" s="509"/>
      <c r="R35" s="111"/>
    </row>
    <row r="36" spans="2:18">
      <c r="B36" s="5" t="s">
        <v>73</v>
      </c>
      <c r="O36" s="507"/>
      <c r="P36" s="508"/>
      <c r="Q36" s="509"/>
      <c r="R36" s="111"/>
    </row>
    <row r="37" spans="2:18" ht="13.5" thickBot="1">
      <c r="O37" s="507"/>
      <c r="P37" s="508"/>
      <c r="Q37" s="509"/>
      <c r="R37" s="111"/>
    </row>
    <row r="38" spans="2:18" ht="14.25">
      <c r="B38" s="116" t="s">
        <v>74</v>
      </c>
      <c r="C38" s="839" t="s">
        <v>75</v>
      </c>
      <c r="D38" s="830"/>
      <c r="O38" s="507"/>
      <c r="P38" s="508"/>
      <c r="Q38" s="509"/>
      <c r="R38" s="111"/>
    </row>
    <row r="39" spans="2:18">
      <c r="B39" s="169">
        <v>35</v>
      </c>
      <c r="C39" s="842">
        <f>LN(2)/B39</f>
        <v>1.980420515885558E-2</v>
      </c>
      <c r="D39" s="843"/>
    </row>
    <row r="40" spans="2:18" ht="27">
      <c r="B40" s="462" t="s">
        <v>76</v>
      </c>
      <c r="C40" s="840" t="s">
        <v>77</v>
      </c>
      <c r="D40" s="841"/>
    </row>
    <row r="41" spans="2:18" ht="13.5" thickBot="1">
      <c r="B41" s="170">
        <v>0.05</v>
      </c>
      <c r="C41" s="835">
        <f>LN(2)/B41</f>
        <v>13.862943611198904</v>
      </c>
      <c r="D41" s="836"/>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264" t="s">
        <v>102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Parameters!O15</f>
        <v>0.38</v>
      </c>
      <c r="O6" s="271"/>
      <c r="P6" s="272"/>
      <c r="Q6" s="263"/>
      <c r="R6" s="135" t="s">
        <v>9</v>
      </c>
      <c r="S6" s="136"/>
      <c r="T6" s="136"/>
      <c r="U6" s="140"/>
      <c r="V6" s="147" t="s">
        <v>9</v>
      </c>
      <c r="W6" s="310">
        <f>Parameters!R15</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Amnt_Deposited!C14</f>
        <v>0</v>
      </c>
      <c r="D19" s="535">
        <f>Dry_Matter_Content!C6</f>
        <v>0.59</v>
      </c>
      <c r="E19" s="381">
        <f>MCF!R18</f>
        <v>0.4</v>
      </c>
      <c r="F19" s="157">
        <f>C19*D19*$K$6*DOCF*E19</f>
        <v>0</v>
      </c>
      <c r="G19" s="91">
        <f t="shared" ref="G19:G50" si="0">F19*$K$12</f>
        <v>0</v>
      </c>
      <c r="H19" s="91">
        <f t="shared" ref="H19:H50" si="1">F19*(1-$K$12)</f>
        <v>0</v>
      </c>
      <c r="I19" s="91">
        <f t="shared" ref="I19:I50" si="2">G19+I18*$K$10</f>
        <v>0</v>
      </c>
      <c r="J19" s="91">
        <f t="shared" ref="J19:J50" si="3">I18*(1-$K$10)+H19</f>
        <v>0</v>
      </c>
      <c r="K19" s="92">
        <f>J19*CH4_fraction*conv</f>
        <v>0</v>
      </c>
      <c r="O19" s="122">
        <f>Amnt_Deposited!B14</f>
        <v>2000</v>
      </c>
      <c r="P19" s="125">
        <f>Amnt_Deposited!C14</f>
        <v>0</v>
      </c>
      <c r="Q19" s="381">
        <f>MCF!R18</f>
        <v>0.4</v>
      </c>
      <c r="R19" s="157">
        <f t="shared" ref="R19:R50" si="4">P19*$W$6*DOCF*Q19</f>
        <v>0</v>
      </c>
      <c r="S19" s="91">
        <f>R19*$W$12</f>
        <v>0</v>
      </c>
      <c r="T19" s="91">
        <f>R19*(1-$W$12)</f>
        <v>0</v>
      </c>
      <c r="U19" s="91">
        <f>S19+U18*$W$10</f>
        <v>0</v>
      </c>
      <c r="V19" s="91">
        <f>U18*(1-$W$10)+T19</f>
        <v>0</v>
      </c>
      <c r="W19" s="92">
        <f>V19*CH4_fraction*conv</f>
        <v>0</v>
      </c>
    </row>
    <row r="20" spans="2:23">
      <c r="B20" s="123">
        <f>Amnt_Deposited!B15</f>
        <v>2001</v>
      </c>
      <c r="C20" s="126">
        <f>Amnt_Deposited!C15</f>
        <v>0</v>
      </c>
      <c r="D20" s="537">
        <f>Dry_Matter_Content!C7</f>
        <v>0.59</v>
      </c>
      <c r="E20" s="382">
        <f>MCF!R19</f>
        <v>0.4</v>
      </c>
      <c r="F20" s="93">
        <f t="shared" ref="F20:F50" si="5">C20*D20*$K$6*DOCF*E20</f>
        <v>0</v>
      </c>
      <c r="G20" s="93">
        <f t="shared" si="0"/>
        <v>0</v>
      </c>
      <c r="H20" s="93">
        <f t="shared" si="1"/>
        <v>0</v>
      </c>
      <c r="I20" s="93">
        <f t="shared" si="2"/>
        <v>0</v>
      </c>
      <c r="J20" s="93">
        <f t="shared" si="3"/>
        <v>0</v>
      </c>
      <c r="K20" s="127">
        <f>J20*CH4_fraction*conv</f>
        <v>0</v>
      </c>
      <c r="M20" s="504"/>
      <c r="O20" s="123">
        <f>Amnt_Deposited!B15</f>
        <v>2001</v>
      </c>
      <c r="P20" s="126">
        <f>Amnt_Deposited!C15</f>
        <v>0</v>
      </c>
      <c r="Q20" s="382">
        <f>MCF!R19</f>
        <v>0.4</v>
      </c>
      <c r="R20" s="93">
        <f t="shared" si="4"/>
        <v>0</v>
      </c>
      <c r="S20" s="93">
        <f>R20*$W$12</f>
        <v>0</v>
      </c>
      <c r="T20" s="93">
        <f>R20*(1-$W$12)</f>
        <v>0</v>
      </c>
      <c r="U20" s="93">
        <f>S20+U19*$W$10</f>
        <v>0</v>
      </c>
      <c r="V20" s="93">
        <f>U19*(1-$W$10)+T20</f>
        <v>0</v>
      </c>
      <c r="W20" s="127">
        <f>V20*CH4_fraction*conv</f>
        <v>0</v>
      </c>
    </row>
    <row r="21" spans="2:23">
      <c r="B21" s="123">
        <f>Amnt_Deposited!B16</f>
        <v>2002</v>
      </c>
      <c r="C21" s="126">
        <f>Amnt_Deposited!C16</f>
        <v>0</v>
      </c>
      <c r="D21" s="537">
        <f>Dry_Matter_Content!C8</f>
        <v>0.59</v>
      </c>
      <c r="E21" s="382">
        <f>MCF!R20</f>
        <v>0.4</v>
      </c>
      <c r="F21" s="93">
        <f t="shared" si="5"/>
        <v>0</v>
      </c>
      <c r="G21" s="93">
        <f t="shared" si="0"/>
        <v>0</v>
      </c>
      <c r="H21" s="93">
        <f t="shared" si="1"/>
        <v>0</v>
      </c>
      <c r="I21" s="93">
        <f t="shared" si="2"/>
        <v>0</v>
      </c>
      <c r="J21" s="93">
        <f t="shared" si="3"/>
        <v>0</v>
      </c>
      <c r="K21" s="127">
        <f t="shared" ref="K21:K84" si="6">J21*CH4_fraction*conv</f>
        <v>0</v>
      </c>
      <c r="O21" s="123">
        <f>Amnt_Deposited!B16</f>
        <v>2002</v>
      </c>
      <c r="P21" s="126">
        <f>Amnt_Deposited!C16</f>
        <v>0</v>
      </c>
      <c r="Q21" s="382">
        <f>MCF!R20</f>
        <v>0.4</v>
      </c>
      <c r="R21" s="93">
        <f t="shared" si="4"/>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Amnt_Deposited!C17</f>
        <v>0</v>
      </c>
      <c r="D22" s="537">
        <f>Dry_Matter_Content!C9</f>
        <v>0.59</v>
      </c>
      <c r="E22" s="382">
        <f>MCF!R21</f>
        <v>0.4</v>
      </c>
      <c r="F22" s="93">
        <f t="shared" si="5"/>
        <v>0</v>
      </c>
      <c r="G22" s="93">
        <f t="shared" si="0"/>
        <v>0</v>
      </c>
      <c r="H22" s="93">
        <f t="shared" si="1"/>
        <v>0</v>
      </c>
      <c r="I22" s="93">
        <f t="shared" si="2"/>
        <v>0</v>
      </c>
      <c r="J22" s="93">
        <f t="shared" si="3"/>
        <v>0</v>
      </c>
      <c r="K22" s="127">
        <f t="shared" si="6"/>
        <v>0</v>
      </c>
      <c r="N22" s="307"/>
      <c r="O22" s="123">
        <f>Amnt_Deposited!B17</f>
        <v>2003</v>
      </c>
      <c r="P22" s="126">
        <f>Amnt_Deposited!C17</f>
        <v>0</v>
      </c>
      <c r="Q22" s="382">
        <f>MCF!R21</f>
        <v>0.4</v>
      </c>
      <c r="R22" s="93">
        <f t="shared" si="4"/>
        <v>0</v>
      </c>
      <c r="S22" s="93">
        <f t="shared" si="7"/>
        <v>0</v>
      </c>
      <c r="T22" s="93">
        <f t="shared" si="8"/>
        <v>0</v>
      </c>
      <c r="U22" s="93">
        <f t="shared" si="9"/>
        <v>0</v>
      </c>
      <c r="V22" s="93">
        <f t="shared" si="10"/>
        <v>0</v>
      </c>
      <c r="W22" s="127">
        <f t="shared" si="11"/>
        <v>0</v>
      </c>
    </row>
    <row r="23" spans="2:23">
      <c r="B23" s="123">
        <f>Amnt_Deposited!B18</f>
        <v>2004</v>
      </c>
      <c r="C23" s="126">
        <f>Amnt_Deposited!C18</f>
        <v>0</v>
      </c>
      <c r="D23" s="537">
        <f>Dry_Matter_Content!C10</f>
        <v>0.59</v>
      </c>
      <c r="E23" s="382">
        <f>MCF!R22</f>
        <v>0.4</v>
      </c>
      <c r="F23" s="93">
        <f t="shared" si="5"/>
        <v>0</v>
      </c>
      <c r="G23" s="93">
        <f t="shared" si="0"/>
        <v>0</v>
      </c>
      <c r="H23" s="93">
        <f t="shared" si="1"/>
        <v>0</v>
      </c>
      <c r="I23" s="93">
        <f t="shared" si="2"/>
        <v>0</v>
      </c>
      <c r="J23" s="93">
        <f t="shared" si="3"/>
        <v>0</v>
      </c>
      <c r="K23" s="127">
        <f t="shared" si="6"/>
        <v>0</v>
      </c>
      <c r="N23" s="307"/>
      <c r="O23" s="123">
        <f>Amnt_Deposited!B18</f>
        <v>2004</v>
      </c>
      <c r="P23" s="126">
        <f>Amnt_Deposited!C18</f>
        <v>0</v>
      </c>
      <c r="Q23" s="382">
        <f>MCF!R22</f>
        <v>0.4</v>
      </c>
      <c r="R23" s="93">
        <f t="shared" si="4"/>
        <v>0</v>
      </c>
      <c r="S23" s="93">
        <f t="shared" si="7"/>
        <v>0</v>
      </c>
      <c r="T23" s="93">
        <f t="shared" si="8"/>
        <v>0</v>
      </c>
      <c r="U23" s="93">
        <f t="shared" si="9"/>
        <v>0</v>
      </c>
      <c r="V23" s="93">
        <f t="shared" si="10"/>
        <v>0</v>
      </c>
      <c r="W23" s="127">
        <f t="shared" si="11"/>
        <v>0</v>
      </c>
    </row>
    <row r="24" spans="2:23">
      <c r="B24" s="123">
        <f>Amnt_Deposited!B19</f>
        <v>2005</v>
      </c>
      <c r="C24" s="126">
        <f>Amnt_Deposited!C19</f>
        <v>0</v>
      </c>
      <c r="D24" s="537">
        <f>Dry_Matter_Content!C11</f>
        <v>0.59</v>
      </c>
      <c r="E24" s="382">
        <f>MCF!R23</f>
        <v>0.4</v>
      </c>
      <c r="F24" s="93">
        <f t="shared" si="5"/>
        <v>0</v>
      </c>
      <c r="G24" s="93">
        <f t="shared" si="0"/>
        <v>0</v>
      </c>
      <c r="H24" s="93">
        <f t="shared" si="1"/>
        <v>0</v>
      </c>
      <c r="I24" s="93">
        <f t="shared" si="2"/>
        <v>0</v>
      </c>
      <c r="J24" s="93">
        <f t="shared" si="3"/>
        <v>0</v>
      </c>
      <c r="K24" s="127">
        <f t="shared" si="6"/>
        <v>0</v>
      </c>
      <c r="N24" s="307"/>
      <c r="O24" s="123">
        <f>Amnt_Deposited!B19</f>
        <v>2005</v>
      </c>
      <c r="P24" s="126">
        <f>Amnt_Deposited!C19</f>
        <v>0</v>
      </c>
      <c r="Q24" s="382">
        <f>MCF!R23</f>
        <v>0.4</v>
      </c>
      <c r="R24" s="93">
        <f t="shared" si="4"/>
        <v>0</v>
      </c>
      <c r="S24" s="93">
        <f t="shared" si="7"/>
        <v>0</v>
      </c>
      <c r="T24" s="93">
        <f t="shared" si="8"/>
        <v>0</v>
      </c>
      <c r="U24" s="93">
        <f t="shared" si="9"/>
        <v>0</v>
      </c>
      <c r="V24" s="93">
        <f t="shared" si="10"/>
        <v>0</v>
      </c>
      <c r="W24" s="127">
        <f t="shared" si="11"/>
        <v>0</v>
      </c>
    </row>
    <row r="25" spans="2:23">
      <c r="B25" s="123">
        <f>Amnt_Deposited!B20</f>
        <v>2006</v>
      </c>
      <c r="C25" s="126">
        <f>Amnt_Deposited!C20</f>
        <v>0</v>
      </c>
      <c r="D25" s="537">
        <f>Dry_Matter_Content!C12</f>
        <v>0.59</v>
      </c>
      <c r="E25" s="382">
        <f>MCF!R24</f>
        <v>0.4</v>
      </c>
      <c r="F25" s="93">
        <f t="shared" si="5"/>
        <v>0</v>
      </c>
      <c r="G25" s="93">
        <f t="shared" si="0"/>
        <v>0</v>
      </c>
      <c r="H25" s="93">
        <f t="shared" si="1"/>
        <v>0</v>
      </c>
      <c r="I25" s="93">
        <f t="shared" si="2"/>
        <v>0</v>
      </c>
      <c r="J25" s="93">
        <f t="shared" si="3"/>
        <v>0</v>
      </c>
      <c r="K25" s="127">
        <f t="shared" si="6"/>
        <v>0</v>
      </c>
      <c r="N25" s="307"/>
      <c r="O25" s="123">
        <f>Amnt_Deposited!B20</f>
        <v>2006</v>
      </c>
      <c r="P25" s="126">
        <f>Amnt_Deposited!C20</f>
        <v>0</v>
      </c>
      <c r="Q25" s="382">
        <f>MCF!R24</f>
        <v>0.4</v>
      </c>
      <c r="R25" s="93">
        <f t="shared" si="4"/>
        <v>0</v>
      </c>
      <c r="S25" s="93">
        <f t="shared" si="7"/>
        <v>0</v>
      </c>
      <c r="T25" s="93">
        <f t="shared" si="8"/>
        <v>0</v>
      </c>
      <c r="U25" s="93">
        <f t="shared" si="9"/>
        <v>0</v>
      </c>
      <c r="V25" s="93">
        <f t="shared" si="10"/>
        <v>0</v>
      </c>
      <c r="W25" s="127">
        <f t="shared" si="11"/>
        <v>0</v>
      </c>
    </row>
    <row r="26" spans="2:23">
      <c r="B26" s="123">
        <f>Amnt_Deposited!B21</f>
        <v>2007</v>
      </c>
      <c r="C26" s="126">
        <f>Amnt_Deposited!C21</f>
        <v>0</v>
      </c>
      <c r="D26" s="537">
        <f>Dry_Matter_Content!C13</f>
        <v>0.59</v>
      </c>
      <c r="E26" s="382">
        <f>MCF!R25</f>
        <v>0.4</v>
      </c>
      <c r="F26" s="93">
        <f t="shared" si="5"/>
        <v>0</v>
      </c>
      <c r="G26" s="93">
        <f t="shared" si="0"/>
        <v>0</v>
      </c>
      <c r="H26" s="93">
        <f t="shared" si="1"/>
        <v>0</v>
      </c>
      <c r="I26" s="93">
        <f t="shared" si="2"/>
        <v>0</v>
      </c>
      <c r="J26" s="93">
        <f t="shared" si="3"/>
        <v>0</v>
      </c>
      <c r="K26" s="127">
        <f t="shared" si="6"/>
        <v>0</v>
      </c>
      <c r="N26" s="307"/>
      <c r="O26" s="123">
        <f>Amnt_Deposited!B21</f>
        <v>2007</v>
      </c>
      <c r="P26" s="126">
        <f>Amnt_Deposited!C21</f>
        <v>0</v>
      </c>
      <c r="Q26" s="382">
        <f>MCF!R25</f>
        <v>0.4</v>
      </c>
      <c r="R26" s="93">
        <f t="shared" si="4"/>
        <v>0</v>
      </c>
      <c r="S26" s="93">
        <f t="shared" si="7"/>
        <v>0</v>
      </c>
      <c r="T26" s="93">
        <f t="shared" si="8"/>
        <v>0</v>
      </c>
      <c r="U26" s="93">
        <f t="shared" si="9"/>
        <v>0</v>
      </c>
      <c r="V26" s="93">
        <f t="shared" si="10"/>
        <v>0</v>
      </c>
      <c r="W26" s="127">
        <f t="shared" si="11"/>
        <v>0</v>
      </c>
    </row>
    <row r="27" spans="2:23">
      <c r="B27" s="123">
        <f>Amnt_Deposited!B22</f>
        <v>2008</v>
      </c>
      <c r="C27" s="126">
        <f>Amnt_Deposited!C22</f>
        <v>0</v>
      </c>
      <c r="D27" s="537">
        <f>Dry_Matter_Content!C14</f>
        <v>0.59</v>
      </c>
      <c r="E27" s="382">
        <f>MCF!R26</f>
        <v>0.4</v>
      </c>
      <c r="F27" s="93">
        <f t="shared" si="5"/>
        <v>0</v>
      </c>
      <c r="G27" s="93">
        <f t="shared" si="0"/>
        <v>0</v>
      </c>
      <c r="H27" s="93">
        <f t="shared" si="1"/>
        <v>0</v>
      </c>
      <c r="I27" s="93">
        <f t="shared" si="2"/>
        <v>0</v>
      </c>
      <c r="J27" s="93">
        <f t="shared" si="3"/>
        <v>0</v>
      </c>
      <c r="K27" s="127">
        <f t="shared" si="6"/>
        <v>0</v>
      </c>
      <c r="N27" s="307"/>
      <c r="O27" s="123">
        <f>Amnt_Deposited!B22</f>
        <v>2008</v>
      </c>
      <c r="P27" s="126">
        <f>Amnt_Deposited!C22</f>
        <v>0</v>
      </c>
      <c r="Q27" s="382">
        <f>MCF!R26</f>
        <v>0.4</v>
      </c>
      <c r="R27" s="93">
        <f t="shared" si="4"/>
        <v>0</v>
      </c>
      <c r="S27" s="93">
        <f t="shared" si="7"/>
        <v>0</v>
      </c>
      <c r="T27" s="93">
        <f t="shared" si="8"/>
        <v>0</v>
      </c>
      <c r="U27" s="93">
        <f t="shared" si="9"/>
        <v>0</v>
      </c>
      <c r="V27" s="93">
        <f t="shared" si="10"/>
        <v>0</v>
      </c>
      <c r="W27" s="127">
        <f t="shared" si="11"/>
        <v>0</v>
      </c>
    </row>
    <row r="28" spans="2:23">
      <c r="B28" s="123">
        <f>Amnt_Deposited!B23</f>
        <v>2009</v>
      </c>
      <c r="C28" s="126">
        <f>Amnt_Deposited!C23</f>
        <v>0</v>
      </c>
      <c r="D28" s="537">
        <f>Dry_Matter_Content!C15</f>
        <v>0.59</v>
      </c>
      <c r="E28" s="382">
        <f>MCF!R27</f>
        <v>0.4</v>
      </c>
      <c r="F28" s="93">
        <f t="shared" si="5"/>
        <v>0</v>
      </c>
      <c r="G28" s="93">
        <f t="shared" si="0"/>
        <v>0</v>
      </c>
      <c r="H28" s="93">
        <f t="shared" si="1"/>
        <v>0</v>
      </c>
      <c r="I28" s="93">
        <f t="shared" si="2"/>
        <v>0</v>
      </c>
      <c r="J28" s="93">
        <f t="shared" si="3"/>
        <v>0</v>
      </c>
      <c r="K28" s="127">
        <f t="shared" si="6"/>
        <v>0</v>
      </c>
      <c r="N28" s="307"/>
      <c r="O28" s="123">
        <f>Amnt_Deposited!B23</f>
        <v>2009</v>
      </c>
      <c r="P28" s="126">
        <f>Amnt_Deposited!C23</f>
        <v>0</v>
      </c>
      <c r="Q28" s="382">
        <f>MCF!R27</f>
        <v>0.4</v>
      </c>
      <c r="R28" s="93">
        <f t="shared" si="4"/>
        <v>0</v>
      </c>
      <c r="S28" s="93">
        <f t="shared" si="7"/>
        <v>0</v>
      </c>
      <c r="T28" s="93">
        <f t="shared" si="8"/>
        <v>0</v>
      </c>
      <c r="U28" s="93">
        <f t="shared" si="9"/>
        <v>0</v>
      </c>
      <c r="V28" s="93">
        <f t="shared" si="10"/>
        <v>0</v>
      </c>
      <c r="W28" s="127">
        <f t="shared" si="11"/>
        <v>0</v>
      </c>
    </row>
    <row r="29" spans="2:23">
      <c r="B29" s="123">
        <f>Amnt_Deposited!B24</f>
        <v>2010</v>
      </c>
      <c r="C29" s="126">
        <f>Amnt_Deposited!C24</f>
        <v>0</v>
      </c>
      <c r="D29" s="537">
        <f>Dry_Matter_Content!C16</f>
        <v>0.59</v>
      </c>
      <c r="E29" s="382">
        <f>MCF!R28</f>
        <v>0.4</v>
      </c>
      <c r="F29" s="93">
        <f t="shared" si="5"/>
        <v>0</v>
      </c>
      <c r="G29" s="93">
        <f t="shared" si="0"/>
        <v>0</v>
      </c>
      <c r="H29" s="93">
        <f t="shared" si="1"/>
        <v>0</v>
      </c>
      <c r="I29" s="93">
        <f t="shared" si="2"/>
        <v>0</v>
      </c>
      <c r="J29" s="93">
        <f t="shared" si="3"/>
        <v>0</v>
      </c>
      <c r="K29" s="127">
        <f t="shared" si="6"/>
        <v>0</v>
      </c>
      <c r="O29" s="123">
        <f>Amnt_Deposited!B24</f>
        <v>2010</v>
      </c>
      <c r="P29" s="126">
        <f>Amnt_Deposited!C24</f>
        <v>0</v>
      </c>
      <c r="Q29" s="382">
        <f>MCF!R28</f>
        <v>0.4</v>
      </c>
      <c r="R29" s="93">
        <f t="shared" si="4"/>
        <v>0</v>
      </c>
      <c r="S29" s="93">
        <f t="shared" si="7"/>
        <v>0</v>
      </c>
      <c r="T29" s="93">
        <f t="shared" si="8"/>
        <v>0</v>
      </c>
      <c r="U29" s="93">
        <f t="shared" si="9"/>
        <v>0</v>
      </c>
      <c r="V29" s="93">
        <f t="shared" si="10"/>
        <v>0</v>
      </c>
      <c r="W29" s="127">
        <f t="shared" si="11"/>
        <v>0</v>
      </c>
    </row>
    <row r="30" spans="2:23">
      <c r="B30" s="123">
        <f>Amnt_Deposited!B25</f>
        <v>2011</v>
      </c>
      <c r="C30" s="126">
        <f>Amnt_Deposited!C25</f>
        <v>0</v>
      </c>
      <c r="D30" s="537">
        <f>Dry_Matter_Content!C17</f>
        <v>0.59</v>
      </c>
      <c r="E30" s="382">
        <f>MCF!R29</f>
        <v>0.4</v>
      </c>
      <c r="F30" s="93">
        <f t="shared" si="5"/>
        <v>0</v>
      </c>
      <c r="G30" s="93">
        <f t="shared" si="0"/>
        <v>0</v>
      </c>
      <c r="H30" s="93">
        <f t="shared" si="1"/>
        <v>0</v>
      </c>
      <c r="I30" s="93">
        <f t="shared" si="2"/>
        <v>0</v>
      </c>
      <c r="J30" s="93">
        <f t="shared" si="3"/>
        <v>0</v>
      </c>
      <c r="K30" s="127">
        <f t="shared" si="6"/>
        <v>0</v>
      </c>
      <c r="O30" s="123">
        <f>Amnt_Deposited!B25</f>
        <v>2011</v>
      </c>
      <c r="P30" s="126">
        <f>Amnt_Deposited!C25</f>
        <v>0</v>
      </c>
      <c r="Q30" s="382">
        <f>MCF!R29</f>
        <v>0.4</v>
      </c>
      <c r="R30" s="93">
        <f t="shared" si="4"/>
        <v>0</v>
      </c>
      <c r="S30" s="93">
        <f t="shared" si="7"/>
        <v>0</v>
      </c>
      <c r="T30" s="93">
        <f t="shared" si="8"/>
        <v>0</v>
      </c>
      <c r="U30" s="93">
        <f t="shared" si="9"/>
        <v>0</v>
      </c>
      <c r="V30" s="93">
        <f t="shared" si="10"/>
        <v>0</v>
      </c>
      <c r="W30" s="127">
        <f t="shared" si="11"/>
        <v>0</v>
      </c>
    </row>
    <row r="31" spans="2:23">
      <c r="B31" s="123">
        <f>Amnt_Deposited!B26</f>
        <v>2012</v>
      </c>
      <c r="C31" s="126">
        <f>Amnt_Deposited!C26</f>
        <v>0</v>
      </c>
      <c r="D31" s="537">
        <f>Dry_Matter_Content!C18</f>
        <v>0.59</v>
      </c>
      <c r="E31" s="382">
        <f>MCF!R30</f>
        <v>0.4</v>
      </c>
      <c r="F31" s="93">
        <f t="shared" si="5"/>
        <v>0</v>
      </c>
      <c r="G31" s="93">
        <f t="shared" si="0"/>
        <v>0</v>
      </c>
      <c r="H31" s="93">
        <f t="shared" si="1"/>
        <v>0</v>
      </c>
      <c r="I31" s="93">
        <f t="shared" si="2"/>
        <v>0</v>
      </c>
      <c r="J31" s="93">
        <f t="shared" si="3"/>
        <v>0</v>
      </c>
      <c r="K31" s="127">
        <f t="shared" si="6"/>
        <v>0</v>
      </c>
      <c r="O31" s="123">
        <f>Amnt_Deposited!B26</f>
        <v>2012</v>
      </c>
      <c r="P31" s="126">
        <f>Amnt_Deposited!C26</f>
        <v>0</v>
      </c>
      <c r="Q31" s="382">
        <f>MCF!R30</f>
        <v>0.4</v>
      </c>
      <c r="R31" s="93">
        <f t="shared" si="4"/>
        <v>0</v>
      </c>
      <c r="S31" s="93">
        <f t="shared" si="7"/>
        <v>0</v>
      </c>
      <c r="T31" s="93">
        <f t="shared" si="8"/>
        <v>0</v>
      </c>
      <c r="U31" s="93">
        <f t="shared" si="9"/>
        <v>0</v>
      </c>
      <c r="V31" s="93">
        <f t="shared" si="10"/>
        <v>0</v>
      </c>
      <c r="W31" s="127">
        <f t="shared" si="11"/>
        <v>0</v>
      </c>
    </row>
    <row r="32" spans="2:23">
      <c r="B32" s="123">
        <f>Amnt_Deposited!B27</f>
        <v>2013</v>
      </c>
      <c r="C32" s="126">
        <f>Amnt_Deposited!C27</f>
        <v>0</v>
      </c>
      <c r="D32" s="537">
        <f>Dry_Matter_Content!C19</f>
        <v>0.59</v>
      </c>
      <c r="E32" s="382">
        <f>MCF!R31</f>
        <v>0.4</v>
      </c>
      <c r="F32" s="93">
        <f t="shared" si="5"/>
        <v>0</v>
      </c>
      <c r="G32" s="93">
        <f t="shared" si="0"/>
        <v>0</v>
      </c>
      <c r="H32" s="93">
        <f t="shared" si="1"/>
        <v>0</v>
      </c>
      <c r="I32" s="93">
        <f t="shared" si="2"/>
        <v>0</v>
      </c>
      <c r="J32" s="93">
        <f t="shared" si="3"/>
        <v>0</v>
      </c>
      <c r="K32" s="127">
        <f t="shared" si="6"/>
        <v>0</v>
      </c>
      <c r="O32" s="123">
        <f>Amnt_Deposited!B27</f>
        <v>2013</v>
      </c>
      <c r="P32" s="126">
        <f>Amnt_Deposited!C27</f>
        <v>0</v>
      </c>
      <c r="Q32" s="382">
        <f>MCF!R31</f>
        <v>0.4</v>
      </c>
      <c r="R32" s="93">
        <f t="shared" si="4"/>
        <v>0</v>
      </c>
      <c r="S32" s="93">
        <f t="shared" si="7"/>
        <v>0</v>
      </c>
      <c r="T32" s="93">
        <f t="shared" si="8"/>
        <v>0</v>
      </c>
      <c r="U32" s="93">
        <f t="shared" si="9"/>
        <v>0</v>
      </c>
      <c r="V32" s="93">
        <f t="shared" si="10"/>
        <v>0</v>
      </c>
      <c r="W32" s="127">
        <f t="shared" si="11"/>
        <v>0</v>
      </c>
    </row>
    <row r="33" spans="2:23">
      <c r="B33" s="123">
        <f>Amnt_Deposited!B28</f>
        <v>2014</v>
      </c>
      <c r="C33" s="126">
        <f>Amnt_Deposited!C28</f>
        <v>0</v>
      </c>
      <c r="D33" s="537">
        <f>Dry_Matter_Content!C20</f>
        <v>0.59</v>
      </c>
      <c r="E33" s="382">
        <f>MCF!R32</f>
        <v>0.4</v>
      </c>
      <c r="F33" s="93">
        <f t="shared" si="5"/>
        <v>0</v>
      </c>
      <c r="G33" s="93">
        <f t="shared" si="0"/>
        <v>0</v>
      </c>
      <c r="H33" s="93">
        <f t="shared" si="1"/>
        <v>0</v>
      </c>
      <c r="I33" s="93">
        <f t="shared" si="2"/>
        <v>0</v>
      </c>
      <c r="J33" s="93">
        <f t="shared" si="3"/>
        <v>0</v>
      </c>
      <c r="K33" s="127">
        <f t="shared" si="6"/>
        <v>0</v>
      </c>
      <c r="O33" s="123">
        <f>Amnt_Deposited!B28</f>
        <v>2014</v>
      </c>
      <c r="P33" s="126">
        <f>Amnt_Deposited!C28</f>
        <v>0</v>
      </c>
      <c r="Q33" s="382">
        <f>MCF!R32</f>
        <v>0.4</v>
      </c>
      <c r="R33" s="93">
        <f t="shared" si="4"/>
        <v>0</v>
      </c>
      <c r="S33" s="93">
        <f t="shared" si="7"/>
        <v>0</v>
      </c>
      <c r="T33" s="93">
        <f t="shared" si="8"/>
        <v>0</v>
      </c>
      <c r="U33" s="93">
        <f t="shared" si="9"/>
        <v>0</v>
      </c>
      <c r="V33" s="93">
        <f t="shared" si="10"/>
        <v>0</v>
      </c>
      <c r="W33" s="127">
        <f t="shared" si="11"/>
        <v>0</v>
      </c>
    </row>
    <row r="34" spans="2:23">
      <c r="B34" s="123">
        <f>Amnt_Deposited!B29</f>
        <v>2015</v>
      </c>
      <c r="C34" s="126">
        <f>Amnt_Deposited!C29</f>
        <v>0</v>
      </c>
      <c r="D34" s="537">
        <f>Dry_Matter_Content!C21</f>
        <v>0.59</v>
      </c>
      <c r="E34" s="382">
        <f>MCF!R33</f>
        <v>0.4</v>
      </c>
      <c r="F34" s="93">
        <f t="shared" si="5"/>
        <v>0</v>
      </c>
      <c r="G34" s="93">
        <f t="shared" si="0"/>
        <v>0</v>
      </c>
      <c r="H34" s="93">
        <f t="shared" si="1"/>
        <v>0</v>
      </c>
      <c r="I34" s="93">
        <f t="shared" si="2"/>
        <v>0</v>
      </c>
      <c r="J34" s="93">
        <f t="shared" si="3"/>
        <v>0</v>
      </c>
      <c r="K34" s="127">
        <f t="shared" si="6"/>
        <v>0</v>
      </c>
      <c r="O34" s="123">
        <f>Amnt_Deposited!B29</f>
        <v>2015</v>
      </c>
      <c r="P34" s="126">
        <f>Amnt_Deposited!C29</f>
        <v>0</v>
      </c>
      <c r="Q34" s="382">
        <f>MCF!R33</f>
        <v>0.4</v>
      </c>
      <c r="R34" s="93">
        <f t="shared" si="4"/>
        <v>0</v>
      </c>
      <c r="S34" s="93">
        <f t="shared" si="7"/>
        <v>0</v>
      </c>
      <c r="T34" s="93">
        <f t="shared" si="8"/>
        <v>0</v>
      </c>
      <c r="U34" s="93">
        <f t="shared" si="9"/>
        <v>0</v>
      </c>
      <c r="V34" s="93">
        <f t="shared" si="10"/>
        <v>0</v>
      </c>
      <c r="W34" s="127">
        <f t="shared" si="11"/>
        <v>0</v>
      </c>
    </row>
    <row r="35" spans="2:23">
      <c r="B35" s="123">
        <f>Amnt_Deposited!B30</f>
        <v>2016</v>
      </c>
      <c r="C35" s="126">
        <f>Amnt_Deposited!C30</f>
        <v>0</v>
      </c>
      <c r="D35" s="537">
        <f>Dry_Matter_Content!C22</f>
        <v>0.59</v>
      </c>
      <c r="E35" s="382">
        <f>MCF!R34</f>
        <v>0.4</v>
      </c>
      <c r="F35" s="93">
        <f t="shared" si="5"/>
        <v>0</v>
      </c>
      <c r="G35" s="93">
        <f t="shared" si="0"/>
        <v>0</v>
      </c>
      <c r="H35" s="93">
        <f t="shared" si="1"/>
        <v>0</v>
      </c>
      <c r="I35" s="93">
        <f t="shared" si="2"/>
        <v>0</v>
      </c>
      <c r="J35" s="93">
        <f t="shared" si="3"/>
        <v>0</v>
      </c>
      <c r="K35" s="127">
        <f t="shared" si="6"/>
        <v>0</v>
      </c>
      <c r="O35" s="123">
        <f>Amnt_Deposited!B30</f>
        <v>2016</v>
      </c>
      <c r="P35" s="126">
        <f>Amnt_Deposited!C30</f>
        <v>0</v>
      </c>
      <c r="Q35" s="382">
        <f>MCF!R34</f>
        <v>0.4</v>
      </c>
      <c r="R35" s="93">
        <f t="shared" si="4"/>
        <v>0</v>
      </c>
      <c r="S35" s="93">
        <f t="shared" si="7"/>
        <v>0</v>
      </c>
      <c r="T35" s="93">
        <f t="shared" si="8"/>
        <v>0</v>
      </c>
      <c r="U35" s="93">
        <f t="shared" si="9"/>
        <v>0</v>
      </c>
      <c r="V35" s="93">
        <f t="shared" si="10"/>
        <v>0</v>
      </c>
      <c r="W35" s="127">
        <f t="shared" si="11"/>
        <v>0</v>
      </c>
    </row>
    <row r="36" spans="2:23">
      <c r="B36" s="123">
        <f>Amnt_Deposited!B31</f>
        <v>2017</v>
      </c>
      <c r="C36" s="126">
        <f>Amnt_Deposited!C31</f>
        <v>0</v>
      </c>
      <c r="D36" s="537">
        <f>Dry_Matter_Content!C23</f>
        <v>0.59</v>
      </c>
      <c r="E36" s="382">
        <f>MCF!R35</f>
        <v>0.4</v>
      </c>
      <c r="F36" s="93">
        <f t="shared" si="5"/>
        <v>0</v>
      </c>
      <c r="G36" s="93">
        <f t="shared" si="0"/>
        <v>0</v>
      </c>
      <c r="H36" s="93">
        <f t="shared" si="1"/>
        <v>0</v>
      </c>
      <c r="I36" s="93">
        <f t="shared" si="2"/>
        <v>0</v>
      </c>
      <c r="J36" s="93">
        <f t="shared" si="3"/>
        <v>0</v>
      </c>
      <c r="K36" s="127">
        <f t="shared" si="6"/>
        <v>0</v>
      </c>
      <c r="O36" s="123">
        <f>Amnt_Deposited!B31</f>
        <v>2017</v>
      </c>
      <c r="P36" s="126">
        <f>Amnt_Deposited!C31</f>
        <v>0</v>
      </c>
      <c r="Q36" s="382">
        <f>MCF!R35</f>
        <v>0.4</v>
      </c>
      <c r="R36" s="93">
        <f t="shared" si="4"/>
        <v>0</v>
      </c>
      <c r="S36" s="93">
        <f t="shared" si="7"/>
        <v>0</v>
      </c>
      <c r="T36" s="93">
        <f t="shared" si="8"/>
        <v>0</v>
      </c>
      <c r="U36" s="93">
        <f t="shared" si="9"/>
        <v>0</v>
      </c>
      <c r="V36" s="93">
        <f t="shared" si="10"/>
        <v>0</v>
      </c>
      <c r="W36" s="127">
        <f t="shared" si="11"/>
        <v>0</v>
      </c>
    </row>
    <row r="37" spans="2:23">
      <c r="B37" s="123">
        <f>Amnt_Deposited!B32</f>
        <v>2018</v>
      </c>
      <c r="C37" s="126">
        <f>Amnt_Deposited!C32</f>
        <v>0</v>
      </c>
      <c r="D37" s="537">
        <f>Dry_Matter_Content!C24</f>
        <v>0.59</v>
      </c>
      <c r="E37" s="382">
        <f>MCF!R36</f>
        <v>0.4</v>
      </c>
      <c r="F37" s="93">
        <f t="shared" si="5"/>
        <v>0</v>
      </c>
      <c r="G37" s="93">
        <f t="shared" si="0"/>
        <v>0</v>
      </c>
      <c r="H37" s="93">
        <f t="shared" si="1"/>
        <v>0</v>
      </c>
      <c r="I37" s="93">
        <f t="shared" si="2"/>
        <v>0</v>
      </c>
      <c r="J37" s="93">
        <f t="shared" si="3"/>
        <v>0</v>
      </c>
      <c r="K37" s="127">
        <f t="shared" si="6"/>
        <v>0</v>
      </c>
      <c r="O37" s="123">
        <f>Amnt_Deposited!B32</f>
        <v>2018</v>
      </c>
      <c r="P37" s="126">
        <f>Amnt_Deposited!C32</f>
        <v>0</v>
      </c>
      <c r="Q37" s="382">
        <f>MCF!R36</f>
        <v>0.4</v>
      </c>
      <c r="R37" s="93">
        <f t="shared" si="4"/>
        <v>0</v>
      </c>
      <c r="S37" s="93">
        <f t="shared" si="7"/>
        <v>0</v>
      </c>
      <c r="T37" s="93">
        <f t="shared" si="8"/>
        <v>0</v>
      </c>
      <c r="U37" s="93">
        <f t="shared" si="9"/>
        <v>0</v>
      </c>
      <c r="V37" s="93">
        <f t="shared" si="10"/>
        <v>0</v>
      </c>
      <c r="W37" s="127">
        <f t="shared" si="11"/>
        <v>0</v>
      </c>
    </row>
    <row r="38" spans="2:23">
      <c r="B38" s="123">
        <f>Amnt_Deposited!B33</f>
        <v>2019</v>
      </c>
      <c r="C38" s="126">
        <f>Amnt_Deposited!C33</f>
        <v>0</v>
      </c>
      <c r="D38" s="537">
        <f>Dry_Matter_Content!C25</f>
        <v>0.59</v>
      </c>
      <c r="E38" s="382">
        <f>MCF!R37</f>
        <v>0.4</v>
      </c>
      <c r="F38" s="93">
        <f t="shared" si="5"/>
        <v>0</v>
      </c>
      <c r="G38" s="93">
        <f t="shared" si="0"/>
        <v>0</v>
      </c>
      <c r="H38" s="93">
        <f t="shared" si="1"/>
        <v>0</v>
      </c>
      <c r="I38" s="93">
        <f t="shared" si="2"/>
        <v>0</v>
      </c>
      <c r="J38" s="93">
        <f t="shared" si="3"/>
        <v>0</v>
      </c>
      <c r="K38" s="127">
        <f t="shared" si="6"/>
        <v>0</v>
      </c>
      <c r="O38" s="123">
        <f>Amnt_Deposited!B33</f>
        <v>2019</v>
      </c>
      <c r="P38" s="126">
        <f>Amnt_Deposited!C33</f>
        <v>0</v>
      </c>
      <c r="Q38" s="382">
        <f>MCF!R37</f>
        <v>0.4</v>
      </c>
      <c r="R38" s="93">
        <f t="shared" si="4"/>
        <v>0</v>
      </c>
      <c r="S38" s="93">
        <f t="shared" si="7"/>
        <v>0</v>
      </c>
      <c r="T38" s="93">
        <f t="shared" si="8"/>
        <v>0</v>
      </c>
      <c r="U38" s="93">
        <f t="shared" si="9"/>
        <v>0</v>
      </c>
      <c r="V38" s="93">
        <f t="shared" si="10"/>
        <v>0</v>
      </c>
      <c r="W38" s="127">
        <f t="shared" si="11"/>
        <v>0</v>
      </c>
    </row>
    <row r="39" spans="2:23">
      <c r="B39" s="123">
        <f>Amnt_Deposited!B34</f>
        <v>2020</v>
      </c>
      <c r="C39" s="126">
        <f>Amnt_Deposited!C34</f>
        <v>0</v>
      </c>
      <c r="D39" s="537">
        <f>Dry_Matter_Content!C26</f>
        <v>0.59</v>
      </c>
      <c r="E39" s="382">
        <f>MCF!R38</f>
        <v>0.4</v>
      </c>
      <c r="F39" s="93">
        <f t="shared" si="5"/>
        <v>0</v>
      </c>
      <c r="G39" s="93">
        <f t="shared" si="0"/>
        <v>0</v>
      </c>
      <c r="H39" s="93">
        <f t="shared" si="1"/>
        <v>0</v>
      </c>
      <c r="I39" s="93">
        <f t="shared" si="2"/>
        <v>0</v>
      </c>
      <c r="J39" s="93">
        <f t="shared" si="3"/>
        <v>0</v>
      </c>
      <c r="K39" s="127">
        <f t="shared" si="6"/>
        <v>0</v>
      </c>
      <c r="O39" s="123">
        <f>Amnt_Deposited!B34</f>
        <v>2020</v>
      </c>
      <c r="P39" s="126">
        <f>Amnt_Deposited!C34</f>
        <v>0</v>
      </c>
      <c r="Q39" s="382">
        <f>MCF!R38</f>
        <v>0.4</v>
      </c>
      <c r="R39" s="93">
        <f t="shared" si="4"/>
        <v>0</v>
      </c>
      <c r="S39" s="93">
        <f t="shared" si="7"/>
        <v>0</v>
      </c>
      <c r="T39" s="93">
        <f t="shared" si="8"/>
        <v>0</v>
      </c>
      <c r="U39" s="93">
        <f t="shared" si="9"/>
        <v>0</v>
      </c>
      <c r="V39" s="93">
        <f t="shared" si="10"/>
        <v>0</v>
      </c>
      <c r="W39" s="127">
        <f t="shared" si="11"/>
        <v>0</v>
      </c>
    </row>
    <row r="40" spans="2:23">
      <c r="B40" s="123">
        <f>Amnt_Deposited!B35</f>
        <v>2021</v>
      </c>
      <c r="C40" s="126">
        <f>Amnt_Deposited!C35</f>
        <v>0</v>
      </c>
      <c r="D40" s="537">
        <f>Dry_Matter_Content!C27</f>
        <v>0.59</v>
      </c>
      <c r="E40" s="382">
        <f>MCF!R39</f>
        <v>0.4</v>
      </c>
      <c r="F40" s="93">
        <f t="shared" si="5"/>
        <v>0</v>
      </c>
      <c r="G40" s="93">
        <f t="shared" si="0"/>
        <v>0</v>
      </c>
      <c r="H40" s="93">
        <f t="shared" si="1"/>
        <v>0</v>
      </c>
      <c r="I40" s="93">
        <f t="shared" si="2"/>
        <v>0</v>
      </c>
      <c r="J40" s="93">
        <f t="shared" si="3"/>
        <v>0</v>
      </c>
      <c r="K40" s="127">
        <f t="shared" si="6"/>
        <v>0</v>
      </c>
      <c r="O40" s="123">
        <f>Amnt_Deposited!B35</f>
        <v>2021</v>
      </c>
      <c r="P40" s="126">
        <f>Amnt_Deposited!C35</f>
        <v>0</v>
      </c>
      <c r="Q40" s="382">
        <f>MCF!R39</f>
        <v>0.4</v>
      </c>
      <c r="R40" s="93">
        <f t="shared" si="4"/>
        <v>0</v>
      </c>
      <c r="S40" s="93">
        <f t="shared" si="7"/>
        <v>0</v>
      </c>
      <c r="T40" s="93">
        <f t="shared" si="8"/>
        <v>0</v>
      </c>
      <c r="U40" s="93">
        <f t="shared" si="9"/>
        <v>0</v>
      </c>
      <c r="V40" s="93">
        <f t="shared" si="10"/>
        <v>0</v>
      </c>
      <c r="W40" s="127">
        <f t="shared" si="11"/>
        <v>0</v>
      </c>
    </row>
    <row r="41" spans="2:23">
      <c r="B41" s="123">
        <f>Amnt_Deposited!B36</f>
        <v>2022</v>
      </c>
      <c r="C41" s="126">
        <f>Amnt_Deposited!C36</f>
        <v>0</v>
      </c>
      <c r="D41" s="537">
        <f>Dry_Matter_Content!C28</f>
        <v>0.59</v>
      </c>
      <c r="E41" s="382">
        <f>MCF!R40</f>
        <v>0.4</v>
      </c>
      <c r="F41" s="93">
        <f t="shared" si="5"/>
        <v>0</v>
      </c>
      <c r="G41" s="93">
        <f t="shared" si="0"/>
        <v>0</v>
      </c>
      <c r="H41" s="93">
        <f t="shared" si="1"/>
        <v>0</v>
      </c>
      <c r="I41" s="93">
        <f t="shared" si="2"/>
        <v>0</v>
      </c>
      <c r="J41" s="93">
        <f t="shared" si="3"/>
        <v>0</v>
      </c>
      <c r="K41" s="127">
        <f t="shared" si="6"/>
        <v>0</v>
      </c>
      <c r="O41" s="123">
        <f>Amnt_Deposited!B36</f>
        <v>2022</v>
      </c>
      <c r="P41" s="126">
        <f>Amnt_Deposited!C36</f>
        <v>0</v>
      </c>
      <c r="Q41" s="382">
        <f>MCF!R40</f>
        <v>0.4</v>
      </c>
      <c r="R41" s="93">
        <f t="shared" si="4"/>
        <v>0</v>
      </c>
      <c r="S41" s="93">
        <f t="shared" si="7"/>
        <v>0</v>
      </c>
      <c r="T41" s="93">
        <f t="shared" si="8"/>
        <v>0</v>
      </c>
      <c r="U41" s="93">
        <f t="shared" si="9"/>
        <v>0</v>
      </c>
      <c r="V41" s="93">
        <f t="shared" si="10"/>
        <v>0</v>
      </c>
      <c r="W41" s="127">
        <f t="shared" si="11"/>
        <v>0</v>
      </c>
    </row>
    <row r="42" spans="2:23">
      <c r="B42" s="123">
        <f>Amnt_Deposited!B37</f>
        <v>2023</v>
      </c>
      <c r="C42" s="126">
        <f>Amnt_Deposited!C37</f>
        <v>0</v>
      </c>
      <c r="D42" s="537">
        <f>Dry_Matter_Content!C29</f>
        <v>0.59</v>
      </c>
      <c r="E42" s="382">
        <f>MCF!R41</f>
        <v>0.4</v>
      </c>
      <c r="F42" s="93">
        <f t="shared" si="5"/>
        <v>0</v>
      </c>
      <c r="G42" s="93">
        <f t="shared" si="0"/>
        <v>0</v>
      </c>
      <c r="H42" s="93">
        <f t="shared" si="1"/>
        <v>0</v>
      </c>
      <c r="I42" s="93">
        <f t="shared" si="2"/>
        <v>0</v>
      </c>
      <c r="J42" s="93">
        <f t="shared" si="3"/>
        <v>0</v>
      </c>
      <c r="K42" s="127">
        <f t="shared" si="6"/>
        <v>0</v>
      </c>
      <c r="O42" s="123">
        <f>Amnt_Deposited!B37</f>
        <v>2023</v>
      </c>
      <c r="P42" s="126">
        <f>Amnt_Deposited!C37</f>
        <v>0</v>
      </c>
      <c r="Q42" s="382">
        <f>MCF!R41</f>
        <v>0.4</v>
      </c>
      <c r="R42" s="93">
        <f t="shared" si="4"/>
        <v>0</v>
      </c>
      <c r="S42" s="93">
        <f t="shared" si="7"/>
        <v>0</v>
      </c>
      <c r="T42" s="93">
        <f t="shared" si="8"/>
        <v>0</v>
      </c>
      <c r="U42" s="93">
        <f t="shared" si="9"/>
        <v>0</v>
      </c>
      <c r="V42" s="93">
        <f t="shared" si="10"/>
        <v>0</v>
      </c>
      <c r="W42" s="127">
        <f t="shared" si="11"/>
        <v>0</v>
      </c>
    </row>
    <row r="43" spans="2:23">
      <c r="B43" s="123">
        <f>Amnt_Deposited!B38</f>
        <v>2024</v>
      </c>
      <c r="C43" s="126">
        <f>Amnt_Deposited!C38</f>
        <v>0</v>
      </c>
      <c r="D43" s="537">
        <f>Dry_Matter_Content!C30</f>
        <v>0.59</v>
      </c>
      <c r="E43" s="382">
        <f>MCF!R42</f>
        <v>0.4</v>
      </c>
      <c r="F43" s="93">
        <f t="shared" si="5"/>
        <v>0</v>
      </c>
      <c r="G43" s="93">
        <f t="shared" si="0"/>
        <v>0</v>
      </c>
      <c r="H43" s="93">
        <f t="shared" si="1"/>
        <v>0</v>
      </c>
      <c r="I43" s="93">
        <f t="shared" si="2"/>
        <v>0</v>
      </c>
      <c r="J43" s="93">
        <f t="shared" si="3"/>
        <v>0</v>
      </c>
      <c r="K43" s="127">
        <f t="shared" si="6"/>
        <v>0</v>
      </c>
      <c r="O43" s="123">
        <f>Amnt_Deposited!B38</f>
        <v>2024</v>
      </c>
      <c r="P43" s="126">
        <f>Amnt_Deposited!C38</f>
        <v>0</v>
      </c>
      <c r="Q43" s="382">
        <f>MCF!R42</f>
        <v>0.4</v>
      </c>
      <c r="R43" s="93">
        <f t="shared" si="4"/>
        <v>0</v>
      </c>
      <c r="S43" s="93">
        <f t="shared" si="7"/>
        <v>0</v>
      </c>
      <c r="T43" s="93">
        <f t="shared" si="8"/>
        <v>0</v>
      </c>
      <c r="U43" s="93">
        <f t="shared" si="9"/>
        <v>0</v>
      </c>
      <c r="V43" s="93">
        <f t="shared" si="10"/>
        <v>0</v>
      </c>
      <c r="W43" s="127">
        <f t="shared" si="11"/>
        <v>0</v>
      </c>
    </row>
    <row r="44" spans="2:23">
      <c r="B44" s="123">
        <f>Amnt_Deposited!B39</f>
        <v>2025</v>
      </c>
      <c r="C44" s="126">
        <f>Amnt_Deposited!C39</f>
        <v>0</v>
      </c>
      <c r="D44" s="537">
        <f>Dry_Matter_Content!C31</f>
        <v>0.59</v>
      </c>
      <c r="E44" s="382">
        <f>MCF!R43</f>
        <v>0.4</v>
      </c>
      <c r="F44" s="93">
        <f t="shared" si="5"/>
        <v>0</v>
      </c>
      <c r="G44" s="93">
        <f t="shared" si="0"/>
        <v>0</v>
      </c>
      <c r="H44" s="93">
        <f t="shared" si="1"/>
        <v>0</v>
      </c>
      <c r="I44" s="93">
        <f t="shared" si="2"/>
        <v>0</v>
      </c>
      <c r="J44" s="93">
        <f t="shared" si="3"/>
        <v>0</v>
      </c>
      <c r="K44" s="127">
        <f t="shared" si="6"/>
        <v>0</v>
      </c>
      <c r="O44" s="123">
        <f>Amnt_Deposited!B39</f>
        <v>2025</v>
      </c>
      <c r="P44" s="126">
        <f>Amnt_Deposited!C39</f>
        <v>0</v>
      </c>
      <c r="Q44" s="382">
        <f>MCF!R43</f>
        <v>0.4</v>
      </c>
      <c r="R44" s="93">
        <f t="shared" si="4"/>
        <v>0</v>
      </c>
      <c r="S44" s="93">
        <f t="shared" si="7"/>
        <v>0</v>
      </c>
      <c r="T44" s="93">
        <f t="shared" si="8"/>
        <v>0</v>
      </c>
      <c r="U44" s="93">
        <f t="shared" si="9"/>
        <v>0</v>
      </c>
      <c r="V44" s="93">
        <f t="shared" si="10"/>
        <v>0</v>
      </c>
      <c r="W44" s="127">
        <f t="shared" si="11"/>
        <v>0</v>
      </c>
    </row>
    <row r="45" spans="2:23">
      <c r="B45" s="123">
        <f>Amnt_Deposited!B40</f>
        <v>2026</v>
      </c>
      <c r="C45" s="126">
        <f>Amnt_Deposited!C40</f>
        <v>0</v>
      </c>
      <c r="D45" s="537">
        <f>Dry_Matter_Content!C32</f>
        <v>0.59</v>
      </c>
      <c r="E45" s="382">
        <f>MCF!R44</f>
        <v>0.4</v>
      </c>
      <c r="F45" s="93">
        <f t="shared" si="5"/>
        <v>0</v>
      </c>
      <c r="G45" s="93">
        <f t="shared" si="0"/>
        <v>0</v>
      </c>
      <c r="H45" s="93">
        <f t="shared" si="1"/>
        <v>0</v>
      </c>
      <c r="I45" s="93">
        <f t="shared" si="2"/>
        <v>0</v>
      </c>
      <c r="J45" s="93">
        <f t="shared" si="3"/>
        <v>0</v>
      </c>
      <c r="K45" s="127">
        <f t="shared" si="6"/>
        <v>0</v>
      </c>
      <c r="O45" s="123">
        <f>Amnt_Deposited!B40</f>
        <v>2026</v>
      </c>
      <c r="P45" s="126">
        <f>Amnt_Deposited!C40</f>
        <v>0</v>
      </c>
      <c r="Q45" s="382">
        <f>MCF!R44</f>
        <v>0.4</v>
      </c>
      <c r="R45" s="93">
        <f t="shared" si="4"/>
        <v>0</v>
      </c>
      <c r="S45" s="93">
        <f t="shared" si="7"/>
        <v>0</v>
      </c>
      <c r="T45" s="93">
        <f t="shared" si="8"/>
        <v>0</v>
      </c>
      <c r="U45" s="93">
        <f t="shared" si="9"/>
        <v>0</v>
      </c>
      <c r="V45" s="93">
        <f t="shared" si="10"/>
        <v>0</v>
      </c>
      <c r="W45" s="127">
        <f t="shared" si="11"/>
        <v>0</v>
      </c>
    </row>
    <row r="46" spans="2:23">
      <c r="B46" s="123">
        <f>Amnt_Deposited!B41</f>
        <v>2027</v>
      </c>
      <c r="C46" s="126">
        <f>Amnt_Deposited!C41</f>
        <v>0</v>
      </c>
      <c r="D46" s="537">
        <f>Dry_Matter_Content!C33</f>
        <v>0.59</v>
      </c>
      <c r="E46" s="382">
        <f>MCF!R45</f>
        <v>0.4</v>
      </c>
      <c r="F46" s="93">
        <f t="shared" si="5"/>
        <v>0</v>
      </c>
      <c r="G46" s="93">
        <f t="shared" si="0"/>
        <v>0</v>
      </c>
      <c r="H46" s="93">
        <f t="shared" si="1"/>
        <v>0</v>
      </c>
      <c r="I46" s="93">
        <f t="shared" si="2"/>
        <v>0</v>
      </c>
      <c r="J46" s="93">
        <f t="shared" si="3"/>
        <v>0</v>
      </c>
      <c r="K46" s="127">
        <f t="shared" si="6"/>
        <v>0</v>
      </c>
      <c r="O46" s="123">
        <f>Amnt_Deposited!B41</f>
        <v>2027</v>
      </c>
      <c r="P46" s="126">
        <f>Amnt_Deposited!C41</f>
        <v>0</v>
      </c>
      <c r="Q46" s="382">
        <f>MCF!R45</f>
        <v>0.4</v>
      </c>
      <c r="R46" s="93">
        <f t="shared" si="4"/>
        <v>0</v>
      </c>
      <c r="S46" s="93">
        <f t="shared" si="7"/>
        <v>0</v>
      </c>
      <c r="T46" s="93">
        <f t="shared" si="8"/>
        <v>0</v>
      </c>
      <c r="U46" s="93">
        <f t="shared" si="9"/>
        <v>0</v>
      </c>
      <c r="V46" s="93">
        <f t="shared" si="10"/>
        <v>0</v>
      </c>
      <c r="W46" s="127">
        <f t="shared" si="11"/>
        <v>0</v>
      </c>
    </row>
    <row r="47" spans="2:23">
      <c r="B47" s="123">
        <f>Amnt_Deposited!B42</f>
        <v>2028</v>
      </c>
      <c r="C47" s="126">
        <f>Amnt_Deposited!C42</f>
        <v>0</v>
      </c>
      <c r="D47" s="537">
        <f>Dry_Matter_Content!C34</f>
        <v>0.59</v>
      </c>
      <c r="E47" s="382">
        <f>MCF!R46</f>
        <v>0.4</v>
      </c>
      <c r="F47" s="93">
        <f t="shared" si="5"/>
        <v>0</v>
      </c>
      <c r="G47" s="93">
        <f t="shared" si="0"/>
        <v>0</v>
      </c>
      <c r="H47" s="93">
        <f t="shared" si="1"/>
        <v>0</v>
      </c>
      <c r="I47" s="93">
        <f t="shared" si="2"/>
        <v>0</v>
      </c>
      <c r="J47" s="93">
        <f t="shared" si="3"/>
        <v>0</v>
      </c>
      <c r="K47" s="127">
        <f t="shared" si="6"/>
        <v>0</v>
      </c>
      <c r="O47" s="123">
        <f>Amnt_Deposited!B42</f>
        <v>2028</v>
      </c>
      <c r="P47" s="126">
        <f>Amnt_Deposited!C42</f>
        <v>0</v>
      </c>
      <c r="Q47" s="382">
        <f>MCF!R46</f>
        <v>0.4</v>
      </c>
      <c r="R47" s="93">
        <f t="shared" si="4"/>
        <v>0</v>
      </c>
      <c r="S47" s="93">
        <f t="shared" si="7"/>
        <v>0</v>
      </c>
      <c r="T47" s="93">
        <f t="shared" si="8"/>
        <v>0</v>
      </c>
      <c r="U47" s="93">
        <f t="shared" si="9"/>
        <v>0</v>
      </c>
      <c r="V47" s="93">
        <f t="shared" si="10"/>
        <v>0</v>
      </c>
      <c r="W47" s="127">
        <f t="shared" si="11"/>
        <v>0</v>
      </c>
    </row>
    <row r="48" spans="2:23">
      <c r="B48" s="123">
        <f>Amnt_Deposited!B43</f>
        <v>2029</v>
      </c>
      <c r="C48" s="126">
        <f>Amnt_Deposited!C43</f>
        <v>0</v>
      </c>
      <c r="D48" s="537">
        <f>Dry_Matter_Content!C35</f>
        <v>0.59</v>
      </c>
      <c r="E48" s="382">
        <f>MCF!R47</f>
        <v>0.4</v>
      </c>
      <c r="F48" s="93">
        <f t="shared" si="5"/>
        <v>0</v>
      </c>
      <c r="G48" s="93">
        <f t="shared" si="0"/>
        <v>0</v>
      </c>
      <c r="H48" s="93">
        <f t="shared" si="1"/>
        <v>0</v>
      </c>
      <c r="I48" s="93">
        <f t="shared" si="2"/>
        <v>0</v>
      </c>
      <c r="J48" s="93">
        <f t="shared" si="3"/>
        <v>0</v>
      </c>
      <c r="K48" s="127">
        <f t="shared" si="6"/>
        <v>0</v>
      </c>
      <c r="O48" s="123">
        <f>Amnt_Deposited!B43</f>
        <v>2029</v>
      </c>
      <c r="P48" s="126">
        <f>Amnt_Deposited!C43</f>
        <v>0</v>
      </c>
      <c r="Q48" s="382">
        <f>MCF!R47</f>
        <v>0.4</v>
      </c>
      <c r="R48" s="93">
        <f t="shared" si="4"/>
        <v>0</v>
      </c>
      <c r="S48" s="93">
        <f t="shared" si="7"/>
        <v>0</v>
      </c>
      <c r="T48" s="93">
        <f t="shared" si="8"/>
        <v>0</v>
      </c>
      <c r="U48" s="93">
        <f t="shared" si="9"/>
        <v>0</v>
      </c>
      <c r="V48" s="93">
        <f t="shared" si="10"/>
        <v>0</v>
      </c>
      <c r="W48" s="127">
        <f t="shared" si="11"/>
        <v>0</v>
      </c>
    </row>
    <row r="49" spans="2:23">
      <c r="B49" s="123">
        <f>Amnt_Deposited!B44</f>
        <v>2030</v>
      </c>
      <c r="C49" s="126">
        <f>Amnt_Deposited!C44</f>
        <v>0</v>
      </c>
      <c r="D49" s="537">
        <f>Dry_Matter_Content!C36</f>
        <v>0.59</v>
      </c>
      <c r="E49" s="382">
        <f>MCF!R48</f>
        <v>0.4</v>
      </c>
      <c r="F49" s="93">
        <f t="shared" si="5"/>
        <v>0</v>
      </c>
      <c r="G49" s="93">
        <f t="shared" si="0"/>
        <v>0</v>
      </c>
      <c r="H49" s="93">
        <f t="shared" si="1"/>
        <v>0</v>
      </c>
      <c r="I49" s="93">
        <f t="shared" si="2"/>
        <v>0</v>
      </c>
      <c r="J49" s="93">
        <f t="shared" si="3"/>
        <v>0</v>
      </c>
      <c r="K49" s="127">
        <f t="shared" si="6"/>
        <v>0</v>
      </c>
      <c r="O49" s="123">
        <f>Amnt_Deposited!B44</f>
        <v>2030</v>
      </c>
      <c r="P49" s="126">
        <f>Amnt_Deposited!C44</f>
        <v>0</v>
      </c>
      <c r="Q49" s="382">
        <f>MCF!R48</f>
        <v>0.4</v>
      </c>
      <c r="R49" s="93">
        <f t="shared" si="4"/>
        <v>0</v>
      </c>
      <c r="S49" s="93">
        <f t="shared" si="7"/>
        <v>0</v>
      </c>
      <c r="T49" s="93">
        <f t="shared" si="8"/>
        <v>0</v>
      </c>
      <c r="U49" s="93">
        <f t="shared" si="9"/>
        <v>0</v>
      </c>
      <c r="V49" s="93">
        <f t="shared" si="10"/>
        <v>0</v>
      </c>
      <c r="W49" s="127">
        <f t="shared" si="11"/>
        <v>0</v>
      </c>
    </row>
    <row r="50" spans="2:23">
      <c r="B50" s="123">
        <f>Amnt_Deposited!B45</f>
        <v>2031</v>
      </c>
      <c r="C50" s="126">
        <f>Amnt_Deposited!C45</f>
        <v>0</v>
      </c>
      <c r="D50" s="537">
        <f>Dry_Matter_Content!C37</f>
        <v>0.59</v>
      </c>
      <c r="E50" s="382">
        <f>MCF!R49</f>
        <v>0.4</v>
      </c>
      <c r="F50" s="93">
        <f t="shared" si="5"/>
        <v>0</v>
      </c>
      <c r="G50" s="93">
        <f t="shared" si="0"/>
        <v>0</v>
      </c>
      <c r="H50" s="93">
        <f t="shared" si="1"/>
        <v>0</v>
      </c>
      <c r="I50" s="93">
        <f t="shared" si="2"/>
        <v>0</v>
      </c>
      <c r="J50" s="93">
        <f t="shared" si="3"/>
        <v>0</v>
      </c>
      <c r="K50" s="127">
        <f t="shared" si="6"/>
        <v>0</v>
      </c>
      <c r="O50" s="123">
        <f>Amnt_Deposited!B45</f>
        <v>2031</v>
      </c>
      <c r="P50" s="126">
        <f>Amnt_Deposited!C45</f>
        <v>0</v>
      </c>
      <c r="Q50" s="382">
        <f>MCF!R49</f>
        <v>0.4</v>
      </c>
      <c r="R50" s="93">
        <f t="shared" si="4"/>
        <v>0</v>
      </c>
      <c r="S50" s="93">
        <f t="shared" si="7"/>
        <v>0</v>
      </c>
      <c r="T50" s="93">
        <f t="shared" si="8"/>
        <v>0</v>
      </c>
      <c r="U50" s="93">
        <f t="shared" si="9"/>
        <v>0</v>
      </c>
      <c r="V50" s="93">
        <f t="shared" si="10"/>
        <v>0</v>
      </c>
      <c r="W50" s="127">
        <f t="shared" si="11"/>
        <v>0</v>
      </c>
    </row>
    <row r="51" spans="2:23">
      <c r="B51" s="123">
        <f>Amnt_Deposited!B46</f>
        <v>2032</v>
      </c>
      <c r="C51" s="126">
        <f>Amnt_Deposited!C46</f>
        <v>0</v>
      </c>
      <c r="D51" s="537">
        <f>Dry_Matter_Content!C38</f>
        <v>0.59</v>
      </c>
      <c r="E51" s="382">
        <f>MCF!R50</f>
        <v>0.4</v>
      </c>
      <c r="F51" s="93">
        <f t="shared" ref="F51:F82" si="12">C51*D51*$K$6*DOCF*E51</f>
        <v>0</v>
      </c>
      <c r="G51" s="93">
        <f t="shared" ref="G51:G82" si="13">F51*$K$12</f>
        <v>0</v>
      </c>
      <c r="H51" s="93">
        <f t="shared" ref="H51:H82" si="14">F51*(1-$K$12)</f>
        <v>0</v>
      </c>
      <c r="I51" s="93">
        <f t="shared" ref="I51:I82" si="15">G51+I50*$K$10</f>
        <v>0</v>
      </c>
      <c r="J51" s="93">
        <f t="shared" ref="J51:J82" si="16">I50*(1-$K$10)+H51</f>
        <v>0</v>
      </c>
      <c r="K51" s="127">
        <f t="shared" si="6"/>
        <v>0</v>
      </c>
      <c r="O51" s="123">
        <f>Amnt_Deposited!B46</f>
        <v>2032</v>
      </c>
      <c r="P51" s="126">
        <f>Amnt_Deposited!C46</f>
        <v>0</v>
      </c>
      <c r="Q51" s="382">
        <f>MCF!R50</f>
        <v>0.4</v>
      </c>
      <c r="R51" s="93">
        <f t="shared" ref="R51:R82" si="17">P51*$W$6*DOCF*Q51</f>
        <v>0</v>
      </c>
      <c r="S51" s="93">
        <f t="shared" si="7"/>
        <v>0</v>
      </c>
      <c r="T51" s="93">
        <f t="shared" si="8"/>
        <v>0</v>
      </c>
      <c r="U51" s="93">
        <f t="shared" si="9"/>
        <v>0</v>
      </c>
      <c r="V51" s="93">
        <f t="shared" si="10"/>
        <v>0</v>
      </c>
      <c r="W51" s="127">
        <f t="shared" si="11"/>
        <v>0</v>
      </c>
    </row>
    <row r="52" spans="2:23">
      <c r="B52" s="123">
        <f>Amnt_Deposited!B47</f>
        <v>2033</v>
      </c>
      <c r="C52" s="126">
        <f>Amnt_Deposited!C47</f>
        <v>0</v>
      </c>
      <c r="D52" s="537">
        <f>Dry_Matter_Content!C39</f>
        <v>0.59</v>
      </c>
      <c r="E52" s="382">
        <f>MCF!R51</f>
        <v>0.4</v>
      </c>
      <c r="F52" s="93">
        <f t="shared" si="12"/>
        <v>0</v>
      </c>
      <c r="G52" s="93">
        <f t="shared" si="13"/>
        <v>0</v>
      </c>
      <c r="H52" s="93">
        <f t="shared" si="14"/>
        <v>0</v>
      </c>
      <c r="I52" s="93">
        <f t="shared" si="15"/>
        <v>0</v>
      </c>
      <c r="J52" s="93">
        <f t="shared" si="16"/>
        <v>0</v>
      </c>
      <c r="K52" s="127">
        <f t="shared" si="6"/>
        <v>0</v>
      </c>
      <c r="O52" s="123">
        <f>Amnt_Deposited!B47</f>
        <v>2033</v>
      </c>
      <c r="P52" s="126">
        <f>Amnt_Deposited!C47</f>
        <v>0</v>
      </c>
      <c r="Q52" s="382">
        <f>MCF!R51</f>
        <v>0.4</v>
      </c>
      <c r="R52" s="93">
        <f t="shared" si="17"/>
        <v>0</v>
      </c>
      <c r="S52" s="93">
        <f t="shared" si="7"/>
        <v>0</v>
      </c>
      <c r="T52" s="93">
        <f t="shared" si="8"/>
        <v>0</v>
      </c>
      <c r="U52" s="93">
        <f t="shared" si="9"/>
        <v>0</v>
      </c>
      <c r="V52" s="93">
        <f t="shared" si="10"/>
        <v>0</v>
      </c>
      <c r="W52" s="127">
        <f t="shared" si="11"/>
        <v>0</v>
      </c>
    </row>
    <row r="53" spans="2:23">
      <c r="B53" s="123">
        <f>Amnt_Deposited!B48</f>
        <v>2034</v>
      </c>
      <c r="C53" s="126">
        <f>Amnt_Deposited!C48</f>
        <v>0</v>
      </c>
      <c r="D53" s="537">
        <f>Dry_Matter_Content!C40</f>
        <v>0.59</v>
      </c>
      <c r="E53" s="382">
        <f>MCF!R52</f>
        <v>0.4</v>
      </c>
      <c r="F53" s="93">
        <f t="shared" si="12"/>
        <v>0</v>
      </c>
      <c r="G53" s="93">
        <f t="shared" si="13"/>
        <v>0</v>
      </c>
      <c r="H53" s="93">
        <f t="shared" si="14"/>
        <v>0</v>
      </c>
      <c r="I53" s="93">
        <f t="shared" si="15"/>
        <v>0</v>
      </c>
      <c r="J53" s="93">
        <f t="shared" si="16"/>
        <v>0</v>
      </c>
      <c r="K53" s="127">
        <f t="shared" si="6"/>
        <v>0</v>
      </c>
      <c r="O53" s="123">
        <f>Amnt_Deposited!B48</f>
        <v>2034</v>
      </c>
      <c r="P53" s="126">
        <f>Amnt_Deposited!C48</f>
        <v>0</v>
      </c>
      <c r="Q53" s="382">
        <f>MCF!R52</f>
        <v>0.4</v>
      </c>
      <c r="R53" s="93">
        <f t="shared" si="17"/>
        <v>0</v>
      </c>
      <c r="S53" s="93">
        <f t="shared" si="7"/>
        <v>0</v>
      </c>
      <c r="T53" s="93">
        <f t="shared" si="8"/>
        <v>0</v>
      </c>
      <c r="U53" s="93">
        <f t="shared" si="9"/>
        <v>0</v>
      </c>
      <c r="V53" s="93">
        <f t="shared" si="10"/>
        <v>0</v>
      </c>
      <c r="W53" s="127">
        <f t="shared" si="11"/>
        <v>0</v>
      </c>
    </row>
    <row r="54" spans="2:23">
      <c r="B54" s="123">
        <f>Amnt_Deposited!B49</f>
        <v>2035</v>
      </c>
      <c r="C54" s="126">
        <f>Amnt_Deposited!C49</f>
        <v>0</v>
      </c>
      <c r="D54" s="537">
        <f>Dry_Matter_Content!C41</f>
        <v>0.59</v>
      </c>
      <c r="E54" s="382">
        <f>MCF!R53</f>
        <v>0.4</v>
      </c>
      <c r="F54" s="93">
        <f t="shared" si="12"/>
        <v>0</v>
      </c>
      <c r="G54" s="93">
        <f t="shared" si="13"/>
        <v>0</v>
      </c>
      <c r="H54" s="93">
        <f t="shared" si="14"/>
        <v>0</v>
      </c>
      <c r="I54" s="93">
        <f t="shared" si="15"/>
        <v>0</v>
      </c>
      <c r="J54" s="93">
        <f t="shared" si="16"/>
        <v>0</v>
      </c>
      <c r="K54" s="127">
        <f t="shared" si="6"/>
        <v>0</v>
      </c>
      <c r="O54" s="123">
        <f>Amnt_Deposited!B49</f>
        <v>2035</v>
      </c>
      <c r="P54" s="126">
        <f>Amnt_Deposited!C49</f>
        <v>0</v>
      </c>
      <c r="Q54" s="382">
        <f>MCF!R53</f>
        <v>0.4</v>
      </c>
      <c r="R54" s="93">
        <f t="shared" si="17"/>
        <v>0</v>
      </c>
      <c r="S54" s="93">
        <f t="shared" si="7"/>
        <v>0</v>
      </c>
      <c r="T54" s="93">
        <f t="shared" si="8"/>
        <v>0</v>
      </c>
      <c r="U54" s="93">
        <f t="shared" si="9"/>
        <v>0</v>
      </c>
      <c r="V54" s="93">
        <f t="shared" si="10"/>
        <v>0</v>
      </c>
      <c r="W54" s="127">
        <f t="shared" si="11"/>
        <v>0</v>
      </c>
    </row>
    <row r="55" spans="2:23">
      <c r="B55" s="123">
        <f>Amnt_Deposited!B50</f>
        <v>2036</v>
      </c>
      <c r="C55" s="126">
        <f>Amnt_Deposited!C50</f>
        <v>0</v>
      </c>
      <c r="D55" s="537">
        <f>Dry_Matter_Content!C42</f>
        <v>0.59</v>
      </c>
      <c r="E55" s="382">
        <f>MCF!R54</f>
        <v>0.4</v>
      </c>
      <c r="F55" s="93">
        <f t="shared" si="12"/>
        <v>0</v>
      </c>
      <c r="G55" s="93">
        <f t="shared" si="13"/>
        <v>0</v>
      </c>
      <c r="H55" s="93">
        <f t="shared" si="14"/>
        <v>0</v>
      </c>
      <c r="I55" s="93">
        <f t="shared" si="15"/>
        <v>0</v>
      </c>
      <c r="J55" s="93">
        <f t="shared" si="16"/>
        <v>0</v>
      </c>
      <c r="K55" s="127">
        <f t="shared" si="6"/>
        <v>0</v>
      </c>
      <c r="O55" s="123">
        <f>Amnt_Deposited!B50</f>
        <v>2036</v>
      </c>
      <c r="P55" s="126">
        <f>Amnt_Deposited!C50</f>
        <v>0</v>
      </c>
      <c r="Q55" s="382">
        <f>MCF!R54</f>
        <v>0.4</v>
      </c>
      <c r="R55" s="93">
        <f t="shared" si="17"/>
        <v>0</v>
      </c>
      <c r="S55" s="93">
        <f t="shared" si="7"/>
        <v>0</v>
      </c>
      <c r="T55" s="93">
        <f t="shared" si="8"/>
        <v>0</v>
      </c>
      <c r="U55" s="93">
        <f t="shared" si="9"/>
        <v>0</v>
      </c>
      <c r="V55" s="93">
        <f t="shared" si="10"/>
        <v>0</v>
      </c>
      <c r="W55" s="127">
        <f t="shared" si="11"/>
        <v>0</v>
      </c>
    </row>
    <row r="56" spans="2:23">
      <c r="B56" s="123">
        <f>Amnt_Deposited!B51</f>
        <v>2037</v>
      </c>
      <c r="C56" s="126">
        <f>Amnt_Deposited!C51</f>
        <v>0</v>
      </c>
      <c r="D56" s="537">
        <f>Dry_Matter_Content!C43</f>
        <v>0.59</v>
      </c>
      <c r="E56" s="382">
        <f>MCF!R55</f>
        <v>0.4</v>
      </c>
      <c r="F56" s="93">
        <f t="shared" si="12"/>
        <v>0</v>
      </c>
      <c r="G56" s="93">
        <f t="shared" si="13"/>
        <v>0</v>
      </c>
      <c r="H56" s="93">
        <f t="shared" si="14"/>
        <v>0</v>
      </c>
      <c r="I56" s="93">
        <f t="shared" si="15"/>
        <v>0</v>
      </c>
      <c r="J56" s="93">
        <f t="shared" si="16"/>
        <v>0</v>
      </c>
      <c r="K56" s="127">
        <f t="shared" si="6"/>
        <v>0</v>
      </c>
      <c r="O56" s="123">
        <f>Amnt_Deposited!B51</f>
        <v>2037</v>
      </c>
      <c r="P56" s="126">
        <f>Amnt_Deposited!C51</f>
        <v>0</v>
      </c>
      <c r="Q56" s="382">
        <f>MCF!R55</f>
        <v>0.4</v>
      </c>
      <c r="R56" s="93">
        <f t="shared" si="17"/>
        <v>0</v>
      </c>
      <c r="S56" s="93">
        <f t="shared" si="7"/>
        <v>0</v>
      </c>
      <c r="T56" s="93">
        <f t="shared" si="8"/>
        <v>0</v>
      </c>
      <c r="U56" s="93">
        <f t="shared" si="9"/>
        <v>0</v>
      </c>
      <c r="V56" s="93">
        <f t="shared" si="10"/>
        <v>0</v>
      </c>
      <c r="W56" s="127">
        <f t="shared" si="11"/>
        <v>0</v>
      </c>
    </row>
    <row r="57" spans="2:23">
      <c r="B57" s="123">
        <f>Amnt_Deposited!B52</f>
        <v>2038</v>
      </c>
      <c r="C57" s="126">
        <f>Amnt_Deposited!C52</f>
        <v>0</v>
      </c>
      <c r="D57" s="537">
        <f>Dry_Matter_Content!C44</f>
        <v>0.59</v>
      </c>
      <c r="E57" s="382">
        <f>MCF!R56</f>
        <v>0.4</v>
      </c>
      <c r="F57" s="93">
        <f t="shared" si="12"/>
        <v>0</v>
      </c>
      <c r="G57" s="93">
        <f t="shared" si="13"/>
        <v>0</v>
      </c>
      <c r="H57" s="93">
        <f t="shared" si="14"/>
        <v>0</v>
      </c>
      <c r="I57" s="93">
        <f t="shared" si="15"/>
        <v>0</v>
      </c>
      <c r="J57" s="93">
        <f t="shared" si="16"/>
        <v>0</v>
      </c>
      <c r="K57" s="127">
        <f t="shared" si="6"/>
        <v>0</v>
      </c>
      <c r="O57" s="123">
        <f>Amnt_Deposited!B52</f>
        <v>2038</v>
      </c>
      <c r="P57" s="126">
        <f>Amnt_Deposited!C52</f>
        <v>0</v>
      </c>
      <c r="Q57" s="382">
        <f>MCF!R56</f>
        <v>0.4</v>
      </c>
      <c r="R57" s="93">
        <f t="shared" si="17"/>
        <v>0</v>
      </c>
      <c r="S57" s="93">
        <f t="shared" si="7"/>
        <v>0</v>
      </c>
      <c r="T57" s="93">
        <f t="shared" si="8"/>
        <v>0</v>
      </c>
      <c r="U57" s="93">
        <f t="shared" si="9"/>
        <v>0</v>
      </c>
      <c r="V57" s="93">
        <f t="shared" si="10"/>
        <v>0</v>
      </c>
      <c r="W57" s="127">
        <f t="shared" si="11"/>
        <v>0</v>
      </c>
    </row>
    <row r="58" spans="2:23">
      <c r="B58" s="123">
        <f>Amnt_Deposited!B53</f>
        <v>2039</v>
      </c>
      <c r="C58" s="126">
        <f>Amnt_Deposited!C53</f>
        <v>0</v>
      </c>
      <c r="D58" s="537">
        <f>Dry_Matter_Content!C45</f>
        <v>0.59</v>
      </c>
      <c r="E58" s="382">
        <f>MCF!R57</f>
        <v>0.4</v>
      </c>
      <c r="F58" s="93">
        <f t="shared" si="12"/>
        <v>0</v>
      </c>
      <c r="G58" s="93">
        <f t="shared" si="13"/>
        <v>0</v>
      </c>
      <c r="H58" s="93">
        <f t="shared" si="14"/>
        <v>0</v>
      </c>
      <c r="I58" s="93">
        <f t="shared" si="15"/>
        <v>0</v>
      </c>
      <c r="J58" s="93">
        <f t="shared" si="16"/>
        <v>0</v>
      </c>
      <c r="K58" s="127">
        <f t="shared" si="6"/>
        <v>0</v>
      </c>
      <c r="O58" s="123">
        <f>Amnt_Deposited!B53</f>
        <v>2039</v>
      </c>
      <c r="P58" s="126">
        <f>Amnt_Deposited!C53</f>
        <v>0</v>
      </c>
      <c r="Q58" s="382">
        <f>MCF!R57</f>
        <v>0.4</v>
      </c>
      <c r="R58" s="93">
        <f t="shared" si="17"/>
        <v>0</v>
      </c>
      <c r="S58" s="93">
        <f t="shared" si="7"/>
        <v>0</v>
      </c>
      <c r="T58" s="93">
        <f t="shared" si="8"/>
        <v>0</v>
      </c>
      <c r="U58" s="93">
        <f t="shared" si="9"/>
        <v>0</v>
      </c>
      <c r="V58" s="93">
        <f t="shared" si="10"/>
        <v>0</v>
      </c>
      <c r="W58" s="127">
        <f t="shared" si="11"/>
        <v>0</v>
      </c>
    </row>
    <row r="59" spans="2:23">
      <c r="B59" s="123">
        <f>Amnt_Deposited!B54</f>
        <v>2040</v>
      </c>
      <c r="C59" s="126">
        <f>Amnt_Deposited!C54</f>
        <v>0</v>
      </c>
      <c r="D59" s="537">
        <f>Dry_Matter_Content!C46</f>
        <v>0.59</v>
      </c>
      <c r="E59" s="382">
        <f>MCF!R58</f>
        <v>0.4</v>
      </c>
      <c r="F59" s="93">
        <f t="shared" si="12"/>
        <v>0</v>
      </c>
      <c r="G59" s="93">
        <f t="shared" si="13"/>
        <v>0</v>
      </c>
      <c r="H59" s="93">
        <f t="shared" si="14"/>
        <v>0</v>
      </c>
      <c r="I59" s="93">
        <f t="shared" si="15"/>
        <v>0</v>
      </c>
      <c r="J59" s="93">
        <f t="shared" si="16"/>
        <v>0</v>
      </c>
      <c r="K59" s="127">
        <f t="shared" si="6"/>
        <v>0</v>
      </c>
      <c r="O59" s="123">
        <f>Amnt_Deposited!B54</f>
        <v>2040</v>
      </c>
      <c r="P59" s="126">
        <f>Amnt_Deposited!C54</f>
        <v>0</v>
      </c>
      <c r="Q59" s="382">
        <f>MCF!R58</f>
        <v>0.4</v>
      </c>
      <c r="R59" s="93">
        <f t="shared" si="17"/>
        <v>0</v>
      </c>
      <c r="S59" s="93">
        <f t="shared" si="7"/>
        <v>0</v>
      </c>
      <c r="T59" s="93">
        <f t="shared" si="8"/>
        <v>0</v>
      </c>
      <c r="U59" s="93">
        <f t="shared" si="9"/>
        <v>0</v>
      </c>
      <c r="V59" s="93">
        <f t="shared" si="10"/>
        <v>0</v>
      </c>
      <c r="W59" s="127">
        <f t="shared" si="11"/>
        <v>0</v>
      </c>
    </row>
    <row r="60" spans="2:23">
      <c r="B60" s="123">
        <f>Amnt_Deposited!B55</f>
        <v>2041</v>
      </c>
      <c r="C60" s="126">
        <f>Amnt_Deposited!C55</f>
        <v>0</v>
      </c>
      <c r="D60" s="537">
        <f>Dry_Matter_Content!C47</f>
        <v>0.59</v>
      </c>
      <c r="E60" s="382">
        <f>MCF!R59</f>
        <v>0.4</v>
      </c>
      <c r="F60" s="93">
        <f t="shared" si="12"/>
        <v>0</v>
      </c>
      <c r="G60" s="93">
        <f t="shared" si="13"/>
        <v>0</v>
      </c>
      <c r="H60" s="93">
        <f t="shared" si="14"/>
        <v>0</v>
      </c>
      <c r="I60" s="93">
        <f t="shared" si="15"/>
        <v>0</v>
      </c>
      <c r="J60" s="93">
        <f t="shared" si="16"/>
        <v>0</v>
      </c>
      <c r="K60" s="127">
        <f t="shared" si="6"/>
        <v>0</v>
      </c>
      <c r="O60" s="123">
        <f>Amnt_Deposited!B55</f>
        <v>2041</v>
      </c>
      <c r="P60" s="126">
        <f>Amnt_Deposited!C55</f>
        <v>0</v>
      </c>
      <c r="Q60" s="382">
        <f>MCF!R59</f>
        <v>0.4</v>
      </c>
      <c r="R60" s="93">
        <f t="shared" si="17"/>
        <v>0</v>
      </c>
      <c r="S60" s="93">
        <f t="shared" si="7"/>
        <v>0</v>
      </c>
      <c r="T60" s="93">
        <f t="shared" si="8"/>
        <v>0</v>
      </c>
      <c r="U60" s="93">
        <f t="shared" si="9"/>
        <v>0</v>
      </c>
      <c r="V60" s="93">
        <f t="shared" si="10"/>
        <v>0</v>
      </c>
      <c r="W60" s="127">
        <f t="shared" si="11"/>
        <v>0</v>
      </c>
    </row>
    <row r="61" spans="2:23">
      <c r="B61" s="123">
        <f>Amnt_Deposited!B56</f>
        <v>2042</v>
      </c>
      <c r="C61" s="126">
        <f>Amnt_Deposited!C56</f>
        <v>0</v>
      </c>
      <c r="D61" s="537">
        <f>Dry_Matter_Content!C48</f>
        <v>0.59</v>
      </c>
      <c r="E61" s="382">
        <f>MCF!R60</f>
        <v>0.4</v>
      </c>
      <c r="F61" s="93">
        <f t="shared" si="12"/>
        <v>0</v>
      </c>
      <c r="G61" s="93">
        <f t="shared" si="13"/>
        <v>0</v>
      </c>
      <c r="H61" s="93">
        <f t="shared" si="14"/>
        <v>0</v>
      </c>
      <c r="I61" s="93">
        <f t="shared" si="15"/>
        <v>0</v>
      </c>
      <c r="J61" s="93">
        <f t="shared" si="16"/>
        <v>0</v>
      </c>
      <c r="K61" s="127">
        <f t="shared" si="6"/>
        <v>0</v>
      </c>
      <c r="O61" s="123">
        <f>Amnt_Deposited!B56</f>
        <v>2042</v>
      </c>
      <c r="P61" s="126">
        <f>Amnt_Deposited!C56</f>
        <v>0</v>
      </c>
      <c r="Q61" s="382">
        <f>MCF!R60</f>
        <v>0.4</v>
      </c>
      <c r="R61" s="93">
        <f t="shared" si="17"/>
        <v>0</v>
      </c>
      <c r="S61" s="93">
        <f t="shared" si="7"/>
        <v>0</v>
      </c>
      <c r="T61" s="93">
        <f t="shared" si="8"/>
        <v>0</v>
      </c>
      <c r="U61" s="93">
        <f t="shared" si="9"/>
        <v>0</v>
      </c>
      <c r="V61" s="93">
        <f t="shared" si="10"/>
        <v>0</v>
      </c>
      <c r="W61" s="127">
        <f t="shared" si="11"/>
        <v>0</v>
      </c>
    </row>
    <row r="62" spans="2:23">
      <c r="B62" s="123">
        <f>Amnt_Deposited!B57</f>
        <v>2043</v>
      </c>
      <c r="C62" s="126">
        <f>Amnt_Deposited!C57</f>
        <v>0</v>
      </c>
      <c r="D62" s="537">
        <f>Dry_Matter_Content!C49</f>
        <v>0.59</v>
      </c>
      <c r="E62" s="382">
        <f>MCF!R61</f>
        <v>0.4</v>
      </c>
      <c r="F62" s="93">
        <f t="shared" si="12"/>
        <v>0</v>
      </c>
      <c r="G62" s="93">
        <f t="shared" si="13"/>
        <v>0</v>
      </c>
      <c r="H62" s="93">
        <f t="shared" si="14"/>
        <v>0</v>
      </c>
      <c r="I62" s="93">
        <f t="shared" si="15"/>
        <v>0</v>
      </c>
      <c r="J62" s="93">
        <f t="shared" si="16"/>
        <v>0</v>
      </c>
      <c r="K62" s="127">
        <f t="shared" si="6"/>
        <v>0</v>
      </c>
      <c r="O62" s="123">
        <f>Amnt_Deposited!B57</f>
        <v>2043</v>
      </c>
      <c r="P62" s="126">
        <f>Amnt_Deposited!C57</f>
        <v>0</v>
      </c>
      <c r="Q62" s="382">
        <f>MCF!R61</f>
        <v>0.4</v>
      </c>
      <c r="R62" s="93">
        <f t="shared" si="17"/>
        <v>0</v>
      </c>
      <c r="S62" s="93">
        <f t="shared" si="7"/>
        <v>0</v>
      </c>
      <c r="T62" s="93">
        <f t="shared" si="8"/>
        <v>0</v>
      </c>
      <c r="U62" s="93">
        <f t="shared" si="9"/>
        <v>0</v>
      </c>
      <c r="V62" s="93">
        <f t="shared" si="10"/>
        <v>0</v>
      </c>
      <c r="W62" s="127">
        <f t="shared" si="11"/>
        <v>0</v>
      </c>
    </row>
    <row r="63" spans="2:23">
      <c r="B63" s="123">
        <f>Amnt_Deposited!B58</f>
        <v>2044</v>
      </c>
      <c r="C63" s="126">
        <f>Amnt_Deposited!C58</f>
        <v>0</v>
      </c>
      <c r="D63" s="537">
        <f>Dry_Matter_Content!C50</f>
        <v>0.59</v>
      </c>
      <c r="E63" s="382">
        <f>MCF!R62</f>
        <v>0.4</v>
      </c>
      <c r="F63" s="93">
        <f t="shared" si="12"/>
        <v>0</v>
      </c>
      <c r="G63" s="93">
        <f t="shared" si="13"/>
        <v>0</v>
      </c>
      <c r="H63" s="93">
        <f t="shared" si="14"/>
        <v>0</v>
      </c>
      <c r="I63" s="93">
        <f t="shared" si="15"/>
        <v>0</v>
      </c>
      <c r="J63" s="93">
        <f t="shared" si="16"/>
        <v>0</v>
      </c>
      <c r="K63" s="127">
        <f t="shared" si="6"/>
        <v>0</v>
      </c>
      <c r="O63" s="123">
        <f>Amnt_Deposited!B58</f>
        <v>2044</v>
      </c>
      <c r="P63" s="126">
        <f>Amnt_Deposited!C58</f>
        <v>0</v>
      </c>
      <c r="Q63" s="382">
        <f>MCF!R62</f>
        <v>0.4</v>
      </c>
      <c r="R63" s="93">
        <f t="shared" si="17"/>
        <v>0</v>
      </c>
      <c r="S63" s="93">
        <f t="shared" si="7"/>
        <v>0</v>
      </c>
      <c r="T63" s="93">
        <f t="shared" si="8"/>
        <v>0</v>
      </c>
      <c r="U63" s="93">
        <f t="shared" si="9"/>
        <v>0</v>
      </c>
      <c r="V63" s="93">
        <f t="shared" si="10"/>
        <v>0</v>
      </c>
      <c r="W63" s="127">
        <f t="shared" si="11"/>
        <v>0</v>
      </c>
    </row>
    <row r="64" spans="2:23">
      <c r="B64" s="123">
        <f>Amnt_Deposited!B59</f>
        <v>2045</v>
      </c>
      <c r="C64" s="126">
        <f>Amnt_Deposited!C59</f>
        <v>0</v>
      </c>
      <c r="D64" s="537">
        <f>Dry_Matter_Content!C51</f>
        <v>0.59</v>
      </c>
      <c r="E64" s="382">
        <f>MCF!R63</f>
        <v>0.4</v>
      </c>
      <c r="F64" s="93">
        <f t="shared" si="12"/>
        <v>0</v>
      </c>
      <c r="G64" s="93">
        <f t="shared" si="13"/>
        <v>0</v>
      </c>
      <c r="H64" s="93">
        <f t="shared" si="14"/>
        <v>0</v>
      </c>
      <c r="I64" s="93">
        <f t="shared" si="15"/>
        <v>0</v>
      </c>
      <c r="J64" s="93">
        <f t="shared" si="16"/>
        <v>0</v>
      </c>
      <c r="K64" s="127">
        <f t="shared" si="6"/>
        <v>0</v>
      </c>
      <c r="O64" s="123">
        <f>Amnt_Deposited!B59</f>
        <v>2045</v>
      </c>
      <c r="P64" s="126">
        <f>Amnt_Deposited!C59</f>
        <v>0</v>
      </c>
      <c r="Q64" s="382">
        <f>MCF!R63</f>
        <v>0.4</v>
      </c>
      <c r="R64" s="93">
        <f t="shared" si="17"/>
        <v>0</v>
      </c>
      <c r="S64" s="93">
        <f t="shared" si="7"/>
        <v>0</v>
      </c>
      <c r="T64" s="93">
        <f t="shared" si="8"/>
        <v>0</v>
      </c>
      <c r="U64" s="93">
        <f t="shared" si="9"/>
        <v>0</v>
      </c>
      <c r="V64" s="93">
        <f t="shared" si="10"/>
        <v>0</v>
      </c>
      <c r="W64" s="127">
        <f t="shared" si="11"/>
        <v>0</v>
      </c>
    </row>
    <row r="65" spans="2:23">
      <c r="B65" s="123">
        <f>Amnt_Deposited!B60</f>
        <v>2046</v>
      </c>
      <c r="C65" s="126">
        <f>Amnt_Deposited!C60</f>
        <v>0</v>
      </c>
      <c r="D65" s="537">
        <f>Dry_Matter_Content!C52</f>
        <v>0.59</v>
      </c>
      <c r="E65" s="382">
        <f>MCF!R64</f>
        <v>0.4</v>
      </c>
      <c r="F65" s="93">
        <f t="shared" si="12"/>
        <v>0</v>
      </c>
      <c r="G65" s="93">
        <f t="shared" si="13"/>
        <v>0</v>
      </c>
      <c r="H65" s="93">
        <f t="shared" si="14"/>
        <v>0</v>
      </c>
      <c r="I65" s="93">
        <f t="shared" si="15"/>
        <v>0</v>
      </c>
      <c r="J65" s="93">
        <f t="shared" si="16"/>
        <v>0</v>
      </c>
      <c r="K65" s="127">
        <f t="shared" si="6"/>
        <v>0</v>
      </c>
      <c r="O65" s="123">
        <f>Amnt_Deposited!B60</f>
        <v>2046</v>
      </c>
      <c r="P65" s="126">
        <f>Amnt_Deposited!C60</f>
        <v>0</v>
      </c>
      <c r="Q65" s="382">
        <f>MCF!R64</f>
        <v>0.4</v>
      </c>
      <c r="R65" s="93">
        <f t="shared" si="17"/>
        <v>0</v>
      </c>
      <c r="S65" s="93">
        <f t="shared" si="7"/>
        <v>0</v>
      </c>
      <c r="T65" s="93">
        <f t="shared" si="8"/>
        <v>0</v>
      </c>
      <c r="U65" s="93">
        <f t="shared" si="9"/>
        <v>0</v>
      </c>
      <c r="V65" s="93">
        <f t="shared" si="10"/>
        <v>0</v>
      </c>
      <c r="W65" s="127">
        <f t="shared" si="11"/>
        <v>0</v>
      </c>
    </row>
    <row r="66" spans="2:23">
      <c r="B66" s="123">
        <f>Amnt_Deposited!B61</f>
        <v>2047</v>
      </c>
      <c r="C66" s="126">
        <f>Amnt_Deposited!C61</f>
        <v>0</v>
      </c>
      <c r="D66" s="537">
        <f>Dry_Matter_Content!C53</f>
        <v>0.59</v>
      </c>
      <c r="E66" s="382">
        <f>MCF!R65</f>
        <v>0.4</v>
      </c>
      <c r="F66" s="93">
        <f t="shared" si="12"/>
        <v>0</v>
      </c>
      <c r="G66" s="93">
        <f t="shared" si="13"/>
        <v>0</v>
      </c>
      <c r="H66" s="93">
        <f t="shared" si="14"/>
        <v>0</v>
      </c>
      <c r="I66" s="93">
        <f t="shared" si="15"/>
        <v>0</v>
      </c>
      <c r="J66" s="93">
        <f t="shared" si="16"/>
        <v>0</v>
      </c>
      <c r="K66" s="127">
        <f t="shared" si="6"/>
        <v>0</v>
      </c>
      <c r="O66" s="123">
        <f>Amnt_Deposited!B61</f>
        <v>2047</v>
      </c>
      <c r="P66" s="126">
        <f>Amnt_Deposited!C61</f>
        <v>0</v>
      </c>
      <c r="Q66" s="382">
        <f>MCF!R65</f>
        <v>0.4</v>
      </c>
      <c r="R66" s="93">
        <f t="shared" si="17"/>
        <v>0</v>
      </c>
      <c r="S66" s="93">
        <f t="shared" si="7"/>
        <v>0</v>
      </c>
      <c r="T66" s="93">
        <f t="shared" si="8"/>
        <v>0</v>
      </c>
      <c r="U66" s="93">
        <f t="shared" si="9"/>
        <v>0</v>
      </c>
      <c r="V66" s="93">
        <f t="shared" si="10"/>
        <v>0</v>
      </c>
      <c r="W66" s="127">
        <f t="shared" si="11"/>
        <v>0</v>
      </c>
    </row>
    <row r="67" spans="2:23">
      <c r="B67" s="123">
        <f>Amnt_Deposited!B62</f>
        <v>2048</v>
      </c>
      <c r="C67" s="126">
        <f>Amnt_Deposited!C62</f>
        <v>0</v>
      </c>
      <c r="D67" s="537">
        <f>Dry_Matter_Content!C54</f>
        <v>0.59</v>
      </c>
      <c r="E67" s="382">
        <f>MCF!R66</f>
        <v>0.4</v>
      </c>
      <c r="F67" s="93">
        <f t="shared" si="12"/>
        <v>0</v>
      </c>
      <c r="G67" s="93">
        <f t="shared" si="13"/>
        <v>0</v>
      </c>
      <c r="H67" s="93">
        <f t="shared" si="14"/>
        <v>0</v>
      </c>
      <c r="I67" s="93">
        <f t="shared" si="15"/>
        <v>0</v>
      </c>
      <c r="J67" s="93">
        <f t="shared" si="16"/>
        <v>0</v>
      </c>
      <c r="K67" s="127">
        <f t="shared" si="6"/>
        <v>0</v>
      </c>
      <c r="O67" s="123">
        <f>Amnt_Deposited!B62</f>
        <v>2048</v>
      </c>
      <c r="P67" s="126">
        <f>Amnt_Deposited!C62</f>
        <v>0</v>
      </c>
      <c r="Q67" s="382">
        <f>MCF!R66</f>
        <v>0.4</v>
      </c>
      <c r="R67" s="93">
        <f t="shared" si="17"/>
        <v>0</v>
      </c>
      <c r="S67" s="93">
        <f t="shared" si="7"/>
        <v>0</v>
      </c>
      <c r="T67" s="93">
        <f t="shared" si="8"/>
        <v>0</v>
      </c>
      <c r="U67" s="93">
        <f t="shared" si="9"/>
        <v>0</v>
      </c>
      <c r="V67" s="93">
        <f t="shared" si="10"/>
        <v>0</v>
      </c>
      <c r="W67" s="127">
        <f t="shared" si="11"/>
        <v>0</v>
      </c>
    </row>
    <row r="68" spans="2:23">
      <c r="B68" s="123">
        <f>Amnt_Deposited!B63</f>
        <v>2049</v>
      </c>
      <c r="C68" s="126">
        <f>Amnt_Deposited!C63</f>
        <v>0</v>
      </c>
      <c r="D68" s="537">
        <f>Dry_Matter_Content!C55</f>
        <v>0.59</v>
      </c>
      <c r="E68" s="382">
        <f>MCF!R67</f>
        <v>0.4</v>
      </c>
      <c r="F68" s="93">
        <f t="shared" si="12"/>
        <v>0</v>
      </c>
      <c r="G68" s="93">
        <f t="shared" si="13"/>
        <v>0</v>
      </c>
      <c r="H68" s="93">
        <f t="shared" si="14"/>
        <v>0</v>
      </c>
      <c r="I68" s="93">
        <f t="shared" si="15"/>
        <v>0</v>
      </c>
      <c r="J68" s="93">
        <f t="shared" si="16"/>
        <v>0</v>
      </c>
      <c r="K68" s="127">
        <f t="shared" si="6"/>
        <v>0</v>
      </c>
      <c r="O68" s="123">
        <f>Amnt_Deposited!B63</f>
        <v>2049</v>
      </c>
      <c r="P68" s="126">
        <f>Amnt_Deposited!C63</f>
        <v>0</v>
      </c>
      <c r="Q68" s="382">
        <f>MCF!R67</f>
        <v>0.4</v>
      </c>
      <c r="R68" s="93">
        <f t="shared" si="17"/>
        <v>0</v>
      </c>
      <c r="S68" s="93">
        <f t="shared" si="7"/>
        <v>0</v>
      </c>
      <c r="T68" s="93">
        <f t="shared" si="8"/>
        <v>0</v>
      </c>
      <c r="U68" s="93">
        <f t="shared" si="9"/>
        <v>0</v>
      </c>
      <c r="V68" s="93">
        <f t="shared" si="10"/>
        <v>0</v>
      </c>
      <c r="W68" s="127">
        <f t="shared" si="11"/>
        <v>0</v>
      </c>
    </row>
    <row r="69" spans="2:23">
      <c r="B69" s="123">
        <f>Amnt_Deposited!B64</f>
        <v>2050</v>
      </c>
      <c r="C69" s="126">
        <f>Amnt_Deposited!C64</f>
        <v>0</v>
      </c>
      <c r="D69" s="537">
        <f>Dry_Matter_Content!C56</f>
        <v>0.59</v>
      </c>
      <c r="E69" s="382">
        <f>MCF!R68</f>
        <v>0.4</v>
      </c>
      <c r="F69" s="93">
        <f t="shared" si="12"/>
        <v>0</v>
      </c>
      <c r="G69" s="93">
        <f t="shared" si="13"/>
        <v>0</v>
      </c>
      <c r="H69" s="93">
        <f t="shared" si="14"/>
        <v>0</v>
      </c>
      <c r="I69" s="93">
        <f t="shared" si="15"/>
        <v>0</v>
      </c>
      <c r="J69" s="93">
        <f t="shared" si="16"/>
        <v>0</v>
      </c>
      <c r="K69" s="127">
        <f t="shared" si="6"/>
        <v>0</v>
      </c>
      <c r="O69" s="123">
        <f>Amnt_Deposited!B64</f>
        <v>2050</v>
      </c>
      <c r="P69" s="126">
        <f>Amnt_Deposited!C64</f>
        <v>0</v>
      </c>
      <c r="Q69" s="382">
        <f>MCF!R68</f>
        <v>0.4</v>
      </c>
      <c r="R69" s="93">
        <f t="shared" si="17"/>
        <v>0</v>
      </c>
      <c r="S69" s="93">
        <f t="shared" si="7"/>
        <v>0</v>
      </c>
      <c r="T69" s="93">
        <f t="shared" si="8"/>
        <v>0</v>
      </c>
      <c r="U69" s="93">
        <f t="shared" si="9"/>
        <v>0</v>
      </c>
      <c r="V69" s="93">
        <f t="shared" si="10"/>
        <v>0</v>
      </c>
      <c r="W69" s="127">
        <f t="shared" si="11"/>
        <v>0</v>
      </c>
    </row>
    <row r="70" spans="2:23">
      <c r="B70" s="123">
        <f>Amnt_Deposited!B65</f>
        <v>2051</v>
      </c>
      <c r="C70" s="126">
        <f>Amnt_Deposited!C65</f>
        <v>0</v>
      </c>
      <c r="D70" s="537">
        <f>Dry_Matter_Content!C57</f>
        <v>0.59</v>
      </c>
      <c r="E70" s="382">
        <f>MCF!R69</f>
        <v>0.4</v>
      </c>
      <c r="F70" s="93">
        <f t="shared" si="12"/>
        <v>0</v>
      </c>
      <c r="G70" s="93">
        <f t="shared" si="13"/>
        <v>0</v>
      </c>
      <c r="H70" s="93">
        <f t="shared" si="14"/>
        <v>0</v>
      </c>
      <c r="I70" s="93">
        <f t="shared" si="15"/>
        <v>0</v>
      </c>
      <c r="J70" s="93">
        <f t="shared" si="16"/>
        <v>0</v>
      </c>
      <c r="K70" s="127">
        <f t="shared" si="6"/>
        <v>0</v>
      </c>
      <c r="O70" s="123">
        <f>Amnt_Deposited!B65</f>
        <v>2051</v>
      </c>
      <c r="P70" s="126">
        <f>Amnt_Deposited!C65</f>
        <v>0</v>
      </c>
      <c r="Q70" s="382">
        <f>MCF!R69</f>
        <v>0.4</v>
      </c>
      <c r="R70" s="93">
        <f t="shared" si="17"/>
        <v>0</v>
      </c>
      <c r="S70" s="93">
        <f t="shared" si="7"/>
        <v>0</v>
      </c>
      <c r="T70" s="93">
        <f t="shared" si="8"/>
        <v>0</v>
      </c>
      <c r="U70" s="93">
        <f t="shared" si="9"/>
        <v>0</v>
      </c>
      <c r="V70" s="93">
        <f t="shared" si="10"/>
        <v>0</v>
      </c>
      <c r="W70" s="127">
        <f t="shared" si="11"/>
        <v>0</v>
      </c>
    </row>
    <row r="71" spans="2:23">
      <c r="B71" s="123">
        <f>Amnt_Deposited!B66</f>
        <v>2052</v>
      </c>
      <c r="C71" s="126">
        <f>Amnt_Deposited!C66</f>
        <v>0</v>
      </c>
      <c r="D71" s="537">
        <f>Dry_Matter_Content!C58</f>
        <v>0.59</v>
      </c>
      <c r="E71" s="382">
        <f>MCF!R70</f>
        <v>0.4</v>
      </c>
      <c r="F71" s="93">
        <f t="shared" si="12"/>
        <v>0</v>
      </c>
      <c r="G71" s="93">
        <f t="shared" si="13"/>
        <v>0</v>
      </c>
      <c r="H71" s="93">
        <f t="shared" si="14"/>
        <v>0</v>
      </c>
      <c r="I71" s="93">
        <f t="shared" si="15"/>
        <v>0</v>
      </c>
      <c r="J71" s="93">
        <f t="shared" si="16"/>
        <v>0</v>
      </c>
      <c r="K71" s="127">
        <f t="shared" si="6"/>
        <v>0</v>
      </c>
      <c r="O71" s="123">
        <f>Amnt_Deposited!B66</f>
        <v>2052</v>
      </c>
      <c r="P71" s="126">
        <f>Amnt_Deposited!C66</f>
        <v>0</v>
      </c>
      <c r="Q71" s="382">
        <f>MCF!R70</f>
        <v>0.4</v>
      </c>
      <c r="R71" s="93">
        <f t="shared" si="17"/>
        <v>0</v>
      </c>
      <c r="S71" s="93">
        <f t="shared" si="7"/>
        <v>0</v>
      </c>
      <c r="T71" s="93">
        <f t="shared" si="8"/>
        <v>0</v>
      </c>
      <c r="U71" s="93">
        <f t="shared" si="9"/>
        <v>0</v>
      </c>
      <c r="V71" s="93">
        <f t="shared" si="10"/>
        <v>0</v>
      </c>
      <c r="W71" s="127">
        <f t="shared" si="11"/>
        <v>0</v>
      </c>
    </row>
    <row r="72" spans="2:23">
      <c r="B72" s="123">
        <f>Amnt_Deposited!B67</f>
        <v>2053</v>
      </c>
      <c r="C72" s="126">
        <f>Amnt_Deposited!C67</f>
        <v>0</v>
      </c>
      <c r="D72" s="537">
        <f>Dry_Matter_Content!C59</f>
        <v>0.59</v>
      </c>
      <c r="E72" s="382">
        <f>MCF!R71</f>
        <v>0.4</v>
      </c>
      <c r="F72" s="93">
        <f t="shared" si="12"/>
        <v>0</v>
      </c>
      <c r="G72" s="93">
        <f t="shared" si="13"/>
        <v>0</v>
      </c>
      <c r="H72" s="93">
        <f t="shared" si="14"/>
        <v>0</v>
      </c>
      <c r="I72" s="93">
        <f t="shared" si="15"/>
        <v>0</v>
      </c>
      <c r="J72" s="93">
        <f t="shared" si="16"/>
        <v>0</v>
      </c>
      <c r="K72" s="127">
        <f t="shared" si="6"/>
        <v>0</v>
      </c>
      <c r="O72" s="123">
        <f>Amnt_Deposited!B67</f>
        <v>2053</v>
      </c>
      <c r="P72" s="126">
        <f>Amnt_Deposited!C67</f>
        <v>0</v>
      </c>
      <c r="Q72" s="382">
        <f>MCF!R71</f>
        <v>0.4</v>
      </c>
      <c r="R72" s="93">
        <f t="shared" si="17"/>
        <v>0</v>
      </c>
      <c r="S72" s="93">
        <f t="shared" si="7"/>
        <v>0</v>
      </c>
      <c r="T72" s="93">
        <f t="shared" si="8"/>
        <v>0</v>
      </c>
      <c r="U72" s="93">
        <f t="shared" si="9"/>
        <v>0</v>
      </c>
      <c r="V72" s="93">
        <f t="shared" si="10"/>
        <v>0</v>
      </c>
      <c r="W72" s="127">
        <f t="shared" si="11"/>
        <v>0</v>
      </c>
    </row>
    <row r="73" spans="2:23">
      <c r="B73" s="123">
        <f>Amnt_Deposited!B68</f>
        <v>2054</v>
      </c>
      <c r="C73" s="126">
        <f>Amnt_Deposited!C68</f>
        <v>0</v>
      </c>
      <c r="D73" s="537">
        <f>Dry_Matter_Content!C60</f>
        <v>0.59</v>
      </c>
      <c r="E73" s="382">
        <f>MCF!R72</f>
        <v>0.4</v>
      </c>
      <c r="F73" s="93">
        <f t="shared" si="12"/>
        <v>0</v>
      </c>
      <c r="G73" s="93">
        <f t="shared" si="13"/>
        <v>0</v>
      </c>
      <c r="H73" s="93">
        <f t="shared" si="14"/>
        <v>0</v>
      </c>
      <c r="I73" s="93">
        <f t="shared" si="15"/>
        <v>0</v>
      </c>
      <c r="J73" s="93">
        <f t="shared" si="16"/>
        <v>0</v>
      </c>
      <c r="K73" s="127">
        <f t="shared" si="6"/>
        <v>0</v>
      </c>
      <c r="O73" s="123">
        <f>Amnt_Deposited!B68</f>
        <v>2054</v>
      </c>
      <c r="P73" s="126">
        <f>Amnt_Deposited!C68</f>
        <v>0</v>
      </c>
      <c r="Q73" s="382">
        <f>MCF!R72</f>
        <v>0.4</v>
      </c>
      <c r="R73" s="93">
        <f t="shared" si="17"/>
        <v>0</v>
      </c>
      <c r="S73" s="93">
        <f t="shared" si="7"/>
        <v>0</v>
      </c>
      <c r="T73" s="93">
        <f t="shared" si="8"/>
        <v>0</v>
      </c>
      <c r="U73" s="93">
        <f t="shared" si="9"/>
        <v>0</v>
      </c>
      <c r="V73" s="93">
        <f t="shared" si="10"/>
        <v>0</v>
      </c>
      <c r="W73" s="127">
        <f t="shared" si="11"/>
        <v>0</v>
      </c>
    </row>
    <row r="74" spans="2:23">
      <c r="B74" s="123">
        <f>Amnt_Deposited!B69</f>
        <v>2055</v>
      </c>
      <c r="C74" s="126">
        <f>Amnt_Deposited!C69</f>
        <v>0</v>
      </c>
      <c r="D74" s="537">
        <f>Dry_Matter_Content!C61</f>
        <v>0.59</v>
      </c>
      <c r="E74" s="382">
        <f>MCF!R73</f>
        <v>0.4</v>
      </c>
      <c r="F74" s="93">
        <f t="shared" si="12"/>
        <v>0</v>
      </c>
      <c r="G74" s="93">
        <f t="shared" si="13"/>
        <v>0</v>
      </c>
      <c r="H74" s="93">
        <f t="shared" si="14"/>
        <v>0</v>
      </c>
      <c r="I74" s="93">
        <f t="shared" si="15"/>
        <v>0</v>
      </c>
      <c r="J74" s="93">
        <f t="shared" si="16"/>
        <v>0</v>
      </c>
      <c r="K74" s="127">
        <f t="shared" si="6"/>
        <v>0</v>
      </c>
      <c r="O74" s="123">
        <f>Amnt_Deposited!B69</f>
        <v>2055</v>
      </c>
      <c r="P74" s="126">
        <f>Amnt_Deposited!C69</f>
        <v>0</v>
      </c>
      <c r="Q74" s="382">
        <f>MCF!R73</f>
        <v>0.4</v>
      </c>
      <c r="R74" s="93">
        <f t="shared" si="17"/>
        <v>0</v>
      </c>
      <c r="S74" s="93">
        <f t="shared" si="7"/>
        <v>0</v>
      </c>
      <c r="T74" s="93">
        <f t="shared" si="8"/>
        <v>0</v>
      </c>
      <c r="U74" s="93">
        <f t="shared" si="9"/>
        <v>0</v>
      </c>
      <c r="V74" s="93">
        <f t="shared" si="10"/>
        <v>0</v>
      </c>
      <c r="W74" s="127">
        <f t="shared" si="11"/>
        <v>0</v>
      </c>
    </row>
    <row r="75" spans="2:23">
      <c r="B75" s="123">
        <f>Amnt_Deposited!B70</f>
        <v>2056</v>
      </c>
      <c r="C75" s="126">
        <f>Amnt_Deposited!C70</f>
        <v>0</v>
      </c>
      <c r="D75" s="537">
        <f>Dry_Matter_Content!C62</f>
        <v>0.59</v>
      </c>
      <c r="E75" s="382">
        <f>MCF!R74</f>
        <v>0.4</v>
      </c>
      <c r="F75" s="93">
        <f t="shared" si="12"/>
        <v>0</v>
      </c>
      <c r="G75" s="93">
        <f t="shared" si="13"/>
        <v>0</v>
      </c>
      <c r="H75" s="93">
        <f t="shared" si="14"/>
        <v>0</v>
      </c>
      <c r="I75" s="93">
        <f t="shared" si="15"/>
        <v>0</v>
      </c>
      <c r="J75" s="93">
        <f t="shared" si="16"/>
        <v>0</v>
      </c>
      <c r="K75" s="127">
        <f t="shared" si="6"/>
        <v>0</v>
      </c>
      <c r="O75" s="123">
        <f>Amnt_Deposited!B70</f>
        <v>2056</v>
      </c>
      <c r="P75" s="126">
        <f>Amnt_Deposited!C70</f>
        <v>0</v>
      </c>
      <c r="Q75" s="382">
        <f>MCF!R74</f>
        <v>0.4</v>
      </c>
      <c r="R75" s="93">
        <f t="shared" si="17"/>
        <v>0</v>
      </c>
      <c r="S75" s="93">
        <f t="shared" si="7"/>
        <v>0</v>
      </c>
      <c r="T75" s="93">
        <f t="shared" si="8"/>
        <v>0</v>
      </c>
      <c r="U75" s="93">
        <f t="shared" si="9"/>
        <v>0</v>
      </c>
      <c r="V75" s="93">
        <f t="shared" si="10"/>
        <v>0</v>
      </c>
      <c r="W75" s="127">
        <f t="shared" si="11"/>
        <v>0</v>
      </c>
    </row>
    <row r="76" spans="2:23">
      <c r="B76" s="123">
        <f>Amnt_Deposited!B71</f>
        <v>2057</v>
      </c>
      <c r="C76" s="126">
        <f>Amnt_Deposited!C71</f>
        <v>0</v>
      </c>
      <c r="D76" s="537">
        <f>Dry_Matter_Content!C63</f>
        <v>0.59</v>
      </c>
      <c r="E76" s="382">
        <f>MCF!R75</f>
        <v>0.4</v>
      </c>
      <c r="F76" s="93">
        <f t="shared" si="12"/>
        <v>0</v>
      </c>
      <c r="G76" s="93">
        <f t="shared" si="13"/>
        <v>0</v>
      </c>
      <c r="H76" s="93">
        <f t="shared" si="14"/>
        <v>0</v>
      </c>
      <c r="I76" s="93">
        <f t="shared" si="15"/>
        <v>0</v>
      </c>
      <c r="J76" s="93">
        <f t="shared" si="16"/>
        <v>0</v>
      </c>
      <c r="K76" s="127">
        <f t="shared" si="6"/>
        <v>0</v>
      </c>
      <c r="O76" s="123">
        <f>Amnt_Deposited!B71</f>
        <v>2057</v>
      </c>
      <c r="P76" s="126">
        <f>Amnt_Deposited!C71</f>
        <v>0</v>
      </c>
      <c r="Q76" s="382">
        <f>MCF!R75</f>
        <v>0.4</v>
      </c>
      <c r="R76" s="93">
        <f t="shared" si="17"/>
        <v>0</v>
      </c>
      <c r="S76" s="93">
        <f t="shared" si="7"/>
        <v>0</v>
      </c>
      <c r="T76" s="93">
        <f t="shared" si="8"/>
        <v>0</v>
      </c>
      <c r="U76" s="93">
        <f t="shared" si="9"/>
        <v>0</v>
      </c>
      <c r="V76" s="93">
        <f t="shared" si="10"/>
        <v>0</v>
      </c>
      <c r="W76" s="127">
        <f t="shared" si="11"/>
        <v>0</v>
      </c>
    </row>
    <row r="77" spans="2:23">
      <c r="B77" s="123">
        <f>Amnt_Deposited!B72</f>
        <v>2058</v>
      </c>
      <c r="C77" s="126">
        <f>Amnt_Deposited!C72</f>
        <v>0</v>
      </c>
      <c r="D77" s="537">
        <f>Dry_Matter_Content!C64</f>
        <v>0.59</v>
      </c>
      <c r="E77" s="382">
        <f>MCF!R76</f>
        <v>0.4</v>
      </c>
      <c r="F77" s="93">
        <f t="shared" si="12"/>
        <v>0</v>
      </c>
      <c r="G77" s="93">
        <f t="shared" si="13"/>
        <v>0</v>
      </c>
      <c r="H77" s="93">
        <f t="shared" si="14"/>
        <v>0</v>
      </c>
      <c r="I77" s="93">
        <f t="shared" si="15"/>
        <v>0</v>
      </c>
      <c r="J77" s="93">
        <f t="shared" si="16"/>
        <v>0</v>
      </c>
      <c r="K77" s="127">
        <f t="shared" si="6"/>
        <v>0</v>
      </c>
      <c r="O77" s="123">
        <f>Amnt_Deposited!B72</f>
        <v>2058</v>
      </c>
      <c r="P77" s="126">
        <f>Amnt_Deposited!C72</f>
        <v>0</v>
      </c>
      <c r="Q77" s="382">
        <f>MCF!R76</f>
        <v>0.4</v>
      </c>
      <c r="R77" s="93">
        <f t="shared" si="17"/>
        <v>0</v>
      </c>
      <c r="S77" s="93">
        <f t="shared" si="7"/>
        <v>0</v>
      </c>
      <c r="T77" s="93">
        <f t="shared" si="8"/>
        <v>0</v>
      </c>
      <c r="U77" s="93">
        <f t="shared" si="9"/>
        <v>0</v>
      </c>
      <c r="V77" s="93">
        <f t="shared" si="10"/>
        <v>0</v>
      </c>
      <c r="W77" s="127">
        <f t="shared" si="11"/>
        <v>0</v>
      </c>
    </row>
    <row r="78" spans="2:23">
      <c r="B78" s="123">
        <f>Amnt_Deposited!B73</f>
        <v>2059</v>
      </c>
      <c r="C78" s="126">
        <f>Amnt_Deposited!C73</f>
        <v>0</v>
      </c>
      <c r="D78" s="537">
        <f>Dry_Matter_Content!C65</f>
        <v>0.59</v>
      </c>
      <c r="E78" s="382">
        <f>MCF!R77</f>
        <v>0.4</v>
      </c>
      <c r="F78" s="93">
        <f t="shared" si="12"/>
        <v>0</v>
      </c>
      <c r="G78" s="93">
        <f t="shared" si="13"/>
        <v>0</v>
      </c>
      <c r="H78" s="93">
        <f t="shared" si="14"/>
        <v>0</v>
      </c>
      <c r="I78" s="93">
        <f t="shared" si="15"/>
        <v>0</v>
      </c>
      <c r="J78" s="93">
        <f t="shared" si="16"/>
        <v>0</v>
      </c>
      <c r="K78" s="127">
        <f t="shared" si="6"/>
        <v>0</v>
      </c>
      <c r="O78" s="123">
        <f>Amnt_Deposited!B73</f>
        <v>2059</v>
      </c>
      <c r="P78" s="126">
        <f>Amnt_Deposited!C73</f>
        <v>0</v>
      </c>
      <c r="Q78" s="382">
        <f>MCF!R77</f>
        <v>0.4</v>
      </c>
      <c r="R78" s="93">
        <f t="shared" si="17"/>
        <v>0</v>
      </c>
      <c r="S78" s="93">
        <f t="shared" si="7"/>
        <v>0</v>
      </c>
      <c r="T78" s="93">
        <f t="shared" si="8"/>
        <v>0</v>
      </c>
      <c r="U78" s="93">
        <f t="shared" si="9"/>
        <v>0</v>
      </c>
      <c r="V78" s="93">
        <f t="shared" si="10"/>
        <v>0</v>
      </c>
      <c r="W78" s="127">
        <f t="shared" si="11"/>
        <v>0</v>
      </c>
    </row>
    <row r="79" spans="2:23">
      <c r="B79" s="123">
        <f>Amnt_Deposited!B74</f>
        <v>2060</v>
      </c>
      <c r="C79" s="126">
        <f>Amnt_Deposited!C74</f>
        <v>0</v>
      </c>
      <c r="D79" s="537">
        <f>Dry_Matter_Content!C66</f>
        <v>0.59</v>
      </c>
      <c r="E79" s="382">
        <f>MCF!R78</f>
        <v>0.4</v>
      </c>
      <c r="F79" s="93">
        <f t="shared" si="12"/>
        <v>0</v>
      </c>
      <c r="G79" s="93">
        <f t="shared" si="13"/>
        <v>0</v>
      </c>
      <c r="H79" s="93">
        <f t="shared" si="14"/>
        <v>0</v>
      </c>
      <c r="I79" s="93">
        <f t="shared" si="15"/>
        <v>0</v>
      </c>
      <c r="J79" s="93">
        <f t="shared" si="16"/>
        <v>0</v>
      </c>
      <c r="K79" s="127">
        <f t="shared" si="6"/>
        <v>0</v>
      </c>
      <c r="O79" s="123">
        <f>Amnt_Deposited!B74</f>
        <v>2060</v>
      </c>
      <c r="P79" s="126">
        <f>Amnt_Deposited!C74</f>
        <v>0</v>
      </c>
      <c r="Q79" s="382">
        <f>MCF!R78</f>
        <v>0.4</v>
      </c>
      <c r="R79" s="93">
        <f t="shared" si="17"/>
        <v>0</v>
      </c>
      <c r="S79" s="93">
        <f t="shared" si="7"/>
        <v>0</v>
      </c>
      <c r="T79" s="93">
        <f t="shared" si="8"/>
        <v>0</v>
      </c>
      <c r="U79" s="93">
        <f t="shared" si="9"/>
        <v>0</v>
      </c>
      <c r="V79" s="93">
        <f t="shared" si="10"/>
        <v>0</v>
      </c>
      <c r="W79" s="127">
        <f t="shared" si="11"/>
        <v>0</v>
      </c>
    </row>
    <row r="80" spans="2:23">
      <c r="B80" s="123">
        <f>Amnt_Deposited!B75</f>
        <v>2061</v>
      </c>
      <c r="C80" s="126">
        <f>Amnt_Deposited!C75</f>
        <v>0</v>
      </c>
      <c r="D80" s="537">
        <f>Dry_Matter_Content!C67</f>
        <v>0.59</v>
      </c>
      <c r="E80" s="382">
        <f>MCF!R79</f>
        <v>0.4</v>
      </c>
      <c r="F80" s="93">
        <f t="shared" si="12"/>
        <v>0</v>
      </c>
      <c r="G80" s="93">
        <f t="shared" si="13"/>
        <v>0</v>
      </c>
      <c r="H80" s="93">
        <f t="shared" si="14"/>
        <v>0</v>
      </c>
      <c r="I80" s="93">
        <f t="shared" si="15"/>
        <v>0</v>
      </c>
      <c r="J80" s="93">
        <f t="shared" si="16"/>
        <v>0</v>
      </c>
      <c r="K80" s="127">
        <f t="shared" si="6"/>
        <v>0</v>
      </c>
      <c r="O80" s="123">
        <f>Amnt_Deposited!B75</f>
        <v>2061</v>
      </c>
      <c r="P80" s="126">
        <f>Amnt_Deposited!C75</f>
        <v>0</v>
      </c>
      <c r="Q80" s="382">
        <f>MCF!R79</f>
        <v>0.4</v>
      </c>
      <c r="R80" s="93">
        <f t="shared" si="17"/>
        <v>0</v>
      </c>
      <c r="S80" s="93">
        <f t="shared" si="7"/>
        <v>0</v>
      </c>
      <c r="T80" s="93">
        <f t="shared" si="8"/>
        <v>0</v>
      </c>
      <c r="U80" s="93">
        <f t="shared" si="9"/>
        <v>0</v>
      </c>
      <c r="V80" s="93">
        <f t="shared" si="10"/>
        <v>0</v>
      </c>
      <c r="W80" s="127">
        <f t="shared" si="11"/>
        <v>0</v>
      </c>
    </row>
    <row r="81" spans="2:23">
      <c r="B81" s="123">
        <f>Amnt_Deposited!B76</f>
        <v>2062</v>
      </c>
      <c r="C81" s="126">
        <f>Amnt_Deposited!C76</f>
        <v>0</v>
      </c>
      <c r="D81" s="537">
        <f>Dry_Matter_Content!C68</f>
        <v>0.59</v>
      </c>
      <c r="E81" s="382">
        <f>MCF!R80</f>
        <v>0.4</v>
      </c>
      <c r="F81" s="93">
        <f t="shared" si="12"/>
        <v>0</v>
      </c>
      <c r="G81" s="93">
        <f t="shared" si="13"/>
        <v>0</v>
      </c>
      <c r="H81" s="93">
        <f t="shared" si="14"/>
        <v>0</v>
      </c>
      <c r="I81" s="93">
        <f t="shared" si="15"/>
        <v>0</v>
      </c>
      <c r="J81" s="93">
        <f t="shared" si="16"/>
        <v>0</v>
      </c>
      <c r="K81" s="127">
        <f t="shared" si="6"/>
        <v>0</v>
      </c>
      <c r="O81" s="123">
        <f>Amnt_Deposited!B76</f>
        <v>2062</v>
      </c>
      <c r="P81" s="126">
        <f>Amnt_Deposited!C76</f>
        <v>0</v>
      </c>
      <c r="Q81" s="382">
        <f>MCF!R80</f>
        <v>0.4</v>
      </c>
      <c r="R81" s="93">
        <f t="shared" si="17"/>
        <v>0</v>
      </c>
      <c r="S81" s="93">
        <f t="shared" si="7"/>
        <v>0</v>
      </c>
      <c r="T81" s="93">
        <f t="shared" si="8"/>
        <v>0</v>
      </c>
      <c r="U81" s="93">
        <f t="shared" si="9"/>
        <v>0</v>
      </c>
      <c r="V81" s="93">
        <f t="shared" si="10"/>
        <v>0</v>
      </c>
      <c r="W81" s="127">
        <f t="shared" si="11"/>
        <v>0</v>
      </c>
    </row>
    <row r="82" spans="2:23">
      <c r="B82" s="123">
        <f>Amnt_Deposited!B77</f>
        <v>2063</v>
      </c>
      <c r="C82" s="126">
        <f>Amnt_Deposited!C77</f>
        <v>0</v>
      </c>
      <c r="D82" s="537">
        <f>Dry_Matter_Content!C69</f>
        <v>0.59</v>
      </c>
      <c r="E82" s="382">
        <f>MCF!R81</f>
        <v>0.4</v>
      </c>
      <c r="F82" s="93">
        <f t="shared" si="12"/>
        <v>0</v>
      </c>
      <c r="G82" s="93">
        <f t="shared" si="13"/>
        <v>0</v>
      </c>
      <c r="H82" s="93">
        <f t="shared" si="14"/>
        <v>0</v>
      </c>
      <c r="I82" s="93">
        <f t="shared" si="15"/>
        <v>0</v>
      </c>
      <c r="J82" s="93">
        <f t="shared" si="16"/>
        <v>0</v>
      </c>
      <c r="K82" s="127">
        <f t="shared" si="6"/>
        <v>0</v>
      </c>
      <c r="O82" s="123">
        <f>Amnt_Deposited!B77</f>
        <v>2063</v>
      </c>
      <c r="P82" s="126">
        <f>Amnt_Deposited!C77</f>
        <v>0</v>
      </c>
      <c r="Q82" s="382">
        <f>MCF!R81</f>
        <v>0.4</v>
      </c>
      <c r="R82" s="93">
        <f t="shared" si="17"/>
        <v>0</v>
      </c>
      <c r="S82" s="93">
        <f t="shared" si="7"/>
        <v>0</v>
      </c>
      <c r="T82" s="93">
        <f t="shared" si="8"/>
        <v>0</v>
      </c>
      <c r="U82" s="93">
        <f t="shared" si="9"/>
        <v>0</v>
      </c>
      <c r="V82" s="93">
        <f t="shared" si="10"/>
        <v>0</v>
      </c>
      <c r="W82" s="127">
        <f t="shared" si="11"/>
        <v>0</v>
      </c>
    </row>
    <row r="83" spans="2:23">
      <c r="B83" s="123">
        <f>Amnt_Deposited!B78</f>
        <v>2064</v>
      </c>
      <c r="C83" s="126">
        <f>Amnt_Deposited!C78</f>
        <v>0</v>
      </c>
      <c r="D83" s="537">
        <f>Dry_Matter_Content!C70</f>
        <v>0.59</v>
      </c>
      <c r="E83" s="382">
        <f>MCF!R82</f>
        <v>0.4</v>
      </c>
      <c r="F83" s="93">
        <f t="shared" ref="F83:F99" si="18">C83*D83*$K$6*DOCF*E83</f>
        <v>0</v>
      </c>
      <c r="G83" s="93">
        <f t="shared" ref="G83:G99" si="19">F83*$K$12</f>
        <v>0</v>
      </c>
      <c r="H83" s="93">
        <f t="shared" ref="H83:H99" si="20">F83*(1-$K$12)</f>
        <v>0</v>
      </c>
      <c r="I83" s="93">
        <f t="shared" ref="I83:I99" si="21">G83+I82*$K$10</f>
        <v>0</v>
      </c>
      <c r="J83" s="93">
        <f t="shared" ref="J83:J99" si="22">I82*(1-$K$10)+H83</f>
        <v>0</v>
      </c>
      <c r="K83" s="127">
        <f t="shared" si="6"/>
        <v>0</v>
      </c>
      <c r="O83" s="123">
        <f>Amnt_Deposited!B78</f>
        <v>2064</v>
      </c>
      <c r="P83" s="126">
        <f>Amnt_Deposited!C78</f>
        <v>0</v>
      </c>
      <c r="Q83" s="382">
        <f>MCF!R82</f>
        <v>0.4</v>
      </c>
      <c r="R83" s="93">
        <f t="shared" ref="R83:R99" si="23">P83*$W$6*DOCF*Q83</f>
        <v>0</v>
      </c>
      <c r="S83" s="93">
        <f t="shared" si="7"/>
        <v>0</v>
      </c>
      <c r="T83" s="93">
        <f t="shared" si="8"/>
        <v>0</v>
      </c>
      <c r="U83" s="93">
        <f t="shared" si="9"/>
        <v>0</v>
      </c>
      <c r="V83" s="93">
        <f t="shared" si="10"/>
        <v>0</v>
      </c>
      <c r="W83" s="127">
        <f t="shared" si="11"/>
        <v>0</v>
      </c>
    </row>
    <row r="84" spans="2:23">
      <c r="B84" s="123">
        <f>Amnt_Deposited!B79</f>
        <v>2065</v>
      </c>
      <c r="C84" s="126">
        <f>Amnt_Deposited!C79</f>
        <v>0</v>
      </c>
      <c r="D84" s="537">
        <f>Dry_Matter_Content!C71</f>
        <v>0.59</v>
      </c>
      <c r="E84" s="382">
        <f>MCF!R83</f>
        <v>0.4</v>
      </c>
      <c r="F84" s="93">
        <f t="shared" si="18"/>
        <v>0</v>
      </c>
      <c r="G84" s="93">
        <f t="shared" si="19"/>
        <v>0</v>
      </c>
      <c r="H84" s="93">
        <f t="shared" si="20"/>
        <v>0</v>
      </c>
      <c r="I84" s="93">
        <f t="shared" si="21"/>
        <v>0</v>
      </c>
      <c r="J84" s="93">
        <f t="shared" si="22"/>
        <v>0</v>
      </c>
      <c r="K84" s="127">
        <f t="shared" si="6"/>
        <v>0</v>
      </c>
      <c r="O84" s="123">
        <f>Amnt_Deposited!B79</f>
        <v>2065</v>
      </c>
      <c r="P84" s="126">
        <f>Amnt_Deposited!C79</f>
        <v>0</v>
      </c>
      <c r="Q84" s="382">
        <f>MCF!R83</f>
        <v>0.4</v>
      </c>
      <c r="R84" s="93">
        <f t="shared" si="23"/>
        <v>0</v>
      </c>
      <c r="S84" s="93">
        <f t="shared" si="7"/>
        <v>0</v>
      </c>
      <c r="T84" s="93">
        <f t="shared" si="8"/>
        <v>0</v>
      </c>
      <c r="U84" s="93">
        <f t="shared" si="9"/>
        <v>0</v>
      </c>
      <c r="V84" s="93">
        <f t="shared" si="10"/>
        <v>0</v>
      </c>
      <c r="W84" s="127">
        <f t="shared" si="11"/>
        <v>0</v>
      </c>
    </row>
    <row r="85" spans="2:23">
      <c r="B85" s="123">
        <f>Amnt_Deposited!B80</f>
        <v>2066</v>
      </c>
      <c r="C85" s="126">
        <f>Amnt_Deposited!C80</f>
        <v>0</v>
      </c>
      <c r="D85" s="537">
        <f>Dry_Matter_Content!C72</f>
        <v>0.59</v>
      </c>
      <c r="E85" s="382">
        <f>MCF!R84</f>
        <v>0.4</v>
      </c>
      <c r="F85" s="93">
        <f t="shared" si="18"/>
        <v>0</v>
      </c>
      <c r="G85" s="93">
        <f t="shared" si="19"/>
        <v>0</v>
      </c>
      <c r="H85" s="93">
        <f t="shared" si="20"/>
        <v>0</v>
      </c>
      <c r="I85" s="93">
        <f t="shared" si="21"/>
        <v>0</v>
      </c>
      <c r="J85" s="93">
        <f t="shared" si="22"/>
        <v>0</v>
      </c>
      <c r="K85" s="127">
        <f t="shared" ref="K85:K99" si="24">J85*CH4_fraction*conv</f>
        <v>0</v>
      </c>
      <c r="O85" s="123">
        <f>Amnt_Deposited!B80</f>
        <v>2066</v>
      </c>
      <c r="P85" s="126">
        <f>Amnt_Deposited!C80</f>
        <v>0</v>
      </c>
      <c r="Q85" s="382">
        <f>MCF!R84</f>
        <v>0.4</v>
      </c>
      <c r="R85" s="93">
        <f t="shared" si="23"/>
        <v>0</v>
      </c>
      <c r="S85" s="93">
        <f t="shared" ref="S85:S98" si="25">R85*$W$12</f>
        <v>0</v>
      </c>
      <c r="T85" s="93">
        <f t="shared" ref="T85:T98" si="26">R85*(1-$W$12)</f>
        <v>0</v>
      </c>
      <c r="U85" s="93">
        <f t="shared" ref="U85:U98" si="27">S85+U84*$W$10</f>
        <v>0</v>
      </c>
      <c r="V85" s="93">
        <f t="shared" ref="V85:V98" si="28">U84*(1-$W$10)+T85</f>
        <v>0</v>
      </c>
      <c r="W85" s="127">
        <f t="shared" ref="W85:W99" si="29">V85*CH4_fraction*conv</f>
        <v>0</v>
      </c>
    </row>
    <row r="86" spans="2:23">
      <c r="B86" s="123">
        <f>Amnt_Deposited!B81</f>
        <v>2067</v>
      </c>
      <c r="C86" s="126">
        <f>Amnt_Deposited!C81</f>
        <v>0</v>
      </c>
      <c r="D86" s="537">
        <f>Dry_Matter_Content!C73</f>
        <v>0.59</v>
      </c>
      <c r="E86" s="382">
        <f>MCF!R85</f>
        <v>0.4</v>
      </c>
      <c r="F86" s="93">
        <f t="shared" si="18"/>
        <v>0</v>
      </c>
      <c r="G86" s="93">
        <f t="shared" si="19"/>
        <v>0</v>
      </c>
      <c r="H86" s="93">
        <f t="shared" si="20"/>
        <v>0</v>
      </c>
      <c r="I86" s="93">
        <f t="shared" si="21"/>
        <v>0</v>
      </c>
      <c r="J86" s="93">
        <f t="shared" si="22"/>
        <v>0</v>
      </c>
      <c r="K86" s="127">
        <f t="shared" si="24"/>
        <v>0</v>
      </c>
      <c r="O86" s="123">
        <f>Amnt_Deposited!B81</f>
        <v>2067</v>
      </c>
      <c r="P86" s="126">
        <f>Amnt_Deposited!C81</f>
        <v>0</v>
      </c>
      <c r="Q86" s="382">
        <f>MCF!R85</f>
        <v>0.4</v>
      </c>
      <c r="R86" s="93">
        <f t="shared" si="23"/>
        <v>0</v>
      </c>
      <c r="S86" s="93">
        <f t="shared" si="25"/>
        <v>0</v>
      </c>
      <c r="T86" s="93">
        <f t="shared" si="26"/>
        <v>0</v>
      </c>
      <c r="U86" s="93">
        <f t="shared" si="27"/>
        <v>0</v>
      </c>
      <c r="V86" s="93">
        <f t="shared" si="28"/>
        <v>0</v>
      </c>
      <c r="W86" s="127">
        <f t="shared" si="29"/>
        <v>0</v>
      </c>
    </row>
    <row r="87" spans="2:23">
      <c r="B87" s="123">
        <f>Amnt_Deposited!B82</f>
        <v>2068</v>
      </c>
      <c r="C87" s="126">
        <f>Amnt_Deposited!C82</f>
        <v>0</v>
      </c>
      <c r="D87" s="537">
        <f>Dry_Matter_Content!C74</f>
        <v>0.59</v>
      </c>
      <c r="E87" s="382">
        <f>MCF!R86</f>
        <v>0.4</v>
      </c>
      <c r="F87" s="93">
        <f t="shared" si="18"/>
        <v>0</v>
      </c>
      <c r="G87" s="93">
        <f t="shared" si="19"/>
        <v>0</v>
      </c>
      <c r="H87" s="93">
        <f t="shared" si="20"/>
        <v>0</v>
      </c>
      <c r="I87" s="93">
        <f t="shared" si="21"/>
        <v>0</v>
      </c>
      <c r="J87" s="93">
        <f t="shared" si="22"/>
        <v>0</v>
      </c>
      <c r="K87" s="127">
        <f t="shared" si="24"/>
        <v>0</v>
      </c>
      <c r="O87" s="123">
        <f>Amnt_Deposited!B82</f>
        <v>2068</v>
      </c>
      <c r="P87" s="126">
        <f>Amnt_Deposited!C82</f>
        <v>0</v>
      </c>
      <c r="Q87" s="382">
        <f>MCF!R86</f>
        <v>0.4</v>
      </c>
      <c r="R87" s="93">
        <f t="shared" si="23"/>
        <v>0</v>
      </c>
      <c r="S87" s="93">
        <f t="shared" si="25"/>
        <v>0</v>
      </c>
      <c r="T87" s="93">
        <f t="shared" si="26"/>
        <v>0</v>
      </c>
      <c r="U87" s="93">
        <f t="shared" si="27"/>
        <v>0</v>
      </c>
      <c r="V87" s="93">
        <f t="shared" si="28"/>
        <v>0</v>
      </c>
      <c r="W87" s="127">
        <f t="shared" si="29"/>
        <v>0</v>
      </c>
    </row>
    <row r="88" spans="2:23">
      <c r="B88" s="123">
        <f>Amnt_Deposited!B83</f>
        <v>2069</v>
      </c>
      <c r="C88" s="126">
        <f>Amnt_Deposited!C83</f>
        <v>0</v>
      </c>
      <c r="D88" s="537">
        <f>Dry_Matter_Content!C75</f>
        <v>0.59</v>
      </c>
      <c r="E88" s="382">
        <f>MCF!R87</f>
        <v>0.4</v>
      </c>
      <c r="F88" s="93">
        <f t="shared" si="18"/>
        <v>0</v>
      </c>
      <c r="G88" s="93">
        <f t="shared" si="19"/>
        <v>0</v>
      </c>
      <c r="H88" s="93">
        <f t="shared" si="20"/>
        <v>0</v>
      </c>
      <c r="I88" s="93">
        <f t="shared" si="21"/>
        <v>0</v>
      </c>
      <c r="J88" s="93">
        <f t="shared" si="22"/>
        <v>0</v>
      </c>
      <c r="K88" s="127">
        <f t="shared" si="24"/>
        <v>0</v>
      </c>
      <c r="O88" s="123">
        <f>Amnt_Deposited!B83</f>
        <v>2069</v>
      </c>
      <c r="P88" s="126">
        <f>Amnt_Deposited!C83</f>
        <v>0</v>
      </c>
      <c r="Q88" s="382">
        <f>MCF!R87</f>
        <v>0.4</v>
      </c>
      <c r="R88" s="93">
        <f t="shared" si="23"/>
        <v>0</v>
      </c>
      <c r="S88" s="93">
        <f t="shared" si="25"/>
        <v>0</v>
      </c>
      <c r="T88" s="93">
        <f t="shared" si="26"/>
        <v>0</v>
      </c>
      <c r="U88" s="93">
        <f t="shared" si="27"/>
        <v>0</v>
      </c>
      <c r="V88" s="93">
        <f t="shared" si="28"/>
        <v>0</v>
      </c>
      <c r="W88" s="127">
        <f t="shared" si="29"/>
        <v>0</v>
      </c>
    </row>
    <row r="89" spans="2:23">
      <c r="B89" s="123">
        <f>Amnt_Deposited!B84</f>
        <v>2070</v>
      </c>
      <c r="C89" s="126">
        <f>Amnt_Deposited!C84</f>
        <v>0</v>
      </c>
      <c r="D89" s="537">
        <f>Dry_Matter_Content!C76</f>
        <v>0.59</v>
      </c>
      <c r="E89" s="382">
        <f>MCF!R88</f>
        <v>0.4</v>
      </c>
      <c r="F89" s="93">
        <f t="shared" si="18"/>
        <v>0</v>
      </c>
      <c r="G89" s="93">
        <f t="shared" si="19"/>
        <v>0</v>
      </c>
      <c r="H89" s="93">
        <f t="shared" si="20"/>
        <v>0</v>
      </c>
      <c r="I89" s="93">
        <f t="shared" si="21"/>
        <v>0</v>
      </c>
      <c r="J89" s="93">
        <f t="shared" si="22"/>
        <v>0</v>
      </c>
      <c r="K89" s="127">
        <f t="shared" si="24"/>
        <v>0</v>
      </c>
      <c r="O89" s="123">
        <f>Amnt_Deposited!B84</f>
        <v>2070</v>
      </c>
      <c r="P89" s="126">
        <f>Amnt_Deposited!C84</f>
        <v>0</v>
      </c>
      <c r="Q89" s="382">
        <f>MCF!R88</f>
        <v>0.4</v>
      </c>
      <c r="R89" s="93">
        <f t="shared" si="23"/>
        <v>0</v>
      </c>
      <c r="S89" s="93">
        <f t="shared" si="25"/>
        <v>0</v>
      </c>
      <c r="T89" s="93">
        <f t="shared" si="26"/>
        <v>0</v>
      </c>
      <c r="U89" s="93">
        <f t="shared" si="27"/>
        <v>0</v>
      </c>
      <c r="V89" s="93">
        <f t="shared" si="28"/>
        <v>0</v>
      </c>
      <c r="W89" s="127">
        <f t="shared" si="29"/>
        <v>0</v>
      </c>
    </row>
    <row r="90" spans="2:23">
      <c r="B90" s="123">
        <f>Amnt_Deposited!B85</f>
        <v>2071</v>
      </c>
      <c r="C90" s="126">
        <f>Amnt_Deposited!C85</f>
        <v>0</v>
      </c>
      <c r="D90" s="537">
        <f>Dry_Matter_Content!C77</f>
        <v>0.59</v>
      </c>
      <c r="E90" s="382">
        <f>MCF!R89</f>
        <v>0.4</v>
      </c>
      <c r="F90" s="93">
        <f t="shared" si="18"/>
        <v>0</v>
      </c>
      <c r="G90" s="93">
        <f t="shared" si="19"/>
        <v>0</v>
      </c>
      <c r="H90" s="93">
        <f t="shared" si="20"/>
        <v>0</v>
      </c>
      <c r="I90" s="93">
        <f t="shared" si="21"/>
        <v>0</v>
      </c>
      <c r="J90" s="93">
        <f t="shared" si="22"/>
        <v>0</v>
      </c>
      <c r="K90" s="127">
        <f t="shared" si="24"/>
        <v>0</v>
      </c>
      <c r="O90" s="123">
        <f>Amnt_Deposited!B85</f>
        <v>2071</v>
      </c>
      <c r="P90" s="126">
        <f>Amnt_Deposited!C85</f>
        <v>0</v>
      </c>
      <c r="Q90" s="382">
        <f>MCF!R89</f>
        <v>0.4</v>
      </c>
      <c r="R90" s="93">
        <f t="shared" si="23"/>
        <v>0</v>
      </c>
      <c r="S90" s="93">
        <f t="shared" si="25"/>
        <v>0</v>
      </c>
      <c r="T90" s="93">
        <f t="shared" si="26"/>
        <v>0</v>
      </c>
      <c r="U90" s="93">
        <f t="shared" si="27"/>
        <v>0</v>
      </c>
      <c r="V90" s="93">
        <f t="shared" si="28"/>
        <v>0</v>
      </c>
      <c r="W90" s="127">
        <f t="shared" si="29"/>
        <v>0</v>
      </c>
    </row>
    <row r="91" spans="2:23">
      <c r="B91" s="123">
        <f>Amnt_Deposited!B86</f>
        <v>2072</v>
      </c>
      <c r="C91" s="126">
        <f>Amnt_Deposited!C86</f>
        <v>0</v>
      </c>
      <c r="D91" s="537">
        <f>Dry_Matter_Content!C78</f>
        <v>0.59</v>
      </c>
      <c r="E91" s="382">
        <f>MCF!R90</f>
        <v>0.4</v>
      </c>
      <c r="F91" s="93">
        <f t="shared" si="18"/>
        <v>0</v>
      </c>
      <c r="G91" s="93">
        <f t="shared" si="19"/>
        <v>0</v>
      </c>
      <c r="H91" s="93">
        <f t="shared" si="20"/>
        <v>0</v>
      </c>
      <c r="I91" s="93">
        <f t="shared" si="21"/>
        <v>0</v>
      </c>
      <c r="J91" s="93">
        <f t="shared" si="22"/>
        <v>0</v>
      </c>
      <c r="K91" s="127">
        <f t="shared" si="24"/>
        <v>0</v>
      </c>
      <c r="O91" s="123">
        <f>Amnt_Deposited!B86</f>
        <v>2072</v>
      </c>
      <c r="P91" s="126">
        <f>Amnt_Deposited!C86</f>
        <v>0</v>
      </c>
      <c r="Q91" s="382">
        <f>MCF!R90</f>
        <v>0.4</v>
      </c>
      <c r="R91" s="93">
        <f t="shared" si="23"/>
        <v>0</v>
      </c>
      <c r="S91" s="93">
        <f t="shared" si="25"/>
        <v>0</v>
      </c>
      <c r="T91" s="93">
        <f t="shared" si="26"/>
        <v>0</v>
      </c>
      <c r="U91" s="93">
        <f t="shared" si="27"/>
        <v>0</v>
      </c>
      <c r="V91" s="93">
        <f t="shared" si="28"/>
        <v>0</v>
      </c>
      <c r="W91" s="127">
        <f t="shared" si="29"/>
        <v>0</v>
      </c>
    </row>
    <row r="92" spans="2:23">
      <c r="B92" s="123">
        <f>Amnt_Deposited!B87</f>
        <v>2073</v>
      </c>
      <c r="C92" s="126">
        <f>Amnt_Deposited!C87</f>
        <v>0</v>
      </c>
      <c r="D92" s="537">
        <f>Dry_Matter_Content!C79</f>
        <v>0.59</v>
      </c>
      <c r="E92" s="382">
        <f>MCF!R91</f>
        <v>0.4</v>
      </c>
      <c r="F92" s="93">
        <f t="shared" si="18"/>
        <v>0</v>
      </c>
      <c r="G92" s="93">
        <f t="shared" si="19"/>
        <v>0</v>
      </c>
      <c r="H92" s="93">
        <f t="shared" si="20"/>
        <v>0</v>
      </c>
      <c r="I92" s="93">
        <f t="shared" si="21"/>
        <v>0</v>
      </c>
      <c r="J92" s="93">
        <f t="shared" si="22"/>
        <v>0</v>
      </c>
      <c r="K92" s="127">
        <f t="shared" si="24"/>
        <v>0</v>
      </c>
      <c r="O92" s="123">
        <f>Amnt_Deposited!B87</f>
        <v>2073</v>
      </c>
      <c r="P92" s="126">
        <f>Amnt_Deposited!C87</f>
        <v>0</v>
      </c>
      <c r="Q92" s="382">
        <f>MCF!R91</f>
        <v>0.4</v>
      </c>
      <c r="R92" s="93">
        <f t="shared" si="23"/>
        <v>0</v>
      </c>
      <c r="S92" s="93">
        <f t="shared" si="25"/>
        <v>0</v>
      </c>
      <c r="T92" s="93">
        <f t="shared" si="26"/>
        <v>0</v>
      </c>
      <c r="U92" s="93">
        <f t="shared" si="27"/>
        <v>0</v>
      </c>
      <c r="V92" s="93">
        <f t="shared" si="28"/>
        <v>0</v>
      </c>
      <c r="W92" s="127">
        <f t="shared" si="29"/>
        <v>0</v>
      </c>
    </row>
    <row r="93" spans="2:23">
      <c r="B93" s="123">
        <f>Amnt_Deposited!B88</f>
        <v>2074</v>
      </c>
      <c r="C93" s="126">
        <f>Amnt_Deposited!C88</f>
        <v>0</v>
      </c>
      <c r="D93" s="537">
        <f>Dry_Matter_Content!C80</f>
        <v>0.59</v>
      </c>
      <c r="E93" s="382">
        <f>MCF!R92</f>
        <v>0.4</v>
      </c>
      <c r="F93" s="93">
        <f t="shared" si="18"/>
        <v>0</v>
      </c>
      <c r="G93" s="93">
        <f t="shared" si="19"/>
        <v>0</v>
      </c>
      <c r="H93" s="93">
        <f t="shared" si="20"/>
        <v>0</v>
      </c>
      <c r="I93" s="93">
        <f t="shared" si="21"/>
        <v>0</v>
      </c>
      <c r="J93" s="93">
        <f t="shared" si="22"/>
        <v>0</v>
      </c>
      <c r="K93" s="127">
        <f t="shared" si="24"/>
        <v>0</v>
      </c>
      <c r="O93" s="123">
        <f>Amnt_Deposited!B88</f>
        <v>2074</v>
      </c>
      <c r="P93" s="126">
        <f>Amnt_Deposited!C88</f>
        <v>0</v>
      </c>
      <c r="Q93" s="382">
        <f>MCF!R92</f>
        <v>0.4</v>
      </c>
      <c r="R93" s="93">
        <f t="shared" si="23"/>
        <v>0</v>
      </c>
      <c r="S93" s="93">
        <f t="shared" si="25"/>
        <v>0</v>
      </c>
      <c r="T93" s="93">
        <f t="shared" si="26"/>
        <v>0</v>
      </c>
      <c r="U93" s="93">
        <f t="shared" si="27"/>
        <v>0</v>
      </c>
      <c r="V93" s="93">
        <f t="shared" si="28"/>
        <v>0</v>
      </c>
      <c r="W93" s="127">
        <f t="shared" si="29"/>
        <v>0</v>
      </c>
    </row>
    <row r="94" spans="2:23">
      <c r="B94" s="123">
        <f>Amnt_Deposited!B89</f>
        <v>2075</v>
      </c>
      <c r="C94" s="126">
        <f>Amnt_Deposited!C89</f>
        <v>0</v>
      </c>
      <c r="D94" s="537">
        <f>Dry_Matter_Content!C81</f>
        <v>0.59</v>
      </c>
      <c r="E94" s="382">
        <f>MCF!R93</f>
        <v>0.4</v>
      </c>
      <c r="F94" s="93">
        <f t="shared" si="18"/>
        <v>0</v>
      </c>
      <c r="G94" s="93">
        <f t="shared" si="19"/>
        <v>0</v>
      </c>
      <c r="H94" s="93">
        <f t="shared" si="20"/>
        <v>0</v>
      </c>
      <c r="I94" s="93">
        <f t="shared" si="21"/>
        <v>0</v>
      </c>
      <c r="J94" s="93">
        <f t="shared" si="22"/>
        <v>0</v>
      </c>
      <c r="K94" s="127">
        <f t="shared" si="24"/>
        <v>0</v>
      </c>
      <c r="O94" s="123">
        <f>Amnt_Deposited!B89</f>
        <v>2075</v>
      </c>
      <c r="P94" s="126">
        <f>Amnt_Deposited!C89</f>
        <v>0</v>
      </c>
      <c r="Q94" s="382">
        <f>MCF!R93</f>
        <v>0.4</v>
      </c>
      <c r="R94" s="93">
        <f t="shared" si="23"/>
        <v>0</v>
      </c>
      <c r="S94" s="93">
        <f t="shared" si="25"/>
        <v>0</v>
      </c>
      <c r="T94" s="93">
        <f t="shared" si="26"/>
        <v>0</v>
      </c>
      <c r="U94" s="93">
        <f t="shared" si="27"/>
        <v>0</v>
      </c>
      <c r="V94" s="93">
        <f t="shared" si="28"/>
        <v>0</v>
      </c>
      <c r="W94" s="127">
        <f t="shared" si="29"/>
        <v>0</v>
      </c>
    </row>
    <row r="95" spans="2:23">
      <c r="B95" s="123">
        <f>Amnt_Deposited!B90</f>
        <v>2076</v>
      </c>
      <c r="C95" s="126">
        <f>Amnt_Deposited!C90</f>
        <v>0</v>
      </c>
      <c r="D95" s="537">
        <f>Dry_Matter_Content!C82</f>
        <v>0.59</v>
      </c>
      <c r="E95" s="382">
        <f>MCF!R94</f>
        <v>0.4</v>
      </c>
      <c r="F95" s="93">
        <f t="shared" si="18"/>
        <v>0</v>
      </c>
      <c r="G95" s="93">
        <f t="shared" si="19"/>
        <v>0</v>
      </c>
      <c r="H95" s="93">
        <f t="shared" si="20"/>
        <v>0</v>
      </c>
      <c r="I95" s="93">
        <f t="shared" si="21"/>
        <v>0</v>
      </c>
      <c r="J95" s="93">
        <f t="shared" si="22"/>
        <v>0</v>
      </c>
      <c r="K95" s="127">
        <f t="shared" si="24"/>
        <v>0</v>
      </c>
      <c r="O95" s="123">
        <f>Amnt_Deposited!B90</f>
        <v>2076</v>
      </c>
      <c r="P95" s="126">
        <f>Amnt_Deposited!C90</f>
        <v>0</v>
      </c>
      <c r="Q95" s="382">
        <f>MCF!R94</f>
        <v>0.4</v>
      </c>
      <c r="R95" s="93">
        <f t="shared" si="23"/>
        <v>0</v>
      </c>
      <c r="S95" s="93">
        <f t="shared" si="25"/>
        <v>0</v>
      </c>
      <c r="T95" s="93">
        <f t="shared" si="26"/>
        <v>0</v>
      </c>
      <c r="U95" s="93">
        <f t="shared" si="27"/>
        <v>0</v>
      </c>
      <c r="V95" s="93">
        <f t="shared" si="28"/>
        <v>0</v>
      </c>
      <c r="W95" s="127">
        <f t="shared" si="29"/>
        <v>0</v>
      </c>
    </row>
    <row r="96" spans="2:23">
      <c r="B96" s="123">
        <f>Amnt_Deposited!B91</f>
        <v>2077</v>
      </c>
      <c r="C96" s="126">
        <f>Amnt_Deposited!C91</f>
        <v>0</v>
      </c>
      <c r="D96" s="537">
        <f>Dry_Matter_Content!C83</f>
        <v>0.59</v>
      </c>
      <c r="E96" s="382">
        <f>MCF!R95</f>
        <v>0.4</v>
      </c>
      <c r="F96" s="93">
        <f t="shared" si="18"/>
        <v>0</v>
      </c>
      <c r="G96" s="93">
        <f t="shared" si="19"/>
        <v>0</v>
      </c>
      <c r="H96" s="93">
        <f t="shared" si="20"/>
        <v>0</v>
      </c>
      <c r="I96" s="93">
        <f t="shared" si="21"/>
        <v>0</v>
      </c>
      <c r="J96" s="93">
        <f t="shared" si="22"/>
        <v>0</v>
      </c>
      <c r="K96" s="127">
        <f t="shared" si="24"/>
        <v>0</v>
      </c>
      <c r="O96" s="123">
        <f>Amnt_Deposited!B91</f>
        <v>2077</v>
      </c>
      <c r="P96" s="126">
        <f>Amnt_Deposited!C91</f>
        <v>0</v>
      </c>
      <c r="Q96" s="382">
        <f>MCF!R95</f>
        <v>0.4</v>
      </c>
      <c r="R96" s="93">
        <f t="shared" si="23"/>
        <v>0</v>
      </c>
      <c r="S96" s="93">
        <f t="shared" si="25"/>
        <v>0</v>
      </c>
      <c r="T96" s="93">
        <f t="shared" si="26"/>
        <v>0</v>
      </c>
      <c r="U96" s="93">
        <f t="shared" si="27"/>
        <v>0</v>
      </c>
      <c r="V96" s="93">
        <f t="shared" si="28"/>
        <v>0</v>
      </c>
      <c r="W96" s="127">
        <f t="shared" si="29"/>
        <v>0</v>
      </c>
    </row>
    <row r="97" spans="2:23">
      <c r="B97" s="123">
        <f>Amnt_Deposited!B92</f>
        <v>2078</v>
      </c>
      <c r="C97" s="126">
        <f>Amnt_Deposited!C92</f>
        <v>0</v>
      </c>
      <c r="D97" s="537">
        <f>Dry_Matter_Content!C84</f>
        <v>0.59</v>
      </c>
      <c r="E97" s="382">
        <f>MCF!R96</f>
        <v>0.4</v>
      </c>
      <c r="F97" s="93">
        <f t="shared" si="18"/>
        <v>0</v>
      </c>
      <c r="G97" s="93">
        <f t="shared" si="19"/>
        <v>0</v>
      </c>
      <c r="H97" s="93">
        <f t="shared" si="20"/>
        <v>0</v>
      </c>
      <c r="I97" s="93">
        <f t="shared" si="21"/>
        <v>0</v>
      </c>
      <c r="J97" s="93">
        <f t="shared" si="22"/>
        <v>0</v>
      </c>
      <c r="K97" s="127">
        <f t="shared" si="24"/>
        <v>0</v>
      </c>
      <c r="O97" s="123">
        <f>Amnt_Deposited!B92</f>
        <v>2078</v>
      </c>
      <c r="P97" s="126">
        <f>Amnt_Deposited!C92</f>
        <v>0</v>
      </c>
      <c r="Q97" s="382">
        <f>MCF!R96</f>
        <v>0.4</v>
      </c>
      <c r="R97" s="93">
        <f t="shared" si="23"/>
        <v>0</v>
      </c>
      <c r="S97" s="93">
        <f t="shared" si="25"/>
        <v>0</v>
      </c>
      <c r="T97" s="93">
        <f t="shared" si="26"/>
        <v>0</v>
      </c>
      <c r="U97" s="93">
        <f t="shared" si="27"/>
        <v>0</v>
      </c>
      <c r="V97" s="93">
        <f t="shared" si="28"/>
        <v>0</v>
      </c>
      <c r="W97" s="127">
        <f t="shared" si="29"/>
        <v>0</v>
      </c>
    </row>
    <row r="98" spans="2:23">
      <c r="B98" s="123">
        <f>Amnt_Deposited!B93</f>
        <v>2079</v>
      </c>
      <c r="C98" s="126">
        <f>Amnt_Deposited!C93</f>
        <v>0</v>
      </c>
      <c r="D98" s="537">
        <f>Dry_Matter_Content!C85</f>
        <v>0.59</v>
      </c>
      <c r="E98" s="382">
        <f>MCF!R97</f>
        <v>0.4</v>
      </c>
      <c r="F98" s="93">
        <f t="shared" si="18"/>
        <v>0</v>
      </c>
      <c r="G98" s="93">
        <f t="shared" si="19"/>
        <v>0</v>
      </c>
      <c r="H98" s="93">
        <f t="shared" si="20"/>
        <v>0</v>
      </c>
      <c r="I98" s="93">
        <f t="shared" si="21"/>
        <v>0</v>
      </c>
      <c r="J98" s="93">
        <f t="shared" si="22"/>
        <v>0</v>
      </c>
      <c r="K98" s="127">
        <f t="shared" si="24"/>
        <v>0</v>
      </c>
      <c r="O98" s="123">
        <f>Amnt_Deposited!B93</f>
        <v>2079</v>
      </c>
      <c r="P98" s="126">
        <f>Amnt_Deposited!C93</f>
        <v>0</v>
      </c>
      <c r="Q98" s="382">
        <f>MCF!R97</f>
        <v>0.4</v>
      </c>
      <c r="R98" s="93">
        <f t="shared" si="23"/>
        <v>0</v>
      </c>
      <c r="S98" s="93">
        <f t="shared" si="25"/>
        <v>0</v>
      </c>
      <c r="T98" s="93">
        <f t="shared" si="26"/>
        <v>0</v>
      </c>
      <c r="U98" s="93">
        <f t="shared" si="27"/>
        <v>0</v>
      </c>
      <c r="V98" s="93">
        <f t="shared" si="28"/>
        <v>0</v>
      </c>
      <c r="W98" s="127">
        <f t="shared" si="29"/>
        <v>0</v>
      </c>
    </row>
    <row r="99" spans="2:23" ht="13.5" thickBot="1">
      <c r="B99" s="124">
        <f>Amnt_Deposited!B94</f>
        <v>2080</v>
      </c>
      <c r="C99" s="128">
        <f>Amnt_Deposited!C94</f>
        <v>0</v>
      </c>
      <c r="D99" s="538">
        <f>Dry_Matter_Content!C86</f>
        <v>0.59</v>
      </c>
      <c r="E99" s="383">
        <f>MCF!R98</f>
        <v>0.4</v>
      </c>
      <c r="F99" s="94">
        <f t="shared" si="18"/>
        <v>0</v>
      </c>
      <c r="G99" s="94">
        <f t="shared" si="19"/>
        <v>0</v>
      </c>
      <c r="H99" s="94">
        <f t="shared" si="20"/>
        <v>0</v>
      </c>
      <c r="I99" s="94">
        <f t="shared" si="21"/>
        <v>0</v>
      </c>
      <c r="J99" s="94">
        <f t="shared" si="22"/>
        <v>0</v>
      </c>
      <c r="K99" s="129">
        <f t="shared" si="24"/>
        <v>0</v>
      </c>
      <c r="O99" s="124">
        <f>Amnt_Deposited!B94</f>
        <v>2080</v>
      </c>
      <c r="P99" s="128">
        <f>Amnt_Deposited!C94</f>
        <v>0</v>
      </c>
      <c r="Q99" s="383">
        <f>MCF!R98</f>
        <v>0.4</v>
      </c>
      <c r="R99" s="94">
        <f t="shared" si="23"/>
        <v>0</v>
      </c>
      <c r="S99" s="94">
        <f>R99*$W$12</f>
        <v>0</v>
      </c>
      <c r="T99" s="94">
        <f>R99*(1-$W$12)</f>
        <v>0</v>
      </c>
      <c r="U99" s="94">
        <f>S99+U98*$W$10</f>
        <v>0</v>
      </c>
      <c r="V99" s="94">
        <f>U98*(1-$W$10)+T99</f>
        <v>0</v>
      </c>
      <c r="W99" s="129">
        <f t="shared" si="29"/>
        <v>0</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314</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Parameters!O16</f>
        <v>0.44</v>
      </c>
      <c r="O6" s="271"/>
      <c r="P6" s="272"/>
      <c r="Q6" s="263"/>
      <c r="R6" s="135" t="s">
        <v>9</v>
      </c>
      <c r="S6" s="136"/>
      <c r="T6" s="136"/>
      <c r="U6" s="140"/>
      <c r="V6" s="147" t="s">
        <v>9</v>
      </c>
      <c r="W6" s="310">
        <f>Parameters!R16</f>
        <v>0.4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Dry_Matter_Content!D6</f>
        <v>0.44</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Amnt_Deposited!D14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Dry_Matter_Content!D7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Amnt_Deposited!D15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Dry_Matter_Content!D8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Amnt_Deposited!D16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Dry_Matter_Content!D9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Amnt_Deposited!D17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Dry_Matter_Content!D10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Amnt_Deposited!D18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Dry_Matter_Content!D11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Amnt_Deposited!D19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Dry_Matter_Content!D12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Amnt_Deposited!D20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Dry_Matter_Content!D13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Amnt_Deposited!D21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Dry_Matter_Content!D14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Amnt_Deposited!D22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Dry_Matter_Content!D15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Amnt_Deposited!D23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Dry_Matter_Content!D16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Amnt_Deposited!D24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Dry_Matter_Content!D17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Amnt_Deposited!D25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Dry_Matter_Content!D18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Amnt_Deposited!D26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Dry_Matter_Content!D19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Amnt_Deposited!D27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Dry_Matter_Content!D20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Amnt_Deposited!D28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Dry_Matter_Content!D21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Amnt_Deposited!D29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Dry_Matter_Content!D22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Amnt_Deposited!D30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Dry_Matter_Content!D23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Amnt_Deposited!D31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Dry_Matter_Content!D24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Amnt_Deposited!D32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Dry_Matter_Content!D25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Amnt_Deposited!D33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Dry_Matter_Content!D26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Amnt_Deposited!D34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Dry_Matter_Content!D27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Amnt_Deposited!D35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Dry_Matter_Content!D28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Amnt_Deposited!D36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Dry_Matter_Content!D29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Amnt_Deposited!D37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Dry_Matter_Content!D30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Amnt_Deposited!D38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Dry_Matter_Content!D31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Amnt_Deposited!D39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Dry_Matter_Content!D32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Amnt_Deposited!D40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Dry_Matter_Content!D33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Amnt_Deposited!D41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Dry_Matter_Content!D34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Amnt_Deposited!D42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Dry_Matter_Content!D35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Amnt_Deposited!D43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Dry_Matter_Content!D36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Amnt_Deposited!D44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Dry_Matter_Content!D37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Amnt_Deposited!D45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Dry_Matter_Content!D38</f>
        <v>0.44</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Amnt_Deposited!D46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Dry_Matter_Content!D39</f>
        <v>0.44</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Amnt_Deposited!D47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Dry_Matter_Content!D40</f>
        <v>0.44</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Amnt_Deposited!D48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Dry_Matter_Content!D41</f>
        <v>0.44</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Amnt_Deposited!D49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Dry_Matter_Content!D42</f>
        <v>0.44</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Amnt_Deposited!D50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Dry_Matter_Content!D43</f>
        <v>0.44</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Amnt_Deposited!D51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Dry_Matter_Content!D44</f>
        <v>0.44</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Amnt_Deposited!D52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Dry_Matter_Content!D45</f>
        <v>0.44</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Amnt_Deposited!D53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Dry_Matter_Content!D46</f>
        <v>0.44</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Amnt_Deposited!D54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Dry_Matter_Content!D47</f>
        <v>0.44</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Amnt_Deposited!D55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Dry_Matter_Content!D48</f>
        <v>0.44</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Amnt_Deposited!D56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Dry_Matter_Content!D49</f>
        <v>0.44</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Amnt_Deposited!D57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Dry_Matter_Content!D50</f>
        <v>0.44</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Amnt_Deposited!D58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Dry_Matter_Content!D51</f>
        <v>0.44</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Amnt_Deposited!D59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Dry_Matter_Content!D52</f>
        <v>0.44</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Amnt_Deposited!D60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Dry_Matter_Content!D53</f>
        <v>0.44</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Amnt_Deposited!D61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Dry_Matter_Content!D54</f>
        <v>0.44</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Amnt_Deposited!D62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Dry_Matter_Content!D55</f>
        <v>0.44</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Amnt_Deposited!D63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Dry_Matter_Content!D56</f>
        <v>0.44</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Amnt_Deposited!D64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Dry_Matter_Content!D57</f>
        <v>0.44</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Amnt_Deposited!D65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Dry_Matter_Content!D58</f>
        <v>0.44</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Amnt_Deposited!D66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Dry_Matter_Content!D59</f>
        <v>0.44</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Amnt_Deposited!D67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Dry_Matter_Content!D60</f>
        <v>0.44</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Amnt_Deposited!D68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Dry_Matter_Content!D61</f>
        <v>0.44</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Amnt_Deposited!D69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Dry_Matter_Content!D62</f>
        <v>0.44</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Amnt_Deposited!D70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Dry_Matter_Content!D63</f>
        <v>0.44</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Amnt_Deposited!D71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Dry_Matter_Content!D64</f>
        <v>0.44</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Amnt_Deposited!D72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Dry_Matter_Content!D65</f>
        <v>0.44</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Amnt_Deposited!D73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Dry_Matter_Content!D66</f>
        <v>0.44</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Amnt_Deposited!D74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Dry_Matter_Content!D67</f>
        <v>0.44</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Amnt_Deposited!D75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Dry_Matter_Content!D68</f>
        <v>0.44</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Amnt_Deposited!D76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Dry_Matter_Content!D69</f>
        <v>0.44</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Amnt_Deposited!D77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Dry_Matter_Content!D70</f>
        <v>0.44</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Amnt_Deposited!D78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Dry_Matter_Content!D71</f>
        <v>0.44</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Amnt_Deposited!D79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Dry_Matter_Content!D72</f>
        <v>0.44</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Amnt_Deposited!D80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Amnt_Deposited!D81</f>
        <v>0</v>
      </c>
      <c r="D86" s="537">
        <f>Dry_Matter_Content!D73</f>
        <v>0.44</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Amnt_Deposited!D81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Amnt_Deposited!D82</f>
        <v>0</v>
      </c>
      <c r="D87" s="537">
        <f>Dry_Matter_Content!D74</f>
        <v>0.44</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Amnt_Deposited!D82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Amnt_Deposited!D83</f>
        <v>0</v>
      </c>
      <c r="D88" s="537">
        <f>Dry_Matter_Content!D75</f>
        <v>0.44</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Amnt_Deposited!D83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Amnt_Deposited!D84</f>
        <v>0</v>
      </c>
      <c r="D89" s="537">
        <f>Dry_Matter_Content!D76</f>
        <v>0.44</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Amnt_Deposited!D84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Amnt_Deposited!D85</f>
        <v>0</v>
      </c>
      <c r="D90" s="537">
        <f>Dry_Matter_Content!D77</f>
        <v>0.44</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Amnt_Deposited!D85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Amnt_Deposited!D86</f>
        <v>0</v>
      </c>
      <c r="D91" s="537">
        <f>Dry_Matter_Content!D78</f>
        <v>0.44</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Amnt_Deposited!D86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Amnt_Deposited!D87</f>
        <v>0</v>
      </c>
      <c r="D92" s="537">
        <f>Dry_Matter_Content!D79</f>
        <v>0.44</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Amnt_Deposited!D87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Amnt_Deposited!D88</f>
        <v>0</v>
      </c>
      <c r="D93" s="537">
        <f>Dry_Matter_Content!D80</f>
        <v>0.44</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Amnt_Deposited!D88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Amnt_Deposited!D89</f>
        <v>0</v>
      </c>
      <c r="D94" s="537">
        <f>Dry_Matter_Content!D81</f>
        <v>0.44</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Amnt_Deposited!D89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Amnt_Deposited!D90</f>
        <v>0</v>
      </c>
      <c r="D95" s="537">
        <f>Dry_Matter_Content!D82</f>
        <v>0.44</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Amnt_Deposited!D90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Amnt_Deposited!D91</f>
        <v>0</v>
      </c>
      <c r="D96" s="537">
        <f>Dry_Matter_Content!D83</f>
        <v>0.44</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Amnt_Deposited!D91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Amnt_Deposited!D92</f>
        <v>0</v>
      </c>
      <c r="D97" s="537">
        <f>Dry_Matter_Content!D84</f>
        <v>0.44</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Amnt_Deposited!D92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Amnt_Deposited!D93</f>
        <v>0</v>
      </c>
      <c r="D98" s="537">
        <f>Dry_Matter_Content!D85</f>
        <v>0.44</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Amnt_Deposited!D93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Amnt_Deposited!D94</f>
        <v>0</v>
      </c>
      <c r="D99" s="538">
        <f>Dry_Matter_Content!D86</f>
        <v>0.44</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Amnt_Deposited!D94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Parameters!O21</f>
        <v>0.6</v>
      </c>
      <c r="O6" s="271"/>
      <c r="P6" s="272"/>
      <c r="Q6" s="263"/>
      <c r="R6" s="135" t="s">
        <v>9</v>
      </c>
      <c r="S6" s="136"/>
      <c r="T6" s="136"/>
      <c r="U6" s="140"/>
      <c r="V6" s="147" t="s">
        <v>9</v>
      </c>
      <c r="W6" s="310">
        <f>Parameters!R21</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Amnt_Deposited!D14</f>
        <v>0</v>
      </c>
      <c r="D19" s="535">
        <f>Dry_Matter_Content!E6</f>
        <v>0.44</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Amnt_Deposited!E14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Amnt_Deposited!D15</f>
        <v>0</v>
      </c>
      <c r="D20" s="537">
        <f>Dry_Matter_Content!E7</f>
        <v>0.44</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Amnt_Deposited!E15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Amnt_Deposited!D16</f>
        <v>0</v>
      </c>
      <c r="D21" s="537">
        <f>Dry_Matter_Content!E8</f>
        <v>0.44</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Amnt_Deposited!E16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Amnt_Deposited!D17</f>
        <v>0</v>
      </c>
      <c r="D22" s="537">
        <f>Dry_Matter_Content!E9</f>
        <v>0.44</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Amnt_Deposited!E17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Amnt_Deposited!D18</f>
        <v>0</v>
      </c>
      <c r="D23" s="537">
        <f>Dry_Matter_Content!E10</f>
        <v>0.44</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Amnt_Deposited!E18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Amnt_Deposited!D19</f>
        <v>0</v>
      </c>
      <c r="D24" s="537">
        <f>Dry_Matter_Content!E11</f>
        <v>0.44</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Amnt_Deposited!E19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Amnt_Deposited!D20</f>
        <v>0</v>
      </c>
      <c r="D25" s="537">
        <f>Dry_Matter_Content!E12</f>
        <v>0.44</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Amnt_Deposited!E20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Amnt_Deposited!D21</f>
        <v>0</v>
      </c>
      <c r="D26" s="537">
        <f>Dry_Matter_Content!E13</f>
        <v>0.44</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Amnt_Deposited!E21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Amnt_Deposited!D22</f>
        <v>0</v>
      </c>
      <c r="D27" s="537">
        <f>Dry_Matter_Content!E14</f>
        <v>0.44</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Amnt_Deposited!E22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Amnt_Deposited!D23</f>
        <v>0</v>
      </c>
      <c r="D28" s="537">
        <f>Dry_Matter_Content!E15</f>
        <v>0.44</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Amnt_Deposited!E23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Amnt_Deposited!D24</f>
        <v>0</v>
      </c>
      <c r="D29" s="537">
        <f>Dry_Matter_Content!E16</f>
        <v>0.44</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Amnt_Deposited!E24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Amnt_Deposited!D25</f>
        <v>0</v>
      </c>
      <c r="D30" s="537">
        <f>Dry_Matter_Content!E17</f>
        <v>0.44</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Amnt_Deposited!E25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Amnt_Deposited!D26</f>
        <v>0</v>
      </c>
      <c r="D31" s="537">
        <f>Dry_Matter_Content!E18</f>
        <v>0.44</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Amnt_Deposited!E26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Amnt_Deposited!D27</f>
        <v>0</v>
      </c>
      <c r="D32" s="537">
        <f>Dry_Matter_Content!E19</f>
        <v>0.44</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Amnt_Deposited!E27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Amnt_Deposited!D28</f>
        <v>0</v>
      </c>
      <c r="D33" s="537">
        <f>Dry_Matter_Content!E20</f>
        <v>0.44</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Amnt_Deposited!E28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Amnt_Deposited!D29</f>
        <v>0</v>
      </c>
      <c r="D34" s="537">
        <f>Dry_Matter_Content!E21</f>
        <v>0.44</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Amnt_Deposited!E29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Amnt_Deposited!D30</f>
        <v>0</v>
      </c>
      <c r="D35" s="537">
        <f>Dry_Matter_Content!E22</f>
        <v>0.44</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Amnt_Deposited!E30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Amnt_Deposited!D31</f>
        <v>0</v>
      </c>
      <c r="D36" s="537">
        <f>Dry_Matter_Content!E23</f>
        <v>0.44</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Amnt_Deposited!E31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Amnt_Deposited!D32</f>
        <v>0</v>
      </c>
      <c r="D37" s="537">
        <f>Dry_Matter_Content!E24</f>
        <v>0.44</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Amnt_Deposited!E32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Amnt_Deposited!D33</f>
        <v>0</v>
      </c>
      <c r="D38" s="537">
        <f>Dry_Matter_Content!E25</f>
        <v>0.44</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Amnt_Deposited!E33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Amnt_Deposited!D34</f>
        <v>0</v>
      </c>
      <c r="D39" s="537">
        <f>Dry_Matter_Content!E26</f>
        <v>0.44</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Amnt_Deposited!E34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Amnt_Deposited!D35</f>
        <v>0</v>
      </c>
      <c r="D40" s="537">
        <f>Dry_Matter_Content!E27</f>
        <v>0.44</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Amnt_Deposited!E35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Amnt_Deposited!D36</f>
        <v>0</v>
      </c>
      <c r="D41" s="537">
        <f>Dry_Matter_Content!E28</f>
        <v>0.44</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Amnt_Deposited!E36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Amnt_Deposited!D37</f>
        <v>0</v>
      </c>
      <c r="D42" s="537">
        <f>Dry_Matter_Content!E29</f>
        <v>0.44</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Amnt_Deposited!E37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Amnt_Deposited!D38</f>
        <v>0</v>
      </c>
      <c r="D43" s="537">
        <f>Dry_Matter_Content!E30</f>
        <v>0.44</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Amnt_Deposited!E38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Amnt_Deposited!D39</f>
        <v>0</v>
      </c>
      <c r="D44" s="537">
        <f>Dry_Matter_Content!E31</f>
        <v>0.44</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Amnt_Deposited!E39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Amnt_Deposited!D40</f>
        <v>0</v>
      </c>
      <c r="D45" s="537">
        <f>Dry_Matter_Content!E32</f>
        <v>0.44</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Amnt_Deposited!E40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Amnt_Deposited!D41</f>
        <v>0</v>
      </c>
      <c r="D46" s="537">
        <f>Dry_Matter_Content!E33</f>
        <v>0.44</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Amnt_Deposited!E41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Amnt_Deposited!D42</f>
        <v>0</v>
      </c>
      <c r="D47" s="537">
        <f>Dry_Matter_Content!E34</f>
        <v>0.44</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Amnt_Deposited!E42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Amnt_Deposited!D43</f>
        <v>0</v>
      </c>
      <c r="D48" s="537">
        <f>Dry_Matter_Content!E35</f>
        <v>0.44</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Amnt_Deposited!E43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Amnt_Deposited!D44</f>
        <v>0</v>
      </c>
      <c r="D49" s="537">
        <f>Dry_Matter_Content!E36</f>
        <v>0.44</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Amnt_Deposited!E44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Amnt_Deposited!D45</f>
        <v>0</v>
      </c>
      <c r="D50" s="537">
        <f>Dry_Matter_Content!E37</f>
        <v>0.44</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Amnt_Deposited!E45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Amnt_Deposited!D46</f>
        <v>0</v>
      </c>
      <c r="D51" s="537">
        <f>Dry_Matter_Content!E38</f>
        <v>0.44</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Amnt_Deposited!E46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Amnt_Deposited!D47</f>
        <v>0</v>
      </c>
      <c r="D52" s="537">
        <f>Dry_Matter_Content!E39</f>
        <v>0.44</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Amnt_Deposited!E47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Amnt_Deposited!D48</f>
        <v>0</v>
      </c>
      <c r="D53" s="537">
        <f>Dry_Matter_Content!E40</f>
        <v>0.44</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Amnt_Deposited!E48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Amnt_Deposited!D49</f>
        <v>0</v>
      </c>
      <c r="D54" s="537">
        <f>Dry_Matter_Content!E41</f>
        <v>0.44</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Amnt_Deposited!E49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Amnt_Deposited!D50</f>
        <v>0</v>
      </c>
      <c r="D55" s="537">
        <f>Dry_Matter_Content!E42</f>
        <v>0.44</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Amnt_Deposited!E50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Amnt_Deposited!D51</f>
        <v>0</v>
      </c>
      <c r="D56" s="537">
        <f>Dry_Matter_Content!E43</f>
        <v>0.44</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Amnt_Deposited!E51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Amnt_Deposited!D52</f>
        <v>0</v>
      </c>
      <c r="D57" s="537">
        <f>Dry_Matter_Content!E44</f>
        <v>0.44</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Amnt_Deposited!E52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Amnt_Deposited!D53</f>
        <v>0</v>
      </c>
      <c r="D58" s="537">
        <f>Dry_Matter_Content!E45</f>
        <v>0.44</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Amnt_Deposited!E53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Amnt_Deposited!D54</f>
        <v>0</v>
      </c>
      <c r="D59" s="537">
        <f>Dry_Matter_Content!E46</f>
        <v>0.44</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Amnt_Deposited!E54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Amnt_Deposited!D55</f>
        <v>0</v>
      </c>
      <c r="D60" s="537">
        <f>Dry_Matter_Content!E47</f>
        <v>0.44</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Amnt_Deposited!E55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Amnt_Deposited!D56</f>
        <v>0</v>
      </c>
      <c r="D61" s="537">
        <f>Dry_Matter_Content!E48</f>
        <v>0.44</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Amnt_Deposited!E56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Amnt_Deposited!D57</f>
        <v>0</v>
      </c>
      <c r="D62" s="537">
        <f>Dry_Matter_Content!E49</f>
        <v>0.44</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Amnt_Deposited!E57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Amnt_Deposited!D58</f>
        <v>0</v>
      </c>
      <c r="D63" s="537">
        <f>Dry_Matter_Content!E50</f>
        <v>0.44</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Amnt_Deposited!E58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Amnt_Deposited!D59</f>
        <v>0</v>
      </c>
      <c r="D64" s="537">
        <f>Dry_Matter_Content!E51</f>
        <v>0.44</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Amnt_Deposited!E59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Amnt_Deposited!D60</f>
        <v>0</v>
      </c>
      <c r="D65" s="537">
        <f>Dry_Matter_Content!E52</f>
        <v>0.44</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Amnt_Deposited!E60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Amnt_Deposited!D61</f>
        <v>0</v>
      </c>
      <c r="D66" s="537">
        <f>Dry_Matter_Content!E53</f>
        <v>0.44</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Amnt_Deposited!E61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Amnt_Deposited!D62</f>
        <v>0</v>
      </c>
      <c r="D67" s="537">
        <f>Dry_Matter_Content!E54</f>
        <v>0.44</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Amnt_Deposited!E62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Amnt_Deposited!D63</f>
        <v>0</v>
      </c>
      <c r="D68" s="537">
        <f>Dry_Matter_Content!E55</f>
        <v>0.44</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Amnt_Deposited!E63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Amnt_Deposited!D64</f>
        <v>0</v>
      </c>
      <c r="D69" s="537">
        <f>Dry_Matter_Content!E56</f>
        <v>0.44</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Amnt_Deposited!E64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Amnt_Deposited!D65</f>
        <v>0</v>
      </c>
      <c r="D70" s="537">
        <f>Dry_Matter_Content!E57</f>
        <v>0.44</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Amnt_Deposited!E65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Amnt_Deposited!D66</f>
        <v>0</v>
      </c>
      <c r="D71" s="537">
        <f>Dry_Matter_Content!E58</f>
        <v>0.44</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Amnt_Deposited!E66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Amnt_Deposited!D67</f>
        <v>0</v>
      </c>
      <c r="D72" s="537">
        <f>Dry_Matter_Content!E59</f>
        <v>0.44</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Amnt_Deposited!E67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Amnt_Deposited!D68</f>
        <v>0</v>
      </c>
      <c r="D73" s="537">
        <f>Dry_Matter_Content!E60</f>
        <v>0.44</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Amnt_Deposited!E68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Amnt_Deposited!D69</f>
        <v>0</v>
      </c>
      <c r="D74" s="537">
        <f>Dry_Matter_Content!E61</f>
        <v>0.44</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Amnt_Deposited!E69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Amnt_Deposited!D70</f>
        <v>0</v>
      </c>
      <c r="D75" s="537">
        <f>Dry_Matter_Content!E62</f>
        <v>0.44</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Amnt_Deposited!E70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Amnt_Deposited!D71</f>
        <v>0</v>
      </c>
      <c r="D76" s="537">
        <f>Dry_Matter_Content!E63</f>
        <v>0.44</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Amnt_Deposited!E71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Amnt_Deposited!D72</f>
        <v>0</v>
      </c>
      <c r="D77" s="537">
        <f>Dry_Matter_Content!E64</f>
        <v>0.44</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Amnt_Deposited!E72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Amnt_Deposited!D73</f>
        <v>0</v>
      </c>
      <c r="D78" s="537">
        <f>Dry_Matter_Content!E65</f>
        <v>0.44</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Amnt_Deposited!E73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Amnt_Deposited!D74</f>
        <v>0</v>
      </c>
      <c r="D79" s="537">
        <f>Dry_Matter_Content!E66</f>
        <v>0.44</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Amnt_Deposited!E74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Amnt_Deposited!D75</f>
        <v>0</v>
      </c>
      <c r="D80" s="537">
        <f>Dry_Matter_Content!E67</f>
        <v>0.44</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Amnt_Deposited!E75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Amnt_Deposited!D76</f>
        <v>0</v>
      </c>
      <c r="D81" s="537">
        <f>Dry_Matter_Content!E68</f>
        <v>0.44</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Amnt_Deposited!E76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Amnt_Deposited!D77</f>
        <v>0</v>
      </c>
      <c r="D82" s="537">
        <f>Dry_Matter_Content!E69</f>
        <v>0.44</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Amnt_Deposited!E77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Amnt_Deposited!D78</f>
        <v>0</v>
      </c>
      <c r="D83" s="537">
        <f>Dry_Matter_Content!E70</f>
        <v>0.44</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Amnt_Deposited!E78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Amnt_Deposited!D79</f>
        <v>0</v>
      </c>
      <c r="D84" s="537">
        <f>Dry_Matter_Content!E71</f>
        <v>0.44</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Amnt_Deposited!E79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Amnt_Deposited!D80</f>
        <v>0</v>
      </c>
      <c r="D85" s="537">
        <f>Dry_Matter_Content!E72</f>
        <v>0.44</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Amnt_Deposited!E80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Amnt_Deposited!D81</f>
        <v>0</v>
      </c>
      <c r="D86" s="537">
        <f>Dry_Matter_Content!E73</f>
        <v>0.44</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Amnt_Deposited!E81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Amnt_Deposited!D82</f>
        <v>0</v>
      </c>
      <c r="D87" s="537">
        <f>Dry_Matter_Content!E74</f>
        <v>0.44</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Amnt_Deposited!E82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Amnt_Deposited!D83</f>
        <v>0</v>
      </c>
      <c r="D88" s="537">
        <f>Dry_Matter_Content!E75</f>
        <v>0.44</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Amnt_Deposited!E83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Amnt_Deposited!D84</f>
        <v>0</v>
      </c>
      <c r="D89" s="537">
        <f>Dry_Matter_Content!E76</f>
        <v>0.44</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Amnt_Deposited!E84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Amnt_Deposited!D85</f>
        <v>0</v>
      </c>
      <c r="D90" s="537">
        <f>Dry_Matter_Content!E77</f>
        <v>0.44</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Amnt_Deposited!E85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Amnt_Deposited!D86</f>
        <v>0</v>
      </c>
      <c r="D91" s="537">
        <f>Dry_Matter_Content!E78</f>
        <v>0.44</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Amnt_Deposited!E86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Amnt_Deposited!D87</f>
        <v>0</v>
      </c>
      <c r="D92" s="537">
        <f>Dry_Matter_Content!E79</f>
        <v>0.44</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Amnt_Deposited!E87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Amnt_Deposited!D88</f>
        <v>0</v>
      </c>
      <c r="D93" s="537">
        <f>Dry_Matter_Content!E80</f>
        <v>0.44</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Amnt_Deposited!E88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Amnt_Deposited!D89</f>
        <v>0</v>
      </c>
      <c r="D94" s="537">
        <f>Dry_Matter_Content!E81</f>
        <v>0.44</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Amnt_Deposited!E89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Amnt_Deposited!D90</f>
        <v>0</v>
      </c>
      <c r="D95" s="537">
        <f>Dry_Matter_Content!E82</f>
        <v>0.44</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Amnt_Deposited!E90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Amnt_Deposited!D91</f>
        <v>0</v>
      </c>
      <c r="D96" s="537">
        <f>Dry_Matter_Content!E83</f>
        <v>0.44</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Amnt_Deposited!E91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Amnt_Deposited!D92</f>
        <v>0</v>
      </c>
      <c r="D97" s="537">
        <f>Dry_Matter_Content!E84</f>
        <v>0.44</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Amnt_Deposited!E92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Amnt_Deposited!D93</f>
        <v>0</v>
      </c>
      <c r="D98" s="537">
        <f>Dry_Matter_Content!E85</f>
        <v>0.44</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Amnt_Deposited!E93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Amnt_Deposited!D94</f>
        <v>0</v>
      </c>
      <c r="D99" s="537">
        <f>Dry_Matter_Content!E86</f>
        <v>0.44</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Amnt_Deposited!E94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312</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Parameters!O17</f>
        <v>0.49</v>
      </c>
      <c r="O6" s="271"/>
      <c r="P6" s="272"/>
      <c r="Q6" s="263"/>
      <c r="R6" s="135" t="s">
        <v>9</v>
      </c>
      <c r="S6" s="136"/>
      <c r="T6" s="136"/>
      <c r="U6" s="140"/>
      <c r="V6" s="147" t="s">
        <v>9</v>
      </c>
      <c r="W6" s="310">
        <f>Parameters!R17</f>
        <v>0.2</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Dry_Matter_Content!F6</f>
        <v>0.56999999999999995</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Amnt_Deposited!F14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Dry_Matter_Content!F7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Amnt_Deposited!F15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Dry_Matter_Content!F8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Amnt_Deposited!F16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Dry_Matter_Content!F9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Amnt_Deposited!F17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Dry_Matter_Content!F10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Amnt_Deposited!F18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Dry_Matter_Content!F11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Amnt_Deposited!F19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Dry_Matter_Content!F12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Amnt_Deposited!F20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Dry_Matter_Content!F13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Amnt_Deposited!F21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Dry_Matter_Content!F14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Amnt_Deposited!F22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Dry_Matter_Content!F15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Amnt_Deposited!F23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Dry_Matter_Content!F16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Amnt_Deposited!F24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Dry_Matter_Content!F17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Amnt_Deposited!F25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Dry_Matter_Content!F18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Amnt_Deposited!F26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Dry_Matter_Content!F19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Amnt_Deposited!F27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Dry_Matter_Content!F20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Amnt_Deposited!F28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Dry_Matter_Content!F21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Amnt_Deposited!F29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Dry_Matter_Content!F22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Amnt_Deposited!F30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Dry_Matter_Content!F23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Amnt_Deposited!F31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Dry_Matter_Content!F24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Amnt_Deposited!F32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Dry_Matter_Content!F25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Amnt_Deposited!F33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Dry_Matter_Content!F26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Amnt_Deposited!F34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Dry_Matter_Content!F27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Amnt_Deposited!F35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Dry_Matter_Content!F28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Amnt_Deposited!F36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Dry_Matter_Content!F29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Amnt_Deposited!F37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Dry_Matter_Content!F30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Amnt_Deposited!F38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Dry_Matter_Content!F31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Amnt_Deposited!F39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Dry_Matter_Content!F32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Amnt_Deposited!F40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Dry_Matter_Content!F33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Amnt_Deposited!F41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Dry_Matter_Content!F34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Amnt_Deposited!F42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Dry_Matter_Content!F35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Amnt_Deposited!F43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Dry_Matter_Content!F36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Amnt_Deposited!F44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Dry_Matter_Content!F37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Amnt_Deposited!F45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Dry_Matter_Content!F38</f>
        <v>0.56999999999999995</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Amnt_Deposited!F46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Dry_Matter_Content!F39</f>
        <v>0.56999999999999995</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Amnt_Deposited!F47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Dry_Matter_Content!F40</f>
        <v>0.56999999999999995</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Amnt_Deposited!F48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Dry_Matter_Content!F41</f>
        <v>0.56999999999999995</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Amnt_Deposited!F49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Dry_Matter_Content!F42</f>
        <v>0.56999999999999995</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Amnt_Deposited!F50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Dry_Matter_Content!F43</f>
        <v>0.56999999999999995</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Amnt_Deposited!F51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Dry_Matter_Content!F44</f>
        <v>0.56999999999999995</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Amnt_Deposited!F52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Dry_Matter_Content!F45</f>
        <v>0.56999999999999995</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Amnt_Deposited!F53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Dry_Matter_Content!F46</f>
        <v>0.56999999999999995</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Amnt_Deposited!F54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Dry_Matter_Content!F47</f>
        <v>0.56999999999999995</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Amnt_Deposited!F55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Dry_Matter_Content!F48</f>
        <v>0.56999999999999995</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Amnt_Deposited!F56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Dry_Matter_Content!F49</f>
        <v>0.56999999999999995</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Amnt_Deposited!F57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Dry_Matter_Content!F50</f>
        <v>0.56999999999999995</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Amnt_Deposited!F58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Dry_Matter_Content!F51</f>
        <v>0.56999999999999995</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Amnt_Deposited!F59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Dry_Matter_Content!F52</f>
        <v>0.56999999999999995</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Amnt_Deposited!F60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Dry_Matter_Content!F53</f>
        <v>0.56999999999999995</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Amnt_Deposited!F61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Dry_Matter_Content!F54</f>
        <v>0.56999999999999995</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Amnt_Deposited!F62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Dry_Matter_Content!F55</f>
        <v>0.56999999999999995</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Amnt_Deposited!F63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Dry_Matter_Content!F56</f>
        <v>0.56999999999999995</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Amnt_Deposited!F64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Dry_Matter_Content!F57</f>
        <v>0.56999999999999995</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Amnt_Deposited!F65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Dry_Matter_Content!F58</f>
        <v>0.56999999999999995</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Amnt_Deposited!F66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Dry_Matter_Content!F59</f>
        <v>0.56999999999999995</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Amnt_Deposited!F67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Dry_Matter_Content!F60</f>
        <v>0.56999999999999995</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Amnt_Deposited!F68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Dry_Matter_Content!F61</f>
        <v>0.56999999999999995</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Amnt_Deposited!F69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Dry_Matter_Content!F62</f>
        <v>0.56999999999999995</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Amnt_Deposited!F70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Dry_Matter_Content!F63</f>
        <v>0.56999999999999995</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Amnt_Deposited!F71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Dry_Matter_Content!F64</f>
        <v>0.56999999999999995</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Amnt_Deposited!F72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Dry_Matter_Content!F65</f>
        <v>0.56999999999999995</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Amnt_Deposited!F73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Dry_Matter_Content!F66</f>
        <v>0.56999999999999995</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Amnt_Deposited!F74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Dry_Matter_Content!F67</f>
        <v>0.56999999999999995</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Amnt_Deposited!F75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Dry_Matter_Content!F68</f>
        <v>0.56999999999999995</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Amnt_Deposited!F76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Dry_Matter_Content!F69</f>
        <v>0.56999999999999995</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Amnt_Deposited!F77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Dry_Matter_Content!F70</f>
        <v>0.56999999999999995</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Amnt_Deposited!F78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Dry_Matter_Content!F71</f>
        <v>0.56999999999999995</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Amnt_Deposited!F79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Dry_Matter_Content!F72</f>
        <v>0.56999999999999995</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Amnt_Deposited!F80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Amnt_Deposited!F81</f>
        <v>0</v>
      </c>
      <c r="D86" s="537">
        <f>Dry_Matter_Content!F73</f>
        <v>0.56999999999999995</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Amnt_Deposited!F81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Amnt_Deposited!F82</f>
        <v>0</v>
      </c>
      <c r="D87" s="537">
        <f>Dry_Matter_Content!F74</f>
        <v>0.56999999999999995</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Amnt_Deposited!F82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Amnt_Deposited!F83</f>
        <v>0</v>
      </c>
      <c r="D88" s="537">
        <f>Dry_Matter_Content!F75</f>
        <v>0.56999999999999995</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Amnt_Deposited!F83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Amnt_Deposited!F84</f>
        <v>0</v>
      </c>
      <c r="D89" s="537">
        <f>Dry_Matter_Content!F76</f>
        <v>0.56999999999999995</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Amnt_Deposited!F84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Amnt_Deposited!F85</f>
        <v>0</v>
      </c>
      <c r="D90" s="537">
        <f>Dry_Matter_Content!F77</f>
        <v>0.56999999999999995</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Amnt_Deposited!F85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Amnt_Deposited!F86</f>
        <v>0</v>
      </c>
      <c r="D91" s="537">
        <f>Dry_Matter_Content!F78</f>
        <v>0.56999999999999995</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Amnt_Deposited!F86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Amnt_Deposited!F87</f>
        <v>0</v>
      </c>
      <c r="D92" s="537">
        <f>Dry_Matter_Content!F79</f>
        <v>0.56999999999999995</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Amnt_Deposited!F87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Amnt_Deposited!F88</f>
        <v>0</v>
      </c>
      <c r="D93" s="537">
        <f>Dry_Matter_Content!F80</f>
        <v>0.56999999999999995</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Amnt_Deposited!F88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Amnt_Deposited!F89</f>
        <v>0</v>
      </c>
      <c r="D94" s="537">
        <f>Dry_Matter_Content!F81</f>
        <v>0.56999999999999995</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Amnt_Deposited!F89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Amnt_Deposited!F90</f>
        <v>0</v>
      </c>
      <c r="D95" s="537">
        <f>Dry_Matter_Content!F82</f>
        <v>0.56999999999999995</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Amnt_Deposited!F90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Amnt_Deposited!F91</f>
        <v>0</v>
      </c>
      <c r="D96" s="537">
        <f>Dry_Matter_Content!F83</f>
        <v>0.56999999999999995</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Amnt_Deposited!F91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Amnt_Deposited!F92</f>
        <v>0</v>
      </c>
      <c r="D97" s="537">
        <f>Dry_Matter_Content!F84</f>
        <v>0.56999999999999995</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Amnt_Deposited!F92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Amnt_Deposited!F93</f>
        <v>0</v>
      </c>
      <c r="D98" s="537">
        <f>Dry_Matter_Content!F85</f>
        <v>0.56999999999999995</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Amnt_Deposited!F93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Amnt_Deposited!F94</f>
        <v>0</v>
      </c>
      <c r="D99" s="538">
        <f>Dry_Matter_Content!F86</f>
        <v>0.56999999999999995</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Amnt_Deposited!F94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311</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534">
        <f>Parameters!O20</f>
        <v>0.5</v>
      </c>
      <c r="O6" s="271"/>
      <c r="P6" s="272"/>
      <c r="Q6" s="263"/>
      <c r="R6" s="135" t="s">
        <v>9</v>
      </c>
      <c r="S6" s="136"/>
      <c r="T6" s="136"/>
      <c r="U6" s="140"/>
      <c r="V6" s="147" t="s">
        <v>9</v>
      </c>
      <c r="W6" s="310">
        <f>Parameters!R20</f>
        <v>0.43</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6" t="s">
        <v>190</v>
      </c>
      <c r="G9" s="297"/>
      <c r="H9" s="297"/>
      <c r="I9" s="298"/>
      <c r="J9" s="299" t="s">
        <v>189</v>
      </c>
      <c r="K9" s="305">
        <f>LN(2)/$K$8</f>
        <v>19.804205158855577</v>
      </c>
      <c r="O9" s="73"/>
      <c r="P9" s="73"/>
      <c r="Q9" s="263"/>
      <c r="R9" s="296" t="s">
        <v>190</v>
      </c>
      <c r="S9" s="297"/>
      <c r="T9" s="297"/>
      <c r="U9" s="298"/>
      <c r="V9" s="299" t="s">
        <v>189</v>
      </c>
      <c r="W9" s="305">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Amnt_Deposited!F14</f>
        <v>0</v>
      </c>
      <c r="D19" s="535">
        <f>Dry_Matter_Content!G6</f>
        <v>0.56999999999999995</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Amnt_Deposited!G14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Amnt_Deposited!F15</f>
        <v>0</v>
      </c>
      <c r="D20" s="537">
        <f>Dry_Matter_Content!G7</f>
        <v>0.56999999999999995</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Amnt_Deposited!G15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Amnt_Deposited!F16</f>
        <v>0</v>
      </c>
      <c r="D21" s="537">
        <f>Dry_Matter_Content!G8</f>
        <v>0.56999999999999995</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Amnt_Deposited!G16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Amnt_Deposited!F17</f>
        <v>0</v>
      </c>
      <c r="D22" s="537">
        <f>Dry_Matter_Content!G9</f>
        <v>0.56999999999999995</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Amnt_Deposited!G17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Amnt_Deposited!F18</f>
        <v>0</v>
      </c>
      <c r="D23" s="537">
        <f>Dry_Matter_Content!G10</f>
        <v>0.56999999999999995</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Amnt_Deposited!G18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Amnt_Deposited!F19</f>
        <v>0</v>
      </c>
      <c r="D24" s="537">
        <f>Dry_Matter_Content!G11</f>
        <v>0.56999999999999995</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Amnt_Deposited!G19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Amnt_Deposited!F20</f>
        <v>0</v>
      </c>
      <c r="D25" s="537">
        <f>Dry_Matter_Content!G12</f>
        <v>0.56999999999999995</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Amnt_Deposited!G20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Amnt_Deposited!F21</f>
        <v>0</v>
      </c>
      <c r="D26" s="537">
        <f>Dry_Matter_Content!G13</f>
        <v>0.56999999999999995</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Amnt_Deposited!G21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Amnt_Deposited!F22</f>
        <v>0</v>
      </c>
      <c r="D27" s="537">
        <f>Dry_Matter_Content!G14</f>
        <v>0.56999999999999995</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Amnt_Deposited!G22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Amnt_Deposited!F23</f>
        <v>0</v>
      </c>
      <c r="D28" s="537">
        <f>Dry_Matter_Content!G15</f>
        <v>0.56999999999999995</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Amnt_Deposited!G23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Amnt_Deposited!F24</f>
        <v>0</v>
      </c>
      <c r="D29" s="537">
        <f>Dry_Matter_Content!G16</f>
        <v>0.56999999999999995</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Amnt_Deposited!G24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Amnt_Deposited!F25</f>
        <v>0</v>
      </c>
      <c r="D30" s="537">
        <f>Dry_Matter_Content!G17</f>
        <v>0.56999999999999995</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Amnt_Deposited!G25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Amnt_Deposited!F26</f>
        <v>0</v>
      </c>
      <c r="D31" s="537">
        <f>Dry_Matter_Content!G18</f>
        <v>0.56999999999999995</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Amnt_Deposited!G26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Amnt_Deposited!F27</f>
        <v>0</v>
      </c>
      <c r="D32" s="537">
        <f>Dry_Matter_Content!G19</f>
        <v>0.56999999999999995</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Amnt_Deposited!G27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Amnt_Deposited!F28</f>
        <v>0</v>
      </c>
      <c r="D33" s="537">
        <f>Dry_Matter_Content!G20</f>
        <v>0.56999999999999995</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Amnt_Deposited!G28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Amnt_Deposited!F29</f>
        <v>0</v>
      </c>
      <c r="D34" s="537">
        <f>Dry_Matter_Content!G21</f>
        <v>0.56999999999999995</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Amnt_Deposited!G29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Amnt_Deposited!F30</f>
        <v>0</v>
      </c>
      <c r="D35" s="537">
        <f>Dry_Matter_Content!G22</f>
        <v>0.56999999999999995</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Amnt_Deposited!G30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Amnt_Deposited!F31</f>
        <v>0</v>
      </c>
      <c r="D36" s="537">
        <f>Dry_Matter_Content!G23</f>
        <v>0.56999999999999995</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Amnt_Deposited!G31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Amnt_Deposited!F32</f>
        <v>0</v>
      </c>
      <c r="D37" s="537">
        <f>Dry_Matter_Content!G24</f>
        <v>0.56999999999999995</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Amnt_Deposited!G32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Amnt_Deposited!F33</f>
        <v>0</v>
      </c>
      <c r="D38" s="537">
        <f>Dry_Matter_Content!G25</f>
        <v>0.56999999999999995</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Amnt_Deposited!G33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Amnt_Deposited!F34</f>
        <v>0</v>
      </c>
      <c r="D39" s="537">
        <f>Dry_Matter_Content!G26</f>
        <v>0.56999999999999995</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Amnt_Deposited!G34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Amnt_Deposited!F35</f>
        <v>0</v>
      </c>
      <c r="D40" s="537">
        <f>Dry_Matter_Content!G27</f>
        <v>0.56999999999999995</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Amnt_Deposited!G35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Amnt_Deposited!F36</f>
        <v>0</v>
      </c>
      <c r="D41" s="537">
        <f>Dry_Matter_Content!G28</f>
        <v>0.56999999999999995</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Amnt_Deposited!G36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Amnt_Deposited!F37</f>
        <v>0</v>
      </c>
      <c r="D42" s="537">
        <f>Dry_Matter_Content!G29</f>
        <v>0.56999999999999995</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Amnt_Deposited!G37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Amnt_Deposited!F38</f>
        <v>0</v>
      </c>
      <c r="D43" s="537">
        <f>Dry_Matter_Content!G30</f>
        <v>0.56999999999999995</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Amnt_Deposited!G38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Amnt_Deposited!F39</f>
        <v>0</v>
      </c>
      <c r="D44" s="537">
        <f>Dry_Matter_Content!G31</f>
        <v>0.56999999999999995</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Amnt_Deposited!G39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Amnt_Deposited!F40</f>
        <v>0</v>
      </c>
      <c r="D45" s="537">
        <f>Dry_Matter_Content!G32</f>
        <v>0.56999999999999995</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Amnt_Deposited!G40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Amnt_Deposited!F41</f>
        <v>0</v>
      </c>
      <c r="D46" s="537">
        <f>Dry_Matter_Content!G33</f>
        <v>0.56999999999999995</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Amnt_Deposited!G41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Amnt_Deposited!F42</f>
        <v>0</v>
      </c>
      <c r="D47" s="537">
        <f>Dry_Matter_Content!G34</f>
        <v>0.56999999999999995</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Amnt_Deposited!G42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Amnt_Deposited!F43</f>
        <v>0</v>
      </c>
      <c r="D48" s="537">
        <f>Dry_Matter_Content!G35</f>
        <v>0.56999999999999995</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Amnt_Deposited!G43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Amnt_Deposited!F44</f>
        <v>0</v>
      </c>
      <c r="D49" s="537">
        <f>Dry_Matter_Content!G36</f>
        <v>0.56999999999999995</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Amnt_Deposited!G44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Amnt_Deposited!F45</f>
        <v>0</v>
      </c>
      <c r="D50" s="537">
        <f>Dry_Matter_Content!G37</f>
        <v>0.56999999999999995</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Amnt_Deposited!G45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Amnt_Deposited!F46</f>
        <v>0</v>
      </c>
      <c r="D51" s="537">
        <f>Dry_Matter_Content!G38</f>
        <v>0.56999999999999995</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Amnt_Deposited!G46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Amnt_Deposited!F47</f>
        <v>0</v>
      </c>
      <c r="D52" s="537">
        <f>Dry_Matter_Content!G39</f>
        <v>0.56999999999999995</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Amnt_Deposited!G47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Amnt_Deposited!F48</f>
        <v>0</v>
      </c>
      <c r="D53" s="537">
        <f>Dry_Matter_Content!G40</f>
        <v>0.56999999999999995</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Amnt_Deposited!G48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Amnt_Deposited!F49</f>
        <v>0</v>
      </c>
      <c r="D54" s="537">
        <f>Dry_Matter_Content!G41</f>
        <v>0.56999999999999995</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Amnt_Deposited!G49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Amnt_Deposited!F50</f>
        <v>0</v>
      </c>
      <c r="D55" s="537">
        <f>Dry_Matter_Content!G42</f>
        <v>0.56999999999999995</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Amnt_Deposited!G50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Amnt_Deposited!F51</f>
        <v>0</v>
      </c>
      <c r="D56" s="537">
        <f>Dry_Matter_Content!G43</f>
        <v>0.56999999999999995</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Amnt_Deposited!G51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Amnt_Deposited!F52</f>
        <v>0</v>
      </c>
      <c r="D57" s="537">
        <f>Dry_Matter_Content!G44</f>
        <v>0.56999999999999995</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Amnt_Deposited!G52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Amnt_Deposited!F53</f>
        <v>0</v>
      </c>
      <c r="D58" s="537">
        <f>Dry_Matter_Content!G45</f>
        <v>0.56999999999999995</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Amnt_Deposited!G53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Amnt_Deposited!F54</f>
        <v>0</v>
      </c>
      <c r="D59" s="537">
        <f>Dry_Matter_Content!G46</f>
        <v>0.56999999999999995</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Amnt_Deposited!G54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Amnt_Deposited!F55</f>
        <v>0</v>
      </c>
      <c r="D60" s="537">
        <f>Dry_Matter_Content!G47</f>
        <v>0.56999999999999995</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Amnt_Deposited!G55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Amnt_Deposited!F56</f>
        <v>0</v>
      </c>
      <c r="D61" s="537">
        <f>Dry_Matter_Content!G48</f>
        <v>0.56999999999999995</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Amnt_Deposited!G56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Amnt_Deposited!F57</f>
        <v>0</v>
      </c>
      <c r="D62" s="537">
        <f>Dry_Matter_Content!G49</f>
        <v>0.56999999999999995</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Amnt_Deposited!G57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Amnt_Deposited!F58</f>
        <v>0</v>
      </c>
      <c r="D63" s="537">
        <f>Dry_Matter_Content!G50</f>
        <v>0.56999999999999995</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Amnt_Deposited!G58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Amnt_Deposited!F59</f>
        <v>0</v>
      </c>
      <c r="D64" s="537">
        <f>Dry_Matter_Content!G51</f>
        <v>0.56999999999999995</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Amnt_Deposited!G59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Amnt_Deposited!F60</f>
        <v>0</v>
      </c>
      <c r="D65" s="537">
        <f>Dry_Matter_Content!G52</f>
        <v>0.56999999999999995</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Amnt_Deposited!G60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Amnt_Deposited!F61</f>
        <v>0</v>
      </c>
      <c r="D66" s="537">
        <f>Dry_Matter_Content!G53</f>
        <v>0.56999999999999995</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Amnt_Deposited!G61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Amnt_Deposited!F62</f>
        <v>0</v>
      </c>
      <c r="D67" s="537">
        <f>Dry_Matter_Content!G54</f>
        <v>0.56999999999999995</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Amnt_Deposited!G62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Amnt_Deposited!F63</f>
        <v>0</v>
      </c>
      <c r="D68" s="537">
        <f>Dry_Matter_Content!G55</f>
        <v>0.56999999999999995</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Amnt_Deposited!G63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Amnt_Deposited!F64</f>
        <v>0</v>
      </c>
      <c r="D69" s="537">
        <f>Dry_Matter_Content!G56</f>
        <v>0.56999999999999995</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Amnt_Deposited!G64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Amnt_Deposited!F65</f>
        <v>0</v>
      </c>
      <c r="D70" s="537">
        <f>Dry_Matter_Content!G57</f>
        <v>0.56999999999999995</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Amnt_Deposited!G65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Amnt_Deposited!F66</f>
        <v>0</v>
      </c>
      <c r="D71" s="537">
        <f>Dry_Matter_Content!G58</f>
        <v>0.56999999999999995</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Amnt_Deposited!G66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Amnt_Deposited!F67</f>
        <v>0</v>
      </c>
      <c r="D72" s="537">
        <f>Dry_Matter_Content!G59</f>
        <v>0.56999999999999995</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Amnt_Deposited!G67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Amnt_Deposited!F68</f>
        <v>0</v>
      </c>
      <c r="D73" s="537">
        <f>Dry_Matter_Content!G60</f>
        <v>0.56999999999999995</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Amnt_Deposited!G68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Amnt_Deposited!F69</f>
        <v>0</v>
      </c>
      <c r="D74" s="537">
        <f>Dry_Matter_Content!G61</f>
        <v>0.56999999999999995</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Amnt_Deposited!G69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Amnt_Deposited!F70</f>
        <v>0</v>
      </c>
      <c r="D75" s="537">
        <f>Dry_Matter_Content!G62</f>
        <v>0.56999999999999995</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Amnt_Deposited!G70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Amnt_Deposited!F71</f>
        <v>0</v>
      </c>
      <c r="D76" s="537">
        <f>Dry_Matter_Content!G63</f>
        <v>0.56999999999999995</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Amnt_Deposited!G71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Amnt_Deposited!F72</f>
        <v>0</v>
      </c>
      <c r="D77" s="537">
        <f>Dry_Matter_Content!G64</f>
        <v>0.56999999999999995</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Amnt_Deposited!G72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Amnt_Deposited!F73</f>
        <v>0</v>
      </c>
      <c r="D78" s="537">
        <f>Dry_Matter_Content!G65</f>
        <v>0.56999999999999995</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Amnt_Deposited!G73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Amnt_Deposited!F74</f>
        <v>0</v>
      </c>
      <c r="D79" s="537">
        <f>Dry_Matter_Content!G66</f>
        <v>0.56999999999999995</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Amnt_Deposited!G74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Amnt_Deposited!F75</f>
        <v>0</v>
      </c>
      <c r="D80" s="537">
        <f>Dry_Matter_Content!G67</f>
        <v>0.56999999999999995</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Amnt_Deposited!G75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Amnt_Deposited!F76</f>
        <v>0</v>
      </c>
      <c r="D81" s="537">
        <f>Dry_Matter_Content!G68</f>
        <v>0.56999999999999995</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Amnt_Deposited!G76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Amnt_Deposited!F77</f>
        <v>0</v>
      </c>
      <c r="D82" s="537">
        <f>Dry_Matter_Content!G69</f>
        <v>0.56999999999999995</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Amnt_Deposited!G77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Amnt_Deposited!F78</f>
        <v>0</v>
      </c>
      <c r="D83" s="537">
        <f>Dry_Matter_Content!G70</f>
        <v>0.56999999999999995</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Amnt_Deposited!G78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Amnt_Deposited!F79</f>
        <v>0</v>
      </c>
      <c r="D84" s="537">
        <f>Dry_Matter_Content!G71</f>
        <v>0.56999999999999995</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Amnt_Deposited!G79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Amnt_Deposited!F80</f>
        <v>0</v>
      </c>
      <c r="D85" s="537">
        <f>Dry_Matter_Content!G72</f>
        <v>0.56999999999999995</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Amnt_Deposited!G80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Amnt_Deposited!F81</f>
        <v>0</v>
      </c>
      <c r="D86" s="537">
        <f>Dry_Matter_Content!G73</f>
        <v>0.56999999999999995</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Amnt_Deposited!G81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Amnt_Deposited!F82</f>
        <v>0</v>
      </c>
      <c r="D87" s="537">
        <f>Dry_Matter_Content!G74</f>
        <v>0.56999999999999995</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Amnt_Deposited!G82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Amnt_Deposited!F83</f>
        <v>0</v>
      </c>
      <c r="D88" s="537">
        <f>Dry_Matter_Content!G75</f>
        <v>0.56999999999999995</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Amnt_Deposited!G83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Amnt_Deposited!F84</f>
        <v>0</v>
      </c>
      <c r="D89" s="537">
        <f>Dry_Matter_Content!G76</f>
        <v>0.56999999999999995</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Amnt_Deposited!G84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Amnt_Deposited!F85</f>
        <v>0</v>
      </c>
      <c r="D90" s="537">
        <f>Dry_Matter_Content!G77</f>
        <v>0.56999999999999995</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Amnt_Deposited!G85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Amnt_Deposited!F86</f>
        <v>0</v>
      </c>
      <c r="D91" s="537">
        <f>Dry_Matter_Content!G78</f>
        <v>0.56999999999999995</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Amnt_Deposited!G86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Amnt_Deposited!F87</f>
        <v>0</v>
      </c>
      <c r="D92" s="537">
        <f>Dry_Matter_Content!G79</f>
        <v>0.56999999999999995</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Amnt_Deposited!G87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Amnt_Deposited!F88</f>
        <v>0</v>
      </c>
      <c r="D93" s="537">
        <f>Dry_Matter_Content!G80</f>
        <v>0.56999999999999995</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Amnt_Deposited!G88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Amnt_Deposited!F89</f>
        <v>0</v>
      </c>
      <c r="D94" s="537">
        <f>Dry_Matter_Content!G81</f>
        <v>0.56999999999999995</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Amnt_Deposited!G89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Amnt_Deposited!F90</f>
        <v>0</v>
      </c>
      <c r="D95" s="537">
        <f>Dry_Matter_Content!G82</f>
        <v>0.56999999999999995</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Amnt_Deposited!G90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Amnt_Deposited!F91</f>
        <v>0</v>
      </c>
      <c r="D96" s="537">
        <f>Dry_Matter_Content!G83</f>
        <v>0.56999999999999995</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Amnt_Deposited!G91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Amnt_Deposited!F92</f>
        <v>0</v>
      </c>
      <c r="D97" s="537">
        <f>Dry_Matter_Content!G84</f>
        <v>0.56999999999999995</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Amnt_Deposited!G92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Amnt_Deposited!F93</f>
        <v>0</v>
      </c>
      <c r="D98" s="537">
        <f>Dry_Matter_Content!G85</f>
        <v>0.56999999999999995</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Amnt_Deposited!G93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8">
        <f>Amnt_Deposited!F94</f>
        <v>0</v>
      </c>
      <c r="D99" s="537">
        <f>Dry_Matter_Content!G86</f>
        <v>0.56999999999999995</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Amnt_Deposited!G94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153</v>
      </c>
      <c r="C2" s="265"/>
      <c r="D2" s="265"/>
      <c r="E2" s="266"/>
      <c r="F2" s="267"/>
      <c r="G2" s="267"/>
      <c r="H2" s="267"/>
      <c r="I2" s="267"/>
      <c r="J2" s="267"/>
      <c r="K2" s="267"/>
    </row>
    <row r="3" spans="1:23" ht="15">
      <c r="B3" s="292"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Parameters!O18</f>
        <v>0.3</v>
      </c>
      <c r="O6" s="271"/>
      <c r="P6" s="272"/>
      <c r="Q6" s="263"/>
      <c r="R6" s="135" t="s">
        <v>9</v>
      </c>
      <c r="S6" s="136"/>
      <c r="T6" s="136"/>
      <c r="U6" s="140"/>
      <c r="V6" s="147" t="s">
        <v>9</v>
      </c>
      <c r="W6" s="310">
        <f>Parameters!R18</f>
        <v>0.24</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6" t="s">
        <v>190</v>
      </c>
      <c r="G9" s="297"/>
      <c r="H9" s="297"/>
      <c r="I9" s="298"/>
      <c r="J9" s="299" t="s">
        <v>189</v>
      </c>
      <c r="K9" s="305">
        <f>LN(2)/$K$8</f>
        <v>9.9021025794277886</v>
      </c>
      <c r="O9" s="73"/>
      <c r="P9" s="73"/>
      <c r="Q9" s="263"/>
      <c r="R9" s="296" t="s">
        <v>190</v>
      </c>
      <c r="S9" s="297"/>
      <c r="T9" s="297"/>
      <c r="U9" s="298"/>
      <c r="V9" s="299" t="s">
        <v>189</v>
      </c>
      <c r="W9" s="305">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Amnt_Deposited!H14</f>
        <v>0</v>
      </c>
      <c r="D19" s="535">
        <f>Dry_Matter_Content!H6</f>
        <v>0.73</v>
      </c>
      <c r="E19" s="381">
        <f>MCF!R18</f>
        <v>0.4</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Amnt_Deposited!H14</f>
        <v>0</v>
      </c>
      <c r="Q19" s="381">
        <f>MCF!R18</f>
        <v>0.4</v>
      </c>
      <c r="R19" s="157">
        <f t="shared" ref="R19:R50" si="5">P19*$W$6*DOCF*Q19</f>
        <v>0</v>
      </c>
      <c r="S19" s="91">
        <f>R19*$W$12</f>
        <v>0</v>
      </c>
      <c r="T19" s="91">
        <f>R19*(1-$W$12)</f>
        <v>0</v>
      </c>
      <c r="U19" s="91">
        <f>S19+U18*$W$10</f>
        <v>0</v>
      </c>
      <c r="V19" s="91">
        <f>U18*(1-$W$10)+T19</f>
        <v>0</v>
      </c>
      <c r="W19" s="92">
        <f>V19*CH4_fraction*conv</f>
        <v>0</v>
      </c>
    </row>
    <row r="20" spans="2:23">
      <c r="B20" s="123">
        <f>Amnt_Deposited!B15</f>
        <v>2001</v>
      </c>
      <c r="C20" s="126">
        <f>Amnt_Deposited!H15</f>
        <v>0</v>
      </c>
      <c r="D20" s="537">
        <f>Dry_Matter_Content!H7</f>
        <v>0.73</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Amnt_Deposited!H15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Amnt_Deposited!H16</f>
        <v>0</v>
      </c>
      <c r="D21" s="537">
        <f>Dry_Matter_Content!H8</f>
        <v>0.73</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Amnt_Deposited!H16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Amnt_Deposited!H17</f>
        <v>0</v>
      </c>
      <c r="D22" s="537">
        <f>Dry_Matter_Content!H9</f>
        <v>0.73</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Amnt_Deposited!H17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Amnt_Deposited!H18</f>
        <v>0</v>
      </c>
      <c r="D23" s="537">
        <f>Dry_Matter_Content!H10</f>
        <v>0.73</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Amnt_Deposited!H18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Amnt_Deposited!H19</f>
        <v>0</v>
      </c>
      <c r="D24" s="537">
        <f>Dry_Matter_Content!H11</f>
        <v>0.73</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Amnt_Deposited!H19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Amnt_Deposited!H20</f>
        <v>0</v>
      </c>
      <c r="D25" s="537">
        <f>Dry_Matter_Content!H12</f>
        <v>0.73</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Amnt_Deposited!H20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Amnt_Deposited!H21</f>
        <v>0</v>
      </c>
      <c r="D26" s="537">
        <f>Dry_Matter_Content!H13</f>
        <v>0.73</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Amnt_Deposited!H21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Amnt_Deposited!H22</f>
        <v>0</v>
      </c>
      <c r="D27" s="537">
        <f>Dry_Matter_Content!H14</f>
        <v>0.73</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Amnt_Deposited!H22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Amnt_Deposited!H23</f>
        <v>0</v>
      </c>
      <c r="D28" s="537">
        <f>Dry_Matter_Content!H15</f>
        <v>0.73</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Amnt_Deposited!H23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Amnt_Deposited!H24</f>
        <v>0</v>
      </c>
      <c r="D29" s="537">
        <f>Dry_Matter_Content!H16</f>
        <v>0.73</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Amnt_Deposited!H24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Amnt_Deposited!H25</f>
        <v>0</v>
      </c>
      <c r="D30" s="537">
        <f>Dry_Matter_Content!H17</f>
        <v>0.73</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Amnt_Deposited!H25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Amnt_Deposited!H26</f>
        <v>0</v>
      </c>
      <c r="D31" s="537">
        <f>Dry_Matter_Content!H18</f>
        <v>0.73</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Amnt_Deposited!H26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Amnt_Deposited!H27</f>
        <v>0</v>
      </c>
      <c r="D32" s="537">
        <f>Dry_Matter_Content!H19</f>
        <v>0.73</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Amnt_Deposited!H27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Amnt_Deposited!H28</f>
        <v>0</v>
      </c>
      <c r="D33" s="537">
        <f>Dry_Matter_Content!H20</f>
        <v>0.73</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Amnt_Deposited!H28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Amnt_Deposited!H29</f>
        <v>0</v>
      </c>
      <c r="D34" s="537">
        <f>Dry_Matter_Content!H21</f>
        <v>0.73</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Amnt_Deposited!H29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Amnt_Deposited!H30</f>
        <v>0</v>
      </c>
      <c r="D35" s="537">
        <f>Dry_Matter_Content!H22</f>
        <v>0.73</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Amnt_Deposited!H30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Amnt_Deposited!H31</f>
        <v>0</v>
      </c>
      <c r="D36" s="537">
        <f>Dry_Matter_Content!H23</f>
        <v>0.73</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Amnt_Deposited!H31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Amnt_Deposited!H32</f>
        <v>0</v>
      </c>
      <c r="D37" s="537">
        <f>Dry_Matter_Content!H24</f>
        <v>0.73</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Amnt_Deposited!H32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Amnt_Deposited!H33</f>
        <v>0</v>
      </c>
      <c r="D38" s="537">
        <f>Dry_Matter_Content!H25</f>
        <v>0.73</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Amnt_Deposited!H33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Amnt_Deposited!H34</f>
        <v>0</v>
      </c>
      <c r="D39" s="537">
        <f>Dry_Matter_Content!H26</f>
        <v>0.73</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Amnt_Deposited!H34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Amnt_Deposited!H35</f>
        <v>0</v>
      </c>
      <c r="D40" s="537">
        <f>Dry_Matter_Content!H27</f>
        <v>0.73</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Amnt_Deposited!H35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Amnt_Deposited!H36</f>
        <v>0</v>
      </c>
      <c r="D41" s="537">
        <f>Dry_Matter_Content!H28</f>
        <v>0.73</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Amnt_Deposited!H36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Amnt_Deposited!H37</f>
        <v>0</v>
      </c>
      <c r="D42" s="537">
        <f>Dry_Matter_Content!H29</f>
        <v>0.73</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Amnt_Deposited!H37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Amnt_Deposited!H38</f>
        <v>0</v>
      </c>
      <c r="D43" s="537">
        <f>Dry_Matter_Content!H30</f>
        <v>0.73</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Amnt_Deposited!H38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Amnt_Deposited!H39</f>
        <v>0</v>
      </c>
      <c r="D44" s="537">
        <f>Dry_Matter_Content!H31</f>
        <v>0.73</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Amnt_Deposited!H39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Amnt_Deposited!H40</f>
        <v>0</v>
      </c>
      <c r="D45" s="537">
        <f>Dry_Matter_Content!H32</f>
        <v>0.73</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Amnt_Deposited!H40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Amnt_Deposited!H41</f>
        <v>0</v>
      </c>
      <c r="D46" s="537">
        <f>Dry_Matter_Content!H33</f>
        <v>0.73</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Amnt_Deposited!H41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Amnt_Deposited!H42</f>
        <v>0</v>
      </c>
      <c r="D47" s="537">
        <f>Dry_Matter_Content!H34</f>
        <v>0.73</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Amnt_Deposited!H42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Amnt_Deposited!H43</f>
        <v>0</v>
      </c>
      <c r="D48" s="537">
        <f>Dry_Matter_Content!H35</f>
        <v>0.73</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Amnt_Deposited!H43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Amnt_Deposited!H44</f>
        <v>0</v>
      </c>
      <c r="D49" s="537">
        <f>Dry_Matter_Content!H36</f>
        <v>0.73</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Amnt_Deposited!H44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Amnt_Deposited!H45</f>
        <v>0</v>
      </c>
      <c r="D50" s="537">
        <f>Dry_Matter_Content!H37</f>
        <v>0.73</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Amnt_Deposited!H45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Amnt_Deposited!H46</f>
        <v>0</v>
      </c>
      <c r="D51" s="537">
        <f>Dry_Matter_Content!H38</f>
        <v>0.73</v>
      </c>
      <c r="E51" s="382">
        <f>MCF!R50</f>
        <v>0.4</v>
      </c>
      <c r="F51" s="93">
        <f t="shared" ref="F51:F82" si="12">C51*D51*$K$6*DOCF*E51</f>
        <v>0</v>
      </c>
      <c r="G51" s="93">
        <f t="shared" si="1"/>
        <v>0</v>
      </c>
      <c r="H51" s="93">
        <f t="shared" si="2"/>
        <v>0</v>
      </c>
      <c r="I51" s="93">
        <f t="shared" si="3"/>
        <v>0</v>
      </c>
      <c r="J51" s="93">
        <f t="shared" si="4"/>
        <v>0</v>
      </c>
      <c r="K51" s="127">
        <f t="shared" si="6"/>
        <v>0</v>
      </c>
      <c r="O51" s="123">
        <f>Amnt_Deposited!B46</f>
        <v>2032</v>
      </c>
      <c r="P51" s="126">
        <f>Amnt_Deposited!H46</f>
        <v>0</v>
      </c>
      <c r="Q51" s="382">
        <f>MCF!R50</f>
        <v>0.4</v>
      </c>
      <c r="R51" s="93">
        <f t="shared" ref="R51:R82" si="13">P51*$W$6*DOCF*Q51</f>
        <v>0</v>
      </c>
      <c r="S51" s="93">
        <f t="shared" si="7"/>
        <v>0</v>
      </c>
      <c r="T51" s="93">
        <f t="shared" si="8"/>
        <v>0</v>
      </c>
      <c r="U51" s="93">
        <f t="shared" si="9"/>
        <v>0</v>
      </c>
      <c r="V51" s="93">
        <f t="shared" si="10"/>
        <v>0</v>
      </c>
      <c r="W51" s="127">
        <f t="shared" si="11"/>
        <v>0</v>
      </c>
    </row>
    <row r="52" spans="2:23">
      <c r="B52" s="123">
        <f>Amnt_Deposited!B47</f>
        <v>2033</v>
      </c>
      <c r="C52" s="126">
        <f>Amnt_Deposited!H47</f>
        <v>0</v>
      </c>
      <c r="D52" s="537">
        <f>Dry_Matter_Content!H39</f>
        <v>0.73</v>
      </c>
      <c r="E52" s="382">
        <f>MCF!R51</f>
        <v>0.4</v>
      </c>
      <c r="F52" s="93">
        <f t="shared" si="12"/>
        <v>0</v>
      </c>
      <c r="G52" s="93">
        <f t="shared" si="1"/>
        <v>0</v>
      </c>
      <c r="H52" s="93">
        <f t="shared" si="2"/>
        <v>0</v>
      </c>
      <c r="I52" s="93">
        <f t="shared" si="3"/>
        <v>0</v>
      </c>
      <c r="J52" s="93">
        <f t="shared" si="4"/>
        <v>0</v>
      </c>
      <c r="K52" s="127">
        <f t="shared" si="6"/>
        <v>0</v>
      </c>
      <c r="O52" s="123">
        <f>Amnt_Deposited!B47</f>
        <v>2033</v>
      </c>
      <c r="P52" s="126">
        <f>Amnt_Deposited!H47</f>
        <v>0</v>
      </c>
      <c r="Q52" s="382">
        <f>MCF!R51</f>
        <v>0.4</v>
      </c>
      <c r="R52" s="93">
        <f t="shared" si="13"/>
        <v>0</v>
      </c>
      <c r="S52" s="93">
        <f t="shared" si="7"/>
        <v>0</v>
      </c>
      <c r="T52" s="93">
        <f t="shared" si="8"/>
        <v>0</v>
      </c>
      <c r="U52" s="93">
        <f t="shared" si="9"/>
        <v>0</v>
      </c>
      <c r="V52" s="93">
        <f t="shared" si="10"/>
        <v>0</v>
      </c>
      <c r="W52" s="127">
        <f t="shared" si="11"/>
        <v>0</v>
      </c>
    </row>
    <row r="53" spans="2:23">
      <c r="B53" s="123">
        <f>Amnt_Deposited!B48</f>
        <v>2034</v>
      </c>
      <c r="C53" s="126">
        <f>Amnt_Deposited!H48</f>
        <v>0</v>
      </c>
      <c r="D53" s="537">
        <f>Dry_Matter_Content!H40</f>
        <v>0.73</v>
      </c>
      <c r="E53" s="382">
        <f>MCF!R52</f>
        <v>0.4</v>
      </c>
      <c r="F53" s="93">
        <f t="shared" si="12"/>
        <v>0</v>
      </c>
      <c r="G53" s="93">
        <f t="shared" si="1"/>
        <v>0</v>
      </c>
      <c r="H53" s="93">
        <f t="shared" si="2"/>
        <v>0</v>
      </c>
      <c r="I53" s="93">
        <f t="shared" si="3"/>
        <v>0</v>
      </c>
      <c r="J53" s="93">
        <f t="shared" si="4"/>
        <v>0</v>
      </c>
      <c r="K53" s="127">
        <f t="shared" si="6"/>
        <v>0</v>
      </c>
      <c r="O53" s="123">
        <f>Amnt_Deposited!B48</f>
        <v>2034</v>
      </c>
      <c r="P53" s="126">
        <f>Amnt_Deposited!H48</f>
        <v>0</v>
      </c>
      <c r="Q53" s="382">
        <f>MCF!R52</f>
        <v>0.4</v>
      </c>
      <c r="R53" s="93">
        <f t="shared" si="13"/>
        <v>0</v>
      </c>
      <c r="S53" s="93">
        <f t="shared" si="7"/>
        <v>0</v>
      </c>
      <c r="T53" s="93">
        <f t="shared" si="8"/>
        <v>0</v>
      </c>
      <c r="U53" s="93">
        <f t="shared" si="9"/>
        <v>0</v>
      </c>
      <c r="V53" s="93">
        <f t="shared" si="10"/>
        <v>0</v>
      </c>
      <c r="W53" s="127">
        <f t="shared" si="11"/>
        <v>0</v>
      </c>
    </row>
    <row r="54" spans="2:23">
      <c r="B54" s="123">
        <f>Amnt_Deposited!B49</f>
        <v>2035</v>
      </c>
      <c r="C54" s="126">
        <f>Amnt_Deposited!H49</f>
        <v>0</v>
      </c>
      <c r="D54" s="537">
        <f>Dry_Matter_Content!H41</f>
        <v>0.73</v>
      </c>
      <c r="E54" s="382">
        <f>MCF!R53</f>
        <v>0.4</v>
      </c>
      <c r="F54" s="93">
        <f t="shared" si="12"/>
        <v>0</v>
      </c>
      <c r="G54" s="93">
        <f t="shared" si="1"/>
        <v>0</v>
      </c>
      <c r="H54" s="93">
        <f t="shared" si="2"/>
        <v>0</v>
      </c>
      <c r="I54" s="93">
        <f t="shared" si="3"/>
        <v>0</v>
      </c>
      <c r="J54" s="93">
        <f t="shared" si="4"/>
        <v>0</v>
      </c>
      <c r="K54" s="127">
        <f t="shared" si="6"/>
        <v>0</v>
      </c>
      <c r="O54" s="123">
        <f>Amnt_Deposited!B49</f>
        <v>2035</v>
      </c>
      <c r="P54" s="126">
        <f>Amnt_Deposited!H49</f>
        <v>0</v>
      </c>
      <c r="Q54" s="382">
        <f>MCF!R53</f>
        <v>0.4</v>
      </c>
      <c r="R54" s="93">
        <f t="shared" si="13"/>
        <v>0</v>
      </c>
      <c r="S54" s="93">
        <f t="shared" si="7"/>
        <v>0</v>
      </c>
      <c r="T54" s="93">
        <f t="shared" si="8"/>
        <v>0</v>
      </c>
      <c r="U54" s="93">
        <f t="shared" si="9"/>
        <v>0</v>
      </c>
      <c r="V54" s="93">
        <f t="shared" si="10"/>
        <v>0</v>
      </c>
      <c r="W54" s="127">
        <f t="shared" si="11"/>
        <v>0</v>
      </c>
    </row>
    <row r="55" spans="2:23">
      <c r="B55" s="123">
        <f>Amnt_Deposited!B50</f>
        <v>2036</v>
      </c>
      <c r="C55" s="126">
        <f>Amnt_Deposited!H50</f>
        <v>0</v>
      </c>
      <c r="D55" s="537">
        <f>Dry_Matter_Content!H42</f>
        <v>0.73</v>
      </c>
      <c r="E55" s="382">
        <f>MCF!R54</f>
        <v>0.4</v>
      </c>
      <c r="F55" s="93">
        <f t="shared" si="12"/>
        <v>0</v>
      </c>
      <c r="G55" s="93">
        <f t="shared" si="1"/>
        <v>0</v>
      </c>
      <c r="H55" s="93">
        <f t="shared" si="2"/>
        <v>0</v>
      </c>
      <c r="I55" s="93">
        <f t="shared" si="3"/>
        <v>0</v>
      </c>
      <c r="J55" s="93">
        <f t="shared" si="4"/>
        <v>0</v>
      </c>
      <c r="K55" s="127">
        <f t="shared" si="6"/>
        <v>0</v>
      </c>
      <c r="O55" s="123">
        <f>Amnt_Deposited!B50</f>
        <v>2036</v>
      </c>
      <c r="P55" s="126">
        <f>Amnt_Deposited!H50</f>
        <v>0</v>
      </c>
      <c r="Q55" s="382">
        <f>MCF!R54</f>
        <v>0.4</v>
      </c>
      <c r="R55" s="93">
        <f t="shared" si="13"/>
        <v>0</v>
      </c>
      <c r="S55" s="93">
        <f t="shared" si="7"/>
        <v>0</v>
      </c>
      <c r="T55" s="93">
        <f t="shared" si="8"/>
        <v>0</v>
      </c>
      <c r="U55" s="93">
        <f t="shared" si="9"/>
        <v>0</v>
      </c>
      <c r="V55" s="93">
        <f t="shared" si="10"/>
        <v>0</v>
      </c>
      <c r="W55" s="127">
        <f t="shared" si="11"/>
        <v>0</v>
      </c>
    </row>
    <row r="56" spans="2:23">
      <c r="B56" s="123">
        <f>Amnt_Deposited!B51</f>
        <v>2037</v>
      </c>
      <c r="C56" s="126">
        <f>Amnt_Deposited!H51</f>
        <v>0</v>
      </c>
      <c r="D56" s="537">
        <f>Dry_Matter_Content!H43</f>
        <v>0.73</v>
      </c>
      <c r="E56" s="382">
        <f>MCF!R55</f>
        <v>0.4</v>
      </c>
      <c r="F56" s="93">
        <f t="shared" si="12"/>
        <v>0</v>
      </c>
      <c r="G56" s="93">
        <f t="shared" si="1"/>
        <v>0</v>
      </c>
      <c r="H56" s="93">
        <f t="shared" si="2"/>
        <v>0</v>
      </c>
      <c r="I56" s="93">
        <f t="shared" si="3"/>
        <v>0</v>
      </c>
      <c r="J56" s="93">
        <f t="shared" si="4"/>
        <v>0</v>
      </c>
      <c r="K56" s="127">
        <f t="shared" si="6"/>
        <v>0</v>
      </c>
      <c r="O56" s="123">
        <f>Amnt_Deposited!B51</f>
        <v>2037</v>
      </c>
      <c r="P56" s="126">
        <f>Amnt_Deposited!H51</f>
        <v>0</v>
      </c>
      <c r="Q56" s="382">
        <f>MCF!R55</f>
        <v>0.4</v>
      </c>
      <c r="R56" s="93">
        <f t="shared" si="13"/>
        <v>0</v>
      </c>
      <c r="S56" s="93">
        <f t="shared" si="7"/>
        <v>0</v>
      </c>
      <c r="T56" s="93">
        <f t="shared" si="8"/>
        <v>0</v>
      </c>
      <c r="U56" s="93">
        <f t="shared" si="9"/>
        <v>0</v>
      </c>
      <c r="V56" s="93">
        <f t="shared" si="10"/>
        <v>0</v>
      </c>
      <c r="W56" s="127">
        <f t="shared" si="11"/>
        <v>0</v>
      </c>
    </row>
    <row r="57" spans="2:23">
      <c r="B57" s="123">
        <f>Amnt_Deposited!B52</f>
        <v>2038</v>
      </c>
      <c r="C57" s="126">
        <f>Amnt_Deposited!H52</f>
        <v>0</v>
      </c>
      <c r="D57" s="537">
        <f>Dry_Matter_Content!H44</f>
        <v>0.73</v>
      </c>
      <c r="E57" s="382">
        <f>MCF!R56</f>
        <v>0.4</v>
      </c>
      <c r="F57" s="93">
        <f t="shared" si="12"/>
        <v>0</v>
      </c>
      <c r="G57" s="93">
        <f t="shared" si="1"/>
        <v>0</v>
      </c>
      <c r="H57" s="93">
        <f t="shared" si="2"/>
        <v>0</v>
      </c>
      <c r="I57" s="93">
        <f t="shared" si="3"/>
        <v>0</v>
      </c>
      <c r="J57" s="93">
        <f t="shared" si="4"/>
        <v>0</v>
      </c>
      <c r="K57" s="127">
        <f t="shared" si="6"/>
        <v>0</v>
      </c>
      <c r="O57" s="123">
        <f>Amnt_Deposited!B52</f>
        <v>2038</v>
      </c>
      <c r="P57" s="126">
        <f>Amnt_Deposited!H52</f>
        <v>0</v>
      </c>
      <c r="Q57" s="382">
        <f>MCF!R56</f>
        <v>0.4</v>
      </c>
      <c r="R57" s="93">
        <f t="shared" si="13"/>
        <v>0</v>
      </c>
      <c r="S57" s="93">
        <f t="shared" si="7"/>
        <v>0</v>
      </c>
      <c r="T57" s="93">
        <f t="shared" si="8"/>
        <v>0</v>
      </c>
      <c r="U57" s="93">
        <f t="shared" si="9"/>
        <v>0</v>
      </c>
      <c r="V57" s="93">
        <f t="shared" si="10"/>
        <v>0</v>
      </c>
      <c r="W57" s="127">
        <f t="shared" si="11"/>
        <v>0</v>
      </c>
    </row>
    <row r="58" spans="2:23">
      <c r="B58" s="123">
        <f>Amnt_Deposited!B53</f>
        <v>2039</v>
      </c>
      <c r="C58" s="126">
        <f>Amnt_Deposited!H53</f>
        <v>0</v>
      </c>
      <c r="D58" s="537">
        <f>Dry_Matter_Content!H45</f>
        <v>0.73</v>
      </c>
      <c r="E58" s="382">
        <f>MCF!R57</f>
        <v>0.4</v>
      </c>
      <c r="F58" s="93">
        <f t="shared" si="12"/>
        <v>0</v>
      </c>
      <c r="G58" s="93">
        <f t="shared" si="1"/>
        <v>0</v>
      </c>
      <c r="H58" s="93">
        <f t="shared" si="2"/>
        <v>0</v>
      </c>
      <c r="I58" s="93">
        <f t="shared" si="3"/>
        <v>0</v>
      </c>
      <c r="J58" s="93">
        <f t="shared" si="4"/>
        <v>0</v>
      </c>
      <c r="K58" s="127">
        <f t="shared" si="6"/>
        <v>0</v>
      </c>
      <c r="O58" s="123">
        <f>Amnt_Deposited!B53</f>
        <v>2039</v>
      </c>
      <c r="P58" s="126">
        <f>Amnt_Deposited!H53</f>
        <v>0</v>
      </c>
      <c r="Q58" s="382">
        <f>MCF!R57</f>
        <v>0.4</v>
      </c>
      <c r="R58" s="93">
        <f t="shared" si="13"/>
        <v>0</v>
      </c>
      <c r="S58" s="93">
        <f t="shared" si="7"/>
        <v>0</v>
      </c>
      <c r="T58" s="93">
        <f t="shared" si="8"/>
        <v>0</v>
      </c>
      <c r="U58" s="93">
        <f t="shared" si="9"/>
        <v>0</v>
      </c>
      <c r="V58" s="93">
        <f t="shared" si="10"/>
        <v>0</v>
      </c>
      <c r="W58" s="127">
        <f t="shared" si="11"/>
        <v>0</v>
      </c>
    </row>
    <row r="59" spans="2:23">
      <c r="B59" s="123">
        <f>Amnt_Deposited!B54</f>
        <v>2040</v>
      </c>
      <c r="C59" s="126">
        <f>Amnt_Deposited!H54</f>
        <v>0</v>
      </c>
      <c r="D59" s="537">
        <f>Dry_Matter_Content!H46</f>
        <v>0.73</v>
      </c>
      <c r="E59" s="382">
        <f>MCF!R58</f>
        <v>0.4</v>
      </c>
      <c r="F59" s="93">
        <f t="shared" si="12"/>
        <v>0</v>
      </c>
      <c r="G59" s="93">
        <f t="shared" si="1"/>
        <v>0</v>
      </c>
      <c r="H59" s="93">
        <f t="shared" si="2"/>
        <v>0</v>
      </c>
      <c r="I59" s="93">
        <f t="shared" si="3"/>
        <v>0</v>
      </c>
      <c r="J59" s="93">
        <f t="shared" si="4"/>
        <v>0</v>
      </c>
      <c r="K59" s="127">
        <f t="shared" si="6"/>
        <v>0</v>
      </c>
      <c r="O59" s="123">
        <f>Amnt_Deposited!B54</f>
        <v>2040</v>
      </c>
      <c r="P59" s="126">
        <f>Amnt_Deposited!H54</f>
        <v>0</v>
      </c>
      <c r="Q59" s="382">
        <f>MCF!R58</f>
        <v>0.4</v>
      </c>
      <c r="R59" s="93">
        <f t="shared" si="13"/>
        <v>0</v>
      </c>
      <c r="S59" s="93">
        <f t="shared" si="7"/>
        <v>0</v>
      </c>
      <c r="T59" s="93">
        <f t="shared" si="8"/>
        <v>0</v>
      </c>
      <c r="U59" s="93">
        <f t="shared" si="9"/>
        <v>0</v>
      </c>
      <c r="V59" s="93">
        <f t="shared" si="10"/>
        <v>0</v>
      </c>
      <c r="W59" s="127">
        <f t="shared" si="11"/>
        <v>0</v>
      </c>
    </row>
    <row r="60" spans="2:23">
      <c r="B60" s="123">
        <f>Amnt_Deposited!B55</f>
        <v>2041</v>
      </c>
      <c r="C60" s="126">
        <f>Amnt_Deposited!H55</f>
        <v>0</v>
      </c>
      <c r="D60" s="537">
        <f>Dry_Matter_Content!H47</f>
        <v>0.73</v>
      </c>
      <c r="E60" s="382">
        <f>MCF!R59</f>
        <v>0.4</v>
      </c>
      <c r="F60" s="93">
        <f t="shared" si="12"/>
        <v>0</v>
      </c>
      <c r="G60" s="93">
        <f t="shared" si="1"/>
        <v>0</v>
      </c>
      <c r="H60" s="93">
        <f t="shared" si="2"/>
        <v>0</v>
      </c>
      <c r="I60" s="93">
        <f t="shared" si="3"/>
        <v>0</v>
      </c>
      <c r="J60" s="93">
        <f t="shared" si="4"/>
        <v>0</v>
      </c>
      <c r="K60" s="127">
        <f t="shared" si="6"/>
        <v>0</v>
      </c>
      <c r="O60" s="123">
        <f>Amnt_Deposited!B55</f>
        <v>2041</v>
      </c>
      <c r="P60" s="126">
        <f>Amnt_Deposited!H55</f>
        <v>0</v>
      </c>
      <c r="Q60" s="382">
        <f>MCF!R59</f>
        <v>0.4</v>
      </c>
      <c r="R60" s="93">
        <f t="shared" si="13"/>
        <v>0</v>
      </c>
      <c r="S60" s="93">
        <f t="shared" si="7"/>
        <v>0</v>
      </c>
      <c r="T60" s="93">
        <f t="shared" si="8"/>
        <v>0</v>
      </c>
      <c r="U60" s="93">
        <f t="shared" si="9"/>
        <v>0</v>
      </c>
      <c r="V60" s="93">
        <f t="shared" si="10"/>
        <v>0</v>
      </c>
      <c r="W60" s="127">
        <f t="shared" si="11"/>
        <v>0</v>
      </c>
    </row>
    <row r="61" spans="2:23">
      <c r="B61" s="123">
        <f>Amnt_Deposited!B56</f>
        <v>2042</v>
      </c>
      <c r="C61" s="126">
        <f>Amnt_Deposited!H56</f>
        <v>0</v>
      </c>
      <c r="D61" s="537">
        <f>Dry_Matter_Content!H48</f>
        <v>0.73</v>
      </c>
      <c r="E61" s="382">
        <f>MCF!R60</f>
        <v>0.4</v>
      </c>
      <c r="F61" s="93">
        <f t="shared" si="12"/>
        <v>0</v>
      </c>
      <c r="G61" s="93">
        <f t="shared" si="1"/>
        <v>0</v>
      </c>
      <c r="H61" s="93">
        <f t="shared" si="2"/>
        <v>0</v>
      </c>
      <c r="I61" s="93">
        <f t="shared" si="3"/>
        <v>0</v>
      </c>
      <c r="J61" s="93">
        <f t="shared" si="4"/>
        <v>0</v>
      </c>
      <c r="K61" s="127">
        <f t="shared" si="6"/>
        <v>0</v>
      </c>
      <c r="O61" s="123">
        <f>Amnt_Deposited!B56</f>
        <v>2042</v>
      </c>
      <c r="P61" s="126">
        <f>Amnt_Deposited!H56</f>
        <v>0</v>
      </c>
      <c r="Q61" s="382">
        <f>MCF!R60</f>
        <v>0.4</v>
      </c>
      <c r="R61" s="93">
        <f t="shared" si="13"/>
        <v>0</v>
      </c>
      <c r="S61" s="93">
        <f t="shared" si="7"/>
        <v>0</v>
      </c>
      <c r="T61" s="93">
        <f t="shared" si="8"/>
        <v>0</v>
      </c>
      <c r="U61" s="93">
        <f t="shared" si="9"/>
        <v>0</v>
      </c>
      <c r="V61" s="93">
        <f t="shared" si="10"/>
        <v>0</v>
      </c>
      <c r="W61" s="127">
        <f t="shared" si="11"/>
        <v>0</v>
      </c>
    </row>
    <row r="62" spans="2:23">
      <c r="B62" s="123">
        <f>Amnt_Deposited!B57</f>
        <v>2043</v>
      </c>
      <c r="C62" s="126">
        <f>Amnt_Deposited!H57</f>
        <v>0</v>
      </c>
      <c r="D62" s="537">
        <f>Dry_Matter_Content!H49</f>
        <v>0.73</v>
      </c>
      <c r="E62" s="382">
        <f>MCF!R61</f>
        <v>0.4</v>
      </c>
      <c r="F62" s="93">
        <f t="shared" si="12"/>
        <v>0</v>
      </c>
      <c r="G62" s="93">
        <f t="shared" si="1"/>
        <v>0</v>
      </c>
      <c r="H62" s="93">
        <f t="shared" si="2"/>
        <v>0</v>
      </c>
      <c r="I62" s="93">
        <f t="shared" si="3"/>
        <v>0</v>
      </c>
      <c r="J62" s="93">
        <f t="shared" si="4"/>
        <v>0</v>
      </c>
      <c r="K62" s="127">
        <f t="shared" si="6"/>
        <v>0</v>
      </c>
      <c r="O62" s="123">
        <f>Amnt_Deposited!B57</f>
        <v>2043</v>
      </c>
      <c r="P62" s="126">
        <f>Amnt_Deposited!H57</f>
        <v>0</v>
      </c>
      <c r="Q62" s="382">
        <f>MCF!R61</f>
        <v>0.4</v>
      </c>
      <c r="R62" s="93">
        <f t="shared" si="13"/>
        <v>0</v>
      </c>
      <c r="S62" s="93">
        <f t="shared" si="7"/>
        <v>0</v>
      </c>
      <c r="T62" s="93">
        <f t="shared" si="8"/>
        <v>0</v>
      </c>
      <c r="U62" s="93">
        <f t="shared" si="9"/>
        <v>0</v>
      </c>
      <c r="V62" s="93">
        <f t="shared" si="10"/>
        <v>0</v>
      </c>
      <c r="W62" s="127">
        <f t="shared" si="11"/>
        <v>0</v>
      </c>
    </row>
    <row r="63" spans="2:23">
      <c r="B63" s="123">
        <f>Amnt_Deposited!B58</f>
        <v>2044</v>
      </c>
      <c r="C63" s="126">
        <f>Amnt_Deposited!H58</f>
        <v>0</v>
      </c>
      <c r="D63" s="537">
        <f>Dry_Matter_Content!H50</f>
        <v>0.73</v>
      </c>
      <c r="E63" s="382">
        <f>MCF!R62</f>
        <v>0.4</v>
      </c>
      <c r="F63" s="93">
        <f t="shared" si="12"/>
        <v>0</v>
      </c>
      <c r="G63" s="93">
        <f t="shared" si="1"/>
        <v>0</v>
      </c>
      <c r="H63" s="93">
        <f t="shared" si="2"/>
        <v>0</v>
      </c>
      <c r="I63" s="93">
        <f t="shared" si="3"/>
        <v>0</v>
      </c>
      <c r="J63" s="93">
        <f t="shared" si="4"/>
        <v>0</v>
      </c>
      <c r="K63" s="127">
        <f t="shared" si="6"/>
        <v>0</v>
      </c>
      <c r="O63" s="123">
        <f>Amnt_Deposited!B58</f>
        <v>2044</v>
      </c>
      <c r="P63" s="126">
        <f>Amnt_Deposited!H58</f>
        <v>0</v>
      </c>
      <c r="Q63" s="382">
        <f>MCF!R62</f>
        <v>0.4</v>
      </c>
      <c r="R63" s="93">
        <f t="shared" si="13"/>
        <v>0</v>
      </c>
      <c r="S63" s="93">
        <f t="shared" si="7"/>
        <v>0</v>
      </c>
      <c r="T63" s="93">
        <f t="shared" si="8"/>
        <v>0</v>
      </c>
      <c r="U63" s="93">
        <f t="shared" si="9"/>
        <v>0</v>
      </c>
      <c r="V63" s="93">
        <f t="shared" si="10"/>
        <v>0</v>
      </c>
      <c r="W63" s="127">
        <f t="shared" si="11"/>
        <v>0</v>
      </c>
    </row>
    <row r="64" spans="2:23">
      <c r="B64" s="123">
        <f>Amnt_Deposited!B59</f>
        <v>2045</v>
      </c>
      <c r="C64" s="126">
        <f>Amnt_Deposited!H59</f>
        <v>0</v>
      </c>
      <c r="D64" s="537">
        <f>Dry_Matter_Content!H51</f>
        <v>0.73</v>
      </c>
      <c r="E64" s="382">
        <f>MCF!R63</f>
        <v>0.4</v>
      </c>
      <c r="F64" s="93">
        <f t="shared" si="12"/>
        <v>0</v>
      </c>
      <c r="G64" s="93">
        <f t="shared" si="1"/>
        <v>0</v>
      </c>
      <c r="H64" s="93">
        <f t="shared" si="2"/>
        <v>0</v>
      </c>
      <c r="I64" s="93">
        <f t="shared" si="3"/>
        <v>0</v>
      </c>
      <c r="J64" s="93">
        <f t="shared" si="4"/>
        <v>0</v>
      </c>
      <c r="K64" s="127">
        <f t="shared" si="6"/>
        <v>0</v>
      </c>
      <c r="O64" s="123">
        <f>Amnt_Deposited!B59</f>
        <v>2045</v>
      </c>
      <c r="P64" s="126">
        <f>Amnt_Deposited!H59</f>
        <v>0</v>
      </c>
      <c r="Q64" s="382">
        <f>MCF!R63</f>
        <v>0.4</v>
      </c>
      <c r="R64" s="93">
        <f t="shared" si="13"/>
        <v>0</v>
      </c>
      <c r="S64" s="93">
        <f t="shared" si="7"/>
        <v>0</v>
      </c>
      <c r="T64" s="93">
        <f t="shared" si="8"/>
        <v>0</v>
      </c>
      <c r="U64" s="93">
        <f t="shared" si="9"/>
        <v>0</v>
      </c>
      <c r="V64" s="93">
        <f t="shared" si="10"/>
        <v>0</v>
      </c>
      <c r="W64" s="127">
        <f t="shared" si="11"/>
        <v>0</v>
      </c>
    </row>
    <row r="65" spans="2:23">
      <c r="B65" s="123">
        <f>Amnt_Deposited!B60</f>
        <v>2046</v>
      </c>
      <c r="C65" s="126">
        <f>Amnt_Deposited!H60</f>
        <v>0</v>
      </c>
      <c r="D65" s="537">
        <f>Dry_Matter_Content!H52</f>
        <v>0.73</v>
      </c>
      <c r="E65" s="382">
        <f>MCF!R64</f>
        <v>0.4</v>
      </c>
      <c r="F65" s="93">
        <f t="shared" si="12"/>
        <v>0</v>
      </c>
      <c r="G65" s="93">
        <f t="shared" si="1"/>
        <v>0</v>
      </c>
      <c r="H65" s="93">
        <f t="shared" si="2"/>
        <v>0</v>
      </c>
      <c r="I65" s="93">
        <f t="shared" si="3"/>
        <v>0</v>
      </c>
      <c r="J65" s="93">
        <f t="shared" si="4"/>
        <v>0</v>
      </c>
      <c r="K65" s="127">
        <f t="shared" si="6"/>
        <v>0</v>
      </c>
      <c r="O65" s="123">
        <f>Amnt_Deposited!B60</f>
        <v>2046</v>
      </c>
      <c r="P65" s="126">
        <f>Amnt_Deposited!H60</f>
        <v>0</v>
      </c>
      <c r="Q65" s="382">
        <f>MCF!R64</f>
        <v>0.4</v>
      </c>
      <c r="R65" s="93">
        <f t="shared" si="13"/>
        <v>0</v>
      </c>
      <c r="S65" s="93">
        <f t="shared" si="7"/>
        <v>0</v>
      </c>
      <c r="T65" s="93">
        <f t="shared" si="8"/>
        <v>0</v>
      </c>
      <c r="U65" s="93">
        <f t="shared" si="9"/>
        <v>0</v>
      </c>
      <c r="V65" s="93">
        <f t="shared" si="10"/>
        <v>0</v>
      </c>
      <c r="W65" s="127">
        <f t="shared" si="11"/>
        <v>0</v>
      </c>
    </row>
    <row r="66" spans="2:23">
      <c r="B66" s="123">
        <f>Amnt_Deposited!B61</f>
        <v>2047</v>
      </c>
      <c r="C66" s="126">
        <f>Amnt_Deposited!H61</f>
        <v>0</v>
      </c>
      <c r="D66" s="537">
        <f>Dry_Matter_Content!H53</f>
        <v>0.73</v>
      </c>
      <c r="E66" s="382">
        <f>MCF!R65</f>
        <v>0.4</v>
      </c>
      <c r="F66" s="93">
        <f t="shared" si="12"/>
        <v>0</v>
      </c>
      <c r="G66" s="93">
        <f t="shared" si="1"/>
        <v>0</v>
      </c>
      <c r="H66" s="93">
        <f t="shared" si="2"/>
        <v>0</v>
      </c>
      <c r="I66" s="93">
        <f t="shared" si="3"/>
        <v>0</v>
      </c>
      <c r="J66" s="93">
        <f t="shared" si="4"/>
        <v>0</v>
      </c>
      <c r="K66" s="127">
        <f t="shared" si="6"/>
        <v>0</v>
      </c>
      <c r="O66" s="123">
        <f>Amnt_Deposited!B61</f>
        <v>2047</v>
      </c>
      <c r="P66" s="126">
        <f>Amnt_Deposited!H61</f>
        <v>0</v>
      </c>
      <c r="Q66" s="382">
        <f>MCF!R65</f>
        <v>0.4</v>
      </c>
      <c r="R66" s="93">
        <f t="shared" si="13"/>
        <v>0</v>
      </c>
      <c r="S66" s="93">
        <f t="shared" si="7"/>
        <v>0</v>
      </c>
      <c r="T66" s="93">
        <f t="shared" si="8"/>
        <v>0</v>
      </c>
      <c r="U66" s="93">
        <f t="shared" si="9"/>
        <v>0</v>
      </c>
      <c r="V66" s="93">
        <f t="shared" si="10"/>
        <v>0</v>
      </c>
      <c r="W66" s="127">
        <f t="shared" si="11"/>
        <v>0</v>
      </c>
    </row>
    <row r="67" spans="2:23">
      <c r="B67" s="123">
        <f>Amnt_Deposited!B62</f>
        <v>2048</v>
      </c>
      <c r="C67" s="126">
        <f>Amnt_Deposited!H62</f>
        <v>0</v>
      </c>
      <c r="D67" s="537">
        <f>Dry_Matter_Content!H54</f>
        <v>0.73</v>
      </c>
      <c r="E67" s="382">
        <f>MCF!R66</f>
        <v>0.4</v>
      </c>
      <c r="F67" s="93">
        <f t="shared" si="12"/>
        <v>0</v>
      </c>
      <c r="G67" s="93">
        <f t="shared" si="1"/>
        <v>0</v>
      </c>
      <c r="H67" s="93">
        <f t="shared" si="2"/>
        <v>0</v>
      </c>
      <c r="I67" s="93">
        <f t="shared" si="3"/>
        <v>0</v>
      </c>
      <c r="J67" s="93">
        <f t="shared" si="4"/>
        <v>0</v>
      </c>
      <c r="K67" s="127">
        <f t="shared" si="6"/>
        <v>0</v>
      </c>
      <c r="O67" s="123">
        <f>Amnt_Deposited!B62</f>
        <v>2048</v>
      </c>
      <c r="P67" s="126">
        <f>Amnt_Deposited!H62</f>
        <v>0</v>
      </c>
      <c r="Q67" s="382">
        <f>MCF!R66</f>
        <v>0.4</v>
      </c>
      <c r="R67" s="93">
        <f t="shared" si="13"/>
        <v>0</v>
      </c>
      <c r="S67" s="93">
        <f t="shared" si="7"/>
        <v>0</v>
      </c>
      <c r="T67" s="93">
        <f t="shared" si="8"/>
        <v>0</v>
      </c>
      <c r="U67" s="93">
        <f t="shared" si="9"/>
        <v>0</v>
      </c>
      <c r="V67" s="93">
        <f t="shared" si="10"/>
        <v>0</v>
      </c>
      <c r="W67" s="127">
        <f t="shared" si="11"/>
        <v>0</v>
      </c>
    </row>
    <row r="68" spans="2:23">
      <c r="B68" s="123">
        <f>Amnt_Deposited!B63</f>
        <v>2049</v>
      </c>
      <c r="C68" s="126">
        <f>Amnt_Deposited!H63</f>
        <v>0</v>
      </c>
      <c r="D68" s="537">
        <f>Dry_Matter_Content!H55</f>
        <v>0.73</v>
      </c>
      <c r="E68" s="382">
        <f>MCF!R67</f>
        <v>0.4</v>
      </c>
      <c r="F68" s="93">
        <f t="shared" si="12"/>
        <v>0</v>
      </c>
      <c r="G68" s="93">
        <f t="shared" si="1"/>
        <v>0</v>
      </c>
      <c r="H68" s="93">
        <f t="shared" si="2"/>
        <v>0</v>
      </c>
      <c r="I68" s="93">
        <f t="shared" si="3"/>
        <v>0</v>
      </c>
      <c r="J68" s="93">
        <f t="shared" si="4"/>
        <v>0</v>
      </c>
      <c r="K68" s="127">
        <f t="shared" si="6"/>
        <v>0</v>
      </c>
      <c r="O68" s="123">
        <f>Amnt_Deposited!B63</f>
        <v>2049</v>
      </c>
      <c r="P68" s="126">
        <f>Amnt_Deposited!H63</f>
        <v>0</v>
      </c>
      <c r="Q68" s="382">
        <f>MCF!R67</f>
        <v>0.4</v>
      </c>
      <c r="R68" s="93">
        <f t="shared" si="13"/>
        <v>0</v>
      </c>
      <c r="S68" s="93">
        <f t="shared" si="7"/>
        <v>0</v>
      </c>
      <c r="T68" s="93">
        <f t="shared" si="8"/>
        <v>0</v>
      </c>
      <c r="U68" s="93">
        <f t="shared" si="9"/>
        <v>0</v>
      </c>
      <c r="V68" s="93">
        <f t="shared" si="10"/>
        <v>0</v>
      </c>
      <c r="W68" s="127">
        <f t="shared" si="11"/>
        <v>0</v>
      </c>
    </row>
    <row r="69" spans="2:23">
      <c r="B69" s="123">
        <f>Amnt_Deposited!B64</f>
        <v>2050</v>
      </c>
      <c r="C69" s="126">
        <f>Amnt_Deposited!H64</f>
        <v>0</v>
      </c>
      <c r="D69" s="537">
        <f>Dry_Matter_Content!H56</f>
        <v>0.73</v>
      </c>
      <c r="E69" s="382">
        <f>MCF!R68</f>
        <v>0.4</v>
      </c>
      <c r="F69" s="93">
        <f t="shared" si="12"/>
        <v>0</v>
      </c>
      <c r="G69" s="93">
        <f t="shared" si="1"/>
        <v>0</v>
      </c>
      <c r="H69" s="93">
        <f t="shared" si="2"/>
        <v>0</v>
      </c>
      <c r="I69" s="93">
        <f t="shared" si="3"/>
        <v>0</v>
      </c>
      <c r="J69" s="93">
        <f t="shared" si="4"/>
        <v>0</v>
      </c>
      <c r="K69" s="127">
        <f t="shared" si="6"/>
        <v>0</v>
      </c>
      <c r="O69" s="123">
        <f>Amnt_Deposited!B64</f>
        <v>2050</v>
      </c>
      <c r="P69" s="126">
        <f>Amnt_Deposited!H64</f>
        <v>0</v>
      </c>
      <c r="Q69" s="382">
        <f>MCF!R68</f>
        <v>0.4</v>
      </c>
      <c r="R69" s="93">
        <f t="shared" si="13"/>
        <v>0</v>
      </c>
      <c r="S69" s="93">
        <f t="shared" si="7"/>
        <v>0</v>
      </c>
      <c r="T69" s="93">
        <f t="shared" si="8"/>
        <v>0</v>
      </c>
      <c r="U69" s="93">
        <f t="shared" si="9"/>
        <v>0</v>
      </c>
      <c r="V69" s="93">
        <f t="shared" si="10"/>
        <v>0</v>
      </c>
      <c r="W69" s="127">
        <f t="shared" si="11"/>
        <v>0</v>
      </c>
    </row>
    <row r="70" spans="2:23">
      <c r="B70" s="123">
        <f>Amnt_Deposited!B65</f>
        <v>2051</v>
      </c>
      <c r="C70" s="126">
        <f>Amnt_Deposited!H65</f>
        <v>0</v>
      </c>
      <c r="D70" s="537">
        <f>Dry_Matter_Content!H57</f>
        <v>0.73</v>
      </c>
      <c r="E70" s="382">
        <f>MCF!R69</f>
        <v>0.4</v>
      </c>
      <c r="F70" s="93">
        <f t="shared" si="12"/>
        <v>0</v>
      </c>
      <c r="G70" s="93">
        <f t="shared" si="1"/>
        <v>0</v>
      </c>
      <c r="H70" s="93">
        <f t="shared" si="2"/>
        <v>0</v>
      </c>
      <c r="I70" s="93">
        <f t="shared" si="3"/>
        <v>0</v>
      </c>
      <c r="J70" s="93">
        <f t="shared" si="4"/>
        <v>0</v>
      </c>
      <c r="K70" s="127">
        <f t="shared" si="6"/>
        <v>0</v>
      </c>
      <c r="O70" s="123">
        <f>Amnt_Deposited!B65</f>
        <v>2051</v>
      </c>
      <c r="P70" s="126">
        <f>Amnt_Deposited!H65</f>
        <v>0</v>
      </c>
      <c r="Q70" s="382">
        <f>MCF!R69</f>
        <v>0.4</v>
      </c>
      <c r="R70" s="93">
        <f t="shared" si="13"/>
        <v>0</v>
      </c>
      <c r="S70" s="93">
        <f t="shared" si="7"/>
        <v>0</v>
      </c>
      <c r="T70" s="93">
        <f t="shared" si="8"/>
        <v>0</v>
      </c>
      <c r="U70" s="93">
        <f t="shared" si="9"/>
        <v>0</v>
      </c>
      <c r="V70" s="93">
        <f t="shared" si="10"/>
        <v>0</v>
      </c>
      <c r="W70" s="127">
        <f t="shared" si="11"/>
        <v>0</v>
      </c>
    </row>
    <row r="71" spans="2:23">
      <c r="B71" s="123">
        <f>Amnt_Deposited!B66</f>
        <v>2052</v>
      </c>
      <c r="C71" s="126">
        <f>Amnt_Deposited!H66</f>
        <v>0</v>
      </c>
      <c r="D71" s="537">
        <f>Dry_Matter_Content!H58</f>
        <v>0.73</v>
      </c>
      <c r="E71" s="382">
        <f>MCF!R70</f>
        <v>0.4</v>
      </c>
      <c r="F71" s="93">
        <f t="shared" si="12"/>
        <v>0</v>
      </c>
      <c r="G71" s="93">
        <f t="shared" si="1"/>
        <v>0</v>
      </c>
      <c r="H71" s="93">
        <f t="shared" si="2"/>
        <v>0</v>
      </c>
      <c r="I71" s="93">
        <f t="shared" si="3"/>
        <v>0</v>
      </c>
      <c r="J71" s="93">
        <f t="shared" si="4"/>
        <v>0</v>
      </c>
      <c r="K71" s="127">
        <f t="shared" si="6"/>
        <v>0</v>
      </c>
      <c r="O71" s="123">
        <f>Amnt_Deposited!B66</f>
        <v>2052</v>
      </c>
      <c r="P71" s="126">
        <f>Amnt_Deposited!H66</f>
        <v>0</v>
      </c>
      <c r="Q71" s="382">
        <f>MCF!R70</f>
        <v>0.4</v>
      </c>
      <c r="R71" s="93">
        <f t="shared" si="13"/>
        <v>0</v>
      </c>
      <c r="S71" s="93">
        <f t="shared" si="7"/>
        <v>0</v>
      </c>
      <c r="T71" s="93">
        <f t="shared" si="8"/>
        <v>0</v>
      </c>
      <c r="U71" s="93">
        <f t="shared" si="9"/>
        <v>0</v>
      </c>
      <c r="V71" s="93">
        <f t="shared" si="10"/>
        <v>0</v>
      </c>
      <c r="W71" s="127">
        <f t="shared" si="11"/>
        <v>0</v>
      </c>
    </row>
    <row r="72" spans="2:23">
      <c r="B72" s="123">
        <f>Amnt_Deposited!B67</f>
        <v>2053</v>
      </c>
      <c r="C72" s="126">
        <f>Amnt_Deposited!H67</f>
        <v>0</v>
      </c>
      <c r="D72" s="537">
        <f>Dry_Matter_Content!H59</f>
        <v>0.73</v>
      </c>
      <c r="E72" s="382">
        <f>MCF!R71</f>
        <v>0.4</v>
      </c>
      <c r="F72" s="93">
        <f t="shared" si="12"/>
        <v>0</v>
      </c>
      <c r="G72" s="93">
        <f t="shared" si="1"/>
        <v>0</v>
      </c>
      <c r="H72" s="93">
        <f t="shared" si="2"/>
        <v>0</v>
      </c>
      <c r="I72" s="93">
        <f t="shared" si="3"/>
        <v>0</v>
      </c>
      <c r="J72" s="93">
        <f t="shared" si="4"/>
        <v>0</v>
      </c>
      <c r="K72" s="127">
        <f t="shared" si="6"/>
        <v>0</v>
      </c>
      <c r="O72" s="123">
        <f>Amnt_Deposited!B67</f>
        <v>2053</v>
      </c>
      <c r="P72" s="126">
        <f>Amnt_Deposited!H67</f>
        <v>0</v>
      </c>
      <c r="Q72" s="382">
        <f>MCF!R71</f>
        <v>0.4</v>
      </c>
      <c r="R72" s="93">
        <f t="shared" si="13"/>
        <v>0</v>
      </c>
      <c r="S72" s="93">
        <f t="shared" si="7"/>
        <v>0</v>
      </c>
      <c r="T72" s="93">
        <f t="shared" si="8"/>
        <v>0</v>
      </c>
      <c r="U72" s="93">
        <f t="shared" si="9"/>
        <v>0</v>
      </c>
      <c r="V72" s="93">
        <f t="shared" si="10"/>
        <v>0</v>
      </c>
      <c r="W72" s="127">
        <f t="shared" si="11"/>
        <v>0</v>
      </c>
    </row>
    <row r="73" spans="2:23">
      <c r="B73" s="123">
        <f>Amnt_Deposited!B68</f>
        <v>2054</v>
      </c>
      <c r="C73" s="126">
        <f>Amnt_Deposited!H68</f>
        <v>0</v>
      </c>
      <c r="D73" s="537">
        <f>Dry_Matter_Content!H60</f>
        <v>0.73</v>
      </c>
      <c r="E73" s="382">
        <f>MCF!R72</f>
        <v>0.4</v>
      </c>
      <c r="F73" s="93">
        <f t="shared" si="12"/>
        <v>0</v>
      </c>
      <c r="G73" s="93">
        <f t="shared" si="1"/>
        <v>0</v>
      </c>
      <c r="H73" s="93">
        <f t="shared" si="2"/>
        <v>0</v>
      </c>
      <c r="I73" s="93">
        <f t="shared" si="3"/>
        <v>0</v>
      </c>
      <c r="J73" s="93">
        <f t="shared" si="4"/>
        <v>0</v>
      </c>
      <c r="K73" s="127">
        <f t="shared" si="6"/>
        <v>0</v>
      </c>
      <c r="O73" s="123">
        <f>Amnt_Deposited!B68</f>
        <v>2054</v>
      </c>
      <c r="P73" s="126">
        <f>Amnt_Deposited!H68</f>
        <v>0</v>
      </c>
      <c r="Q73" s="382">
        <f>MCF!R72</f>
        <v>0.4</v>
      </c>
      <c r="R73" s="93">
        <f t="shared" si="13"/>
        <v>0</v>
      </c>
      <c r="S73" s="93">
        <f t="shared" si="7"/>
        <v>0</v>
      </c>
      <c r="T73" s="93">
        <f t="shared" si="8"/>
        <v>0</v>
      </c>
      <c r="U73" s="93">
        <f t="shared" si="9"/>
        <v>0</v>
      </c>
      <c r="V73" s="93">
        <f t="shared" si="10"/>
        <v>0</v>
      </c>
      <c r="W73" s="127">
        <f t="shared" si="11"/>
        <v>0</v>
      </c>
    </row>
    <row r="74" spans="2:23">
      <c r="B74" s="123">
        <f>Amnt_Deposited!B69</f>
        <v>2055</v>
      </c>
      <c r="C74" s="126">
        <f>Amnt_Deposited!H69</f>
        <v>0</v>
      </c>
      <c r="D74" s="537">
        <f>Dry_Matter_Content!H61</f>
        <v>0.73</v>
      </c>
      <c r="E74" s="382">
        <f>MCF!R73</f>
        <v>0.4</v>
      </c>
      <c r="F74" s="93">
        <f t="shared" si="12"/>
        <v>0</v>
      </c>
      <c r="G74" s="93">
        <f t="shared" si="1"/>
        <v>0</v>
      </c>
      <c r="H74" s="93">
        <f t="shared" si="2"/>
        <v>0</v>
      </c>
      <c r="I74" s="93">
        <f t="shared" si="3"/>
        <v>0</v>
      </c>
      <c r="J74" s="93">
        <f t="shared" si="4"/>
        <v>0</v>
      </c>
      <c r="K74" s="127">
        <f t="shared" si="6"/>
        <v>0</v>
      </c>
      <c r="O74" s="123">
        <f>Amnt_Deposited!B69</f>
        <v>2055</v>
      </c>
      <c r="P74" s="126">
        <f>Amnt_Deposited!H69</f>
        <v>0</v>
      </c>
      <c r="Q74" s="382">
        <f>MCF!R73</f>
        <v>0.4</v>
      </c>
      <c r="R74" s="93">
        <f t="shared" si="13"/>
        <v>0</v>
      </c>
      <c r="S74" s="93">
        <f t="shared" si="7"/>
        <v>0</v>
      </c>
      <c r="T74" s="93">
        <f t="shared" si="8"/>
        <v>0</v>
      </c>
      <c r="U74" s="93">
        <f t="shared" si="9"/>
        <v>0</v>
      </c>
      <c r="V74" s="93">
        <f t="shared" si="10"/>
        <v>0</v>
      </c>
      <c r="W74" s="127">
        <f t="shared" si="11"/>
        <v>0</v>
      </c>
    </row>
    <row r="75" spans="2:23">
      <c r="B75" s="123">
        <f>Amnt_Deposited!B70</f>
        <v>2056</v>
      </c>
      <c r="C75" s="126">
        <f>Amnt_Deposited!H70</f>
        <v>0</v>
      </c>
      <c r="D75" s="537">
        <f>Dry_Matter_Content!H62</f>
        <v>0.73</v>
      </c>
      <c r="E75" s="382">
        <f>MCF!R74</f>
        <v>0.4</v>
      </c>
      <c r="F75" s="93">
        <f t="shared" si="12"/>
        <v>0</v>
      </c>
      <c r="G75" s="93">
        <f t="shared" si="1"/>
        <v>0</v>
      </c>
      <c r="H75" s="93">
        <f t="shared" si="2"/>
        <v>0</v>
      </c>
      <c r="I75" s="93">
        <f t="shared" si="3"/>
        <v>0</v>
      </c>
      <c r="J75" s="93">
        <f t="shared" si="4"/>
        <v>0</v>
      </c>
      <c r="K75" s="127">
        <f t="shared" si="6"/>
        <v>0</v>
      </c>
      <c r="O75" s="123">
        <f>Amnt_Deposited!B70</f>
        <v>2056</v>
      </c>
      <c r="P75" s="126">
        <f>Amnt_Deposited!H70</f>
        <v>0</v>
      </c>
      <c r="Q75" s="382">
        <f>MCF!R74</f>
        <v>0.4</v>
      </c>
      <c r="R75" s="93">
        <f t="shared" si="13"/>
        <v>0</v>
      </c>
      <c r="S75" s="93">
        <f t="shared" si="7"/>
        <v>0</v>
      </c>
      <c r="T75" s="93">
        <f t="shared" si="8"/>
        <v>0</v>
      </c>
      <c r="U75" s="93">
        <f t="shared" si="9"/>
        <v>0</v>
      </c>
      <c r="V75" s="93">
        <f t="shared" si="10"/>
        <v>0</v>
      </c>
      <c r="W75" s="127">
        <f t="shared" si="11"/>
        <v>0</v>
      </c>
    </row>
    <row r="76" spans="2:23">
      <c r="B76" s="123">
        <f>Amnt_Deposited!B71</f>
        <v>2057</v>
      </c>
      <c r="C76" s="126">
        <f>Amnt_Deposited!H71</f>
        <v>0</v>
      </c>
      <c r="D76" s="537">
        <f>Dry_Matter_Content!H63</f>
        <v>0.73</v>
      </c>
      <c r="E76" s="382">
        <f>MCF!R75</f>
        <v>0.4</v>
      </c>
      <c r="F76" s="93">
        <f t="shared" si="12"/>
        <v>0</v>
      </c>
      <c r="G76" s="93">
        <f t="shared" si="1"/>
        <v>0</v>
      </c>
      <c r="H76" s="93">
        <f t="shared" si="2"/>
        <v>0</v>
      </c>
      <c r="I76" s="93">
        <f t="shared" si="3"/>
        <v>0</v>
      </c>
      <c r="J76" s="93">
        <f t="shared" si="4"/>
        <v>0</v>
      </c>
      <c r="K76" s="127">
        <f t="shared" si="6"/>
        <v>0</v>
      </c>
      <c r="O76" s="123">
        <f>Amnt_Deposited!B71</f>
        <v>2057</v>
      </c>
      <c r="P76" s="126">
        <f>Amnt_Deposited!H71</f>
        <v>0</v>
      </c>
      <c r="Q76" s="382">
        <f>MCF!R75</f>
        <v>0.4</v>
      </c>
      <c r="R76" s="93">
        <f t="shared" si="13"/>
        <v>0</v>
      </c>
      <c r="S76" s="93">
        <f t="shared" si="7"/>
        <v>0</v>
      </c>
      <c r="T76" s="93">
        <f t="shared" si="8"/>
        <v>0</v>
      </c>
      <c r="U76" s="93">
        <f t="shared" si="9"/>
        <v>0</v>
      </c>
      <c r="V76" s="93">
        <f t="shared" si="10"/>
        <v>0</v>
      </c>
      <c r="W76" s="127">
        <f t="shared" si="11"/>
        <v>0</v>
      </c>
    </row>
    <row r="77" spans="2:23">
      <c r="B77" s="123">
        <f>Amnt_Deposited!B72</f>
        <v>2058</v>
      </c>
      <c r="C77" s="126">
        <f>Amnt_Deposited!H72</f>
        <v>0</v>
      </c>
      <c r="D77" s="537">
        <f>Dry_Matter_Content!H64</f>
        <v>0.73</v>
      </c>
      <c r="E77" s="382">
        <f>MCF!R76</f>
        <v>0.4</v>
      </c>
      <c r="F77" s="93">
        <f t="shared" si="12"/>
        <v>0</v>
      </c>
      <c r="G77" s="93">
        <f t="shared" si="1"/>
        <v>0</v>
      </c>
      <c r="H77" s="93">
        <f t="shared" si="2"/>
        <v>0</v>
      </c>
      <c r="I77" s="93">
        <f t="shared" si="3"/>
        <v>0</v>
      </c>
      <c r="J77" s="93">
        <f t="shared" si="4"/>
        <v>0</v>
      </c>
      <c r="K77" s="127">
        <f t="shared" si="6"/>
        <v>0</v>
      </c>
      <c r="O77" s="123">
        <f>Amnt_Deposited!B72</f>
        <v>2058</v>
      </c>
      <c r="P77" s="126">
        <f>Amnt_Deposited!H72</f>
        <v>0</v>
      </c>
      <c r="Q77" s="382">
        <f>MCF!R76</f>
        <v>0.4</v>
      </c>
      <c r="R77" s="93">
        <f t="shared" si="13"/>
        <v>0</v>
      </c>
      <c r="S77" s="93">
        <f t="shared" si="7"/>
        <v>0</v>
      </c>
      <c r="T77" s="93">
        <f t="shared" si="8"/>
        <v>0</v>
      </c>
      <c r="U77" s="93">
        <f t="shared" si="9"/>
        <v>0</v>
      </c>
      <c r="V77" s="93">
        <f t="shared" si="10"/>
        <v>0</v>
      </c>
      <c r="W77" s="127">
        <f t="shared" si="11"/>
        <v>0</v>
      </c>
    </row>
    <row r="78" spans="2:23">
      <c r="B78" s="123">
        <f>Amnt_Deposited!B73</f>
        <v>2059</v>
      </c>
      <c r="C78" s="126">
        <f>Amnt_Deposited!H73</f>
        <v>0</v>
      </c>
      <c r="D78" s="537">
        <f>Dry_Matter_Content!H65</f>
        <v>0.73</v>
      </c>
      <c r="E78" s="382">
        <f>MCF!R77</f>
        <v>0.4</v>
      </c>
      <c r="F78" s="93">
        <f t="shared" si="12"/>
        <v>0</v>
      </c>
      <c r="G78" s="93">
        <f t="shared" si="1"/>
        <v>0</v>
      </c>
      <c r="H78" s="93">
        <f t="shared" si="2"/>
        <v>0</v>
      </c>
      <c r="I78" s="93">
        <f t="shared" si="3"/>
        <v>0</v>
      </c>
      <c r="J78" s="93">
        <f t="shared" si="4"/>
        <v>0</v>
      </c>
      <c r="K78" s="127">
        <f t="shared" si="6"/>
        <v>0</v>
      </c>
      <c r="O78" s="123">
        <f>Amnt_Deposited!B73</f>
        <v>2059</v>
      </c>
      <c r="P78" s="126">
        <f>Amnt_Deposited!H73</f>
        <v>0</v>
      </c>
      <c r="Q78" s="382">
        <f>MCF!R77</f>
        <v>0.4</v>
      </c>
      <c r="R78" s="93">
        <f t="shared" si="13"/>
        <v>0</v>
      </c>
      <c r="S78" s="93">
        <f t="shared" si="7"/>
        <v>0</v>
      </c>
      <c r="T78" s="93">
        <f t="shared" si="8"/>
        <v>0</v>
      </c>
      <c r="U78" s="93">
        <f t="shared" si="9"/>
        <v>0</v>
      </c>
      <c r="V78" s="93">
        <f t="shared" si="10"/>
        <v>0</v>
      </c>
      <c r="W78" s="127">
        <f t="shared" si="11"/>
        <v>0</v>
      </c>
    </row>
    <row r="79" spans="2:23">
      <c r="B79" s="123">
        <f>Amnt_Deposited!B74</f>
        <v>2060</v>
      </c>
      <c r="C79" s="126">
        <f>Amnt_Deposited!H74</f>
        <v>0</v>
      </c>
      <c r="D79" s="537">
        <f>Dry_Matter_Content!H66</f>
        <v>0.73</v>
      </c>
      <c r="E79" s="382">
        <f>MCF!R78</f>
        <v>0.4</v>
      </c>
      <c r="F79" s="93">
        <f t="shared" si="12"/>
        <v>0</v>
      </c>
      <c r="G79" s="93">
        <f t="shared" si="1"/>
        <v>0</v>
      </c>
      <c r="H79" s="93">
        <f t="shared" si="2"/>
        <v>0</v>
      </c>
      <c r="I79" s="93">
        <f t="shared" si="3"/>
        <v>0</v>
      </c>
      <c r="J79" s="93">
        <f t="shared" si="4"/>
        <v>0</v>
      </c>
      <c r="K79" s="127">
        <f t="shared" si="6"/>
        <v>0</v>
      </c>
      <c r="O79" s="123">
        <f>Amnt_Deposited!B74</f>
        <v>2060</v>
      </c>
      <c r="P79" s="126">
        <f>Amnt_Deposited!H74</f>
        <v>0</v>
      </c>
      <c r="Q79" s="382">
        <f>MCF!R78</f>
        <v>0.4</v>
      </c>
      <c r="R79" s="93">
        <f t="shared" si="13"/>
        <v>0</v>
      </c>
      <c r="S79" s="93">
        <f t="shared" si="7"/>
        <v>0</v>
      </c>
      <c r="T79" s="93">
        <f t="shared" si="8"/>
        <v>0</v>
      </c>
      <c r="U79" s="93">
        <f t="shared" si="9"/>
        <v>0</v>
      </c>
      <c r="V79" s="93">
        <f t="shared" si="10"/>
        <v>0</v>
      </c>
      <c r="W79" s="127">
        <f t="shared" si="11"/>
        <v>0</v>
      </c>
    </row>
    <row r="80" spans="2:23">
      <c r="B80" s="123">
        <f>Amnt_Deposited!B75</f>
        <v>2061</v>
      </c>
      <c r="C80" s="126">
        <f>Amnt_Deposited!H75</f>
        <v>0</v>
      </c>
      <c r="D80" s="537">
        <f>Dry_Matter_Content!H67</f>
        <v>0.73</v>
      </c>
      <c r="E80" s="382">
        <f>MCF!R79</f>
        <v>0.4</v>
      </c>
      <c r="F80" s="93">
        <f t="shared" si="12"/>
        <v>0</v>
      </c>
      <c r="G80" s="93">
        <f t="shared" si="1"/>
        <v>0</v>
      </c>
      <c r="H80" s="93">
        <f t="shared" si="2"/>
        <v>0</v>
      </c>
      <c r="I80" s="93">
        <f t="shared" si="3"/>
        <v>0</v>
      </c>
      <c r="J80" s="93">
        <f t="shared" si="4"/>
        <v>0</v>
      </c>
      <c r="K80" s="127">
        <f t="shared" si="6"/>
        <v>0</v>
      </c>
      <c r="O80" s="123">
        <f>Amnt_Deposited!B75</f>
        <v>2061</v>
      </c>
      <c r="P80" s="126">
        <f>Amnt_Deposited!H75</f>
        <v>0</v>
      </c>
      <c r="Q80" s="382">
        <f>MCF!R79</f>
        <v>0.4</v>
      </c>
      <c r="R80" s="93">
        <f t="shared" si="13"/>
        <v>0</v>
      </c>
      <c r="S80" s="93">
        <f t="shared" si="7"/>
        <v>0</v>
      </c>
      <c r="T80" s="93">
        <f t="shared" si="8"/>
        <v>0</v>
      </c>
      <c r="U80" s="93">
        <f t="shared" si="9"/>
        <v>0</v>
      </c>
      <c r="V80" s="93">
        <f t="shared" si="10"/>
        <v>0</v>
      </c>
      <c r="W80" s="127">
        <f t="shared" si="11"/>
        <v>0</v>
      </c>
    </row>
    <row r="81" spans="2:23">
      <c r="B81" s="123">
        <f>Amnt_Deposited!B76</f>
        <v>2062</v>
      </c>
      <c r="C81" s="126">
        <f>Amnt_Deposited!H76</f>
        <v>0</v>
      </c>
      <c r="D81" s="537">
        <f>Dry_Matter_Content!H68</f>
        <v>0.73</v>
      </c>
      <c r="E81" s="382">
        <f>MCF!R80</f>
        <v>0.4</v>
      </c>
      <c r="F81" s="93">
        <f t="shared" si="12"/>
        <v>0</v>
      </c>
      <c r="G81" s="93">
        <f t="shared" si="1"/>
        <v>0</v>
      </c>
      <c r="H81" s="93">
        <f t="shared" si="2"/>
        <v>0</v>
      </c>
      <c r="I81" s="93">
        <f t="shared" si="3"/>
        <v>0</v>
      </c>
      <c r="J81" s="93">
        <f t="shared" si="4"/>
        <v>0</v>
      </c>
      <c r="K81" s="127">
        <f t="shared" si="6"/>
        <v>0</v>
      </c>
      <c r="O81" s="123">
        <f>Amnt_Deposited!B76</f>
        <v>2062</v>
      </c>
      <c r="P81" s="126">
        <f>Amnt_Deposited!H76</f>
        <v>0</v>
      </c>
      <c r="Q81" s="382">
        <f>MCF!R80</f>
        <v>0.4</v>
      </c>
      <c r="R81" s="93">
        <f t="shared" si="13"/>
        <v>0</v>
      </c>
      <c r="S81" s="93">
        <f t="shared" si="7"/>
        <v>0</v>
      </c>
      <c r="T81" s="93">
        <f t="shared" si="8"/>
        <v>0</v>
      </c>
      <c r="U81" s="93">
        <f t="shared" si="9"/>
        <v>0</v>
      </c>
      <c r="V81" s="93">
        <f t="shared" si="10"/>
        <v>0</v>
      </c>
      <c r="W81" s="127">
        <f t="shared" si="11"/>
        <v>0</v>
      </c>
    </row>
    <row r="82" spans="2:23">
      <c r="B82" s="123">
        <f>Amnt_Deposited!B77</f>
        <v>2063</v>
      </c>
      <c r="C82" s="126">
        <f>Amnt_Deposited!H77</f>
        <v>0</v>
      </c>
      <c r="D82" s="537">
        <f>Dry_Matter_Content!H69</f>
        <v>0.73</v>
      </c>
      <c r="E82" s="382">
        <f>MCF!R81</f>
        <v>0.4</v>
      </c>
      <c r="F82" s="93">
        <f t="shared" si="12"/>
        <v>0</v>
      </c>
      <c r="G82" s="93">
        <f t="shared" si="1"/>
        <v>0</v>
      </c>
      <c r="H82" s="93">
        <f t="shared" si="2"/>
        <v>0</v>
      </c>
      <c r="I82" s="93">
        <f t="shared" si="3"/>
        <v>0</v>
      </c>
      <c r="J82" s="93">
        <f t="shared" si="4"/>
        <v>0</v>
      </c>
      <c r="K82" s="127">
        <f t="shared" si="6"/>
        <v>0</v>
      </c>
      <c r="O82" s="123">
        <f>Amnt_Deposited!B77</f>
        <v>2063</v>
      </c>
      <c r="P82" s="126">
        <f>Amnt_Deposited!H77</f>
        <v>0</v>
      </c>
      <c r="Q82" s="382">
        <f>MCF!R81</f>
        <v>0.4</v>
      </c>
      <c r="R82" s="93">
        <f t="shared" si="13"/>
        <v>0</v>
      </c>
      <c r="S82" s="93">
        <f t="shared" si="7"/>
        <v>0</v>
      </c>
      <c r="T82" s="93">
        <f t="shared" si="8"/>
        <v>0</v>
      </c>
      <c r="U82" s="93">
        <f t="shared" si="9"/>
        <v>0</v>
      </c>
      <c r="V82" s="93">
        <f t="shared" si="10"/>
        <v>0</v>
      </c>
      <c r="W82" s="127">
        <f t="shared" si="11"/>
        <v>0</v>
      </c>
    </row>
    <row r="83" spans="2:23">
      <c r="B83" s="123">
        <f>Amnt_Deposited!B78</f>
        <v>2064</v>
      </c>
      <c r="C83" s="126">
        <f>Amnt_Deposited!H78</f>
        <v>0</v>
      </c>
      <c r="D83" s="537">
        <f>Dry_Matter_Content!H70</f>
        <v>0.73</v>
      </c>
      <c r="E83" s="382">
        <f>MCF!R82</f>
        <v>0.4</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2064</v>
      </c>
      <c r="P83" s="126">
        <f>Amnt_Deposited!H78</f>
        <v>0</v>
      </c>
      <c r="Q83" s="382">
        <f>MCF!R82</f>
        <v>0.4</v>
      </c>
      <c r="R83" s="93">
        <f t="shared" ref="R83:R99" si="19">P83*$W$6*DOCF*Q83</f>
        <v>0</v>
      </c>
      <c r="S83" s="93">
        <f t="shared" si="7"/>
        <v>0</v>
      </c>
      <c r="T83" s="93">
        <f t="shared" si="8"/>
        <v>0</v>
      </c>
      <c r="U83" s="93">
        <f t="shared" si="9"/>
        <v>0</v>
      </c>
      <c r="V83" s="93">
        <f t="shared" si="10"/>
        <v>0</v>
      </c>
      <c r="W83" s="127">
        <f t="shared" si="11"/>
        <v>0</v>
      </c>
    </row>
    <row r="84" spans="2:23">
      <c r="B84" s="123">
        <f>Amnt_Deposited!B79</f>
        <v>2065</v>
      </c>
      <c r="C84" s="126">
        <f>Amnt_Deposited!H79</f>
        <v>0</v>
      </c>
      <c r="D84" s="537">
        <f>Dry_Matter_Content!H71</f>
        <v>0.73</v>
      </c>
      <c r="E84" s="382">
        <f>MCF!R83</f>
        <v>0.4</v>
      </c>
      <c r="F84" s="93">
        <f t="shared" si="14"/>
        <v>0</v>
      </c>
      <c r="G84" s="93">
        <f t="shared" si="15"/>
        <v>0</v>
      </c>
      <c r="H84" s="93">
        <f t="shared" si="16"/>
        <v>0</v>
      </c>
      <c r="I84" s="93">
        <f t="shared" si="17"/>
        <v>0</v>
      </c>
      <c r="J84" s="93">
        <f t="shared" si="18"/>
        <v>0</v>
      </c>
      <c r="K84" s="127">
        <f t="shared" si="6"/>
        <v>0</v>
      </c>
      <c r="O84" s="123">
        <f>Amnt_Deposited!B79</f>
        <v>2065</v>
      </c>
      <c r="P84" s="126">
        <f>Amnt_Deposited!H79</f>
        <v>0</v>
      </c>
      <c r="Q84" s="382">
        <f>MCF!R83</f>
        <v>0.4</v>
      </c>
      <c r="R84" s="93">
        <f t="shared" si="19"/>
        <v>0</v>
      </c>
      <c r="S84" s="93">
        <f t="shared" si="7"/>
        <v>0</v>
      </c>
      <c r="T84" s="93">
        <f t="shared" si="8"/>
        <v>0</v>
      </c>
      <c r="U84" s="93">
        <f t="shared" si="9"/>
        <v>0</v>
      </c>
      <c r="V84" s="93">
        <f t="shared" si="10"/>
        <v>0</v>
      </c>
      <c r="W84" s="127">
        <f t="shared" si="11"/>
        <v>0</v>
      </c>
    </row>
    <row r="85" spans="2:23">
      <c r="B85" s="123">
        <f>Amnt_Deposited!B80</f>
        <v>2066</v>
      </c>
      <c r="C85" s="126">
        <f>Amnt_Deposited!H80</f>
        <v>0</v>
      </c>
      <c r="D85" s="537">
        <f>Dry_Matter_Content!H72</f>
        <v>0.73</v>
      </c>
      <c r="E85" s="382">
        <f>MCF!R84</f>
        <v>0.4</v>
      </c>
      <c r="F85" s="93">
        <f t="shared" si="14"/>
        <v>0</v>
      </c>
      <c r="G85" s="93">
        <f t="shared" si="15"/>
        <v>0</v>
      </c>
      <c r="H85" s="93">
        <f t="shared" si="16"/>
        <v>0</v>
      </c>
      <c r="I85" s="93">
        <f t="shared" si="17"/>
        <v>0</v>
      </c>
      <c r="J85" s="93">
        <f t="shared" si="18"/>
        <v>0</v>
      </c>
      <c r="K85" s="127">
        <f t="shared" ref="K85:K99" si="20">J85*CH4_fraction*conv</f>
        <v>0</v>
      </c>
      <c r="O85" s="123">
        <f>Amnt_Deposited!B80</f>
        <v>2066</v>
      </c>
      <c r="P85" s="126">
        <f>Amnt_Deposited!H80</f>
        <v>0</v>
      </c>
      <c r="Q85" s="382">
        <f>MCF!R84</f>
        <v>0.4</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2067</v>
      </c>
      <c r="C86" s="126">
        <f>Amnt_Deposited!H81</f>
        <v>0</v>
      </c>
      <c r="D86" s="537">
        <f>Dry_Matter_Content!H73</f>
        <v>0.73</v>
      </c>
      <c r="E86" s="382">
        <f>MCF!R85</f>
        <v>0.4</v>
      </c>
      <c r="F86" s="93">
        <f t="shared" si="14"/>
        <v>0</v>
      </c>
      <c r="G86" s="93">
        <f t="shared" si="15"/>
        <v>0</v>
      </c>
      <c r="H86" s="93">
        <f t="shared" si="16"/>
        <v>0</v>
      </c>
      <c r="I86" s="93">
        <f t="shared" si="17"/>
        <v>0</v>
      </c>
      <c r="J86" s="93">
        <f t="shared" si="18"/>
        <v>0</v>
      </c>
      <c r="K86" s="127">
        <f t="shared" si="20"/>
        <v>0</v>
      </c>
      <c r="O86" s="123">
        <f>Amnt_Deposited!B81</f>
        <v>2067</v>
      </c>
      <c r="P86" s="126">
        <f>Amnt_Deposited!H81</f>
        <v>0</v>
      </c>
      <c r="Q86" s="382">
        <f>MCF!R85</f>
        <v>0.4</v>
      </c>
      <c r="R86" s="93">
        <f t="shared" si="19"/>
        <v>0</v>
      </c>
      <c r="S86" s="93">
        <f t="shared" si="21"/>
        <v>0</v>
      </c>
      <c r="T86" s="93">
        <f t="shared" si="22"/>
        <v>0</v>
      </c>
      <c r="U86" s="93">
        <f t="shared" si="23"/>
        <v>0</v>
      </c>
      <c r="V86" s="93">
        <f t="shared" si="24"/>
        <v>0</v>
      </c>
      <c r="W86" s="127">
        <f t="shared" si="25"/>
        <v>0</v>
      </c>
    </row>
    <row r="87" spans="2:23">
      <c r="B87" s="123">
        <f>Amnt_Deposited!B82</f>
        <v>2068</v>
      </c>
      <c r="C87" s="126">
        <f>Amnt_Deposited!H82</f>
        <v>0</v>
      </c>
      <c r="D87" s="537">
        <f>Dry_Matter_Content!H74</f>
        <v>0.73</v>
      </c>
      <c r="E87" s="382">
        <f>MCF!R86</f>
        <v>0.4</v>
      </c>
      <c r="F87" s="93">
        <f t="shared" si="14"/>
        <v>0</v>
      </c>
      <c r="G87" s="93">
        <f t="shared" si="15"/>
        <v>0</v>
      </c>
      <c r="H87" s="93">
        <f t="shared" si="16"/>
        <v>0</v>
      </c>
      <c r="I87" s="93">
        <f t="shared" si="17"/>
        <v>0</v>
      </c>
      <c r="J87" s="93">
        <f t="shared" si="18"/>
        <v>0</v>
      </c>
      <c r="K87" s="127">
        <f t="shared" si="20"/>
        <v>0</v>
      </c>
      <c r="O87" s="123">
        <f>Amnt_Deposited!B82</f>
        <v>2068</v>
      </c>
      <c r="P87" s="126">
        <f>Amnt_Deposited!H82</f>
        <v>0</v>
      </c>
      <c r="Q87" s="382">
        <f>MCF!R86</f>
        <v>0.4</v>
      </c>
      <c r="R87" s="93">
        <f t="shared" si="19"/>
        <v>0</v>
      </c>
      <c r="S87" s="93">
        <f t="shared" si="21"/>
        <v>0</v>
      </c>
      <c r="T87" s="93">
        <f t="shared" si="22"/>
        <v>0</v>
      </c>
      <c r="U87" s="93">
        <f t="shared" si="23"/>
        <v>0</v>
      </c>
      <c r="V87" s="93">
        <f t="shared" si="24"/>
        <v>0</v>
      </c>
      <c r="W87" s="127">
        <f t="shared" si="25"/>
        <v>0</v>
      </c>
    </row>
    <row r="88" spans="2:23">
      <c r="B88" s="123">
        <f>Amnt_Deposited!B83</f>
        <v>2069</v>
      </c>
      <c r="C88" s="126">
        <f>Amnt_Deposited!H83</f>
        <v>0</v>
      </c>
      <c r="D88" s="537">
        <f>Dry_Matter_Content!H75</f>
        <v>0.73</v>
      </c>
      <c r="E88" s="382">
        <f>MCF!R87</f>
        <v>0.4</v>
      </c>
      <c r="F88" s="93">
        <f t="shared" si="14"/>
        <v>0</v>
      </c>
      <c r="G88" s="93">
        <f t="shared" si="15"/>
        <v>0</v>
      </c>
      <c r="H88" s="93">
        <f t="shared" si="16"/>
        <v>0</v>
      </c>
      <c r="I88" s="93">
        <f t="shared" si="17"/>
        <v>0</v>
      </c>
      <c r="J88" s="93">
        <f t="shared" si="18"/>
        <v>0</v>
      </c>
      <c r="K88" s="127">
        <f t="shared" si="20"/>
        <v>0</v>
      </c>
      <c r="O88" s="123">
        <f>Amnt_Deposited!B83</f>
        <v>2069</v>
      </c>
      <c r="P88" s="126">
        <f>Amnt_Deposited!H83</f>
        <v>0</v>
      </c>
      <c r="Q88" s="382">
        <f>MCF!R87</f>
        <v>0.4</v>
      </c>
      <c r="R88" s="93">
        <f t="shared" si="19"/>
        <v>0</v>
      </c>
      <c r="S88" s="93">
        <f t="shared" si="21"/>
        <v>0</v>
      </c>
      <c r="T88" s="93">
        <f t="shared" si="22"/>
        <v>0</v>
      </c>
      <c r="U88" s="93">
        <f t="shared" si="23"/>
        <v>0</v>
      </c>
      <c r="V88" s="93">
        <f t="shared" si="24"/>
        <v>0</v>
      </c>
      <c r="W88" s="127">
        <f t="shared" si="25"/>
        <v>0</v>
      </c>
    </row>
    <row r="89" spans="2:23">
      <c r="B89" s="123">
        <f>Amnt_Deposited!B84</f>
        <v>2070</v>
      </c>
      <c r="C89" s="126">
        <f>Amnt_Deposited!H84</f>
        <v>0</v>
      </c>
      <c r="D89" s="537">
        <f>Dry_Matter_Content!H76</f>
        <v>0.73</v>
      </c>
      <c r="E89" s="382">
        <f>MCF!R88</f>
        <v>0.4</v>
      </c>
      <c r="F89" s="93">
        <f t="shared" si="14"/>
        <v>0</v>
      </c>
      <c r="G89" s="93">
        <f t="shared" si="15"/>
        <v>0</v>
      </c>
      <c r="H89" s="93">
        <f t="shared" si="16"/>
        <v>0</v>
      </c>
      <c r="I89" s="93">
        <f t="shared" si="17"/>
        <v>0</v>
      </c>
      <c r="J89" s="93">
        <f t="shared" si="18"/>
        <v>0</v>
      </c>
      <c r="K89" s="127">
        <f t="shared" si="20"/>
        <v>0</v>
      </c>
      <c r="O89" s="123">
        <f>Amnt_Deposited!B84</f>
        <v>2070</v>
      </c>
      <c r="P89" s="126">
        <f>Amnt_Deposited!H84</f>
        <v>0</v>
      </c>
      <c r="Q89" s="382">
        <f>MCF!R88</f>
        <v>0.4</v>
      </c>
      <c r="R89" s="93">
        <f t="shared" si="19"/>
        <v>0</v>
      </c>
      <c r="S89" s="93">
        <f t="shared" si="21"/>
        <v>0</v>
      </c>
      <c r="T89" s="93">
        <f t="shared" si="22"/>
        <v>0</v>
      </c>
      <c r="U89" s="93">
        <f t="shared" si="23"/>
        <v>0</v>
      </c>
      <c r="V89" s="93">
        <f t="shared" si="24"/>
        <v>0</v>
      </c>
      <c r="W89" s="127">
        <f t="shared" si="25"/>
        <v>0</v>
      </c>
    </row>
    <row r="90" spans="2:23">
      <c r="B90" s="123">
        <f>Amnt_Deposited!B85</f>
        <v>2071</v>
      </c>
      <c r="C90" s="126">
        <f>Amnt_Deposited!H85</f>
        <v>0</v>
      </c>
      <c r="D90" s="537">
        <f>Dry_Matter_Content!H77</f>
        <v>0.73</v>
      </c>
      <c r="E90" s="382">
        <f>MCF!R89</f>
        <v>0.4</v>
      </c>
      <c r="F90" s="93">
        <f t="shared" si="14"/>
        <v>0</v>
      </c>
      <c r="G90" s="93">
        <f t="shared" si="15"/>
        <v>0</v>
      </c>
      <c r="H90" s="93">
        <f t="shared" si="16"/>
        <v>0</v>
      </c>
      <c r="I90" s="93">
        <f t="shared" si="17"/>
        <v>0</v>
      </c>
      <c r="J90" s="93">
        <f t="shared" si="18"/>
        <v>0</v>
      </c>
      <c r="K90" s="127">
        <f t="shared" si="20"/>
        <v>0</v>
      </c>
      <c r="O90" s="123">
        <f>Amnt_Deposited!B85</f>
        <v>2071</v>
      </c>
      <c r="P90" s="126">
        <f>Amnt_Deposited!H85</f>
        <v>0</v>
      </c>
      <c r="Q90" s="382">
        <f>MCF!R89</f>
        <v>0.4</v>
      </c>
      <c r="R90" s="93">
        <f t="shared" si="19"/>
        <v>0</v>
      </c>
      <c r="S90" s="93">
        <f t="shared" si="21"/>
        <v>0</v>
      </c>
      <c r="T90" s="93">
        <f t="shared" si="22"/>
        <v>0</v>
      </c>
      <c r="U90" s="93">
        <f t="shared" si="23"/>
        <v>0</v>
      </c>
      <c r="V90" s="93">
        <f t="shared" si="24"/>
        <v>0</v>
      </c>
      <c r="W90" s="127">
        <f t="shared" si="25"/>
        <v>0</v>
      </c>
    </row>
    <row r="91" spans="2:23">
      <c r="B91" s="123">
        <f>Amnt_Deposited!B86</f>
        <v>2072</v>
      </c>
      <c r="C91" s="126">
        <f>Amnt_Deposited!H86</f>
        <v>0</v>
      </c>
      <c r="D91" s="537">
        <f>Dry_Matter_Content!H78</f>
        <v>0.73</v>
      </c>
      <c r="E91" s="382">
        <f>MCF!R90</f>
        <v>0.4</v>
      </c>
      <c r="F91" s="93">
        <f t="shared" si="14"/>
        <v>0</v>
      </c>
      <c r="G91" s="93">
        <f t="shared" si="15"/>
        <v>0</v>
      </c>
      <c r="H91" s="93">
        <f t="shared" si="16"/>
        <v>0</v>
      </c>
      <c r="I91" s="93">
        <f t="shared" si="17"/>
        <v>0</v>
      </c>
      <c r="J91" s="93">
        <f t="shared" si="18"/>
        <v>0</v>
      </c>
      <c r="K91" s="127">
        <f t="shared" si="20"/>
        <v>0</v>
      </c>
      <c r="O91" s="123">
        <f>Amnt_Deposited!B86</f>
        <v>2072</v>
      </c>
      <c r="P91" s="126">
        <f>Amnt_Deposited!H86</f>
        <v>0</v>
      </c>
      <c r="Q91" s="382">
        <f>MCF!R90</f>
        <v>0.4</v>
      </c>
      <c r="R91" s="93">
        <f t="shared" si="19"/>
        <v>0</v>
      </c>
      <c r="S91" s="93">
        <f t="shared" si="21"/>
        <v>0</v>
      </c>
      <c r="T91" s="93">
        <f t="shared" si="22"/>
        <v>0</v>
      </c>
      <c r="U91" s="93">
        <f t="shared" si="23"/>
        <v>0</v>
      </c>
      <c r="V91" s="93">
        <f t="shared" si="24"/>
        <v>0</v>
      </c>
      <c r="W91" s="127">
        <f t="shared" si="25"/>
        <v>0</v>
      </c>
    </row>
    <row r="92" spans="2:23">
      <c r="B92" s="123">
        <f>Amnt_Deposited!B87</f>
        <v>2073</v>
      </c>
      <c r="C92" s="126">
        <f>Amnt_Deposited!H87</f>
        <v>0</v>
      </c>
      <c r="D92" s="537">
        <f>Dry_Matter_Content!H79</f>
        <v>0.73</v>
      </c>
      <c r="E92" s="382">
        <f>MCF!R91</f>
        <v>0.4</v>
      </c>
      <c r="F92" s="93">
        <f t="shared" si="14"/>
        <v>0</v>
      </c>
      <c r="G92" s="93">
        <f t="shared" si="15"/>
        <v>0</v>
      </c>
      <c r="H92" s="93">
        <f t="shared" si="16"/>
        <v>0</v>
      </c>
      <c r="I92" s="93">
        <f t="shared" si="17"/>
        <v>0</v>
      </c>
      <c r="J92" s="93">
        <f t="shared" si="18"/>
        <v>0</v>
      </c>
      <c r="K92" s="127">
        <f t="shared" si="20"/>
        <v>0</v>
      </c>
      <c r="O92" s="123">
        <f>Amnt_Deposited!B87</f>
        <v>2073</v>
      </c>
      <c r="P92" s="126">
        <f>Amnt_Deposited!H87</f>
        <v>0</v>
      </c>
      <c r="Q92" s="382">
        <f>MCF!R91</f>
        <v>0.4</v>
      </c>
      <c r="R92" s="93">
        <f t="shared" si="19"/>
        <v>0</v>
      </c>
      <c r="S92" s="93">
        <f t="shared" si="21"/>
        <v>0</v>
      </c>
      <c r="T92" s="93">
        <f t="shared" si="22"/>
        <v>0</v>
      </c>
      <c r="U92" s="93">
        <f t="shared" si="23"/>
        <v>0</v>
      </c>
      <c r="V92" s="93">
        <f t="shared" si="24"/>
        <v>0</v>
      </c>
      <c r="W92" s="127">
        <f t="shared" si="25"/>
        <v>0</v>
      </c>
    </row>
    <row r="93" spans="2:23">
      <c r="B93" s="123">
        <f>Amnt_Deposited!B88</f>
        <v>2074</v>
      </c>
      <c r="C93" s="126">
        <f>Amnt_Deposited!H88</f>
        <v>0</v>
      </c>
      <c r="D93" s="537">
        <f>Dry_Matter_Content!H80</f>
        <v>0.73</v>
      </c>
      <c r="E93" s="382">
        <f>MCF!R92</f>
        <v>0.4</v>
      </c>
      <c r="F93" s="93">
        <f t="shared" si="14"/>
        <v>0</v>
      </c>
      <c r="G93" s="93">
        <f t="shared" si="15"/>
        <v>0</v>
      </c>
      <c r="H93" s="93">
        <f t="shared" si="16"/>
        <v>0</v>
      </c>
      <c r="I93" s="93">
        <f t="shared" si="17"/>
        <v>0</v>
      </c>
      <c r="J93" s="93">
        <f t="shared" si="18"/>
        <v>0</v>
      </c>
      <c r="K93" s="127">
        <f t="shared" si="20"/>
        <v>0</v>
      </c>
      <c r="O93" s="123">
        <f>Amnt_Deposited!B88</f>
        <v>2074</v>
      </c>
      <c r="P93" s="126">
        <f>Amnt_Deposited!H88</f>
        <v>0</v>
      </c>
      <c r="Q93" s="382">
        <f>MCF!R92</f>
        <v>0.4</v>
      </c>
      <c r="R93" s="93">
        <f t="shared" si="19"/>
        <v>0</v>
      </c>
      <c r="S93" s="93">
        <f t="shared" si="21"/>
        <v>0</v>
      </c>
      <c r="T93" s="93">
        <f t="shared" si="22"/>
        <v>0</v>
      </c>
      <c r="U93" s="93">
        <f t="shared" si="23"/>
        <v>0</v>
      </c>
      <c r="V93" s="93">
        <f t="shared" si="24"/>
        <v>0</v>
      </c>
      <c r="W93" s="127">
        <f t="shared" si="25"/>
        <v>0</v>
      </c>
    </row>
    <row r="94" spans="2:23">
      <c r="B94" s="123">
        <f>Amnt_Deposited!B89</f>
        <v>2075</v>
      </c>
      <c r="C94" s="126">
        <f>Amnt_Deposited!H89</f>
        <v>0</v>
      </c>
      <c r="D94" s="537">
        <f>Dry_Matter_Content!H81</f>
        <v>0.73</v>
      </c>
      <c r="E94" s="382">
        <f>MCF!R93</f>
        <v>0.4</v>
      </c>
      <c r="F94" s="93">
        <f t="shared" si="14"/>
        <v>0</v>
      </c>
      <c r="G94" s="93">
        <f t="shared" si="15"/>
        <v>0</v>
      </c>
      <c r="H94" s="93">
        <f t="shared" si="16"/>
        <v>0</v>
      </c>
      <c r="I94" s="93">
        <f t="shared" si="17"/>
        <v>0</v>
      </c>
      <c r="J94" s="93">
        <f t="shared" si="18"/>
        <v>0</v>
      </c>
      <c r="K94" s="127">
        <f t="shared" si="20"/>
        <v>0</v>
      </c>
      <c r="O94" s="123">
        <f>Amnt_Deposited!B89</f>
        <v>2075</v>
      </c>
      <c r="P94" s="126">
        <f>Amnt_Deposited!H89</f>
        <v>0</v>
      </c>
      <c r="Q94" s="382">
        <f>MCF!R93</f>
        <v>0.4</v>
      </c>
      <c r="R94" s="93">
        <f t="shared" si="19"/>
        <v>0</v>
      </c>
      <c r="S94" s="93">
        <f t="shared" si="21"/>
        <v>0</v>
      </c>
      <c r="T94" s="93">
        <f t="shared" si="22"/>
        <v>0</v>
      </c>
      <c r="U94" s="93">
        <f t="shared" si="23"/>
        <v>0</v>
      </c>
      <c r="V94" s="93">
        <f t="shared" si="24"/>
        <v>0</v>
      </c>
      <c r="W94" s="127">
        <f t="shared" si="25"/>
        <v>0</v>
      </c>
    </row>
    <row r="95" spans="2:23">
      <c r="B95" s="123">
        <f>Amnt_Deposited!B90</f>
        <v>2076</v>
      </c>
      <c r="C95" s="126">
        <f>Amnt_Deposited!H90</f>
        <v>0</v>
      </c>
      <c r="D95" s="537">
        <f>Dry_Matter_Content!H82</f>
        <v>0.73</v>
      </c>
      <c r="E95" s="382">
        <f>MCF!R94</f>
        <v>0.4</v>
      </c>
      <c r="F95" s="93">
        <f t="shared" si="14"/>
        <v>0</v>
      </c>
      <c r="G95" s="93">
        <f t="shared" si="15"/>
        <v>0</v>
      </c>
      <c r="H95" s="93">
        <f t="shared" si="16"/>
        <v>0</v>
      </c>
      <c r="I95" s="93">
        <f t="shared" si="17"/>
        <v>0</v>
      </c>
      <c r="J95" s="93">
        <f t="shared" si="18"/>
        <v>0</v>
      </c>
      <c r="K95" s="127">
        <f t="shared" si="20"/>
        <v>0</v>
      </c>
      <c r="O95" s="123">
        <f>Amnt_Deposited!B90</f>
        <v>2076</v>
      </c>
      <c r="P95" s="126">
        <f>Amnt_Deposited!H90</f>
        <v>0</v>
      </c>
      <c r="Q95" s="382">
        <f>MCF!R94</f>
        <v>0.4</v>
      </c>
      <c r="R95" s="93">
        <f t="shared" si="19"/>
        <v>0</v>
      </c>
      <c r="S95" s="93">
        <f t="shared" si="21"/>
        <v>0</v>
      </c>
      <c r="T95" s="93">
        <f t="shared" si="22"/>
        <v>0</v>
      </c>
      <c r="U95" s="93">
        <f t="shared" si="23"/>
        <v>0</v>
      </c>
      <c r="V95" s="93">
        <f t="shared" si="24"/>
        <v>0</v>
      </c>
      <c r="W95" s="127">
        <f t="shared" si="25"/>
        <v>0</v>
      </c>
    </row>
    <row r="96" spans="2:23">
      <c r="B96" s="123">
        <f>Amnt_Deposited!B91</f>
        <v>2077</v>
      </c>
      <c r="C96" s="126">
        <f>Amnt_Deposited!H91</f>
        <v>0</v>
      </c>
      <c r="D96" s="537">
        <f>Dry_Matter_Content!H83</f>
        <v>0.73</v>
      </c>
      <c r="E96" s="382">
        <f>MCF!R95</f>
        <v>0.4</v>
      </c>
      <c r="F96" s="93">
        <f t="shared" si="14"/>
        <v>0</v>
      </c>
      <c r="G96" s="93">
        <f t="shared" si="15"/>
        <v>0</v>
      </c>
      <c r="H96" s="93">
        <f t="shared" si="16"/>
        <v>0</v>
      </c>
      <c r="I96" s="93">
        <f t="shared" si="17"/>
        <v>0</v>
      </c>
      <c r="J96" s="93">
        <f t="shared" si="18"/>
        <v>0</v>
      </c>
      <c r="K96" s="127">
        <f t="shared" si="20"/>
        <v>0</v>
      </c>
      <c r="O96" s="123">
        <f>Amnt_Deposited!B91</f>
        <v>2077</v>
      </c>
      <c r="P96" s="126">
        <f>Amnt_Deposited!H91</f>
        <v>0</v>
      </c>
      <c r="Q96" s="382">
        <f>MCF!R95</f>
        <v>0.4</v>
      </c>
      <c r="R96" s="93">
        <f t="shared" si="19"/>
        <v>0</v>
      </c>
      <c r="S96" s="93">
        <f t="shared" si="21"/>
        <v>0</v>
      </c>
      <c r="T96" s="93">
        <f t="shared" si="22"/>
        <v>0</v>
      </c>
      <c r="U96" s="93">
        <f t="shared" si="23"/>
        <v>0</v>
      </c>
      <c r="V96" s="93">
        <f t="shared" si="24"/>
        <v>0</v>
      </c>
      <c r="W96" s="127">
        <f t="shared" si="25"/>
        <v>0</v>
      </c>
    </row>
    <row r="97" spans="2:23">
      <c r="B97" s="123">
        <f>Amnt_Deposited!B92</f>
        <v>2078</v>
      </c>
      <c r="C97" s="126">
        <f>Amnt_Deposited!H92</f>
        <v>0</v>
      </c>
      <c r="D97" s="537">
        <f>Dry_Matter_Content!H84</f>
        <v>0.73</v>
      </c>
      <c r="E97" s="382">
        <f>MCF!R96</f>
        <v>0.4</v>
      </c>
      <c r="F97" s="93">
        <f t="shared" si="14"/>
        <v>0</v>
      </c>
      <c r="G97" s="93">
        <f t="shared" si="15"/>
        <v>0</v>
      </c>
      <c r="H97" s="93">
        <f t="shared" si="16"/>
        <v>0</v>
      </c>
      <c r="I97" s="93">
        <f t="shared" si="17"/>
        <v>0</v>
      </c>
      <c r="J97" s="93">
        <f t="shared" si="18"/>
        <v>0</v>
      </c>
      <c r="K97" s="127">
        <f t="shared" si="20"/>
        <v>0</v>
      </c>
      <c r="O97" s="123">
        <f>Amnt_Deposited!B92</f>
        <v>2078</v>
      </c>
      <c r="P97" s="126">
        <f>Amnt_Deposited!H92</f>
        <v>0</v>
      </c>
      <c r="Q97" s="382">
        <f>MCF!R96</f>
        <v>0.4</v>
      </c>
      <c r="R97" s="93">
        <f t="shared" si="19"/>
        <v>0</v>
      </c>
      <c r="S97" s="93">
        <f t="shared" si="21"/>
        <v>0</v>
      </c>
      <c r="T97" s="93">
        <f t="shared" si="22"/>
        <v>0</v>
      </c>
      <c r="U97" s="93">
        <f t="shared" si="23"/>
        <v>0</v>
      </c>
      <c r="V97" s="93">
        <f t="shared" si="24"/>
        <v>0</v>
      </c>
      <c r="W97" s="127">
        <f t="shared" si="25"/>
        <v>0</v>
      </c>
    </row>
    <row r="98" spans="2:23">
      <c r="B98" s="123">
        <f>Amnt_Deposited!B93</f>
        <v>2079</v>
      </c>
      <c r="C98" s="126">
        <f>Amnt_Deposited!H93</f>
        <v>0</v>
      </c>
      <c r="D98" s="537">
        <f>Dry_Matter_Content!H85</f>
        <v>0.73</v>
      </c>
      <c r="E98" s="382">
        <f>MCF!R97</f>
        <v>0.4</v>
      </c>
      <c r="F98" s="93">
        <f t="shared" si="14"/>
        <v>0</v>
      </c>
      <c r="G98" s="93">
        <f t="shared" si="15"/>
        <v>0</v>
      </c>
      <c r="H98" s="93">
        <f t="shared" si="16"/>
        <v>0</v>
      </c>
      <c r="I98" s="93">
        <f t="shared" si="17"/>
        <v>0</v>
      </c>
      <c r="J98" s="93">
        <f t="shared" si="18"/>
        <v>0</v>
      </c>
      <c r="K98" s="127">
        <f t="shared" si="20"/>
        <v>0</v>
      </c>
      <c r="O98" s="123">
        <f>Amnt_Deposited!B93</f>
        <v>2079</v>
      </c>
      <c r="P98" s="126">
        <f>Amnt_Deposited!H93</f>
        <v>0</v>
      </c>
      <c r="Q98" s="382">
        <f>MCF!R97</f>
        <v>0.4</v>
      </c>
      <c r="R98" s="93">
        <f t="shared" si="19"/>
        <v>0</v>
      </c>
      <c r="S98" s="93">
        <f t="shared" si="21"/>
        <v>0</v>
      </c>
      <c r="T98" s="93">
        <f t="shared" si="22"/>
        <v>0</v>
      </c>
      <c r="U98" s="93">
        <f t="shared" si="23"/>
        <v>0</v>
      </c>
      <c r="V98" s="93">
        <f t="shared" si="24"/>
        <v>0</v>
      </c>
      <c r="W98" s="127">
        <f t="shared" si="25"/>
        <v>0</v>
      </c>
    </row>
    <row r="99" spans="2:23" ht="13.5" thickBot="1">
      <c r="B99" s="124">
        <f>Amnt_Deposited!B94</f>
        <v>2080</v>
      </c>
      <c r="C99" s="128">
        <f>Amnt_Deposited!H94</f>
        <v>0</v>
      </c>
      <c r="D99" s="538">
        <f>Dry_Matter_Content!H86</f>
        <v>0.73</v>
      </c>
      <c r="E99" s="383">
        <f>MCF!R98</f>
        <v>0.4</v>
      </c>
      <c r="F99" s="94">
        <f t="shared" si="14"/>
        <v>0</v>
      </c>
      <c r="G99" s="94">
        <f t="shared" si="15"/>
        <v>0</v>
      </c>
      <c r="H99" s="94">
        <f t="shared" si="16"/>
        <v>0</v>
      </c>
      <c r="I99" s="94">
        <f t="shared" si="17"/>
        <v>0</v>
      </c>
      <c r="J99" s="94">
        <f t="shared" si="18"/>
        <v>0</v>
      </c>
      <c r="K99" s="129">
        <f t="shared" si="20"/>
        <v>0</v>
      </c>
      <c r="O99" s="124">
        <f>Amnt_Deposited!B94</f>
        <v>2080</v>
      </c>
      <c r="P99" s="128">
        <f>Amnt_Deposited!H94</f>
        <v>0</v>
      </c>
      <c r="Q99" s="383">
        <f>MCF!R98</f>
        <v>0.4</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Parameters!O27</f>
        <v>0</v>
      </c>
      <c r="O6" s="271"/>
      <c r="P6" s="272"/>
      <c r="Q6" s="263"/>
      <c r="R6" s="135" t="s">
        <v>9</v>
      </c>
      <c r="S6" s="136"/>
      <c r="T6" s="136"/>
      <c r="U6" s="140"/>
      <c r="V6" s="147" t="s">
        <v>9</v>
      </c>
      <c r="W6" s="310">
        <f>Parameters!R27</f>
        <v>0.05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6" t="s">
        <v>190</v>
      </c>
      <c r="G9" s="297"/>
      <c r="H9" s="297"/>
      <c r="I9" s="298"/>
      <c r="J9" s="299" t="s">
        <v>189</v>
      </c>
      <c r="K9" s="305">
        <f>LN(2)/$K$8</f>
        <v>1.732867951399863</v>
      </c>
      <c r="O9" s="73"/>
      <c r="P9" s="73"/>
      <c r="Q9" s="263"/>
      <c r="R9" s="296" t="s">
        <v>190</v>
      </c>
      <c r="S9" s="297"/>
      <c r="T9" s="297"/>
      <c r="U9" s="298"/>
      <c r="V9" s="299" t="s">
        <v>189</v>
      </c>
      <c r="W9" s="305">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Amnt_Deposited!N14</f>
        <v>0</v>
      </c>
      <c r="D19" s="535">
        <f>Dry_Matter_Content!N6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Amnt_Deposited!N14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Amnt_Deposited!N15</f>
        <v>0</v>
      </c>
      <c r="D20" s="537">
        <f>Dry_Matter_Content!N7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Amnt_Deposited!N15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Amnt_Deposited!N16</f>
        <v>0</v>
      </c>
      <c r="D21" s="537">
        <f>Dry_Matter_Content!N8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Amnt_Deposited!N16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Amnt_Deposited!N17</f>
        <v>0</v>
      </c>
      <c r="D22" s="537">
        <f>Dry_Matter_Content!N9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Amnt_Deposited!N17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Amnt_Deposited!N18</f>
        <v>0</v>
      </c>
      <c r="D23" s="537">
        <f>Dry_Matter_Content!N10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Amnt_Deposited!N18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Amnt_Deposited!N19</f>
        <v>0</v>
      </c>
      <c r="D24" s="537">
        <f>Dry_Matter_Content!N11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Amnt_Deposited!N19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Amnt_Deposited!N20</f>
        <v>0</v>
      </c>
      <c r="D25" s="537">
        <f>Dry_Matter_Content!N12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Amnt_Deposited!N20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Amnt_Deposited!N21</f>
        <v>0</v>
      </c>
      <c r="D26" s="537">
        <f>Dry_Matter_Content!N13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Amnt_Deposited!N21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Amnt_Deposited!N22</f>
        <v>0</v>
      </c>
      <c r="D27" s="537">
        <f>Dry_Matter_Content!N14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Amnt_Deposited!N22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Amnt_Deposited!N23</f>
        <v>0</v>
      </c>
      <c r="D28" s="537">
        <f>Dry_Matter_Content!N15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Amnt_Deposited!N23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Amnt_Deposited!N24</f>
        <v>0</v>
      </c>
      <c r="D29" s="537">
        <f>Dry_Matter_Content!N16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Amnt_Deposited!N24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Amnt_Deposited!N25</f>
        <v>0</v>
      </c>
      <c r="D30" s="537">
        <f>Dry_Matter_Content!N17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Amnt_Deposited!N25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Amnt_Deposited!N26</f>
        <v>0</v>
      </c>
      <c r="D31" s="537">
        <f>Dry_Matter_Content!N18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Amnt_Deposited!N26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Amnt_Deposited!N27</f>
        <v>0</v>
      </c>
      <c r="D32" s="537">
        <f>Dry_Matter_Content!N19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Amnt_Deposited!N27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Amnt_Deposited!N28</f>
        <v>0</v>
      </c>
      <c r="D33" s="537">
        <f>Dry_Matter_Content!N20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Amnt_Deposited!N28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Amnt_Deposited!N29</f>
        <v>0</v>
      </c>
      <c r="D34" s="537">
        <f>Dry_Matter_Content!N21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Amnt_Deposited!N29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Amnt_Deposited!N30</f>
        <v>0</v>
      </c>
      <c r="D35" s="537">
        <f>Dry_Matter_Content!N22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Amnt_Deposited!N30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Amnt_Deposited!N31</f>
        <v>0</v>
      </c>
      <c r="D36" s="537">
        <f>Dry_Matter_Content!N23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Amnt_Deposited!N31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Amnt_Deposited!N32</f>
        <v>0</v>
      </c>
      <c r="D37" s="537">
        <f>Dry_Matter_Content!N24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Amnt_Deposited!N32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Amnt_Deposited!N33</f>
        <v>0</v>
      </c>
      <c r="D38" s="537">
        <f>Dry_Matter_Content!N25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Amnt_Deposited!N33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Amnt_Deposited!N34</f>
        <v>0</v>
      </c>
      <c r="D39" s="537">
        <f>Dry_Matter_Content!N26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Amnt_Deposited!N34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Amnt_Deposited!N35</f>
        <v>0</v>
      </c>
      <c r="D40" s="537">
        <f>Dry_Matter_Content!N27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Amnt_Deposited!N35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Amnt_Deposited!N36</f>
        <v>0</v>
      </c>
      <c r="D41" s="537">
        <f>Dry_Matter_Content!N28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Amnt_Deposited!N36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Amnt_Deposited!N37</f>
        <v>0</v>
      </c>
      <c r="D42" s="537">
        <f>Dry_Matter_Content!N29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Amnt_Deposited!N37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Amnt_Deposited!N38</f>
        <v>0</v>
      </c>
      <c r="D43" s="537">
        <f>Dry_Matter_Content!N30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Amnt_Deposited!N38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Amnt_Deposited!N39</f>
        <v>0</v>
      </c>
      <c r="D44" s="537">
        <f>Dry_Matter_Content!N31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Amnt_Deposited!N39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Amnt_Deposited!N40</f>
        <v>0</v>
      </c>
      <c r="D45" s="537">
        <f>Dry_Matter_Content!N32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Amnt_Deposited!N40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Amnt_Deposited!N41</f>
        <v>0</v>
      </c>
      <c r="D46" s="537">
        <f>Dry_Matter_Content!N33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Amnt_Deposited!N41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Amnt_Deposited!N42</f>
        <v>0</v>
      </c>
      <c r="D47" s="537">
        <f>Dry_Matter_Content!N34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Amnt_Deposited!N42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Amnt_Deposited!N43</f>
        <v>0</v>
      </c>
      <c r="D48" s="537">
        <f>Dry_Matter_Content!N35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Amnt_Deposited!N43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Amnt_Deposited!N44</f>
        <v>0</v>
      </c>
      <c r="D49" s="537">
        <f>Dry_Matter_Content!N36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Amnt_Deposited!N44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Amnt_Deposited!N45</f>
        <v>0</v>
      </c>
      <c r="D50" s="537">
        <f>Dry_Matter_Content!N37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Amnt_Deposited!N45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Amnt_Deposited!N46</f>
        <v>0</v>
      </c>
      <c r="D51" s="537">
        <f>Dry_Matter_Content!N38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Amnt_Deposited!N46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Amnt_Deposited!N47</f>
        <v>0</v>
      </c>
      <c r="D52" s="537">
        <f>Dry_Matter_Content!N39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Amnt_Deposited!N47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Amnt_Deposited!N48</f>
        <v>0</v>
      </c>
      <c r="D53" s="537">
        <f>Dry_Matter_Content!N40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Amnt_Deposited!N48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Amnt_Deposited!N49</f>
        <v>0</v>
      </c>
      <c r="D54" s="537">
        <f>Dry_Matter_Content!N41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Amnt_Deposited!N49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Amnt_Deposited!N50</f>
        <v>0</v>
      </c>
      <c r="D55" s="537">
        <f>Dry_Matter_Content!N42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Amnt_Deposited!N50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Amnt_Deposited!N51</f>
        <v>0</v>
      </c>
      <c r="D56" s="537">
        <f>Dry_Matter_Content!N43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Amnt_Deposited!N51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Amnt_Deposited!N52</f>
        <v>0</v>
      </c>
      <c r="D57" s="537">
        <f>Dry_Matter_Content!N44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Amnt_Deposited!N52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Amnt_Deposited!N53</f>
        <v>0</v>
      </c>
      <c r="D58" s="537">
        <f>Dry_Matter_Content!N45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Amnt_Deposited!N53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Amnt_Deposited!N54</f>
        <v>0</v>
      </c>
      <c r="D59" s="537">
        <f>Dry_Matter_Content!N46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Amnt_Deposited!N54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Amnt_Deposited!N55</f>
        <v>0</v>
      </c>
      <c r="D60" s="537">
        <f>Dry_Matter_Content!N47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Amnt_Deposited!N55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Amnt_Deposited!N56</f>
        <v>0</v>
      </c>
      <c r="D61" s="537">
        <f>Dry_Matter_Content!N48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Amnt_Deposited!N56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Amnt_Deposited!N57</f>
        <v>0</v>
      </c>
      <c r="D62" s="537">
        <f>Dry_Matter_Content!N49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Amnt_Deposited!N57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Amnt_Deposited!N58</f>
        <v>0</v>
      </c>
      <c r="D63" s="537">
        <f>Dry_Matter_Content!N50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Amnt_Deposited!N58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Amnt_Deposited!N59</f>
        <v>0</v>
      </c>
      <c r="D64" s="537">
        <f>Dry_Matter_Content!N51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Amnt_Deposited!N59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Amnt_Deposited!N60</f>
        <v>0</v>
      </c>
      <c r="D65" s="537">
        <f>Dry_Matter_Content!N52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Amnt_Deposited!N60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Amnt_Deposited!N61</f>
        <v>0</v>
      </c>
      <c r="D66" s="537">
        <f>Dry_Matter_Content!N53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Amnt_Deposited!N61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Amnt_Deposited!N62</f>
        <v>0</v>
      </c>
      <c r="D67" s="537">
        <f>Dry_Matter_Content!N54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Amnt_Deposited!N62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Amnt_Deposited!N63</f>
        <v>0</v>
      </c>
      <c r="D68" s="537">
        <f>Dry_Matter_Content!N55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Amnt_Deposited!N63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Amnt_Deposited!N64</f>
        <v>0</v>
      </c>
      <c r="D69" s="537">
        <f>Dry_Matter_Content!N56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Amnt_Deposited!N64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Amnt_Deposited!N65</f>
        <v>0</v>
      </c>
      <c r="D70" s="537">
        <f>Dry_Matter_Content!N57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Amnt_Deposited!N65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Amnt_Deposited!N66</f>
        <v>0</v>
      </c>
      <c r="D71" s="537">
        <f>Dry_Matter_Content!N58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Amnt_Deposited!N66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Amnt_Deposited!N67</f>
        <v>0</v>
      </c>
      <c r="D72" s="537">
        <f>Dry_Matter_Content!N59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Amnt_Deposited!N67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Amnt_Deposited!N68</f>
        <v>0</v>
      </c>
      <c r="D73" s="537">
        <f>Dry_Matter_Content!N60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Amnt_Deposited!N68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Amnt_Deposited!N69</f>
        <v>0</v>
      </c>
      <c r="D74" s="537">
        <f>Dry_Matter_Content!N61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Amnt_Deposited!N69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Amnt_Deposited!N70</f>
        <v>0</v>
      </c>
      <c r="D75" s="537">
        <f>Dry_Matter_Content!N62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Amnt_Deposited!N70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Amnt_Deposited!N71</f>
        <v>0</v>
      </c>
      <c r="D76" s="537">
        <f>Dry_Matter_Content!N63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Amnt_Deposited!N71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Amnt_Deposited!N72</f>
        <v>0</v>
      </c>
      <c r="D77" s="537">
        <f>Dry_Matter_Content!N64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Amnt_Deposited!N72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Amnt_Deposited!N73</f>
        <v>0</v>
      </c>
      <c r="D78" s="537">
        <f>Dry_Matter_Content!N65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Amnt_Deposited!N73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Amnt_Deposited!N74</f>
        <v>0</v>
      </c>
      <c r="D79" s="537">
        <f>Dry_Matter_Content!N66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Amnt_Deposited!N74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Amnt_Deposited!N75</f>
        <v>0</v>
      </c>
      <c r="D80" s="537">
        <f>Dry_Matter_Content!N67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Amnt_Deposited!N75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Amnt_Deposited!N76</f>
        <v>0</v>
      </c>
      <c r="D81" s="537">
        <f>Dry_Matter_Content!N68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Amnt_Deposited!N76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Amnt_Deposited!N77</f>
        <v>0</v>
      </c>
      <c r="D82" s="537">
        <f>Dry_Matter_Content!N69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Amnt_Deposited!N77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Amnt_Deposited!N78</f>
        <v>0</v>
      </c>
      <c r="D83" s="537">
        <f>Dry_Matter_Content!N70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Amnt_Deposited!N78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Amnt_Deposited!N79</f>
        <v>0</v>
      </c>
      <c r="D84" s="537">
        <f>Dry_Matter_Content!N71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Amnt_Deposited!N79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Amnt_Deposited!N80</f>
        <v>0</v>
      </c>
      <c r="D85" s="537">
        <f>Dry_Matter_Content!N72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Amnt_Deposited!N80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Amnt_Deposited!N81</f>
        <v>0</v>
      </c>
      <c r="D86" s="537">
        <f>Dry_Matter_Content!N73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Amnt_Deposited!N81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Amnt_Deposited!N82</f>
        <v>0</v>
      </c>
      <c r="D87" s="537">
        <f>Dry_Matter_Content!N74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Amnt_Deposited!N82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Amnt_Deposited!N83</f>
        <v>0</v>
      </c>
      <c r="D88" s="537">
        <f>Dry_Matter_Content!N75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Amnt_Deposited!N83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Amnt_Deposited!N84</f>
        <v>0</v>
      </c>
      <c r="D89" s="537">
        <f>Dry_Matter_Content!N76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Amnt_Deposited!N84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Amnt_Deposited!N85</f>
        <v>0</v>
      </c>
      <c r="D90" s="537">
        <f>Dry_Matter_Content!N77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Amnt_Deposited!N85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Amnt_Deposited!N86</f>
        <v>0</v>
      </c>
      <c r="D91" s="537">
        <f>Dry_Matter_Content!N78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Amnt_Deposited!N86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Amnt_Deposited!N87</f>
        <v>0</v>
      </c>
      <c r="D92" s="537">
        <f>Dry_Matter_Content!N79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Amnt_Deposited!N87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Amnt_Deposited!N88</f>
        <v>0</v>
      </c>
      <c r="D93" s="537">
        <f>Dry_Matter_Content!N80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Amnt_Deposited!N88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Amnt_Deposited!N89</f>
        <v>0</v>
      </c>
      <c r="D94" s="537">
        <f>Dry_Matter_Content!N81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Amnt_Deposited!N89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Amnt_Deposited!N90</f>
        <v>0</v>
      </c>
      <c r="D95" s="537">
        <f>Dry_Matter_Content!N82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Amnt_Deposited!N90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Amnt_Deposited!N91</f>
        <v>0</v>
      </c>
      <c r="D96" s="537">
        <f>Dry_Matter_Content!N83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Amnt_Deposited!N91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Amnt_Deposited!N92</f>
        <v>0</v>
      </c>
      <c r="D97" s="537">
        <f>Dry_Matter_Content!N84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Amnt_Deposited!N92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Amnt_Deposited!N93</f>
        <v>0</v>
      </c>
      <c r="D98" s="537">
        <f>Dry_Matter_Content!N85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Amnt_Deposited!N93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Amnt_Deposited!N94</f>
        <v>0</v>
      </c>
      <c r="D99" s="538">
        <f>Dry_Matter_Content!N86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Amnt_Deposited!N94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tabSelected="1" zoomScalePageLayoutView="150" workbookViewId="0">
      <pane xSplit="2" ySplit="10" topLeftCell="C15" activePane="bottomRight" state="frozen"/>
      <selection pane="topRight"/>
      <selection pane="bottomLeft"/>
      <selection pane="bottomRight" activeCell="E17" sqref="E17:E25"/>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62" t="s">
        <v>342</v>
      </c>
      <c r="E2" s="763"/>
      <c r="F2" s="764"/>
    </row>
    <row r="3" spans="1:18" ht="16.5" thickBot="1">
      <c r="B3" s="12"/>
      <c r="C3" s="5" t="s">
        <v>276</v>
      </c>
      <c r="D3" s="762" t="s">
        <v>337</v>
      </c>
      <c r="E3" s="763"/>
      <c r="F3" s="764"/>
    </row>
    <row r="4" spans="1:18" ht="16.5" thickBot="1">
      <c r="B4" s="12"/>
      <c r="C4" s="5" t="s">
        <v>30</v>
      </c>
      <c r="D4" s="762" t="s">
        <v>266</v>
      </c>
      <c r="E4" s="763"/>
      <c r="F4" s="764"/>
    </row>
    <row r="5" spans="1:18" ht="16.5" thickBot="1">
      <c r="B5" s="12"/>
      <c r="C5" s="5" t="s">
        <v>117</v>
      </c>
      <c r="D5" s="765"/>
      <c r="E5" s="766"/>
      <c r="F5" s="767"/>
    </row>
    <row r="6" spans="1:18">
      <c r="B6" s="13" t="s">
        <v>201</v>
      </c>
    </row>
    <row r="7" spans="1:18">
      <c r="B7" s="36" t="s">
        <v>31</v>
      </c>
    </row>
    <row r="8" spans="1:18" ht="13.5" thickBot="1">
      <c r="B8" s="36"/>
    </row>
    <row r="9" spans="1:18" ht="12.75" customHeight="1">
      <c r="A9" s="1"/>
      <c r="C9" s="768" t="s">
        <v>18</v>
      </c>
      <c r="D9" s="769"/>
      <c r="E9" s="775" t="s">
        <v>100</v>
      </c>
      <c r="F9" s="776"/>
      <c r="H9" s="768" t="s">
        <v>18</v>
      </c>
      <c r="I9" s="769"/>
      <c r="J9" s="775" t="s">
        <v>100</v>
      </c>
      <c r="K9" s="776"/>
    </row>
    <row r="10" spans="1:18" ht="13.5" thickBot="1">
      <c r="C10" s="150"/>
      <c r="D10" s="151"/>
      <c r="E10" s="291" t="s">
        <v>13</v>
      </c>
      <c r="F10" s="187" t="s">
        <v>19</v>
      </c>
      <c r="H10" s="150"/>
      <c r="I10" s="151"/>
      <c r="J10" s="291" t="s">
        <v>13</v>
      </c>
      <c r="K10" s="187" t="s">
        <v>19</v>
      </c>
      <c r="L10" s="457" t="s">
        <v>211</v>
      </c>
    </row>
    <row r="11" spans="1:18" ht="13.5" thickBot="1">
      <c r="B11" s="56" t="s">
        <v>90</v>
      </c>
      <c r="C11" s="152"/>
      <c r="D11" s="153">
        <v>1950</v>
      </c>
      <c r="E11" s="155">
        <v>2000</v>
      </c>
      <c r="F11" s="154"/>
      <c r="H11" s="152"/>
      <c r="I11" s="153">
        <f>D11</f>
        <v>1950</v>
      </c>
      <c r="J11" s="155">
        <f>year</f>
        <v>2000</v>
      </c>
      <c r="K11" s="154"/>
    </row>
    <row r="12" spans="1:18" ht="13.5" thickBot="1">
      <c r="B12" s="38"/>
      <c r="C12" s="773" t="s">
        <v>250</v>
      </c>
      <c r="D12" s="774"/>
      <c r="E12" s="773" t="s">
        <v>250</v>
      </c>
      <c r="F12" s="774"/>
      <c r="H12" s="773" t="s">
        <v>251</v>
      </c>
      <c r="I12" s="774"/>
      <c r="J12" s="773" t="s">
        <v>251</v>
      </c>
      <c r="K12" s="774"/>
      <c r="N12" t="s">
        <v>132</v>
      </c>
    </row>
    <row r="13" spans="1:18" ht="13.5" thickBot="1">
      <c r="B13" s="56" t="s">
        <v>131</v>
      </c>
      <c r="C13" s="393"/>
      <c r="D13" s="394"/>
      <c r="E13" s="395"/>
      <c r="F13" s="57"/>
      <c r="H13" s="393"/>
      <c r="I13" s="394"/>
      <c r="J13" s="395"/>
      <c r="K13" s="57"/>
    </row>
    <row r="14" spans="1:18" ht="13.5" thickBot="1">
      <c r="B14" s="56" t="s">
        <v>249</v>
      </c>
      <c r="C14" s="396" t="s">
        <v>113</v>
      </c>
      <c r="D14" s="397" t="s">
        <v>115</v>
      </c>
      <c r="E14" s="449"/>
      <c r="F14" s="190"/>
      <c r="H14" s="396" t="s">
        <v>113</v>
      </c>
      <c r="I14" s="397" t="s">
        <v>115</v>
      </c>
      <c r="J14" s="449"/>
      <c r="K14" s="190"/>
      <c r="N14" s="502" t="s">
        <v>252</v>
      </c>
      <c r="Q14" s="502" t="s">
        <v>253</v>
      </c>
    </row>
    <row r="15" spans="1:18">
      <c r="B15" s="8" t="str">
        <f>IF(Select2=1,"Food waste","Bulk MSW")</f>
        <v>Food waste</v>
      </c>
      <c r="C15" s="197" t="str">
        <f>INDEX(DOC_table,IF(Select2=1,1,14),2)</f>
        <v>0.20-0.50</v>
      </c>
      <c r="D15" s="48">
        <f>INDEX(DOC_table,IF(Select2=1,1,14),1)</f>
        <v>0.38</v>
      </c>
      <c r="E15" s="448">
        <f>D15</f>
        <v>0.38</v>
      </c>
      <c r="F15" s="159"/>
      <c r="H15" s="197" t="str">
        <f>INDEX(DOC_table,IF(Select2=1,1,14),4)</f>
        <v>0.08-0.20</v>
      </c>
      <c r="I15" s="48">
        <f>INDEX(DOC_table,IF(Select2=1,1,14),3)</f>
        <v>0.15</v>
      </c>
      <c r="J15" s="448">
        <f>I15</f>
        <v>0.15</v>
      </c>
      <c r="K15" s="159"/>
      <c r="L15" s="447" t="str">
        <f>IF(Select2=1,"May include garden waste provided that a suitable value of DOC is used","")</f>
        <v>May include garden waste provided that a suitable value of DOC is used</v>
      </c>
      <c r="N15" s="61" t="s">
        <v>6</v>
      </c>
      <c r="O15" s="61">
        <f>IF(Select2=1,E15,0)</f>
        <v>0.38</v>
      </c>
      <c r="Q15" s="61" t="s">
        <v>6</v>
      </c>
      <c r="R15" s="499">
        <f>IF(Select2=1,J15,0)</f>
        <v>0.15</v>
      </c>
    </row>
    <row r="16" spans="1:18">
      <c r="B16" s="8" t="str">
        <f>IF(Select2=1,"Paper/cardboard","Sewage sludge")</f>
        <v>Paper/cardboard</v>
      </c>
      <c r="C16" s="197" t="str">
        <f>INDEX(DOC_table,IF(Select2=1,2,13),2)</f>
        <v>0.40-0.50</v>
      </c>
      <c r="D16" s="48">
        <f>INDEX(DOC_table,IF(Select2=1,2,13),1)</f>
        <v>0.44</v>
      </c>
      <c r="E16" s="308">
        <f>D16</f>
        <v>0.44</v>
      </c>
      <c r="F16" s="288"/>
      <c r="H16" s="197" t="str">
        <f>INDEX(DOC_table,IF(Select2=1,2,13),4)</f>
        <v>0.36-0.45</v>
      </c>
      <c r="I16" s="48">
        <f>INDEX(DOC_table,IF(Select2=1,2,13),3)</f>
        <v>0.4</v>
      </c>
      <c r="J16" s="308">
        <f>I16</f>
        <v>0.4</v>
      </c>
      <c r="K16" s="288"/>
      <c r="L16"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525" t="s">
        <v>262</v>
      </c>
      <c r="O16" s="2">
        <f>IF(Select2=1,E16,E63)</f>
        <v>0.44</v>
      </c>
      <c r="Q16" s="525" t="s">
        <v>262</v>
      </c>
      <c r="R16" s="500">
        <f>IF(Select2=1,J16,J63)</f>
        <v>0.4</v>
      </c>
    </row>
    <row r="17" spans="2:18">
      <c r="B17" s="2" t="str">
        <f>IF(Select2=1,"Garden and Park waste","Industrial waste")</f>
        <v>Garden and Park waste</v>
      </c>
      <c r="C17" s="197" t="str">
        <f>INDEX(DOC_table,IF(Select2=1,3,15),2)</f>
        <v>0.45-0.55</v>
      </c>
      <c r="D17" s="48">
        <f>INDEX(DOC_table,IF(Select2=1,3,15),1)</f>
        <v>0.49</v>
      </c>
      <c r="E17" s="308">
        <f t="shared" ref="E17:E25" si="0">D17</f>
        <v>0.49</v>
      </c>
      <c r="F17" s="288"/>
      <c r="H17" s="197" t="str">
        <f>INDEX(DOC_table,IF(Select2=1,3,15),4)</f>
        <v>0.18-0.22</v>
      </c>
      <c r="I17" s="48">
        <f>INDEX(DOC_table,IF(Select2=1,3,15),3)</f>
        <v>0.2</v>
      </c>
      <c r="J17" s="308">
        <f>I17</f>
        <v>0.2</v>
      </c>
      <c r="K17" s="288"/>
      <c r="L17" s="6"/>
      <c r="N17" s="524" t="s">
        <v>261</v>
      </c>
      <c r="O17" s="2">
        <f>IF(Select2=1,E17,E62)</f>
        <v>0.49</v>
      </c>
      <c r="Q17" s="524" t="s">
        <v>261</v>
      </c>
      <c r="R17" s="500">
        <f>IF(Select2=1,J17,J62)</f>
        <v>0.2</v>
      </c>
    </row>
    <row r="18" spans="2:18">
      <c r="B18" s="2" t="str">
        <f>IF(Select2=1,"Textiles","")</f>
        <v>Textiles</v>
      </c>
      <c r="C18" s="198" t="str">
        <f>IF(Select2=1,INDEX(DOC_table,4,2),"")</f>
        <v>0.25-0.50</v>
      </c>
      <c r="D18" s="19">
        <f>IF(Select2=1,INDEX(DOC_table,4,1),"")</f>
        <v>0.3</v>
      </c>
      <c r="E18" s="308">
        <f t="shared" si="0"/>
        <v>0.3</v>
      </c>
      <c r="F18" s="288"/>
      <c r="H18" s="198" t="str">
        <f>IF(Select2=1,INDEX(DOC_table,4,4),"")</f>
        <v>0.20-0.40</v>
      </c>
      <c r="I18" s="19">
        <f>IF(Select2=1,INDEX(DOC_table,4,3),"")</f>
        <v>0.24</v>
      </c>
      <c r="J18" s="308">
        <f>I18</f>
        <v>0.24</v>
      </c>
      <c r="K18" s="288"/>
      <c r="L18" s="6"/>
      <c r="N18" s="2" t="s">
        <v>16</v>
      </c>
      <c r="O18" s="2">
        <f>IF(Select2=1,E18,0)</f>
        <v>0.3</v>
      </c>
      <c r="Q18" s="2" t="s">
        <v>16</v>
      </c>
      <c r="R18" s="500">
        <f>IF(Select2=1,J18,0)</f>
        <v>0.24</v>
      </c>
    </row>
    <row r="19" spans="2:18">
      <c r="B19" s="2" t="str">
        <f>IF(Select2=1,"Rubber and Leather","")</f>
        <v>Rubber and Leather</v>
      </c>
      <c r="C19" s="198" t="str">
        <f>IF(Select2=1,INDEX(DOC_table,5,2),"")</f>
        <v>0.47</v>
      </c>
      <c r="D19" s="19">
        <f>IF(Select2=1,INDEX(DOC_table,5,1),"")</f>
        <v>0.47</v>
      </c>
      <c r="E19" s="308">
        <f t="shared" si="0"/>
        <v>0.47</v>
      </c>
      <c r="F19" s="288"/>
      <c r="H19" s="198" t="str">
        <f>IF(Select2=1,INDEX(DOC_table,5,4),"")</f>
        <v>0.39</v>
      </c>
      <c r="I19" s="19">
        <f>IF(Select2=1,INDEX(DOC_table,5,3),"")</f>
        <v>0.39</v>
      </c>
      <c r="J19" s="308">
        <f t="shared" ref="J19:J25" si="1">I19</f>
        <v>0.39</v>
      </c>
      <c r="K19" s="288"/>
      <c r="L19" s="447"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500">
        <f>IF(Select2=1,J19,0)</f>
        <v>0.39</v>
      </c>
    </row>
    <row r="20" spans="2:18">
      <c r="B20" s="2" t="str">
        <f>IF(Select2=1,"Wood","")</f>
        <v>Wood</v>
      </c>
      <c r="C20" s="198" t="str">
        <f>IF(Select2=1,INDEX(DOC_table,6,2),"")</f>
        <v>0.46-0.54</v>
      </c>
      <c r="D20" s="19">
        <f>IF(Select2=1,INDEX(DOC_table,6,1),"")</f>
        <v>0.5</v>
      </c>
      <c r="E20" s="308">
        <f t="shared" si="0"/>
        <v>0.5</v>
      </c>
      <c r="F20" s="288"/>
      <c r="H20" s="198" t="str">
        <f>IF(Select2=1,INDEX(DOC_table,6,4),"")</f>
        <v>0.39-0.46</v>
      </c>
      <c r="I20" s="19">
        <f>IF(Select2=1,INDEX(DOC_table,6,3),"")</f>
        <v>0.43</v>
      </c>
      <c r="J20" s="308">
        <f t="shared" si="1"/>
        <v>0.43</v>
      </c>
      <c r="K20" s="288"/>
      <c r="L20" s="681"/>
      <c r="N20" s="522" t="s">
        <v>2</v>
      </c>
      <c r="O20" s="2">
        <f>IF(Select2=1,E20,E64)</f>
        <v>0.5</v>
      </c>
      <c r="Q20" s="522" t="s">
        <v>2</v>
      </c>
      <c r="R20" s="500">
        <f>IF(Select2=1,J20,J64)</f>
        <v>0.43</v>
      </c>
    </row>
    <row r="21" spans="2:18">
      <c r="B21" s="2" t="str">
        <f>IF(Select2=1,"Nappies","")</f>
        <v>Nappies</v>
      </c>
      <c r="C21" s="198" t="str">
        <f>IF(Select2=1,INDEX(DOC_table,7,2),"")</f>
        <v>0.44-0.80</v>
      </c>
      <c r="D21" s="19">
        <f>IF(Select2=1,INDEX(DOC_table,7,1),"")</f>
        <v>0.6</v>
      </c>
      <c r="E21" s="308">
        <f t="shared" si="0"/>
        <v>0.6</v>
      </c>
      <c r="F21" s="288"/>
      <c r="H21" s="198" t="str">
        <f>IF(Select2=1,INDEX(DOC_table,7,4),"")</f>
        <v>0.18-0.32</v>
      </c>
      <c r="I21" s="19">
        <f>IF(Select2=1,INDEX(DOC_table,7,3),"")</f>
        <v>0.24</v>
      </c>
      <c r="J21" s="308">
        <f t="shared" si="1"/>
        <v>0.24</v>
      </c>
      <c r="K21" s="288"/>
      <c r="L21" s="681"/>
      <c r="N21" s="522" t="s">
        <v>267</v>
      </c>
      <c r="O21" s="2">
        <f>IF(Select2=1,E21,0)</f>
        <v>0.6</v>
      </c>
      <c r="Q21" s="522" t="s">
        <v>267</v>
      </c>
      <c r="R21" s="500">
        <f>IF(Select2=1,J21,0)</f>
        <v>0.24</v>
      </c>
    </row>
    <row r="22" spans="2:18">
      <c r="B22" s="173" t="str">
        <f>IF(Select2=1,"Plastics","")</f>
        <v>Plastics</v>
      </c>
      <c r="C22" s="199">
        <f>IF(Select2=1,INDEX(DOC_table,9,2),"")</f>
        <v>0</v>
      </c>
      <c r="D22" s="234">
        <f>IF(Select2=1,INDEX(DOC_table,9,1),"")</f>
        <v>0</v>
      </c>
      <c r="E22" s="308">
        <f t="shared" si="0"/>
        <v>0</v>
      </c>
      <c r="F22" s="288"/>
      <c r="H22" s="199">
        <f>IF(Select2=1,INDEX(DOC_table,9,4),"")</f>
        <v>0</v>
      </c>
      <c r="I22" s="234">
        <f>IF(Select2=1,INDEX(DOC_table,9,3),"")</f>
        <v>0</v>
      </c>
      <c r="J22" s="308">
        <f t="shared" si="1"/>
        <v>0</v>
      </c>
      <c r="K22" s="288"/>
      <c r="L22" s="307"/>
      <c r="N22" s="173" t="s">
        <v>230</v>
      </c>
      <c r="O22" s="2">
        <f>IF(Select2=1,E22,0)</f>
        <v>0</v>
      </c>
      <c r="Q22" s="173" t="s">
        <v>230</v>
      </c>
      <c r="R22" s="500">
        <f>IF(Select2=1,J22,0)</f>
        <v>0</v>
      </c>
    </row>
    <row r="23" spans="2:18">
      <c r="B23" s="173" t="str">
        <f>IF(Select2=1,"Metal","")</f>
        <v>Metal</v>
      </c>
      <c r="C23" s="199">
        <f>IF(Select2=1,INDEX(DOC_table,10,2),"")</f>
        <v>0</v>
      </c>
      <c r="D23" s="234">
        <f>IF(Select2=1,INDEX(DOC_table,10,1),"")</f>
        <v>0</v>
      </c>
      <c r="E23" s="308">
        <f t="shared" si="0"/>
        <v>0</v>
      </c>
      <c r="F23" s="288"/>
      <c r="H23" s="199">
        <f>IF(Select2=1,INDEX(DOC_table,10,4),"")</f>
        <v>0</v>
      </c>
      <c r="I23" s="234">
        <f>IF(Select2=1,INDEX(DOC_table,10,3),"")</f>
        <v>0</v>
      </c>
      <c r="J23" s="308">
        <f t="shared" si="1"/>
        <v>0</v>
      </c>
      <c r="K23" s="288"/>
      <c r="L23" s="307"/>
      <c r="N23" s="173" t="s">
        <v>231</v>
      </c>
      <c r="O23" s="2">
        <f>IF(Select2=1,E23,0)</f>
        <v>0</v>
      </c>
      <c r="Q23" s="173" t="s">
        <v>231</v>
      </c>
      <c r="R23" s="500">
        <f>IF(Select2=1,J23,0)</f>
        <v>0</v>
      </c>
    </row>
    <row r="24" spans="2:18">
      <c r="B24" s="173" t="str">
        <f>IF(Select2=1,"Glass","")</f>
        <v>Glass</v>
      </c>
      <c r="C24" s="199">
        <f>IF(Select2=1,INDEX(DOC_table,11,2),"")</f>
        <v>0</v>
      </c>
      <c r="D24" s="234">
        <f>IF(Select2=1,INDEX(DOC_table,11,1),"")</f>
        <v>0</v>
      </c>
      <c r="E24" s="308">
        <f t="shared" si="0"/>
        <v>0</v>
      </c>
      <c r="F24" s="288"/>
      <c r="H24" s="199">
        <f>IF(Select2=1,INDEX(DOC_table,11,4),"")</f>
        <v>0</v>
      </c>
      <c r="I24" s="234">
        <f>IF(Select2=1,INDEX(DOC_table,11,3),"")</f>
        <v>0</v>
      </c>
      <c r="J24" s="308">
        <f t="shared" si="1"/>
        <v>0</v>
      </c>
      <c r="K24" s="288"/>
      <c r="L24" s="307"/>
      <c r="N24" s="173" t="s">
        <v>232</v>
      </c>
      <c r="O24" s="2">
        <f>IF(Select2=1,E24,0)</f>
        <v>0</v>
      </c>
      <c r="Q24" s="173" t="s">
        <v>232</v>
      </c>
      <c r="R24" s="500">
        <f>IF(Select2=1,J24,0)</f>
        <v>0</v>
      </c>
    </row>
    <row r="25" spans="2:18">
      <c r="B25" s="173" t="str">
        <f>IF(Select2=1,"Other","")</f>
        <v>Other</v>
      </c>
      <c r="C25" s="199">
        <f>IF(Select2=1,INDEX(DOC_table,12,2),"")</f>
        <v>0</v>
      </c>
      <c r="D25" s="234">
        <f>IF(Select2=1,INDEX(DOC_table,12,1),"")</f>
        <v>0</v>
      </c>
      <c r="E25" s="308">
        <f t="shared" si="0"/>
        <v>0</v>
      </c>
      <c r="F25" s="288"/>
      <c r="H25" s="199">
        <f>IF(Select2=1,INDEX(DOC_table,12,4),"")</f>
        <v>0</v>
      </c>
      <c r="I25" s="234">
        <f>IF(Select2=1,INDEX(DOC_table,12,3),"")</f>
        <v>0</v>
      </c>
      <c r="J25" s="308">
        <f t="shared" si="1"/>
        <v>0</v>
      </c>
      <c r="K25" s="288"/>
      <c r="L25" s="307"/>
      <c r="N25" s="173" t="s">
        <v>233</v>
      </c>
      <c r="O25" s="2">
        <f>IF(Select2=1,E25,0)</f>
        <v>0</v>
      </c>
      <c r="Q25" s="173" t="s">
        <v>233</v>
      </c>
      <c r="R25" s="500">
        <f>IF(Select2=1,J25,0)</f>
        <v>0</v>
      </c>
    </row>
    <row r="26" spans="2:18">
      <c r="B26" s="173"/>
      <c r="C26" s="199"/>
      <c r="D26" s="234"/>
      <c r="E26" s="308"/>
      <c r="F26" s="288"/>
      <c r="H26" s="199"/>
      <c r="I26" s="234"/>
      <c r="J26" s="308"/>
      <c r="K26" s="288"/>
      <c r="L26" s="307"/>
      <c r="N26" s="522" t="s">
        <v>204</v>
      </c>
      <c r="O26" s="2">
        <f>IF(Select2=1,0,E15)</f>
        <v>0</v>
      </c>
      <c r="Q26" s="522" t="s">
        <v>204</v>
      </c>
      <c r="R26" s="500">
        <f>IF(Select2=1,0,J15)</f>
        <v>0</v>
      </c>
    </row>
    <row r="27" spans="2:18" ht="13.5" thickBot="1">
      <c r="B27" s="2" t="str">
        <f>IF(Select2=1,"Sewage sludge","")</f>
        <v>Sewage sludge</v>
      </c>
      <c r="C27" s="198" t="str">
        <f>IF(Select2=1,INDEX(DOC_table,13,2),"")</f>
        <v>N.A</v>
      </c>
      <c r="D27" s="555">
        <f>IF(Select2=1,INDEX(DOC_table,13,1),"")</f>
        <v>0</v>
      </c>
      <c r="E27" s="308">
        <f t="shared" ref="E22:E28" si="2">D27</f>
        <v>0</v>
      </c>
      <c r="F27" s="288"/>
      <c r="H27" s="198" t="str">
        <f>IF(Select2=1,INDEX(DOC_table,13,4),"")</f>
        <v>0.04-0.05</v>
      </c>
      <c r="I27" s="19">
        <f>IF(Select2=1,INDEX(DOC_table,13,3),"")</f>
        <v>0.05</v>
      </c>
      <c r="J27" s="308">
        <f>I27</f>
        <v>0.05</v>
      </c>
      <c r="K27" s="288"/>
      <c r="L27" s="6"/>
      <c r="N27" s="35" t="s">
        <v>135</v>
      </c>
      <c r="O27" s="35">
        <f>IF(Select2=1,E27,E16)</f>
        <v>0</v>
      </c>
      <c r="Q27" s="35" t="s">
        <v>135</v>
      </c>
      <c r="R27" s="501">
        <f>IF(Select2=1,J27,J16)</f>
        <v>0.05</v>
      </c>
    </row>
    <row r="28" spans="2:18" ht="13.5" thickBot="1">
      <c r="B28" s="35" t="str">
        <f>IF(Select2=1,"Industrial waste","")</f>
        <v>Industrial waste</v>
      </c>
      <c r="C28" s="677" t="str">
        <f>IF(Select2=1,INDEX(DOC_table,15,2),"")</f>
        <v>N.A</v>
      </c>
      <c r="D28" s="678">
        <f>IF(Select2=1,INDEX(DOC_table,15,1),"")</f>
        <v>0</v>
      </c>
      <c r="E28" s="309">
        <f t="shared" si="2"/>
        <v>0</v>
      </c>
      <c r="F28" s="679"/>
      <c r="H28" s="677" t="str">
        <f>IF(Select2=1,INDEX(DOC_table,15,4),"")</f>
        <v>0-0.54</v>
      </c>
      <c r="I28" s="678">
        <f>IF(Select2=1,INDEX(DOC_table,15,3),"")</f>
        <v>0.15</v>
      </c>
      <c r="J28" s="309">
        <f t="shared" ref="J28" si="3">I28</f>
        <v>0.15</v>
      </c>
      <c r="K28" s="679"/>
      <c r="L28" s="680"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521"/>
      <c r="D30" s="47">
        <v>0.5</v>
      </c>
      <c r="E30" s="450">
        <f>D30</f>
        <v>0.5</v>
      </c>
      <c r="F30" s="454"/>
      <c r="L30" s="6"/>
    </row>
    <row r="31" spans="2:18" ht="13.5" thickBot="1">
      <c r="B31" s="38"/>
      <c r="C31" s="391"/>
      <c r="D31" s="392"/>
      <c r="E31" s="451"/>
      <c r="F31" s="38"/>
      <c r="L31" s="6"/>
    </row>
    <row r="32" spans="2:18" ht="13.5" thickBot="1">
      <c r="B32" s="56" t="s">
        <v>208</v>
      </c>
      <c r="C32" s="393"/>
      <c r="D32" s="394"/>
      <c r="E32" s="452"/>
      <c r="F32" s="455"/>
      <c r="L32" s="6"/>
    </row>
    <row r="33" spans="2:15" ht="15" thickBot="1">
      <c r="B33" s="186" t="s">
        <v>193</v>
      </c>
      <c r="C33" s="398" t="s">
        <v>113</v>
      </c>
      <c r="D33" s="399" t="s">
        <v>115</v>
      </c>
      <c r="E33" s="453"/>
      <c r="F33" s="456"/>
      <c r="L33" s="6"/>
      <c r="N33" t="s">
        <v>130</v>
      </c>
    </row>
    <row r="34" spans="2:15">
      <c r="B34" s="8" t="str">
        <f>IF(Select2=1,"Food waste","Bulk MSW")</f>
        <v>Food waste</v>
      </c>
      <c r="C34" s="196" t="str">
        <f>INDEX(half_life,IF(Select2=1,4,5),selected*2)</f>
        <v xml:space="preserve">0.17–0.7 </v>
      </c>
      <c r="D34" s="120">
        <f>INDEX(half_life,IF(Select2=1,4,5),selected*2-1)</f>
        <v>0.4</v>
      </c>
      <c r="E34" s="729">
        <f t="shared" ref="E34:E39" si="4">D34</f>
        <v>0.4</v>
      </c>
      <c r="F34" s="159"/>
      <c r="L34" s="447" t="str">
        <f>IF(Select2=1,"May include garden waste provided that a suitable value of DOC is used","")</f>
        <v>May include garden waste provided that a suitable value of DOC is used</v>
      </c>
      <c r="N34" s="61" t="s">
        <v>6</v>
      </c>
      <c r="O34" s="61">
        <f t="shared" ref="O34:O44" si="5">IF(Select2=1,E34,0)</f>
        <v>0.4</v>
      </c>
    </row>
    <row r="35" spans="2:15">
      <c r="B35" s="8" t="str">
        <f>IF(Select2=1,"Paper/cardboard","Sewage sludge")</f>
        <v>Paper/cardboard</v>
      </c>
      <c r="C35" s="197" t="str">
        <f>INDEX(half_life,IF(Select2=1,1,4),selected*2)</f>
        <v>0.06–0.085</v>
      </c>
      <c r="D35" s="97">
        <f>INDEX(half_life,IF(Select2=1,1,4),selected*2-1)</f>
        <v>7.0000000000000007E-2</v>
      </c>
      <c r="E35" s="730">
        <f t="shared" si="4"/>
        <v>7.0000000000000007E-2</v>
      </c>
      <c r="F35" s="64"/>
      <c r="L35" s="447"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525" t="s">
        <v>262</v>
      </c>
      <c r="O35" s="2">
        <f t="shared" si="5"/>
        <v>7.0000000000000007E-2</v>
      </c>
    </row>
    <row r="36" spans="2:15">
      <c r="B36" s="2" t="str">
        <f>IF(Select2=1,"Garden and Park waste","Industrial waste")</f>
        <v>Garden and Park waste</v>
      </c>
      <c r="C36" s="197" t="str">
        <f>INDEX(half_life,IF(Select2=1,3,5),selected*2)</f>
        <v>0.15–0.2</v>
      </c>
      <c r="D36" s="97">
        <f>INDEX(half_life,IF(Select2=1,3,5),selected*2-1)</f>
        <v>0.17</v>
      </c>
      <c r="E36" s="730">
        <f t="shared" si="4"/>
        <v>0.17</v>
      </c>
      <c r="F36" s="64"/>
      <c r="L36" s="6"/>
      <c r="N36" s="524" t="s">
        <v>261</v>
      </c>
      <c r="O36" s="2">
        <f t="shared" si="5"/>
        <v>0.17</v>
      </c>
    </row>
    <row r="37" spans="2:15">
      <c r="B37" s="2" t="str">
        <f>IF(Select2=1,"Textiles","")</f>
        <v>Textiles</v>
      </c>
      <c r="C37" s="198" t="str">
        <f>IF(Select2=1,INDEX(half_life,1,selected*2),"")</f>
        <v>0.06–0.085</v>
      </c>
      <c r="D37" s="97">
        <f>IF(Select2=1,INDEX(half_life,1,selected*2-1),"")</f>
        <v>7.0000000000000007E-2</v>
      </c>
      <c r="E37" s="730">
        <f t="shared" si="4"/>
        <v>7.0000000000000007E-2</v>
      </c>
      <c r="F37" s="64"/>
      <c r="L37" s="6"/>
      <c r="N37" s="2" t="s">
        <v>16</v>
      </c>
      <c r="O37" s="2">
        <f t="shared" si="5"/>
        <v>7.0000000000000007E-2</v>
      </c>
    </row>
    <row r="38" spans="2:15">
      <c r="B38" s="2" t="str">
        <f>IF(Select2=1,"Rubber and Leather","")</f>
        <v>Rubber and Leather</v>
      </c>
      <c r="C38" s="198" t="str">
        <f>IF(Select2=1,INDEX(half_life,2,selected*2),"")</f>
        <v>0.03–0.05</v>
      </c>
      <c r="D38" s="97">
        <f>IF(Select2=1,INDEX(half_life,2,selected*2-1),"")</f>
        <v>3.5000000000000003E-2</v>
      </c>
      <c r="E38" s="731">
        <f t="shared" si="4"/>
        <v>3.5000000000000003E-2</v>
      </c>
      <c r="F38" s="288"/>
      <c r="L38" s="447"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98" t="str">
        <f>IF(Select2=1,INDEX(half_life,2,selected*2),"")</f>
        <v>0.03–0.05</v>
      </c>
      <c r="D39" s="97">
        <f>IF(Select2=1,INDEX(half_life,2,selected*2-1),"")</f>
        <v>3.5000000000000003E-2</v>
      </c>
      <c r="E39" s="731">
        <f t="shared" si="4"/>
        <v>3.5000000000000003E-2</v>
      </c>
      <c r="F39" s="288"/>
      <c r="N39" s="522" t="s">
        <v>2</v>
      </c>
      <c r="O39" s="2">
        <f t="shared" si="5"/>
        <v>3.5000000000000003E-2</v>
      </c>
    </row>
    <row r="40" spans="2:15">
      <c r="B40" s="2" t="str">
        <f>IF(Select2=1,"Nappies","")</f>
        <v>Nappies</v>
      </c>
      <c r="C40" s="198" t="str">
        <f>IF(Select2=1,INDEX(half_life,3,selected*2),"")</f>
        <v>0.15–0.2</v>
      </c>
      <c r="D40" s="97">
        <f>IF(Select2=1,INDEX(half_life,3,selected*2-1),"")</f>
        <v>0.17</v>
      </c>
      <c r="E40" s="731">
        <f>D40</f>
        <v>0.17</v>
      </c>
      <c r="F40" s="288"/>
      <c r="N40" s="522" t="s">
        <v>267</v>
      </c>
      <c r="O40" s="2">
        <f t="shared" si="5"/>
        <v>0.17</v>
      </c>
    </row>
    <row r="41" spans="2:15">
      <c r="B41" s="173" t="str">
        <f>IF(Select2=1,"Plastics","")</f>
        <v>Plastics</v>
      </c>
      <c r="C41" s="198">
        <f t="shared" ref="C41:D44" si="6">IF(Select2=1,0,"")</f>
        <v>0</v>
      </c>
      <c r="D41" s="554">
        <f t="shared" si="6"/>
        <v>0</v>
      </c>
      <c r="E41" s="731">
        <f>D41</f>
        <v>0</v>
      </c>
      <c r="F41" s="288"/>
      <c r="N41" s="173" t="s">
        <v>230</v>
      </c>
      <c r="O41" s="2">
        <f t="shared" si="5"/>
        <v>0</v>
      </c>
    </row>
    <row r="42" spans="2:15">
      <c r="B42" s="173" t="str">
        <f>IF(Select2=1,"Metal","")</f>
        <v>Metal</v>
      </c>
      <c r="C42" s="198">
        <f t="shared" si="6"/>
        <v>0</v>
      </c>
      <c r="D42" s="554">
        <f t="shared" si="6"/>
        <v>0</v>
      </c>
      <c r="E42" s="731">
        <f>D42</f>
        <v>0</v>
      </c>
      <c r="F42" s="288"/>
      <c r="N42" s="173" t="s">
        <v>231</v>
      </c>
      <c r="O42" s="2">
        <f t="shared" si="5"/>
        <v>0</v>
      </c>
    </row>
    <row r="43" spans="2:15">
      <c r="B43" s="173" t="str">
        <f>IF(Select2=1,"Glass","")</f>
        <v>Glass</v>
      </c>
      <c r="C43" s="198">
        <f t="shared" si="6"/>
        <v>0</v>
      </c>
      <c r="D43" s="554">
        <f t="shared" si="6"/>
        <v>0</v>
      </c>
      <c r="E43" s="731">
        <f>D43</f>
        <v>0</v>
      </c>
      <c r="F43" s="288"/>
      <c r="N43" s="173" t="s">
        <v>232</v>
      </c>
      <c r="O43" s="2">
        <f t="shared" si="5"/>
        <v>0</v>
      </c>
    </row>
    <row r="44" spans="2:15">
      <c r="B44" s="173" t="str">
        <f>IF(Select2=1,"Other","")</f>
        <v>Other</v>
      </c>
      <c r="C44" s="198">
        <f t="shared" si="6"/>
        <v>0</v>
      </c>
      <c r="D44" s="554">
        <f t="shared" si="6"/>
        <v>0</v>
      </c>
      <c r="E44" s="731">
        <f>D44</f>
        <v>0</v>
      </c>
      <c r="F44" s="288"/>
      <c r="N44" s="173" t="s">
        <v>233</v>
      </c>
      <c r="O44" s="2">
        <f t="shared" si="5"/>
        <v>0</v>
      </c>
    </row>
    <row r="45" spans="2:15">
      <c r="B45" s="173"/>
      <c r="C45" s="198"/>
      <c r="D45" s="97"/>
      <c r="E45" s="731"/>
      <c r="F45" s="288"/>
      <c r="N45" s="522"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731">
        <f>D46</f>
        <v>0.4</v>
      </c>
      <c r="F46" s="288"/>
      <c r="N46" s="35" t="s">
        <v>135</v>
      </c>
      <c r="O46" s="35">
        <f>IF(Select2=1,E46,E$35)</f>
        <v>0.4</v>
      </c>
    </row>
    <row r="47" spans="2:15" ht="13.5" thickBot="1">
      <c r="B47" s="35" t="str">
        <f>IF(Select2=1,"Industrial waste","")</f>
        <v>Industrial waste</v>
      </c>
      <c r="C47" s="677" t="str">
        <f>IF(Select2=1,INDEX(half_life,5,selected*2),"")</f>
        <v>0.15–0.2</v>
      </c>
      <c r="D47" s="682">
        <f>IF(Select2=1,INDEX(half_life,5,selected*2-1),"")</f>
        <v>0.17</v>
      </c>
      <c r="E47" s="732">
        <f t="shared" ref="E47" si="7">D47</f>
        <v>0.17</v>
      </c>
      <c r="F47" s="679"/>
      <c r="L47" s="68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733">
        <v>6</v>
      </c>
      <c r="F49" s="63"/>
    </row>
    <row r="50" spans="1:18" ht="13.5" thickBot="1">
      <c r="B50" s="38"/>
      <c r="C50" s="17"/>
      <c r="D50" s="39"/>
      <c r="E50" s="40"/>
      <c r="F50" s="39"/>
    </row>
    <row r="51" spans="1:18" ht="13.5" thickBot="1">
      <c r="B51" s="56" t="s">
        <v>207</v>
      </c>
      <c r="C51" s="59"/>
      <c r="D51" s="37">
        <v>0.5</v>
      </c>
      <c r="E51" s="733">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733">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71" t="s">
        <v>195</v>
      </c>
      <c r="C58" s="363"/>
      <c r="D58" s="368">
        <v>0</v>
      </c>
      <c r="E58" s="734">
        <f>D58</f>
        <v>0</v>
      </c>
      <c r="F58" s="121"/>
      <c r="L58" s="32"/>
    </row>
    <row r="59" spans="1:18" ht="13.5" thickBot="1">
      <c r="B59" s="372" t="s">
        <v>196</v>
      </c>
      <c r="C59" s="369"/>
      <c r="D59" s="370">
        <v>0</v>
      </c>
      <c r="E59" s="735">
        <f>D59</f>
        <v>0</v>
      </c>
      <c r="F59" s="62"/>
    </row>
    <row r="60" spans="1:18" ht="13.5" thickBot="1">
      <c r="B60" s="165"/>
      <c r="C60" s="311"/>
      <c r="D60" s="312"/>
      <c r="E60" s="314"/>
      <c r="F60" s="313"/>
    </row>
    <row r="61" spans="1:18" s="32" customFormat="1" ht="26.25" thickBot="1">
      <c r="A61"/>
      <c r="B61" s="359" t="s">
        <v>209</v>
      </c>
      <c r="C61" s="189"/>
      <c r="D61" s="770" t="s">
        <v>250</v>
      </c>
      <c r="E61" s="771"/>
      <c r="F61" s="772"/>
      <c r="H61" s="59"/>
      <c r="I61" s="770" t="s">
        <v>251</v>
      </c>
      <c r="J61" s="771"/>
      <c r="K61" s="772"/>
      <c r="L61"/>
      <c r="N61"/>
      <c r="O61"/>
      <c r="P61"/>
    </row>
    <row r="62" spans="1:18" s="32" customFormat="1" ht="13.5" thickBot="1">
      <c r="A62"/>
      <c r="B62" s="360" t="str">
        <f>IF(Select2=1,"","DOC for garden waste")</f>
        <v/>
      </c>
      <c r="C62" s="363"/>
      <c r="D62" s="366" t="str">
        <f>IF(Select2=1,"",INDEX(DOC_table,3,1))</f>
        <v/>
      </c>
      <c r="E62" s="385" t="str">
        <f>D62</f>
        <v/>
      </c>
      <c r="F62" s="386"/>
      <c r="H62" s="363"/>
      <c r="I62" s="366" t="str">
        <f>IF(Select2=1,"",INDEX(DOC_table,3,3))</f>
        <v/>
      </c>
      <c r="J62" s="385" t="str">
        <f>I62</f>
        <v/>
      </c>
      <c r="K62" s="386"/>
      <c r="L62"/>
      <c r="N62" s="552" t="s">
        <v>278</v>
      </c>
      <c r="O62" s="61" t="str">
        <f>IF(Select2=2,E62,"")</f>
        <v/>
      </c>
      <c r="Q62" s="552" t="s">
        <v>278</v>
      </c>
      <c r="R62" s="61" t="str">
        <f>IF(Select2=2,J62,"")</f>
        <v/>
      </c>
    </row>
    <row r="63" spans="1:18" ht="13.5" thickBot="1">
      <c r="B63" s="361" t="str">
        <f>IF(Select2=1,"","DOC for paper and cardboard")</f>
        <v/>
      </c>
      <c r="C63" s="364"/>
      <c r="D63" s="367" t="str">
        <f>IF(Select2=1,"",INDEX(DOC_table,2,1))</f>
        <v/>
      </c>
      <c r="E63" s="387" t="str">
        <f>D63</f>
        <v/>
      </c>
      <c r="F63" s="388"/>
      <c r="H63" s="364"/>
      <c r="I63" s="367" t="str">
        <f>IF(Select2=1,"",INDEX(DOC_table,2,3))</f>
        <v/>
      </c>
      <c r="J63" s="387" t="str">
        <f>I63</f>
        <v/>
      </c>
      <c r="K63" s="388"/>
      <c r="N63" s="552" t="s">
        <v>279</v>
      </c>
      <c r="O63" s="2" t="str">
        <f>IF(Select2=2,E63,"")</f>
        <v/>
      </c>
      <c r="P63" s="32"/>
      <c r="Q63" s="552" t="s">
        <v>279</v>
      </c>
      <c r="R63" s="2" t="str">
        <f>IF(Select2=2,J63,"")</f>
        <v/>
      </c>
    </row>
    <row r="64" spans="1:18" ht="13.5" thickBot="1">
      <c r="B64" s="362" t="str">
        <f>IF(Select2=1,"","DOC for wood and straw")</f>
        <v/>
      </c>
      <c r="C64" s="365"/>
      <c r="D64" s="373" t="str">
        <f>IF(Select2=1,"",INDEX(DOC_table,6,1))</f>
        <v/>
      </c>
      <c r="E64" s="389" t="str">
        <f>D64</f>
        <v/>
      </c>
      <c r="F64" s="390"/>
      <c r="H64" s="365"/>
      <c r="I64" s="373" t="str">
        <f>IF(Select2=1,"",INDEX(DOC_table,6,3))</f>
        <v/>
      </c>
      <c r="J64" s="389" t="str">
        <f>I64</f>
        <v/>
      </c>
      <c r="K64" s="390"/>
      <c r="N64" s="552" t="s">
        <v>280</v>
      </c>
      <c r="O64" s="35" t="str">
        <f>IF(Select2=2,E64,"")</f>
        <v/>
      </c>
      <c r="Q64" s="552" t="s">
        <v>280</v>
      </c>
      <c r="R64" s="35" t="str">
        <f>IF(Select2=2,J64,"")</f>
        <v/>
      </c>
    </row>
    <row r="69" spans="2:8">
      <c r="B69" s="713" t="s">
        <v>336</v>
      </c>
    </row>
    <row r="71" spans="2:8">
      <c r="B71" s="757" t="s">
        <v>317</v>
      </c>
      <c r="C71" s="757"/>
      <c r="D71" s="758" t="s">
        <v>318</v>
      </c>
      <c r="E71" s="758"/>
      <c r="F71" s="758"/>
      <c r="G71" s="758"/>
      <c r="H71" s="758"/>
    </row>
    <row r="72" spans="2:8">
      <c r="B72" s="757" t="s">
        <v>319</v>
      </c>
      <c r="C72" s="757"/>
      <c r="D72" s="758" t="s">
        <v>320</v>
      </c>
      <c r="E72" s="758"/>
      <c r="F72" s="758"/>
      <c r="G72" s="758"/>
      <c r="H72" s="758"/>
    </row>
    <row r="73" spans="2:8">
      <c r="B73" s="757" t="s">
        <v>321</v>
      </c>
      <c r="C73" s="757"/>
      <c r="D73" s="758" t="s">
        <v>322</v>
      </c>
      <c r="E73" s="758"/>
      <c r="F73" s="758"/>
      <c r="G73" s="758"/>
      <c r="H73" s="758"/>
    </row>
    <row r="74" spans="2:8">
      <c r="B74" s="757" t="s">
        <v>323</v>
      </c>
      <c r="C74" s="757"/>
      <c r="D74" s="758" t="s">
        <v>324</v>
      </c>
      <c r="E74" s="758"/>
      <c r="F74" s="758"/>
      <c r="G74" s="758"/>
      <c r="H74" s="758"/>
    </row>
    <row r="75" spans="2:8">
      <c r="B75" s="711"/>
      <c r="C75" s="712"/>
      <c r="D75" s="712"/>
      <c r="E75" s="712"/>
      <c r="F75" s="712"/>
      <c r="G75" s="712"/>
      <c r="H75" s="712"/>
    </row>
    <row r="76" spans="2:8">
      <c r="B76" s="714"/>
      <c r="C76" s="715" t="s">
        <v>325</v>
      </c>
      <c r="D76" s="716" t="s">
        <v>87</v>
      </c>
      <c r="E76" s="716" t="s">
        <v>88</v>
      </c>
    </row>
    <row r="77" spans="2:8">
      <c r="B77" s="759" t="s">
        <v>133</v>
      </c>
      <c r="C77" s="717" t="s">
        <v>326</v>
      </c>
      <c r="D77" s="718" t="s">
        <v>327</v>
      </c>
      <c r="E77" s="718" t="s">
        <v>9</v>
      </c>
      <c r="F77" s="616"/>
      <c r="G77" s="697"/>
      <c r="H77" s="6"/>
    </row>
    <row r="78" spans="2:8">
      <c r="B78" s="760"/>
      <c r="C78" s="719"/>
      <c r="D78" s="720"/>
      <c r="E78" s="721"/>
      <c r="F78" s="6"/>
      <c r="G78" s="616"/>
      <c r="H78" s="6"/>
    </row>
    <row r="79" spans="2:8">
      <c r="B79" s="760"/>
      <c r="C79" s="719"/>
      <c r="D79" s="720"/>
      <c r="E79" s="721"/>
      <c r="F79" s="6"/>
      <c r="G79" s="616"/>
      <c r="H79" s="6"/>
    </row>
    <row r="80" spans="2:8">
      <c r="B80" s="760"/>
      <c r="C80" s="719"/>
      <c r="D80" s="720"/>
      <c r="E80" s="721"/>
      <c r="F80" s="6"/>
      <c r="G80" s="616"/>
      <c r="H80" s="6"/>
    </row>
    <row r="81" spans="2:8">
      <c r="B81" s="760"/>
      <c r="C81" s="719"/>
      <c r="D81" s="720"/>
      <c r="E81" s="721"/>
      <c r="F81" s="6"/>
      <c r="G81" s="616"/>
      <c r="H81" s="6"/>
    </row>
    <row r="82" spans="2:8">
      <c r="B82" s="760"/>
      <c r="C82" s="719"/>
      <c r="D82" s="720" t="s">
        <v>328</v>
      </c>
      <c r="E82" s="721"/>
      <c r="F82" s="6"/>
      <c r="G82" s="616"/>
      <c r="H82" s="6"/>
    </row>
    <row r="83" spans="2:8" ht="13.5" thickBot="1">
      <c r="B83" s="761"/>
      <c r="C83" s="722"/>
      <c r="D83" s="722"/>
      <c r="E83" s="723" t="s">
        <v>329</v>
      </c>
      <c r="F83" s="6"/>
      <c r="G83" s="6"/>
      <c r="H83" s="6"/>
    </row>
    <row r="84" spans="2:8" ht="13.5" thickTop="1">
      <c r="B84" s="714"/>
      <c r="C84" s="721"/>
      <c r="D84" s="714"/>
      <c r="E84" s="724"/>
      <c r="F84" s="6"/>
      <c r="G84" s="6"/>
      <c r="H84" s="6"/>
    </row>
    <row r="85" spans="2:8">
      <c r="B85" s="753" t="s">
        <v>330</v>
      </c>
      <c r="C85" s="754"/>
      <c r="D85" s="754"/>
      <c r="E85" s="755"/>
      <c r="F85" s="6"/>
      <c r="G85" s="6"/>
      <c r="H85" s="6"/>
    </row>
    <row r="86" spans="2:8">
      <c r="B86" s="725" t="s">
        <v>6</v>
      </c>
      <c r="C86" s="726">
        <v>0.63560000000000005</v>
      </c>
      <c r="D86" s="727">
        <v>0.15</v>
      </c>
      <c r="E86" s="727">
        <f>C86*D86</f>
        <v>9.5340000000000008E-2</v>
      </c>
      <c r="F86" s="6"/>
      <c r="G86" s="6"/>
      <c r="H86" s="6"/>
    </row>
    <row r="87" spans="2:8">
      <c r="B87" s="725" t="s">
        <v>256</v>
      </c>
      <c r="C87" s="726">
        <v>0.1042</v>
      </c>
      <c r="D87" s="727">
        <v>0.4</v>
      </c>
      <c r="E87" s="727">
        <f t="shared" ref="E87:E94" si="8">C87*D87</f>
        <v>4.1680000000000002E-2</v>
      </c>
      <c r="F87" s="6"/>
      <c r="G87" s="6"/>
      <c r="H87" s="6"/>
    </row>
    <row r="88" spans="2:8">
      <c r="B88" s="725" t="s">
        <v>2</v>
      </c>
      <c r="C88" s="726">
        <v>0</v>
      </c>
      <c r="D88" s="727">
        <v>0.43</v>
      </c>
      <c r="E88" s="727">
        <f t="shared" si="8"/>
        <v>0</v>
      </c>
      <c r="F88" s="6"/>
      <c r="G88" s="6"/>
      <c r="H88" s="6"/>
    </row>
    <row r="89" spans="2:8">
      <c r="B89" s="725" t="s">
        <v>16</v>
      </c>
      <c r="C89" s="726">
        <v>0</v>
      </c>
      <c r="D89" s="727">
        <v>0.24</v>
      </c>
      <c r="E89" s="727">
        <f t="shared" si="8"/>
        <v>0</v>
      </c>
      <c r="F89" s="6"/>
      <c r="G89" s="6"/>
      <c r="H89" s="6"/>
    </row>
    <row r="90" spans="2:8">
      <c r="B90" s="725" t="s">
        <v>331</v>
      </c>
      <c r="C90" s="726">
        <v>0</v>
      </c>
      <c r="D90" s="727">
        <v>0.39</v>
      </c>
      <c r="E90" s="727">
        <f t="shared" si="8"/>
        <v>0</v>
      </c>
    </row>
    <row r="91" spans="2:8">
      <c r="B91" s="725" t="s">
        <v>332</v>
      </c>
      <c r="C91" s="726">
        <v>1.4500000000000001E-2</v>
      </c>
      <c r="D91" s="727">
        <v>0</v>
      </c>
      <c r="E91" s="727">
        <f t="shared" si="8"/>
        <v>0</v>
      </c>
    </row>
    <row r="92" spans="2:8">
      <c r="B92" s="725" t="s">
        <v>231</v>
      </c>
      <c r="C92" s="726">
        <v>9.7600000000000006E-2</v>
      </c>
      <c r="D92" s="727">
        <v>0</v>
      </c>
      <c r="E92" s="727">
        <f t="shared" si="8"/>
        <v>0</v>
      </c>
    </row>
    <row r="93" spans="2:8">
      <c r="B93" s="725" t="s">
        <v>232</v>
      </c>
      <c r="C93" s="726">
        <v>1.7000000000000001E-2</v>
      </c>
      <c r="D93" s="727">
        <v>0</v>
      </c>
      <c r="E93" s="727">
        <f t="shared" si="8"/>
        <v>0</v>
      </c>
    </row>
    <row r="94" spans="2:8">
      <c r="B94" s="725" t="s">
        <v>233</v>
      </c>
      <c r="C94" s="726">
        <f>(0.95+12.16)/100</f>
        <v>0.13109999999999999</v>
      </c>
      <c r="D94" s="727">
        <v>0</v>
      </c>
      <c r="E94" s="727">
        <f t="shared" si="8"/>
        <v>0</v>
      </c>
    </row>
    <row r="95" spans="2:8">
      <c r="B95" s="756" t="s">
        <v>333</v>
      </c>
      <c r="C95" s="756"/>
      <c r="D95" s="756"/>
      <c r="E95" s="728">
        <f>SUM(E86:E94)</f>
        <v>0.13702</v>
      </c>
    </row>
    <row r="96" spans="2:8">
      <c r="B96" s="753" t="s">
        <v>334</v>
      </c>
      <c r="C96" s="754"/>
      <c r="D96" s="754"/>
      <c r="E96" s="755"/>
    </row>
    <row r="97" spans="2:5">
      <c r="B97" s="725" t="s">
        <v>6</v>
      </c>
      <c r="C97" s="726">
        <f>79.37/100</f>
        <v>0.79370000000000007</v>
      </c>
      <c r="D97" s="727">
        <v>0.15</v>
      </c>
      <c r="E97" s="727">
        <f>C97*D97</f>
        <v>0.11905500000000001</v>
      </c>
    </row>
    <row r="98" spans="2:5">
      <c r="B98" s="725" t="s">
        <v>256</v>
      </c>
      <c r="C98" s="726">
        <f>8.57/100</f>
        <v>8.5699999999999998E-2</v>
      </c>
      <c r="D98" s="727">
        <v>0.4</v>
      </c>
      <c r="E98" s="727">
        <f t="shared" ref="E98:E105" si="9">C98*D98</f>
        <v>3.4279999999999998E-2</v>
      </c>
    </row>
    <row r="99" spans="2:5">
      <c r="B99" s="725" t="s">
        <v>2</v>
      </c>
      <c r="C99" s="726">
        <f>0.75/100</f>
        <v>7.4999999999999997E-3</v>
      </c>
      <c r="D99" s="727">
        <v>0.43</v>
      </c>
      <c r="E99" s="727">
        <f t="shared" si="9"/>
        <v>3.225E-3</v>
      </c>
    </row>
    <row r="100" spans="2:5">
      <c r="B100" s="725" t="s">
        <v>16</v>
      </c>
      <c r="C100" s="726">
        <f>0.79/100</f>
        <v>7.9000000000000008E-3</v>
      </c>
      <c r="D100" s="727">
        <v>0.24</v>
      </c>
      <c r="E100" s="727">
        <f t="shared" si="9"/>
        <v>1.8960000000000001E-3</v>
      </c>
    </row>
    <row r="101" spans="2:5">
      <c r="B101" s="725" t="s">
        <v>331</v>
      </c>
      <c r="C101" s="726">
        <f>0.35/100</f>
        <v>3.4999999999999996E-3</v>
      </c>
      <c r="D101" s="727">
        <v>0.39</v>
      </c>
      <c r="E101" s="727">
        <f t="shared" si="9"/>
        <v>1.3649999999999999E-3</v>
      </c>
    </row>
    <row r="102" spans="2:5">
      <c r="B102" s="725" t="s">
        <v>332</v>
      </c>
      <c r="C102" s="726">
        <f>6.51/100</f>
        <v>6.5099999999999991E-2</v>
      </c>
      <c r="D102" s="727">
        <v>0</v>
      </c>
      <c r="E102" s="727">
        <f t="shared" si="9"/>
        <v>0</v>
      </c>
    </row>
    <row r="103" spans="2:5">
      <c r="B103" s="725" t="s">
        <v>231</v>
      </c>
      <c r="C103" s="726">
        <f>1.45/100</f>
        <v>1.4499999999999999E-2</v>
      </c>
      <c r="D103" s="727">
        <v>0</v>
      </c>
      <c r="E103" s="727">
        <f t="shared" si="9"/>
        <v>0</v>
      </c>
    </row>
    <row r="104" spans="2:5">
      <c r="B104" s="725" t="s">
        <v>232</v>
      </c>
      <c r="C104" s="726">
        <f>1.54/100</f>
        <v>1.54E-2</v>
      </c>
      <c r="D104" s="727">
        <v>0</v>
      </c>
      <c r="E104" s="727">
        <f t="shared" si="9"/>
        <v>0</v>
      </c>
    </row>
    <row r="105" spans="2:5">
      <c r="B105" s="725" t="s">
        <v>233</v>
      </c>
      <c r="C105" s="726">
        <f>0.67/100</f>
        <v>6.7000000000000002E-3</v>
      </c>
      <c r="D105" s="727">
        <v>0</v>
      </c>
      <c r="E105" s="727">
        <f t="shared" si="9"/>
        <v>0</v>
      </c>
    </row>
    <row r="106" spans="2:5">
      <c r="B106" s="756" t="s">
        <v>333</v>
      </c>
      <c r="C106" s="756"/>
      <c r="D106" s="756"/>
      <c r="E106" s="728">
        <f>SUM(E97:E105)</f>
        <v>0.15982100000000002</v>
      </c>
    </row>
    <row r="107" spans="2:5">
      <c r="B107" s="753" t="s">
        <v>335</v>
      </c>
      <c r="C107" s="754"/>
      <c r="D107" s="754"/>
      <c r="E107" s="755"/>
    </row>
    <row r="108" spans="2:5">
      <c r="B108" s="725" t="s">
        <v>6</v>
      </c>
      <c r="C108" s="726">
        <f>(59.47+6.92)/100</f>
        <v>0.66390000000000005</v>
      </c>
      <c r="D108" s="727">
        <v>0.15</v>
      </c>
      <c r="E108" s="727">
        <f>C108*D108</f>
        <v>9.9585000000000007E-2</v>
      </c>
    </row>
    <row r="109" spans="2:5">
      <c r="B109" s="725" t="s">
        <v>256</v>
      </c>
      <c r="C109" s="726">
        <f>12.85/100</f>
        <v>0.1285</v>
      </c>
      <c r="D109" s="727">
        <v>0.4</v>
      </c>
      <c r="E109" s="727">
        <f t="shared" ref="E109:E116" si="10">C109*D109</f>
        <v>5.1400000000000001E-2</v>
      </c>
    </row>
    <row r="110" spans="2:5">
      <c r="B110" s="725" t="s">
        <v>2</v>
      </c>
      <c r="C110" s="726">
        <v>0</v>
      </c>
      <c r="D110" s="727">
        <v>0.43</v>
      </c>
      <c r="E110" s="727">
        <f t="shared" si="10"/>
        <v>0</v>
      </c>
    </row>
    <row r="111" spans="2:5">
      <c r="B111" s="725" t="s">
        <v>16</v>
      </c>
      <c r="C111" s="726">
        <f>0.81/100</f>
        <v>8.1000000000000013E-3</v>
      </c>
      <c r="D111" s="727">
        <v>0.24</v>
      </c>
      <c r="E111" s="727">
        <f t="shared" si="10"/>
        <v>1.9440000000000002E-3</v>
      </c>
    </row>
    <row r="112" spans="2:5">
      <c r="B112" s="725" t="s">
        <v>331</v>
      </c>
      <c r="C112" s="726">
        <v>0</v>
      </c>
      <c r="D112" s="727">
        <v>0.39</v>
      </c>
      <c r="E112" s="727">
        <f t="shared" si="10"/>
        <v>0</v>
      </c>
    </row>
    <row r="113" spans="2:5">
      <c r="B113" s="725" t="s">
        <v>332</v>
      </c>
      <c r="C113" s="726">
        <f>10.71/100</f>
        <v>0.10710000000000001</v>
      </c>
      <c r="D113" s="727">
        <v>0</v>
      </c>
      <c r="E113" s="727">
        <f t="shared" si="10"/>
        <v>0</v>
      </c>
    </row>
    <row r="114" spans="2:5">
      <c r="B114" s="725" t="s">
        <v>231</v>
      </c>
      <c r="C114" s="726">
        <f>1.77/100</f>
        <v>1.77E-2</v>
      </c>
      <c r="D114" s="727">
        <v>0</v>
      </c>
      <c r="E114" s="727">
        <f t="shared" si="10"/>
        <v>0</v>
      </c>
    </row>
    <row r="115" spans="2:5">
      <c r="B115" s="725" t="s">
        <v>232</v>
      </c>
      <c r="C115" s="726">
        <f>1.33/100</f>
        <v>1.3300000000000001E-2</v>
      </c>
      <c r="D115" s="727">
        <v>0</v>
      </c>
      <c r="E115" s="727">
        <f t="shared" si="10"/>
        <v>0</v>
      </c>
    </row>
    <row r="116" spans="2:5">
      <c r="B116" s="725" t="s">
        <v>233</v>
      </c>
      <c r="C116" s="726">
        <f>6.21/100</f>
        <v>6.2100000000000002E-2</v>
      </c>
      <c r="D116" s="727">
        <v>0</v>
      </c>
      <c r="E116" s="727">
        <f t="shared" si="10"/>
        <v>0</v>
      </c>
    </row>
    <row r="117" spans="2:5">
      <c r="B117" s="756" t="s">
        <v>333</v>
      </c>
      <c r="C117" s="756"/>
      <c r="D117" s="756"/>
      <c r="E117" s="728">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309</v>
      </c>
      <c r="C2" s="265"/>
      <c r="D2" s="265"/>
      <c r="E2" s="266"/>
      <c r="F2" s="267"/>
      <c r="G2" s="267"/>
      <c r="H2" s="267"/>
      <c r="I2" s="267"/>
      <c r="J2" s="267"/>
      <c r="K2" s="267"/>
    </row>
    <row r="3" spans="1:23" ht="15">
      <c r="B3" s="292"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Parameters!O26</f>
        <v>0</v>
      </c>
      <c r="O6" s="271"/>
      <c r="P6" s="272"/>
      <c r="Q6" s="263"/>
      <c r="R6" s="135" t="s">
        <v>9</v>
      </c>
      <c r="S6" s="136"/>
      <c r="T6" s="136"/>
      <c r="U6" s="140"/>
      <c r="V6" s="147" t="s">
        <v>9</v>
      </c>
      <c r="W6" s="310">
        <f>Parameters!R26</f>
        <v>0</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6" t="s">
        <v>190</v>
      </c>
      <c r="G9" s="297"/>
      <c r="H9" s="297"/>
      <c r="I9" s="298"/>
      <c r="J9" s="299" t="s">
        <v>189</v>
      </c>
      <c r="K9" s="305" t="e">
        <f>LN(2)/$K$8</f>
        <v>#DIV/0!</v>
      </c>
      <c r="O9" s="73"/>
      <c r="P9" s="73"/>
      <c r="Q9" s="263"/>
      <c r="R9" s="296" t="s">
        <v>190</v>
      </c>
      <c r="S9" s="297"/>
      <c r="T9" s="297"/>
      <c r="U9" s="298"/>
      <c r="V9" s="299" t="s">
        <v>189</v>
      </c>
      <c r="W9" s="305"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Amnt_Deposited!O14</f>
        <v>0</v>
      </c>
      <c r="D19" s="535">
        <f>Dry_Matter_Content!O6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Amnt_Deposited!O14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Amnt_Deposited!O15</f>
        <v>0</v>
      </c>
      <c r="D20" s="537">
        <f>Dry_Matter_Content!O7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Amnt_Deposited!O15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Amnt_Deposited!O16</f>
        <v>0</v>
      </c>
      <c r="D21" s="537">
        <f>Dry_Matter_Content!O8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Amnt_Deposited!O16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Amnt_Deposited!O17</f>
        <v>0</v>
      </c>
      <c r="D22" s="537">
        <f>Dry_Matter_Content!O9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Amnt_Deposited!O17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Amnt_Deposited!O18</f>
        <v>0</v>
      </c>
      <c r="D23" s="537">
        <f>Dry_Matter_Content!O10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Amnt_Deposited!O18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Amnt_Deposited!O19</f>
        <v>0</v>
      </c>
      <c r="D24" s="537">
        <f>Dry_Matter_Content!O11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Amnt_Deposited!O19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Amnt_Deposited!O20</f>
        <v>0</v>
      </c>
      <c r="D25" s="537">
        <f>Dry_Matter_Content!O12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Amnt_Deposited!O20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Amnt_Deposited!O21</f>
        <v>0</v>
      </c>
      <c r="D26" s="537">
        <f>Dry_Matter_Content!O13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Amnt_Deposited!O21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Amnt_Deposited!O22</f>
        <v>0</v>
      </c>
      <c r="D27" s="537">
        <f>Dry_Matter_Content!O14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Amnt_Deposited!O22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Amnt_Deposited!O23</f>
        <v>0</v>
      </c>
      <c r="D28" s="537">
        <f>Dry_Matter_Content!O15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Amnt_Deposited!O23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Amnt_Deposited!O24</f>
        <v>0</v>
      </c>
      <c r="D29" s="537">
        <f>Dry_Matter_Content!O16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Amnt_Deposited!O24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Amnt_Deposited!O25</f>
        <v>0</v>
      </c>
      <c r="D30" s="537">
        <f>Dry_Matter_Content!O17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Amnt_Deposited!O25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Amnt_Deposited!O26</f>
        <v>0</v>
      </c>
      <c r="D31" s="537">
        <f>Dry_Matter_Content!O18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Amnt_Deposited!O26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Amnt_Deposited!O27</f>
        <v>0</v>
      </c>
      <c r="D32" s="537">
        <f>Dry_Matter_Content!O19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Amnt_Deposited!O27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Amnt_Deposited!O28</f>
        <v>0</v>
      </c>
      <c r="D33" s="537">
        <f>Dry_Matter_Content!O20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Amnt_Deposited!O28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Amnt_Deposited!O29</f>
        <v>0</v>
      </c>
      <c r="D34" s="537">
        <f>Dry_Matter_Content!O21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Amnt_Deposited!O29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Amnt_Deposited!O30</f>
        <v>0</v>
      </c>
      <c r="D35" s="537">
        <f>Dry_Matter_Content!O22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Amnt_Deposited!O30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Amnt_Deposited!O31</f>
        <v>0</v>
      </c>
      <c r="D36" s="537">
        <f>Dry_Matter_Content!O23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Amnt_Deposited!O31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Amnt_Deposited!O32</f>
        <v>0</v>
      </c>
      <c r="D37" s="537">
        <f>Dry_Matter_Content!O24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Amnt_Deposited!O32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Amnt_Deposited!O33</f>
        <v>0</v>
      </c>
      <c r="D38" s="537">
        <f>Dry_Matter_Content!O25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Amnt_Deposited!O33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Amnt_Deposited!O34</f>
        <v>0</v>
      </c>
      <c r="D39" s="537">
        <f>Dry_Matter_Content!O26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Amnt_Deposited!O34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Amnt_Deposited!O35</f>
        <v>0</v>
      </c>
      <c r="D40" s="537">
        <f>Dry_Matter_Content!O27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Amnt_Deposited!O35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Amnt_Deposited!O36</f>
        <v>0</v>
      </c>
      <c r="D41" s="537">
        <f>Dry_Matter_Content!O28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Amnt_Deposited!O36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Amnt_Deposited!O37</f>
        <v>0</v>
      </c>
      <c r="D42" s="537">
        <f>Dry_Matter_Content!O29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Amnt_Deposited!O37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Amnt_Deposited!O38</f>
        <v>0</v>
      </c>
      <c r="D43" s="537">
        <f>Dry_Matter_Content!O30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Amnt_Deposited!O38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Amnt_Deposited!O39</f>
        <v>0</v>
      </c>
      <c r="D44" s="537">
        <f>Dry_Matter_Content!O31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Amnt_Deposited!O39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Amnt_Deposited!O40</f>
        <v>0</v>
      </c>
      <c r="D45" s="537">
        <f>Dry_Matter_Content!O32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Amnt_Deposited!O40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Amnt_Deposited!O41</f>
        <v>0</v>
      </c>
      <c r="D46" s="537">
        <f>Dry_Matter_Content!O33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Amnt_Deposited!O41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Amnt_Deposited!O42</f>
        <v>0</v>
      </c>
      <c r="D47" s="537">
        <f>Dry_Matter_Content!O34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Amnt_Deposited!O42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Amnt_Deposited!O43</f>
        <v>0</v>
      </c>
      <c r="D48" s="537">
        <f>Dry_Matter_Content!O35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Amnt_Deposited!O43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Amnt_Deposited!O44</f>
        <v>0</v>
      </c>
      <c r="D49" s="537">
        <f>Dry_Matter_Content!O36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Amnt_Deposited!O44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Amnt_Deposited!O45</f>
        <v>0</v>
      </c>
      <c r="D50" s="537">
        <f>Dry_Matter_Content!O37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Amnt_Deposited!O45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Amnt_Deposited!O46</f>
        <v>0</v>
      </c>
      <c r="D51" s="537">
        <f>Dry_Matter_Content!O38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Amnt_Deposited!O46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Amnt_Deposited!O47</f>
        <v>0</v>
      </c>
      <c r="D52" s="537">
        <f>Dry_Matter_Content!O39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Amnt_Deposited!O47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Amnt_Deposited!O48</f>
        <v>0</v>
      </c>
      <c r="D53" s="537">
        <f>Dry_Matter_Content!O40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Amnt_Deposited!O48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Amnt_Deposited!O49</f>
        <v>0</v>
      </c>
      <c r="D54" s="537">
        <f>Dry_Matter_Content!O41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Amnt_Deposited!O49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Amnt_Deposited!O50</f>
        <v>0</v>
      </c>
      <c r="D55" s="537">
        <f>Dry_Matter_Content!O42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Amnt_Deposited!O50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Amnt_Deposited!O51</f>
        <v>0</v>
      </c>
      <c r="D56" s="537">
        <f>Dry_Matter_Content!O43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Amnt_Deposited!O51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Amnt_Deposited!O52</f>
        <v>0</v>
      </c>
      <c r="D57" s="537">
        <f>Dry_Matter_Content!O44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Amnt_Deposited!O52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Amnt_Deposited!O53</f>
        <v>0</v>
      </c>
      <c r="D58" s="537">
        <f>Dry_Matter_Content!O45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Amnt_Deposited!O53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Amnt_Deposited!O54</f>
        <v>0</v>
      </c>
      <c r="D59" s="537">
        <f>Dry_Matter_Content!O46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Amnt_Deposited!O54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Amnt_Deposited!O55</f>
        <v>0</v>
      </c>
      <c r="D60" s="537">
        <f>Dry_Matter_Content!O47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Amnt_Deposited!O55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Amnt_Deposited!O56</f>
        <v>0</v>
      </c>
      <c r="D61" s="537">
        <f>Dry_Matter_Content!O48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Amnt_Deposited!O56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Amnt_Deposited!O57</f>
        <v>0</v>
      </c>
      <c r="D62" s="537">
        <f>Dry_Matter_Content!O49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Amnt_Deposited!O57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Amnt_Deposited!O58</f>
        <v>0</v>
      </c>
      <c r="D63" s="537">
        <f>Dry_Matter_Content!O50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Amnt_Deposited!O58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Amnt_Deposited!O59</f>
        <v>0</v>
      </c>
      <c r="D64" s="537">
        <f>Dry_Matter_Content!O51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Amnt_Deposited!O59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Amnt_Deposited!O60</f>
        <v>0</v>
      </c>
      <c r="D65" s="537">
        <f>Dry_Matter_Content!O52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Amnt_Deposited!O60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Amnt_Deposited!O61</f>
        <v>0</v>
      </c>
      <c r="D66" s="537">
        <f>Dry_Matter_Content!O53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Amnt_Deposited!O61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Amnt_Deposited!O62</f>
        <v>0</v>
      </c>
      <c r="D67" s="537">
        <f>Dry_Matter_Content!O54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Amnt_Deposited!O62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Amnt_Deposited!O63</f>
        <v>0</v>
      </c>
      <c r="D68" s="537">
        <f>Dry_Matter_Content!O55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Amnt_Deposited!O63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Amnt_Deposited!O64</f>
        <v>0</v>
      </c>
      <c r="D69" s="537">
        <f>Dry_Matter_Content!O56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Amnt_Deposited!O64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Amnt_Deposited!O65</f>
        <v>0</v>
      </c>
      <c r="D70" s="537">
        <f>Dry_Matter_Content!O57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Amnt_Deposited!O65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Amnt_Deposited!O66</f>
        <v>0</v>
      </c>
      <c r="D71" s="537">
        <f>Dry_Matter_Content!O58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Amnt_Deposited!O66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Amnt_Deposited!O67</f>
        <v>0</v>
      </c>
      <c r="D72" s="537">
        <f>Dry_Matter_Content!O59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Amnt_Deposited!O67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Amnt_Deposited!O68</f>
        <v>0</v>
      </c>
      <c r="D73" s="537">
        <f>Dry_Matter_Content!O60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Amnt_Deposited!O68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Amnt_Deposited!O69</f>
        <v>0</v>
      </c>
      <c r="D74" s="537">
        <f>Dry_Matter_Content!O61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Amnt_Deposited!O69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Amnt_Deposited!O70</f>
        <v>0</v>
      </c>
      <c r="D75" s="537">
        <f>Dry_Matter_Content!O62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Amnt_Deposited!O70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Amnt_Deposited!O71</f>
        <v>0</v>
      </c>
      <c r="D76" s="537">
        <f>Dry_Matter_Content!O63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Amnt_Deposited!O71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Amnt_Deposited!O72</f>
        <v>0</v>
      </c>
      <c r="D77" s="537">
        <f>Dry_Matter_Content!O64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Amnt_Deposited!O72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Amnt_Deposited!O73</f>
        <v>0</v>
      </c>
      <c r="D78" s="537">
        <f>Dry_Matter_Content!O65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Amnt_Deposited!O73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Amnt_Deposited!O74</f>
        <v>0</v>
      </c>
      <c r="D79" s="537">
        <f>Dry_Matter_Content!O66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Amnt_Deposited!O74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Amnt_Deposited!O75</f>
        <v>0</v>
      </c>
      <c r="D80" s="537">
        <f>Dry_Matter_Content!O67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Amnt_Deposited!O75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Amnt_Deposited!O76</f>
        <v>0</v>
      </c>
      <c r="D81" s="537">
        <f>Dry_Matter_Content!O68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Amnt_Deposited!O76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Amnt_Deposited!O77</f>
        <v>0</v>
      </c>
      <c r="D82" s="537">
        <f>Dry_Matter_Content!O69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Amnt_Deposited!O77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Amnt_Deposited!O78</f>
        <v>0</v>
      </c>
      <c r="D83" s="537">
        <f>Dry_Matter_Content!O70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Amnt_Deposited!O78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Amnt_Deposited!O79</f>
        <v>0</v>
      </c>
      <c r="D84" s="537">
        <f>Dry_Matter_Content!O71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Amnt_Deposited!O79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Amnt_Deposited!O80</f>
        <v>0</v>
      </c>
      <c r="D85" s="537">
        <f>Dry_Matter_Content!O72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Amnt_Deposited!O80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Amnt_Deposited!O81</f>
        <v>0</v>
      </c>
      <c r="D86" s="537">
        <f>Dry_Matter_Content!O73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Amnt_Deposited!O81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Amnt_Deposited!O82</f>
        <v>0</v>
      </c>
      <c r="D87" s="537">
        <f>Dry_Matter_Content!O74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Amnt_Deposited!O82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Amnt_Deposited!O83</f>
        <v>0</v>
      </c>
      <c r="D88" s="537">
        <f>Dry_Matter_Content!O75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Amnt_Deposited!O83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Amnt_Deposited!O84</f>
        <v>0</v>
      </c>
      <c r="D89" s="537">
        <f>Dry_Matter_Content!O76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Amnt_Deposited!O84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Amnt_Deposited!O85</f>
        <v>0</v>
      </c>
      <c r="D90" s="537">
        <f>Dry_Matter_Content!O77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Amnt_Deposited!O85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Amnt_Deposited!O86</f>
        <v>0</v>
      </c>
      <c r="D91" s="537">
        <f>Dry_Matter_Content!O78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Amnt_Deposited!O86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Amnt_Deposited!O87</f>
        <v>0</v>
      </c>
      <c r="D92" s="537">
        <f>Dry_Matter_Content!O79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Amnt_Deposited!O87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Amnt_Deposited!O88</f>
        <v>0</v>
      </c>
      <c r="D93" s="537">
        <f>Dry_Matter_Content!O80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Amnt_Deposited!O88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Amnt_Deposited!O89</f>
        <v>0</v>
      </c>
      <c r="D94" s="537">
        <f>Dry_Matter_Content!O81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Amnt_Deposited!O89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Amnt_Deposited!O90</f>
        <v>0</v>
      </c>
      <c r="D95" s="537">
        <f>Dry_Matter_Content!O82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Amnt_Deposited!O90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Amnt_Deposited!O91</f>
        <v>0</v>
      </c>
      <c r="D96" s="537">
        <f>Dry_Matter_Content!O83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Amnt_Deposited!O91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Amnt_Deposited!O92</f>
        <v>0</v>
      </c>
      <c r="D97" s="537">
        <f>Dry_Matter_Content!O84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Amnt_Deposited!O92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Amnt_Deposited!O93</f>
        <v>0</v>
      </c>
      <c r="D98" s="537">
        <f>Dry_Matter_Content!O85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Amnt_Deposited!O93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Amnt_Deposited!O94</f>
        <v>0</v>
      </c>
      <c r="D99" s="538">
        <f>Dry_Matter_Content!O86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Amnt_Deposited!O94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503" customWidth="1"/>
    <col min="14" max="16384" width="8.85546875" style="6"/>
  </cols>
  <sheetData>
    <row r="2" spans="1:23" ht="15.75">
      <c r="B2" s="71" t="s">
        <v>310</v>
      </c>
      <c r="C2" s="265"/>
      <c r="D2" s="265"/>
      <c r="E2" s="266"/>
      <c r="F2" s="267"/>
      <c r="G2" s="267"/>
      <c r="H2" s="267"/>
      <c r="I2" s="267"/>
      <c r="J2" s="267"/>
      <c r="K2" s="267"/>
    </row>
    <row r="3" spans="1:23" ht="15">
      <c r="B3" s="292"/>
      <c r="C3" s="265"/>
      <c r="D3" s="265"/>
      <c r="E3" s="266"/>
      <c r="F3" s="267"/>
      <c r="G3" s="267"/>
      <c r="H3" s="267"/>
      <c r="I3" s="267"/>
      <c r="J3" s="267"/>
      <c r="K3" s="267"/>
    </row>
    <row r="4" spans="1:23" ht="16.5" thickBot="1">
      <c r="B4" s="268"/>
      <c r="C4" s="269"/>
      <c r="D4" s="269"/>
      <c r="E4" s="306"/>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10">
        <f>Parameters!O28</f>
        <v>0</v>
      </c>
      <c r="O6" s="271"/>
      <c r="P6" s="272"/>
      <c r="Q6" s="263"/>
      <c r="R6" s="135" t="s">
        <v>9</v>
      </c>
      <c r="S6" s="136"/>
      <c r="T6" s="136"/>
      <c r="U6" s="140"/>
      <c r="V6" s="147" t="s">
        <v>9</v>
      </c>
      <c r="W6" s="310">
        <f>Parameters!R28</f>
        <v>0.15</v>
      </c>
    </row>
    <row r="7" spans="1:23" ht="13.5" thickBot="1">
      <c r="B7" s="271"/>
      <c r="C7" s="272"/>
      <c r="D7" s="272"/>
      <c r="F7" s="300" t="s">
        <v>12</v>
      </c>
      <c r="G7" s="301"/>
      <c r="H7" s="301"/>
      <c r="I7" s="302"/>
      <c r="J7" s="303" t="s">
        <v>12</v>
      </c>
      <c r="K7" s="304">
        <f>DOCF</f>
        <v>0.5</v>
      </c>
      <c r="O7" s="271"/>
      <c r="P7" s="272"/>
      <c r="Q7" s="263"/>
      <c r="R7" s="300" t="s">
        <v>12</v>
      </c>
      <c r="S7" s="301"/>
      <c r="T7" s="301"/>
      <c r="U7" s="302"/>
      <c r="V7" s="303" t="s">
        <v>12</v>
      </c>
      <c r="W7" s="304">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6" t="s">
        <v>190</v>
      </c>
      <c r="G9" s="297"/>
      <c r="H9" s="297"/>
      <c r="I9" s="298"/>
      <c r="J9" s="299" t="s">
        <v>189</v>
      </c>
      <c r="K9" s="305">
        <f>LN(2)/$K$8</f>
        <v>4.077336356234972</v>
      </c>
      <c r="O9" s="73"/>
      <c r="P9" s="73"/>
      <c r="Q9" s="263"/>
      <c r="R9" s="296" t="s">
        <v>190</v>
      </c>
      <c r="S9" s="297"/>
      <c r="T9" s="297"/>
      <c r="U9" s="298"/>
      <c r="V9" s="299" t="s">
        <v>189</v>
      </c>
      <c r="W9" s="305">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83" t="s">
        <v>239</v>
      </c>
      <c r="E15" s="79" t="s">
        <v>11</v>
      </c>
      <c r="F15" s="80" t="s">
        <v>180</v>
      </c>
      <c r="G15" s="80" t="s">
        <v>181</v>
      </c>
      <c r="H15" s="80" t="s">
        <v>182</v>
      </c>
      <c r="I15" s="80" t="s">
        <v>183</v>
      </c>
      <c r="J15" s="80" t="s">
        <v>184</v>
      </c>
      <c r="K15" s="295" t="s">
        <v>185</v>
      </c>
      <c r="O15" s="77" t="s">
        <v>1</v>
      </c>
      <c r="P15" s="78" t="s">
        <v>10</v>
      </c>
      <c r="Q15" s="79" t="s">
        <v>11</v>
      </c>
      <c r="R15" s="80" t="s">
        <v>180</v>
      </c>
      <c r="S15" s="80" t="s">
        <v>181</v>
      </c>
      <c r="T15" s="80" t="s">
        <v>182</v>
      </c>
      <c r="U15" s="80" t="s">
        <v>183</v>
      </c>
      <c r="V15" s="80" t="s">
        <v>184</v>
      </c>
      <c r="W15" s="295"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2000</v>
      </c>
      <c r="C19" s="125">
        <f>Amnt_Deposited!P14</f>
        <v>0</v>
      </c>
      <c r="D19" s="535">
        <f>Dry_Matter_Content!P6</f>
        <v>0</v>
      </c>
      <c r="E19" s="381">
        <f>MCF!R18</f>
        <v>0.4</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2000</v>
      </c>
      <c r="P19" s="125">
        <f>Amnt_Deposited!P14</f>
        <v>0</v>
      </c>
      <c r="Q19" s="381">
        <f>MCF!R18</f>
        <v>0.4</v>
      </c>
      <c r="R19" s="157">
        <f t="shared" ref="R19:R82" si="5">P19*$W$6*DOCF*Q19</f>
        <v>0</v>
      </c>
      <c r="S19" s="91">
        <f>R19*$W$12</f>
        <v>0</v>
      </c>
      <c r="T19" s="91">
        <f>R19*(1-$W$12)</f>
        <v>0</v>
      </c>
      <c r="U19" s="91">
        <f>S19+U18*$W$10</f>
        <v>0</v>
      </c>
      <c r="V19" s="91">
        <f>U18*(1-$W$10)+T19</f>
        <v>0</v>
      </c>
      <c r="W19" s="92">
        <f>V19*CH4_fraction*conv</f>
        <v>0</v>
      </c>
    </row>
    <row r="20" spans="2:23">
      <c r="B20" s="123">
        <f>Amnt_Deposited!B15</f>
        <v>2001</v>
      </c>
      <c r="C20" s="126">
        <f>Amnt_Deposited!P15</f>
        <v>0</v>
      </c>
      <c r="D20" s="537">
        <f>Dry_Matter_Content!P7</f>
        <v>0</v>
      </c>
      <c r="E20" s="382">
        <f>MCF!R19</f>
        <v>0.4</v>
      </c>
      <c r="F20" s="93">
        <f t="shared" si="0"/>
        <v>0</v>
      </c>
      <c r="G20" s="93">
        <f t="shared" si="1"/>
        <v>0</v>
      </c>
      <c r="H20" s="93">
        <f t="shared" si="2"/>
        <v>0</v>
      </c>
      <c r="I20" s="93">
        <f t="shared" si="3"/>
        <v>0</v>
      </c>
      <c r="J20" s="93">
        <f t="shared" si="4"/>
        <v>0</v>
      </c>
      <c r="K20" s="127">
        <f>J20*CH4_fraction*conv</f>
        <v>0</v>
      </c>
      <c r="M20" s="504"/>
      <c r="O20" s="123">
        <f>Amnt_Deposited!B15</f>
        <v>2001</v>
      </c>
      <c r="P20" s="126">
        <f>Amnt_Deposited!P15</f>
        <v>0</v>
      </c>
      <c r="Q20" s="382">
        <f>MCF!R19</f>
        <v>0.4</v>
      </c>
      <c r="R20" s="93">
        <f t="shared" si="5"/>
        <v>0</v>
      </c>
      <c r="S20" s="93">
        <f>R20*$W$12</f>
        <v>0</v>
      </c>
      <c r="T20" s="93">
        <f>R20*(1-$W$12)</f>
        <v>0</v>
      </c>
      <c r="U20" s="93">
        <f>S20+U19*$W$10</f>
        <v>0</v>
      </c>
      <c r="V20" s="93">
        <f>U19*(1-$W$10)+T20</f>
        <v>0</v>
      </c>
      <c r="W20" s="127">
        <f>V20*CH4_fraction*conv</f>
        <v>0</v>
      </c>
    </row>
    <row r="21" spans="2:23">
      <c r="B21" s="123">
        <f>Amnt_Deposited!B16</f>
        <v>2002</v>
      </c>
      <c r="C21" s="126">
        <f>Amnt_Deposited!P16</f>
        <v>0</v>
      </c>
      <c r="D21" s="537">
        <f>Dry_Matter_Content!P8</f>
        <v>0</v>
      </c>
      <c r="E21" s="382">
        <f>MCF!R20</f>
        <v>0.4</v>
      </c>
      <c r="F21" s="93">
        <f t="shared" si="0"/>
        <v>0</v>
      </c>
      <c r="G21" s="93">
        <f t="shared" si="1"/>
        <v>0</v>
      </c>
      <c r="H21" s="93">
        <f t="shared" si="2"/>
        <v>0</v>
      </c>
      <c r="I21" s="93">
        <f t="shared" si="3"/>
        <v>0</v>
      </c>
      <c r="J21" s="93">
        <f t="shared" si="4"/>
        <v>0</v>
      </c>
      <c r="K21" s="127">
        <f t="shared" ref="K21:K84" si="6">J21*CH4_fraction*conv</f>
        <v>0</v>
      </c>
      <c r="O21" s="123">
        <f>Amnt_Deposited!B16</f>
        <v>2002</v>
      </c>
      <c r="P21" s="126">
        <f>Amnt_Deposited!P16</f>
        <v>0</v>
      </c>
      <c r="Q21" s="382">
        <f>MCF!R20</f>
        <v>0.4</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2003</v>
      </c>
      <c r="C22" s="126">
        <f>Amnt_Deposited!P17</f>
        <v>0</v>
      </c>
      <c r="D22" s="537">
        <f>Dry_Matter_Content!P9</f>
        <v>0</v>
      </c>
      <c r="E22" s="382">
        <f>MCF!R21</f>
        <v>0.4</v>
      </c>
      <c r="F22" s="93">
        <f t="shared" si="0"/>
        <v>0</v>
      </c>
      <c r="G22" s="93">
        <f t="shared" si="1"/>
        <v>0</v>
      </c>
      <c r="H22" s="93">
        <f t="shared" si="2"/>
        <v>0</v>
      </c>
      <c r="I22" s="93">
        <f t="shared" si="3"/>
        <v>0</v>
      </c>
      <c r="J22" s="93">
        <f t="shared" si="4"/>
        <v>0</v>
      </c>
      <c r="K22" s="127">
        <f t="shared" si="6"/>
        <v>0</v>
      </c>
      <c r="N22" s="307"/>
      <c r="O22" s="123">
        <f>Amnt_Deposited!B17</f>
        <v>2003</v>
      </c>
      <c r="P22" s="126">
        <f>Amnt_Deposited!P17</f>
        <v>0</v>
      </c>
      <c r="Q22" s="382">
        <f>MCF!R21</f>
        <v>0.4</v>
      </c>
      <c r="R22" s="93">
        <f t="shared" si="5"/>
        <v>0</v>
      </c>
      <c r="S22" s="93">
        <f t="shared" si="7"/>
        <v>0</v>
      </c>
      <c r="T22" s="93">
        <f t="shared" si="8"/>
        <v>0</v>
      </c>
      <c r="U22" s="93">
        <f t="shared" si="9"/>
        <v>0</v>
      </c>
      <c r="V22" s="93">
        <f t="shared" si="10"/>
        <v>0</v>
      </c>
      <c r="W22" s="127">
        <f t="shared" si="11"/>
        <v>0</v>
      </c>
    </row>
    <row r="23" spans="2:23">
      <c r="B23" s="123">
        <f>Amnt_Deposited!B18</f>
        <v>2004</v>
      </c>
      <c r="C23" s="126">
        <f>Amnt_Deposited!P18</f>
        <v>0</v>
      </c>
      <c r="D23" s="537">
        <f>Dry_Matter_Content!P10</f>
        <v>0</v>
      </c>
      <c r="E23" s="382">
        <f>MCF!R22</f>
        <v>0.4</v>
      </c>
      <c r="F23" s="93">
        <f t="shared" si="0"/>
        <v>0</v>
      </c>
      <c r="G23" s="93">
        <f t="shared" si="1"/>
        <v>0</v>
      </c>
      <c r="H23" s="93">
        <f t="shared" si="2"/>
        <v>0</v>
      </c>
      <c r="I23" s="93">
        <f t="shared" si="3"/>
        <v>0</v>
      </c>
      <c r="J23" s="93">
        <f t="shared" si="4"/>
        <v>0</v>
      </c>
      <c r="K23" s="127">
        <f t="shared" si="6"/>
        <v>0</v>
      </c>
      <c r="N23" s="307"/>
      <c r="O23" s="123">
        <f>Amnt_Deposited!B18</f>
        <v>2004</v>
      </c>
      <c r="P23" s="126">
        <f>Amnt_Deposited!P18</f>
        <v>0</v>
      </c>
      <c r="Q23" s="382">
        <f>MCF!R22</f>
        <v>0.4</v>
      </c>
      <c r="R23" s="93">
        <f t="shared" si="5"/>
        <v>0</v>
      </c>
      <c r="S23" s="93">
        <f t="shared" si="7"/>
        <v>0</v>
      </c>
      <c r="T23" s="93">
        <f t="shared" si="8"/>
        <v>0</v>
      </c>
      <c r="U23" s="93">
        <f t="shared" si="9"/>
        <v>0</v>
      </c>
      <c r="V23" s="93">
        <f t="shared" si="10"/>
        <v>0</v>
      </c>
      <c r="W23" s="127">
        <f t="shared" si="11"/>
        <v>0</v>
      </c>
    </row>
    <row r="24" spans="2:23">
      <c r="B24" s="123">
        <f>Amnt_Deposited!B19</f>
        <v>2005</v>
      </c>
      <c r="C24" s="126">
        <f>Amnt_Deposited!P19</f>
        <v>0</v>
      </c>
      <c r="D24" s="537">
        <f>Dry_Matter_Content!P11</f>
        <v>0</v>
      </c>
      <c r="E24" s="382">
        <f>MCF!R23</f>
        <v>0.4</v>
      </c>
      <c r="F24" s="93">
        <f t="shared" si="0"/>
        <v>0</v>
      </c>
      <c r="G24" s="93">
        <f t="shared" si="1"/>
        <v>0</v>
      </c>
      <c r="H24" s="93">
        <f t="shared" si="2"/>
        <v>0</v>
      </c>
      <c r="I24" s="93">
        <f t="shared" si="3"/>
        <v>0</v>
      </c>
      <c r="J24" s="93">
        <f t="shared" si="4"/>
        <v>0</v>
      </c>
      <c r="K24" s="127">
        <f t="shared" si="6"/>
        <v>0</v>
      </c>
      <c r="N24" s="307"/>
      <c r="O24" s="123">
        <f>Amnt_Deposited!B19</f>
        <v>2005</v>
      </c>
      <c r="P24" s="126">
        <f>Amnt_Deposited!P19</f>
        <v>0</v>
      </c>
      <c r="Q24" s="382">
        <f>MCF!R23</f>
        <v>0.4</v>
      </c>
      <c r="R24" s="93">
        <f t="shared" si="5"/>
        <v>0</v>
      </c>
      <c r="S24" s="93">
        <f t="shared" si="7"/>
        <v>0</v>
      </c>
      <c r="T24" s="93">
        <f t="shared" si="8"/>
        <v>0</v>
      </c>
      <c r="U24" s="93">
        <f t="shared" si="9"/>
        <v>0</v>
      </c>
      <c r="V24" s="93">
        <f t="shared" si="10"/>
        <v>0</v>
      </c>
      <c r="W24" s="127">
        <f t="shared" si="11"/>
        <v>0</v>
      </c>
    </row>
    <row r="25" spans="2:23">
      <c r="B25" s="123">
        <f>Amnt_Deposited!B20</f>
        <v>2006</v>
      </c>
      <c r="C25" s="126">
        <f>Amnt_Deposited!P20</f>
        <v>0</v>
      </c>
      <c r="D25" s="537">
        <f>Dry_Matter_Content!P12</f>
        <v>0</v>
      </c>
      <c r="E25" s="382">
        <f>MCF!R24</f>
        <v>0.4</v>
      </c>
      <c r="F25" s="93">
        <f t="shared" si="0"/>
        <v>0</v>
      </c>
      <c r="G25" s="93">
        <f t="shared" si="1"/>
        <v>0</v>
      </c>
      <c r="H25" s="93">
        <f t="shared" si="2"/>
        <v>0</v>
      </c>
      <c r="I25" s="93">
        <f t="shared" si="3"/>
        <v>0</v>
      </c>
      <c r="J25" s="93">
        <f t="shared" si="4"/>
        <v>0</v>
      </c>
      <c r="K25" s="127">
        <f t="shared" si="6"/>
        <v>0</v>
      </c>
      <c r="N25" s="307"/>
      <c r="O25" s="123">
        <f>Amnt_Deposited!B20</f>
        <v>2006</v>
      </c>
      <c r="P25" s="126">
        <f>Amnt_Deposited!P20</f>
        <v>0</v>
      </c>
      <c r="Q25" s="382">
        <f>MCF!R24</f>
        <v>0.4</v>
      </c>
      <c r="R25" s="93">
        <f t="shared" si="5"/>
        <v>0</v>
      </c>
      <c r="S25" s="93">
        <f t="shared" si="7"/>
        <v>0</v>
      </c>
      <c r="T25" s="93">
        <f t="shared" si="8"/>
        <v>0</v>
      </c>
      <c r="U25" s="93">
        <f t="shared" si="9"/>
        <v>0</v>
      </c>
      <c r="V25" s="93">
        <f t="shared" si="10"/>
        <v>0</v>
      </c>
      <c r="W25" s="127">
        <f t="shared" si="11"/>
        <v>0</v>
      </c>
    </row>
    <row r="26" spans="2:23">
      <c r="B26" s="123">
        <f>Amnt_Deposited!B21</f>
        <v>2007</v>
      </c>
      <c r="C26" s="126">
        <f>Amnt_Deposited!P21</f>
        <v>0</v>
      </c>
      <c r="D26" s="537">
        <f>Dry_Matter_Content!P13</f>
        <v>0</v>
      </c>
      <c r="E26" s="382">
        <f>MCF!R25</f>
        <v>0.4</v>
      </c>
      <c r="F26" s="93">
        <f t="shared" si="0"/>
        <v>0</v>
      </c>
      <c r="G26" s="93">
        <f t="shared" si="1"/>
        <v>0</v>
      </c>
      <c r="H26" s="93">
        <f t="shared" si="2"/>
        <v>0</v>
      </c>
      <c r="I26" s="93">
        <f t="shared" si="3"/>
        <v>0</v>
      </c>
      <c r="J26" s="93">
        <f t="shared" si="4"/>
        <v>0</v>
      </c>
      <c r="K26" s="127">
        <f t="shared" si="6"/>
        <v>0</v>
      </c>
      <c r="N26" s="307"/>
      <c r="O26" s="123">
        <f>Amnt_Deposited!B21</f>
        <v>2007</v>
      </c>
      <c r="P26" s="126">
        <f>Amnt_Deposited!P21</f>
        <v>0</v>
      </c>
      <c r="Q26" s="382">
        <f>MCF!R25</f>
        <v>0.4</v>
      </c>
      <c r="R26" s="93">
        <f t="shared" si="5"/>
        <v>0</v>
      </c>
      <c r="S26" s="93">
        <f t="shared" si="7"/>
        <v>0</v>
      </c>
      <c r="T26" s="93">
        <f t="shared" si="8"/>
        <v>0</v>
      </c>
      <c r="U26" s="93">
        <f t="shared" si="9"/>
        <v>0</v>
      </c>
      <c r="V26" s="93">
        <f t="shared" si="10"/>
        <v>0</v>
      </c>
      <c r="W26" s="127">
        <f t="shared" si="11"/>
        <v>0</v>
      </c>
    </row>
    <row r="27" spans="2:23">
      <c r="B27" s="123">
        <f>Amnt_Deposited!B22</f>
        <v>2008</v>
      </c>
      <c r="C27" s="126">
        <f>Amnt_Deposited!P22</f>
        <v>0</v>
      </c>
      <c r="D27" s="537">
        <f>Dry_Matter_Content!P14</f>
        <v>0</v>
      </c>
      <c r="E27" s="382">
        <f>MCF!R26</f>
        <v>0.4</v>
      </c>
      <c r="F27" s="93">
        <f t="shared" si="0"/>
        <v>0</v>
      </c>
      <c r="G27" s="93">
        <f t="shared" si="1"/>
        <v>0</v>
      </c>
      <c r="H27" s="93">
        <f t="shared" si="2"/>
        <v>0</v>
      </c>
      <c r="I27" s="93">
        <f t="shared" si="3"/>
        <v>0</v>
      </c>
      <c r="J27" s="93">
        <f t="shared" si="4"/>
        <v>0</v>
      </c>
      <c r="K27" s="127">
        <f t="shared" si="6"/>
        <v>0</v>
      </c>
      <c r="N27" s="307"/>
      <c r="O27" s="123">
        <f>Amnt_Deposited!B22</f>
        <v>2008</v>
      </c>
      <c r="P27" s="126">
        <f>Amnt_Deposited!P22</f>
        <v>0</v>
      </c>
      <c r="Q27" s="382">
        <f>MCF!R26</f>
        <v>0.4</v>
      </c>
      <c r="R27" s="93">
        <f t="shared" si="5"/>
        <v>0</v>
      </c>
      <c r="S27" s="93">
        <f t="shared" si="7"/>
        <v>0</v>
      </c>
      <c r="T27" s="93">
        <f t="shared" si="8"/>
        <v>0</v>
      </c>
      <c r="U27" s="93">
        <f t="shared" si="9"/>
        <v>0</v>
      </c>
      <c r="V27" s="93">
        <f t="shared" si="10"/>
        <v>0</v>
      </c>
      <c r="W27" s="127">
        <f t="shared" si="11"/>
        <v>0</v>
      </c>
    </row>
    <row r="28" spans="2:23">
      <c r="B28" s="123">
        <f>Amnt_Deposited!B23</f>
        <v>2009</v>
      </c>
      <c r="C28" s="126">
        <f>Amnt_Deposited!P23</f>
        <v>0</v>
      </c>
      <c r="D28" s="537">
        <f>Dry_Matter_Content!P15</f>
        <v>0</v>
      </c>
      <c r="E28" s="382">
        <f>MCF!R27</f>
        <v>0.4</v>
      </c>
      <c r="F28" s="93">
        <f t="shared" si="0"/>
        <v>0</v>
      </c>
      <c r="G28" s="93">
        <f t="shared" si="1"/>
        <v>0</v>
      </c>
      <c r="H28" s="93">
        <f t="shared" si="2"/>
        <v>0</v>
      </c>
      <c r="I28" s="93">
        <f t="shared" si="3"/>
        <v>0</v>
      </c>
      <c r="J28" s="93">
        <f t="shared" si="4"/>
        <v>0</v>
      </c>
      <c r="K28" s="127">
        <f t="shared" si="6"/>
        <v>0</v>
      </c>
      <c r="N28" s="307"/>
      <c r="O28" s="123">
        <f>Amnt_Deposited!B23</f>
        <v>2009</v>
      </c>
      <c r="P28" s="126">
        <f>Amnt_Deposited!P23</f>
        <v>0</v>
      </c>
      <c r="Q28" s="382">
        <f>MCF!R27</f>
        <v>0.4</v>
      </c>
      <c r="R28" s="93">
        <f t="shared" si="5"/>
        <v>0</v>
      </c>
      <c r="S28" s="93">
        <f t="shared" si="7"/>
        <v>0</v>
      </c>
      <c r="T28" s="93">
        <f t="shared" si="8"/>
        <v>0</v>
      </c>
      <c r="U28" s="93">
        <f t="shared" si="9"/>
        <v>0</v>
      </c>
      <c r="V28" s="93">
        <f t="shared" si="10"/>
        <v>0</v>
      </c>
      <c r="W28" s="127">
        <f t="shared" si="11"/>
        <v>0</v>
      </c>
    </row>
    <row r="29" spans="2:23">
      <c r="B29" s="123">
        <f>Amnt_Deposited!B24</f>
        <v>2010</v>
      </c>
      <c r="C29" s="126">
        <f>Amnt_Deposited!P24</f>
        <v>0</v>
      </c>
      <c r="D29" s="537">
        <f>Dry_Matter_Content!P16</f>
        <v>0</v>
      </c>
      <c r="E29" s="382">
        <f>MCF!R28</f>
        <v>0.4</v>
      </c>
      <c r="F29" s="93">
        <f t="shared" si="0"/>
        <v>0</v>
      </c>
      <c r="G29" s="93">
        <f t="shared" si="1"/>
        <v>0</v>
      </c>
      <c r="H29" s="93">
        <f t="shared" si="2"/>
        <v>0</v>
      </c>
      <c r="I29" s="93">
        <f t="shared" si="3"/>
        <v>0</v>
      </c>
      <c r="J29" s="93">
        <f t="shared" si="4"/>
        <v>0</v>
      </c>
      <c r="K29" s="127">
        <f t="shared" si="6"/>
        <v>0</v>
      </c>
      <c r="O29" s="123">
        <f>Amnt_Deposited!B24</f>
        <v>2010</v>
      </c>
      <c r="P29" s="126">
        <f>Amnt_Deposited!P24</f>
        <v>0</v>
      </c>
      <c r="Q29" s="382">
        <f>MCF!R28</f>
        <v>0.4</v>
      </c>
      <c r="R29" s="93">
        <f t="shared" si="5"/>
        <v>0</v>
      </c>
      <c r="S29" s="93">
        <f t="shared" si="7"/>
        <v>0</v>
      </c>
      <c r="T29" s="93">
        <f t="shared" si="8"/>
        <v>0</v>
      </c>
      <c r="U29" s="93">
        <f t="shared" si="9"/>
        <v>0</v>
      </c>
      <c r="V29" s="93">
        <f t="shared" si="10"/>
        <v>0</v>
      </c>
      <c r="W29" s="127">
        <f t="shared" si="11"/>
        <v>0</v>
      </c>
    </row>
    <row r="30" spans="2:23">
      <c r="B30" s="123">
        <f>Amnt_Deposited!B25</f>
        <v>2011</v>
      </c>
      <c r="C30" s="126">
        <f>Amnt_Deposited!P25</f>
        <v>0</v>
      </c>
      <c r="D30" s="537">
        <f>Dry_Matter_Content!P17</f>
        <v>0</v>
      </c>
      <c r="E30" s="382">
        <f>MCF!R29</f>
        <v>0.4</v>
      </c>
      <c r="F30" s="93">
        <f t="shared" si="0"/>
        <v>0</v>
      </c>
      <c r="G30" s="93">
        <f t="shared" si="1"/>
        <v>0</v>
      </c>
      <c r="H30" s="93">
        <f t="shared" si="2"/>
        <v>0</v>
      </c>
      <c r="I30" s="93">
        <f t="shared" si="3"/>
        <v>0</v>
      </c>
      <c r="J30" s="93">
        <f t="shared" si="4"/>
        <v>0</v>
      </c>
      <c r="K30" s="127">
        <f t="shared" si="6"/>
        <v>0</v>
      </c>
      <c r="O30" s="123">
        <f>Amnt_Deposited!B25</f>
        <v>2011</v>
      </c>
      <c r="P30" s="126">
        <f>Amnt_Deposited!P25</f>
        <v>0</v>
      </c>
      <c r="Q30" s="382">
        <f>MCF!R29</f>
        <v>0.4</v>
      </c>
      <c r="R30" s="93">
        <f t="shared" si="5"/>
        <v>0</v>
      </c>
      <c r="S30" s="93">
        <f t="shared" si="7"/>
        <v>0</v>
      </c>
      <c r="T30" s="93">
        <f t="shared" si="8"/>
        <v>0</v>
      </c>
      <c r="U30" s="93">
        <f t="shared" si="9"/>
        <v>0</v>
      </c>
      <c r="V30" s="93">
        <f t="shared" si="10"/>
        <v>0</v>
      </c>
      <c r="W30" s="127">
        <f t="shared" si="11"/>
        <v>0</v>
      </c>
    </row>
    <row r="31" spans="2:23">
      <c r="B31" s="123">
        <f>Amnt_Deposited!B26</f>
        <v>2012</v>
      </c>
      <c r="C31" s="126">
        <f>Amnt_Deposited!P26</f>
        <v>0</v>
      </c>
      <c r="D31" s="537">
        <f>Dry_Matter_Content!P18</f>
        <v>0</v>
      </c>
      <c r="E31" s="382">
        <f>MCF!R30</f>
        <v>0.4</v>
      </c>
      <c r="F31" s="93">
        <f t="shared" si="0"/>
        <v>0</v>
      </c>
      <c r="G31" s="93">
        <f t="shared" si="1"/>
        <v>0</v>
      </c>
      <c r="H31" s="93">
        <f t="shared" si="2"/>
        <v>0</v>
      </c>
      <c r="I31" s="93">
        <f t="shared" si="3"/>
        <v>0</v>
      </c>
      <c r="J31" s="93">
        <f t="shared" si="4"/>
        <v>0</v>
      </c>
      <c r="K31" s="127">
        <f t="shared" si="6"/>
        <v>0</v>
      </c>
      <c r="O31" s="123">
        <f>Amnt_Deposited!B26</f>
        <v>2012</v>
      </c>
      <c r="P31" s="126">
        <f>Amnt_Deposited!P26</f>
        <v>0</v>
      </c>
      <c r="Q31" s="382">
        <f>MCF!R30</f>
        <v>0.4</v>
      </c>
      <c r="R31" s="93">
        <f t="shared" si="5"/>
        <v>0</v>
      </c>
      <c r="S31" s="93">
        <f t="shared" si="7"/>
        <v>0</v>
      </c>
      <c r="T31" s="93">
        <f t="shared" si="8"/>
        <v>0</v>
      </c>
      <c r="U31" s="93">
        <f t="shared" si="9"/>
        <v>0</v>
      </c>
      <c r="V31" s="93">
        <f t="shared" si="10"/>
        <v>0</v>
      </c>
      <c r="W31" s="127">
        <f t="shared" si="11"/>
        <v>0</v>
      </c>
    </row>
    <row r="32" spans="2:23">
      <c r="B32" s="123">
        <f>Amnt_Deposited!B27</f>
        <v>2013</v>
      </c>
      <c r="C32" s="126">
        <f>Amnt_Deposited!P27</f>
        <v>0</v>
      </c>
      <c r="D32" s="537">
        <f>Dry_Matter_Content!P19</f>
        <v>0</v>
      </c>
      <c r="E32" s="382">
        <f>MCF!R31</f>
        <v>0.4</v>
      </c>
      <c r="F32" s="93">
        <f t="shared" si="0"/>
        <v>0</v>
      </c>
      <c r="G32" s="93">
        <f t="shared" si="1"/>
        <v>0</v>
      </c>
      <c r="H32" s="93">
        <f t="shared" si="2"/>
        <v>0</v>
      </c>
      <c r="I32" s="93">
        <f t="shared" si="3"/>
        <v>0</v>
      </c>
      <c r="J32" s="93">
        <f t="shared" si="4"/>
        <v>0</v>
      </c>
      <c r="K32" s="127">
        <f t="shared" si="6"/>
        <v>0</v>
      </c>
      <c r="O32" s="123">
        <f>Amnt_Deposited!B27</f>
        <v>2013</v>
      </c>
      <c r="P32" s="126">
        <f>Amnt_Deposited!P27</f>
        <v>0</v>
      </c>
      <c r="Q32" s="382">
        <f>MCF!R31</f>
        <v>0.4</v>
      </c>
      <c r="R32" s="93">
        <f t="shared" si="5"/>
        <v>0</v>
      </c>
      <c r="S32" s="93">
        <f t="shared" si="7"/>
        <v>0</v>
      </c>
      <c r="T32" s="93">
        <f t="shared" si="8"/>
        <v>0</v>
      </c>
      <c r="U32" s="93">
        <f t="shared" si="9"/>
        <v>0</v>
      </c>
      <c r="V32" s="93">
        <f t="shared" si="10"/>
        <v>0</v>
      </c>
      <c r="W32" s="127">
        <f t="shared" si="11"/>
        <v>0</v>
      </c>
    </row>
    <row r="33" spans="2:23">
      <c r="B33" s="123">
        <f>Amnt_Deposited!B28</f>
        <v>2014</v>
      </c>
      <c r="C33" s="126">
        <f>Amnt_Deposited!P28</f>
        <v>0</v>
      </c>
      <c r="D33" s="537">
        <f>Dry_Matter_Content!P20</f>
        <v>0</v>
      </c>
      <c r="E33" s="382">
        <f>MCF!R32</f>
        <v>0.4</v>
      </c>
      <c r="F33" s="93">
        <f t="shared" si="0"/>
        <v>0</v>
      </c>
      <c r="G33" s="93">
        <f t="shared" si="1"/>
        <v>0</v>
      </c>
      <c r="H33" s="93">
        <f t="shared" si="2"/>
        <v>0</v>
      </c>
      <c r="I33" s="93">
        <f t="shared" si="3"/>
        <v>0</v>
      </c>
      <c r="J33" s="93">
        <f t="shared" si="4"/>
        <v>0</v>
      </c>
      <c r="K33" s="127">
        <f t="shared" si="6"/>
        <v>0</v>
      </c>
      <c r="O33" s="123">
        <f>Amnt_Deposited!B28</f>
        <v>2014</v>
      </c>
      <c r="P33" s="126">
        <f>Amnt_Deposited!P28</f>
        <v>0</v>
      </c>
      <c r="Q33" s="382">
        <f>MCF!R32</f>
        <v>0.4</v>
      </c>
      <c r="R33" s="93">
        <f t="shared" si="5"/>
        <v>0</v>
      </c>
      <c r="S33" s="93">
        <f t="shared" si="7"/>
        <v>0</v>
      </c>
      <c r="T33" s="93">
        <f t="shared" si="8"/>
        <v>0</v>
      </c>
      <c r="U33" s="93">
        <f t="shared" si="9"/>
        <v>0</v>
      </c>
      <c r="V33" s="93">
        <f t="shared" si="10"/>
        <v>0</v>
      </c>
      <c r="W33" s="127">
        <f t="shared" si="11"/>
        <v>0</v>
      </c>
    </row>
    <row r="34" spans="2:23">
      <c r="B34" s="123">
        <f>Amnt_Deposited!B29</f>
        <v>2015</v>
      </c>
      <c r="C34" s="126">
        <f>Amnt_Deposited!P29</f>
        <v>0</v>
      </c>
      <c r="D34" s="537">
        <f>Dry_Matter_Content!P21</f>
        <v>0</v>
      </c>
      <c r="E34" s="382">
        <f>MCF!R33</f>
        <v>0.4</v>
      </c>
      <c r="F34" s="93">
        <f t="shared" si="0"/>
        <v>0</v>
      </c>
      <c r="G34" s="93">
        <f t="shared" si="1"/>
        <v>0</v>
      </c>
      <c r="H34" s="93">
        <f t="shared" si="2"/>
        <v>0</v>
      </c>
      <c r="I34" s="93">
        <f t="shared" si="3"/>
        <v>0</v>
      </c>
      <c r="J34" s="93">
        <f t="shared" si="4"/>
        <v>0</v>
      </c>
      <c r="K34" s="127">
        <f t="shared" si="6"/>
        <v>0</v>
      </c>
      <c r="O34" s="123">
        <f>Amnt_Deposited!B29</f>
        <v>2015</v>
      </c>
      <c r="P34" s="126">
        <f>Amnt_Deposited!P29</f>
        <v>0</v>
      </c>
      <c r="Q34" s="382">
        <f>MCF!R33</f>
        <v>0.4</v>
      </c>
      <c r="R34" s="93">
        <f t="shared" si="5"/>
        <v>0</v>
      </c>
      <c r="S34" s="93">
        <f t="shared" si="7"/>
        <v>0</v>
      </c>
      <c r="T34" s="93">
        <f t="shared" si="8"/>
        <v>0</v>
      </c>
      <c r="U34" s="93">
        <f t="shared" si="9"/>
        <v>0</v>
      </c>
      <c r="V34" s="93">
        <f t="shared" si="10"/>
        <v>0</v>
      </c>
      <c r="W34" s="127">
        <f t="shared" si="11"/>
        <v>0</v>
      </c>
    </row>
    <row r="35" spans="2:23">
      <c r="B35" s="123">
        <f>Amnt_Deposited!B30</f>
        <v>2016</v>
      </c>
      <c r="C35" s="126">
        <f>Amnt_Deposited!P30</f>
        <v>0</v>
      </c>
      <c r="D35" s="537">
        <f>Dry_Matter_Content!P22</f>
        <v>0</v>
      </c>
      <c r="E35" s="382">
        <f>MCF!R34</f>
        <v>0.4</v>
      </c>
      <c r="F35" s="93">
        <f t="shared" si="0"/>
        <v>0</v>
      </c>
      <c r="G35" s="93">
        <f t="shared" si="1"/>
        <v>0</v>
      </c>
      <c r="H35" s="93">
        <f t="shared" si="2"/>
        <v>0</v>
      </c>
      <c r="I35" s="93">
        <f t="shared" si="3"/>
        <v>0</v>
      </c>
      <c r="J35" s="93">
        <f t="shared" si="4"/>
        <v>0</v>
      </c>
      <c r="K35" s="127">
        <f t="shared" si="6"/>
        <v>0</v>
      </c>
      <c r="O35" s="123">
        <f>Amnt_Deposited!B30</f>
        <v>2016</v>
      </c>
      <c r="P35" s="126">
        <f>Amnt_Deposited!P30</f>
        <v>0</v>
      </c>
      <c r="Q35" s="382">
        <f>MCF!R34</f>
        <v>0.4</v>
      </c>
      <c r="R35" s="93">
        <f t="shared" si="5"/>
        <v>0</v>
      </c>
      <c r="S35" s="93">
        <f t="shared" si="7"/>
        <v>0</v>
      </c>
      <c r="T35" s="93">
        <f t="shared" si="8"/>
        <v>0</v>
      </c>
      <c r="U35" s="93">
        <f t="shared" si="9"/>
        <v>0</v>
      </c>
      <c r="V35" s="93">
        <f t="shared" si="10"/>
        <v>0</v>
      </c>
      <c r="W35" s="127">
        <f t="shared" si="11"/>
        <v>0</v>
      </c>
    </row>
    <row r="36" spans="2:23">
      <c r="B36" s="123">
        <f>Amnt_Deposited!B31</f>
        <v>2017</v>
      </c>
      <c r="C36" s="126">
        <f>Amnt_Deposited!P31</f>
        <v>0</v>
      </c>
      <c r="D36" s="537">
        <f>Dry_Matter_Content!P23</f>
        <v>0</v>
      </c>
      <c r="E36" s="382">
        <f>MCF!R35</f>
        <v>0.4</v>
      </c>
      <c r="F36" s="93">
        <f t="shared" si="0"/>
        <v>0</v>
      </c>
      <c r="G36" s="93">
        <f t="shared" si="1"/>
        <v>0</v>
      </c>
      <c r="H36" s="93">
        <f t="shared" si="2"/>
        <v>0</v>
      </c>
      <c r="I36" s="93">
        <f t="shared" si="3"/>
        <v>0</v>
      </c>
      <c r="J36" s="93">
        <f t="shared" si="4"/>
        <v>0</v>
      </c>
      <c r="K36" s="127">
        <f t="shared" si="6"/>
        <v>0</v>
      </c>
      <c r="O36" s="123">
        <f>Amnt_Deposited!B31</f>
        <v>2017</v>
      </c>
      <c r="P36" s="126">
        <f>Amnt_Deposited!P31</f>
        <v>0</v>
      </c>
      <c r="Q36" s="382">
        <f>MCF!R35</f>
        <v>0.4</v>
      </c>
      <c r="R36" s="93">
        <f t="shared" si="5"/>
        <v>0</v>
      </c>
      <c r="S36" s="93">
        <f t="shared" si="7"/>
        <v>0</v>
      </c>
      <c r="T36" s="93">
        <f t="shared" si="8"/>
        <v>0</v>
      </c>
      <c r="U36" s="93">
        <f t="shared" si="9"/>
        <v>0</v>
      </c>
      <c r="V36" s="93">
        <f t="shared" si="10"/>
        <v>0</v>
      </c>
      <c r="W36" s="127">
        <f t="shared" si="11"/>
        <v>0</v>
      </c>
    </row>
    <row r="37" spans="2:23">
      <c r="B37" s="123">
        <f>Amnt_Deposited!B32</f>
        <v>2018</v>
      </c>
      <c r="C37" s="126">
        <f>Amnt_Deposited!P32</f>
        <v>0</v>
      </c>
      <c r="D37" s="537">
        <f>Dry_Matter_Content!P24</f>
        <v>0</v>
      </c>
      <c r="E37" s="382">
        <f>MCF!R36</f>
        <v>0.4</v>
      </c>
      <c r="F37" s="93">
        <f t="shared" si="0"/>
        <v>0</v>
      </c>
      <c r="G37" s="93">
        <f t="shared" si="1"/>
        <v>0</v>
      </c>
      <c r="H37" s="93">
        <f t="shared" si="2"/>
        <v>0</v>
      </c>
      <c r="I37" s="93">
        <f t="shared" si="3"/>
        <v>0</v>
      </c>
      <c r="J37" s="93">
        <f t="shared" si="4"/>
        <v>0</v>
      </c>
      <c r="K37" s="127">
        <f t="shared" si="6"/>
        <v>0</v>
      </c>
      <c r="O37" s="123">
        <f>Amnt_Deposited!B32</f>
        <v>2018</v>
      </c>
      <c r="P37" s="126">
        <f>Amnt_Deposited!P32</f>
        <v>0</v>
      </c>
      <c r="Q37" s="382">
        <f>MCF!R36</f>
        <v>0.4</v>
      </c>
      <c r="R37" s="93">
        <f t="shared" si="5"/>
        <v>0</v>
      </c>
      <c r="S37" s="93">
        <f t="shared" si="7"/>
        <v>0</v>
      </c>
      <c r="T37" s="93">
        <f t="shared" si="8"/>
        <v>0</v>
      </c>
      <c r="U37" s="93">
        <f t="shared" si="9"/>
        <v>0</v>
      </c>
      <c r="V37" s="93">
        <f t="shared" si="10"/>
        <v>0</v>
      </c>
      <c r="W37" s="127">
        <f t="shared" si="11"/>
        <v>0</v>
      </c>
    </row>
    <row r="38" spans="2:23">
      <c r="B38" s="123">
        <f>Amnt_Deposited!B33</f>
        <v>2019</v>
      </c>
      <c r="C38" s="126">
        <f>Amnt_Deposited!P33</f>
        <v>0</v>
      </c>
      <c r="D38" s="537">
        <f>Dry_Matter_Content!P25</f>
        <v>0</v>
      </c>
      <c r="E38" s="382">
        <f>MCF!R37</f>
        <v>0.4</v>
      </c>
      <c r="F38" s="93">
        <f t="shared" si="0"/>
        <v>0</v>
      </c>
      <c r="G38" s="93">
        <f t="shared" si="1"/>
        <v>0</v>
      </c>
      <c r="H38" s="93">
        <f t="shared" si="2"/>
        <v>0</v>
      </c>
      <c r="I38" s="93">
        <f t="shared" si="3"/>
        <v>0</v>
      </c>
      <c r="J38" s="93">
        <f t="shared" si="4"/>
        <v>0</v>
      </c>
      <c r="K38" s="127">
        <f t="shared" si="6"/>
        <v>0</v>
      </c>
      <c r="O38" s="123">
        <f>Amnt_Deposited!B33</f>
        <v>2019</v>
      </c>
      <c r="P38" s="126">
        <f>Amnt_Deposited!P33</f>
        <v>0</v>
      </c>
      <c r="Q38" s="382">
        <f>MCF!R37</f>
        <v>0.4</v>
      </c>
      <c r="R38" s="93">
        <f t="shared" si="5"/>
        <v>0</v>
      </c>
      <c r="S38" s="93">
        <f t="shared" si="7"/>
        <v>0</v>
      </c>
      <c r="T38" s="93">
        <f t="shared" si="8"/>
        <v>0</v>
      </c>
      <c r="U38" s="93">
        <f t="shared" si="9"/>
        <v>0</v>
      </c>
      <c r="V38" s="93">
        <f t="shared" si="10"/>
        <v>0</v>
      </c>
      <c r="W38" s="127">
        <f t="shared" si="11"/>
        <v>0</v>
      </c>
    </row>
    <row r="39" spans="2:23">
      <c r="B39" s="123">
        <f>Amnt_Deposited!B34</f>
        <v>2020</v>
      </c>
      <c r="C39" s="126">
        <f>Amnt_Deposited!P34</f>
        <v>0</v>
      </c>
      <c r="D39" s="537">
        <f>Dry_Matter_Content!P26</f>
        <v>0</v>
      </c>
      <c r="E39" s="382">
        <f>MCF!R38</f>
        <v>0.4</v>
      </c>
      <c r="F39" s="93">
        <f t="shared" si="0"/>
        <v>0</v>
      </c>
      <c r="G39" s="93">
        <f t="shared" si="1"/>
        <v>0</v>
      </c>
      <c r="H39" s="93">
        <f t="shared" si="2"/>
        <v>0</v>
      </c>
      <c r="I39" s="93">
        <f t="shared" si="3"/>
        <v>0</v>
      </c>
      <c r="J39" s="93">
        <f t="shared" si="4"/>
        <v>0</v>
      </c>
      <c r="K39" s="127">
        <f t="shared" si="6"/>
        <v>0</v>
      </c>
      <c r="O39" s="123">
        <f>Amnt_Deposited!B34</f>
        <v>2020</v>
      </c>
      <c r="P39" s="126">
        <f>Amnt_Deposited!P34</f>
        <v>0</v>
      </c>
      <c r="Q39" s="382">
        <f>MCF!R38</f>
        <v>0.4</v>
      </c>
      <c r="R39" s="93">
        <f t="shared" si="5"/>
        <v>0</v>
      </c>
      <c r="S39" s="93">
        <f t="shared" si="7"/>
        <v>0</v>
      </c>
      <c r="T39" s="93">
        <f t="shared" si="8"/>
        <v>0</v>
      </c>
      <c r="U39" s="93">
        <f t="shared" si="9"/>
        <v>0</v>
      </c>
      <c r="V39" s="93">
        <f t="shared" si="10"/>
        <v>0</v>
      </c>
      <c r="W39" s="127">
        <f t="shared" si="11"/>
        <v>0</v>
      </c>
    </row>
    <row r="40" spans="2:23">
      <c r="B40" s="123">
        <f>Amnt_Deposited!B35</f>
        <v>2021</v>
      </c>
      <c r="C40" s="126">
        <f>Amnt_Deposited!P35</f>
        <v>0</v>
      </c>
      <c r="D40" s="537">
        <f>Dry_Matter_Content!P27</f>
        <v>0</v>
      </c>
      <c r="E40" s="382">
        <f>MCF!R39</f>
        <v>0.4</v>
      </c>
      <c r="F40" s="93">
        <f t="shared" si="0"/>
        <v>0</v>
      </c>
      <c r="G40" s="93">
        <f t="shared" si="1"/>
        <v>0</v>
      </c>
      <c r="H40" s="93">
        <f t="shared" si="2"/>
        <v>0</v>
      </c>
      <c r="I40" s="93">
        <f t="shared" si="3"/>
        <v>0</v>
      </c>
      <c r="J40" s="93">
        <f t="shared" si="4"/>
        <v>0</v>
      </c>
      <c r="K40" s="127">
        <f t="shared" si="6"/>
        <v>0</v>
      </c>
      <c r="O40" s="123">
        <f>Amnt_Deposited!B35</f>
        <v>2021</v>
      </c>
      <c r="P40" s="126">
        <f>Amnt_Deposited!P35</f>
        <v>0</v>
      </c>
      <c r="Q40" s="382">
        <f>MCF!R39</f>
        <v>0.4</v>
      </c>
      <c r="R40" s="93">
        <f t="shared" si="5"/>
        <v>0</v>
      </c>
      <c r="S40" s="93">
        <f t="shared" si="7"/>
        <v>0</v>
      </c>
      <c r="T40" s="93">
        <f t="shared" si="8"/>
        <v>0</v>
      </c>
      <c r="U40" s="93">
        <f t="shared" si="9"/>
        <v>0</v>
      </c>
      <c r="V40" s="93">
        <f t="shared" si="10"/>
        <v>0</v>
      </c>
      <c r="W40" s="127">
        <f t="shared" si="11"/>
        <v>0</v>
      </c>
    </row>
    <row r="41" spans="2:23">
      <c r="B41" s="123">
        <f>Amnt_Deposited!B36</f>
        <v>2022</v>
      </c>
      <c r="C41" s="126">
        <f>Amnt_Deposited!P36</f>
        <v>0</v>
      </c>
      <c r="D41" s="537">
        <f>Dry_Matter_Content!P28</f>
        <v>0</v>
      </c>
      <c r="E41" s="382">
        <f>MCF!R40</f>
        <v>0.4</v>
      </c>
      <c r="F41" s="93">
        <f t="shared" si="0"/>
        <v>0</v>
      </c>
      <c r="G41" s="93">
        <f t="shared" si="1"/>
        <v>0</v>
      </c>
      <c r="H41" s="93">
        <f t="shared" si="2"/>
        <v>0</v>
      </c>
      <c r="I41" s="93">
        <f t="shared" si="3"/>
        <v>0</v>
      </c>
      <c r="J41" s="93">
        <f t="shared" si="4"/>
        <v>0</v>
      </c>
      <c r="K41" s="127">
        <f t="shared" si="6"/>
        <v>0</v>
      </c>
      <c r="O41" s="123">
        <f>Amnt_Deposited!B36</f>
        <v>2022</v>
      </c>
      <c r="P41" s="126">
        <f>Amnt_Deposited!P36</f>
        <v>0</v>
      </c>
      <c r="Q41" s="382">
        <f>MCF!R40</f>
        <v>0.4</v>
      </c>
      <c r="R41" s="93">
        <f t="shared" si="5"/>
        <v>0</v>
      </c>
      <c r="S41" s="93">
        <f t="shared" si="7"/>
        <v>0</v>
      </c>
      <c r="T41" s="93">
        <f t="shared" si="8"/>
        <v>0</v>
      </c>
      <c r="U41" s="93">
        <f t="shared" si="9"/>
        <v>0</v>
      </c>
      <c r="V41" s="93">
        <f t="shared" si="10"/>
        <v>0</v>
      </c>
      <c r="W41" s="127">
        <f t="shared" si="11"/>
        <v>0</v>
      </c>
    </row>
    <row r="42" spans="2:23">
      <c r="B42" s="123">
        <f>Amnt_Deposited!B37</f>
        <v>2023</v>
      </c>
      <c r="C42" s="126">
        <f>Amnt_Deposited!P37</f>
        <v>0</v>
      </c>
      <c r="D42" s="537">
        <f>Dry_Matter_Content!P29</f>
        <v>0</v>
      </c>
      <c r="E42" s="382">
        <f>MCF!R41</f>
        <v>0.4</v>
      </c>
      <c r="F42" s="93">
        <f t="shared" si="0"/>
        <v>0</v>
      </c>
      <c r="G42" s="93">
        <f t="shared" si="1"/>
        <v>0</v>
      </c>
      <c r="H42" s="93">
        <f t="shared" si="2"/>
        <v>0</v>
      </c>
      <c r="I42" s="93">
        <f t="shared" si="3"/>
        <v>0</v>
      </c>
      <c r="J42" s="93">
        <f t="shared" si="4"/>
        <v>0</v>
      </c>
      <c r="K42" s="127">
        <f t="shared" si="6"/>
        <v>0</v>
      </c>
      <c r="O42" s="123">
        <f>Amnt_Deposited!B37</f>
        <v>2023</v>
      </c>
      <c r="P42" s="126">
        <f>Amnt_Deposited!P37</f>
        <v>0</v>
      </c>
      <c r="Q42" s="382">
        <f>MCF!R41</f>
        <v>0.4</v>
      </c>
      <c r="R42" s="93">
        <f t="shared" si="5"/>
        <v>0</v>
      </c>
      <c r="S42" s="93">
        <f t="shared" si="7"/>
        <v>0</v>
      </c>
      <c r="T42" s="93">
        <f t="shared" si="8"/>
        <v>0</v>
      </c>
      <c r="U42" s="93">
        <f t="shared" si="9"/>
        <v>0</v>
      </c>
      <c r="V42" s="93">
        <f t="shared" si="10"/>
        <v>0</v>
      </c>
      <c r="W42" s="127">
        <f t="shared" si="11"/>
        <v>0</v>
      </c>
    </row>
    <row r="43" spans="2:23">
      <c r="B43" s="123">
        <f>Amnt_Deposited!B38</f>
        <v>2024</v>
      </c>
      <c r="C43" s="126">
        <f>Amnt_Deposited!P38</f>
        <v>0</v>
      </c>
      <c r="D43" s="537">
        <f>Dry_Matter_Content!P30</f>
        <v>0</v>
      </c>
      <c r="E43" s="382">
        <f>MCF!R42</f>
        <v>0.4</v>
      </c>
      <c r="F43" s="93">
        <f t="shared" si="0"/>
        <v>0</v>
      </c>
      <c r="G43" s="93">
        <f t="shared" si="1"/>
        <v>0</v>
      </c>
      <c r="H43" s="93">
        <f t="shared" si="2"/>
        <v>0</v>
      </c>
      <c r="I43" s="93">
        <f t="shared" si="3"/>
        <v>0</v>
      </c>
      <c r="J43" s="93">
        <f t="shared" si="4"/>
        <v>0</v>
      </c>
      <c r="K43" s="127">
        <f t="shared" si="6"/>
        <v>0</v>
      </c>
      <c r="O43" s="123">
        <f>Amnt_Deposited!B38</f>
        <v>2024</v>
      </c>
      <c r="P43" s="126">
        <f>Amnt_Deposited!P38</f>
        <v>0</v>
      </c>
      <c r="Q43" s="382">
        <f>MCF!R42</f>
        <v>0.4</v>
      </c>
      <c r="R43" s="93">
        <f t="shared" si="5"/>
        <v>0</v>
      </c>
      <c r="S43" s="93">
        <f t="shared" si="7"/>
        <v>0</v>
      </c>
      <c r="T43" s="93">
        <f t="shared" si="8"/>
        <v>0</v>
      </c>
      <c r="U43" s="93">
        <f t="shared" si="9"/>
        <v>0</v>
      </c>
      <c r="V43" s="93">
        <f t="shared" si="10"/>
        <v>0</v>
      </c>
      <c r="W43" s="127">
        <f t="shared" si="11"/>
        <v>0</v>
      </c>
    </row>
    <row r="44" spans="2:23">
      <c r="B44" s="123">
        <f>Amnt_Deposited!B39</f>
        <v>2025</v>
      </c>
      <c r="C44" s="126">
        <f>Amnt_Deposited!P39</f>
        <v>0</v>
      </c>
      <c r="D44" s="537">
        <f>Dry_Matter_Content!P31</f>
        <v>0</v>
      </c>
      <c r="E44" s="382">
        <f>MCF!R43</f>
        <v>0.4</v>
      </c>
      <c r="F44" s="93">
        <f t="shared" si="0"/>
        <v>0</v>
      </c>
      <c r="G44" s="93">
        <f t="shared" si="1"/>
        <v>0</v>
      </c>
      <c r="H44" s="93">
        <f t="shared" si="2"/>
        <v>0</v>
      </c>
      <c r="I44" s="93">
        <f t="shared" si="3"/>
        <v>0</v>
      </c>
      <c r="J44" s="93">
        <f t="shared" si="4"/>
        <v>0</v>
      </c>
      <c r="K44" s="127">
        <f t="shared" si="6"/>
        <v>0</v>
      </c>
      <c r="O44" s="123">
        <f>Amnt_Deposited!B39</f>
        <v>2025</v>
      </c>
      <c r="P44" s="126">
        <f>Amnt_Deposited!P39</f>
        <v>0</v>
      </c>
      <c r="Q44" s="382">
        <f>MCF!R43</f>
        <v>0.4</v>
      </c>
      <c r="R44" s="93">
        <f t="shared" si="5"/>
        <v>0</v>
      </c>
      <c r="S44" s="93">
        <f t="shared" si="7"/>
        <v>0</v>
      </c>
      <c r="T44" s="93">
        <f t="shared" si="8"/>
        <v>0</v>
      </c>
      <c r="U44" s="93">
        <f t="shared" si="9"/>
        <v>0</v>
      </c>
      <c r="V44" s="93">
        <f t="shared" si="10"/>
        <v>0</v>
      </c>
      <c r="W44" s="127">
        <f t="shared" si="11"/>
        <v>0</v>
      </c>
    </row>
    <row r="45" spans="2:23">
      <c r="B45" s="123">
        <f>Amnt_Deposited!B40</f>
        <v>2026</v>
      </c>
      <c r="C45" s="126">
        <f>Amnt_Deposited!P40</f>
        <v>0</v>
      </c>
      <c r="D45" s="537">
        <f>Dry_Matter_Content!P32</f>
        <v>0</v>
      </c>
      <c r="E45" s="382">
        <f>MCF!R44</f>
        <v>0.4</v>
      </c>
      <c r="F45" s="93">
        <f t="shared" si="0"/>
        <v>0</v>
      </c>
      <c r="G45" s="93">
        <f t="shared" si="1"/>
        <v>0</v>
      </c>
      <c r="H45" s="93">
        <f t="shared" si="2"/>
        <v>0</v>
      </c>
      <c r="I45" s="93">
        <f t="shared" si="3"/>
        <v>0</v>
      </c>
      <c r="J45" s="93">
        <f t="shared" si="4"/>
        <v>0</v>
      </c>
      <c r="K45" s="127">
        <f t="shared" si="6"/>
        <v>0</v>
      </c>
      <c r="O45" s="123">
        <f>Amnt_Deposited!B40</f>
        <v>2026</v>
      </c>
      <c r="P45" s="126">
        <f>Amnt_Deposited!P40</f>
        <v>0</v>
      </c>
      <c r="Q45" s="382">
        <f>MCF!R44</f>
        <v>0.4</v>
      </c>
      <c r="R45" s="93">
        <f t="shared" si="5"/>
        <v>0</v>
      </c>
      <c r="S45" s="93">
        <f t="shared" si="7"/>
        <v>0</v>
      </c>
      <c r="T45" s="93">
        <f t="shared" si="8"/>
        <v>0</v>
      </c>
      <c r="U45" s="93">
        <f t="shared" si="9"/>
        <v>0</v>
      </c>
      <c r="V45" s="93">
        <f t="shared" si="10"/>
        <v>0</v>
      </c>
      <c r="W45" s="127">
        <f t="shared" si="11"/>
        <v>0</v>
      </c>
    </row>
    <row r="46" spans="2:23">
      <c r="B46" s="123">
        <f>Amnt_Deposited!B41</f>
        <v>2027</v>
      </c>
      <c r="C46" s="126">
        <f>Amnt_Deposited!P41</f>
        <v>0</v>
      </c>
      <c r="D46" s="537">
        <f>Dry_Matter_Content!P33</f>
        <v>0</v>
      </c>
      <c r="E46" s="382">
        <f>MCF!R45</f>
        <v>0.4</v>
      </c>
      <c r="F46" s="93">
        <f t="shared" si="0"/>
        <v>0</v>
      </c>
      <c r="G46" s="93">
        <f t="shared" si="1"/>
        <v>0</v>
      </c>
      <c r="H46" s="93">
        <f t="shared" si="2"/>
        <v>0</v>
      </c>
      <c r="I46" s="93">
        <f t="shared" si="3"/>
        <v>0</v>
      </c>
      <c r="J46" s="93">
        <f t="shared" si="4"/>
        <v>0</v>
      </c>
      <c r="K46" s="127">
        <f t="shared" si="6"/>
        <v>0</v>
      </c>
      <c r="O46" s="123">
        <f>Amnt_Deposited!B41</f>
        <v>2027</v>
      </c>
      <c r="P46" s="126">
        <f>Amnt_Deposited!P41</f>
        <v>0</v>
      </c>
      <c r="Q46" s="382">
        <f>MCF!R45</f>
        <v>0.4</v>
      </c>
      <c r="R46" s="93">
        <f t="shared" si="5"/>
        <v>0</v>
      </c>
      <c r="S46" s="93">
        <f t="shared" si="7"/>
        <v>0</v>
      </c>
      <c r="T46" s="93">
        <f t="shared" si="8"/>
        <v>0</v>
      </c>
      <c r="U46" s="93">
        <f t="shared" si="9"/>
        <v>0</v>
      </c>
      <c r="V46" s="93">
        <f t="shared" si="10"/>
        <v>0</v>
      </c>
      <c r="W46" s="127">
        <f t="shared" si="11"/>
        <v>0</v>
      </c>
    </row>
    <row r="47" spans="2:23">
      <c r="B47" s="123">
        <f>Amnt_Deposited!B42</f>
        <v>2028</v>
      </c>
      <c r="C47" s="126">
        <f>Amnt_Deposited!P42</f>
        <v>0</v>
      </c>
      <c r="D47" s="537">
        <f>Dry_Matter_Content!P34</f>
        <v>0</v>
      </c>
      <c r="E47" s="382">
        <f>MCF!R46</f>
        <v>0.4</v>
      </c>
      <c r="F47" s="93">
        <f t="shared" si="0"/>
        <v>0</v>
      </c>
      <c r="G47" s="93">
        <f t="shared" si="1"/>
        <v>0</v>
      </c>
      <c r="H47" s="93">
        <f t="shared" si="2"/>
        <v>0</v>
      </c>
      <c r="I47" s="93">
        <f t="shared" si="3"/>
        <v>0</v>
      </c>
      <c r="J47" s="93">
        <f t="shared" si="4"/>
        <v>0</v>
      </c>
      <c r="K47" s="127">
        <f t="shared" si="6"/>
        <v>0</v>
      </c>
      <c r="O47" s="123">
        <f>Amnt_Deposited!B42</f>
        <v>2028</v>
      </c>
      <c r="P47" s="126">
        <f>Amnt_Deposited!P42</f>
        <v>0</v>
      </c>
      <c r="Q47" s="382">
        <f>MCF!R46</f>
        <v>0.4</v>
      </c>
      <c r="R47" s="93">
        <f t="shared" si="5"/>
        <v>0</v>
      </c>
      <c r="S47" s="93">
        <f t="shared" si="7"/>
        <v>0</v>
      </c>
      <c r="T47" s="93">
        <f t="shared" si="8"/>
        <v>0</v>
      </c>
      <c r="U47" s="93">
        <f t="shared" si="9"/>
        <v>0</v>
      </c>
      <c r="V47" s="93">
        <f t="shared" si="10"/>
        <v>0</v>
      </c>
      <c r="W47" s="127">
        <f t="shared" si="11"/>
        <v>0</v>
      </c>
    </row>
    <row r="48" spans="2:23">
      <c r="B48" s="123">
        <f>Amnt_Deposited!B43</f>
        <v>2029</v>
      </c>
      <c r="C48" s="126">
        <f>Amnt_Deposited!P43</f>
        <v>0</v>
      </c>
      <c r="D48" s="537">
        <f>Dry_Matter_Content!P35</f>
        <v>0</v>
      </c>
      <c r="E48" s="382">
        <f>MCF!R47</f>
        <v>0.4</v>
      </c>
      <c r="F48" s="93">
        <f t="shared" si="0"/>
        <v>0</v>
      </c>
      <c r="G48" s="93">
        <f t="shared" si="1"/>
        <v>0</v>
      </c>
      <c r="H48" s="93">
        <f t="shared" si="2"/>
        <v>0</v>
      </c>
      <c r="I48" s="93">
        <f t="shared" si="3"/>
        <v>0</v>
      </c>
      <c r="J48" s="93">
        <f t="shared" si="4"/>
        <v>0</v>
      </c>
      <c r="K48" s="127">
        <f t="shared" si="6"/>
        <v>0</v>
      </c>
      <c r="O48" s="123">
        <f>Amnt_Deposited!B43</f>
        <v>2029</v>
      </c>
      <c r="P48" s="126">
        <f>Amnt_Deposited!P43</f>
        <v>0</v>
      </c>
      <c r="Q48" s="382">
        <f>MCF!R47</f>
        <v>0.4</v>
      </c>
      <c r="R48" s="93">
        <f t="shared" si="5"/>
        <v>0</v>
      </c>
      <c r="S48" s="93">
        <f t="shared" si="7"/>
        <v>0</v>
      </c>
      <c r="T48" s="93">
        <f t="shared" si="8"/>
        <v>0</v>
      </c>
      <c r="U48" s="93">
        <f t="shared" si="9"/>
        <v>0</v>
      </c>
      <c r="V48" s="93">
        <f t="shared" si="10"/>
        <v>0</v>
      </c>
      <c r="W48" s="127">
        <f t="shared" si="11"/>
        <v>0</v>
      </c>
    </row>
    <row r="49" spans="2:23">
      <c r="B49" s="123">
        <f>Amnt_Deposited!B44</f>
        <v>2030</v>
      </c>
      <c r="C49" s="126">
        <f>Amnt_Deposited!P44</f>
        <v>0</v>
      </c>
      <c r="D49" s="537">
        <f>Dry_Matter_Content!P36</f>
        <v>0</v>
      </c>
      <c r="E49" s="382">
        <f>MCF!R48</f>
        <v>0.4</v>
      </c>
      <c r="F49" s="93">
        <f t="shared" si="0"/>
        <v>0</v>
      </c>
      <c r="G49" s="93">
        <f t="shared" si="1"/>
        <v>0</v>
      </c>
      <c r="H49" s="93">
        <f t="shared" si="2"/>
        <v>0</v>
      </c>
      <c r="I49" s="93">
        <f t="shared" si="3"/>
        <v>0</v>
      </c>
      <c r="J49" s="93">
        <f t="shared" si="4"/>
        <v>0</v>
      </c>
      <c r="K49" s="127">
        <f t="shared" si="6"/>
        <v>0</v>
      </c>
      <c r="O49" s="123">
        <f>Amnt_Deposited!B44</f>
        <v>2030</v>
      </c>
      <c r="P49" s="126">
        <f>Amnt_Deposited!P44</f>
        <v>0</v>
      </c>
      <c r="Q49" s="382">
        <f>MCF!R48</f>
        <v>0.4</v>
      </c>
      <c r="R49" s="93">
        <f t="shared" si="5"/>
        <v>0</v>
      </c>
      <c r="S49" s="93">
        <f t="shared" si="7"/>
        <v>0</v>
      </c>
      <c r="T49" s="93">
        <f t="shared" si="8"/>
        <v>0</v>
      </c>
      <c r="U49" s="93">
        <f t="shared" si="9"/>
        <v>0</v>
      </c>
      <c r="V49" s="93">
        <f t="shared" si="10"/>
        <v>0</v>
      </c>
      <c r="W49" s="127">
        <f t="shared" si="11"/>
        <v>0</v>
      </c>
    </row>
    <row r="50" spans="2:23">
      <c r="B50" s="123">
        <f>Amnt_Deposited!B45</f>
        <v>2031</v>
      </c>
      <c r="C50" s="126">
        <f>Amnt_Deposited!P45</f>
        <v>0</v>
      </c>
      <c r="D50" s="537">
        <f>Dry_Matter_Content!P37</f>
        <v>0</v>
      </c>
      <c r="E50" s="382">
        <f>MCF!R49</f>
        <v>0.4</v>
      </c>
      <c r="F50" s="93">
        <f t="shared" si="0"/>
        <v>0</v>
      </c>
      <c r="G50" s="93">
        <f t="shared" si="1"/>
        <v>0</v>
      </c>
      <c r="H50" s="93">
        <f t="shared" si="2"/>
        <v>0</v>
      </c>
      <c r="I50" s="93">
        <f t="shared" si="3"/>
        <v>0</v>
      </c>
      <c r="J50" s="93">
        <f t="shared" si="4"/>
        <v>0</v>
      </c>
      <c r="K50" s="127">
        <f t="shared" si="6"/>
        <v>0</v>
      </c>
      <c r="O50" s="123">
        <f>Amnt_Deposited!B45</f>
        <v>2031</v>
      </c>
      <c r="P50" s="126">
        <f>Amnt_Deposited!P45</f>
        <v>0</v>
      </c>
      <c r="Q50" s="382">
        <f>MCF!R49</f>
        <v>0.4</v>
      </c>
      <c r="R50" s="93">
        <f t="shared" si="5"/>
        <v>0</v>
      </c>
      <c r="S50" s="93">
        <f t="shared" si="7"/>
        <v>0</v>
      </c>
      <c r="T50" s="93">
        <f t="shared" si="8"/>
        <v>0</v>
      </c>
      <c r="U50" s="93">
        <f t="shared" si="9"/>
        <v>0</v>
      </c>
      <c r="V50" s="93">
        <f t="shared" si="10"/>
        <v>0</v>
      </c>
      <c r="W50" s="127">
        <f t="shared" si="11"/>
        <v>0</v>
      </c>
    </row>
    <row r="51" spans="2:23">
      <c r="B51" s="123">
        <f>Amnt_Deposited!B46</f>
        <v>2032</v>
      </c>
      <c r="C51" s="126">
        <f>Amnt_Deposited!P46</f>
        <v>0</v>
      </c>
      <c r="D51" s="537">
        <f>Dry_Matter_Content!P38</f>
        <v>0</v>
      </c>
      <c r="E51" s="382">
        <f>MCF!R50</f>
        <v>0.4</v>
      </c>
      <c r="F51" s="93">
        <f t="shared" si="0"/>
        <v>0</v>
      </c>
      <c r="G51" s="93">
        <f t="shared" si="1"/>
        <v>0</v>
      </c>
      <c r="H51" s="93">
        <f t="shared" si="2"/>
        <v>0</v>
      </c>
      <c r="I51" s="93">
        <f t="shared" si="3"/>
        <v>0</v>
      </c>
      <c r="J51" s="93">
        <f t="shared" si="4"/>
        <v>0</v>
      </c>
      <c r="K51" s="127">
        <f t="shared" si="6"/>
        <v>0</v>
      </c>
      <c r="O51" s="123">
        <f>Amnt_Deposited!B46</f>
        <v>2032</v>
      </c>
      <c r="P51" s="126">
        <f>Amnt_Deposited!P46</f>
        <v>0</v>
      </c>
      <c r="Q51" s="382">
        <f>MCF!R50</f>
        <v>0.4</v>
      </c>
      <c r="R51" s="93">
        <f t="shared" si="5"/>
        <v>0</v>
      </c>
      <c r="S51" s="93">
        <f t="shared" si="7"/>
        <v>0</v>
      </c>
      <c r="T51" s="93">
        <f t="shared" si="8"/>
        <v>0</v>
      </c>
      <c r="U51" s="93">
        <f t="shared" si="9"/>
        <v>0</v>
      </c>
      <c r="V51" s="93">
        <f t="shared" si="10"/>
        <v>0</v>
      </c>
      <c r="W51" s="127">
        <f t="shared" si="11"/>
        <v>0</v>
      </c>
    </row>
    <row r="52" spans="2:23">
      <c r="B52" s="123">
        <f>Amnt_Deposited!B47</f>
        <v>2033</v>
      </c>
      <c r="C52" s="126">
        <f>Amnt_Deposited!P47</f>
        <v>0</v>
      </c>
      <c r="D52" s="537">
        <f>Dry_Matter_Content!P39</f>
        <v>0</v>
      </c>
      <c r="E52" s="382">
        <f>MCF!R51</f>
        <v>0.4</v>
      </c>
      <c r="F52" s="93">
        <f t="shared" si="0"/>
        <v>0</v>
      </c>
      <c r="G52" s="93">
        <f t="shared" si="1"/>
        <v>0</v>
      </c>
      <c r="H52" s="93">
        <f t="shared" si="2"/>
        <v>0</v>
      </c>
      <c r="I52" s="93">
        <f t="shared" si="3"/>
        <v>0</v>
      </c>
      <c r="J52" s="93">
        <f t="shared" si="4"/>
        <v>0</v>
      </c>
      <c r="K52" s="127">
        <f t="shared" si="6"/>
        <v>0</v>
      </c>
      <c r="O52" s="123">
        <f>Amnt_Deposited!B47</f>
        <v>2033</v>
      </c>
      <c r="P52" s="126">
        <f>Amnt_Deposited!P47</f>
        <v>0</v>
      </c>
      <c r="Q52" s="382">
        <f>MCF!R51</f>
        <v>0.4</v>
      </c>
      <c r="R52" s="93">
        <f t="shared" si="5"/>
        <v>0</v>
      </c>
      <c r="S52" s="93">
        <f t="shared" si="7"/>
        <v>0</v>
      </c>
      <c r="T52" s="93">
        <f t="shared" si="8"/>
        <v>0</v>
      </c>
      <c r="U52" s="93">
        <f t="shared" si="9"/>
        <v>0</v>
      </c>
      <c r="V52" s="93">
        <f t="shared" si="10"/>
        <v>0</v>
      </c>
      <c r="W52" s="127">
        <f t="shared" si="11"/>
        <v>0</v>
      </c>
    </row>
    <row r="53" spans="2:23">
      <c r="B53" s="123">
        <f>Amnt_Deposited!B48</f>
        <v>2034</v>
      </c>
      <c r="C53" s="126">
        <f>Amnt_Deposited!P48</f>
        <v>0</v>
      </c>
      <c r="D53" s="537">
        <f>Dry_Matter_Content!P40</f>
        <v>0</v>
      </c>
      <c r="E53" s="382">
        <f>MCF!R52</f>
        <v>0.4</v>
      </c>
      <c r="F53" s="93">
        <f t="shared" si="0"/>
        <v>0</v>
      </c>
      <c r="G53" s="93">
        <f t="shared" si="1"/>
        <v>0</v>
      </c>
      <c r="H53" s="93">
        <f t="shared" si="2"/>
        <v>0</v>
      </c>
      <c r="I53" s="93">
        <f t="shared" si="3"/>
        <v>0</v>
      </c>
      <c r="J53" s="93">
        <f t="shared" si="4"/>
        <v>0</v>
      </c>
      <c r="K53" s="127">
        <f t="shared" si="6"/>
        <v>0</v>
      </c>
      <c r="O53" s="123">
        <f>Amnt_Deposited!B48</f>
        <v>2034</v>
      </c>
      <c r="P53" s="126">
        <f>Amnt_Deposited!P48</f>
        <v>0</v>
      </c>
      <c r="Q53" s="382">
        <f>MCF!R52</f>
        <v>0.4</v>
      </c>
      <c r="R53" s="93">
        <f t="shared" si="5"/>
        <v>0</v>
      </c>
      <c r="S53" s="93">
        <f t="shared" si="7"/>
        <v>0</v>
      </c>
      <c r="T53" s="93">
        <f t="shared" si="8"/>
        <v>0</v>
      </c>
      <c r="U53" s="93">
        <f t="shared" si="9"/>
        <v>0</v>
      </c>
      <c r="V53" s="93">
        <f t="shared" si="10"/>
        <v>0</v>
      </c>
      <c r="W53" s="127">
        <f t="shared" si="11"/>
        <v>0</v>
      </c>
    </row>
    <row r="54" spans="2:23">
      <c r="B54" s="123">
        <f>Amnt_Deposited!B49</f>
        <v>2035</v>
      </c>
      <c r="C54" s="126">
        <f>Amnt_Deposited!P49</f>
        <v>0</v>
      </c>
      <c r="D54" s="537">
        <f>Dry_Matter_Content!P41</f>
        <v>0</v>
      </c>
      <c r="E54" s="382">
        <f>MCF!R53</f>
        <v>0.4</v>
      </c>
      <c r="F54" s="93">
        <f t="shared" si="0"/>
        <v>0</v>
      </c>
      <c r="G54" s="93">
        <f t="shared" si="1"/>
        <v>0</v>
      </c>
      <c r="H54" s="93">
        <f t="shared" si="2"/>
        <v>0</v>
      </c>
      <c r="I54" s="93">
        <f t="shared" si="3"/>
        <v>0</v>
      </c>
      <c r="J54" s="93">
        <f t="shared" si="4"/>
        <v>0</v>
      </c>
      <c r="K54" s="127">
        <f t="shared" si="6"/>
        <v>0</v>
      </c>
      <c r="O54" s="123">
        <f>Amnt_Deposited!B49</f>
        <v>2035</v>
      </c>
      <c r="P54" s="126">
        <f>Amnt_Deposited!P49</f>
        <v>0</v>
      </c>
      <c r="Q54" s="382">
        <f>MCF!R53</f>
        <v>0.4</v>
      </c>
      <c r="R54" s="93">
        <f t="shared" si="5"/>
        <v>0</v>
      </c>
      <c r="S54" s="93">
        <f t="shared" si="7"/>
        <v>0</v>
      </c>
      <c r="T54" s="93">
        <f t="shared" si="8"/>
        <v>0</v>
      </c>
      <c r="U54" s="93">
        <f t="shared" si="9"/>
        <v>0</v>
      </c>
      <c r="V54" s="93">
        <f t="shared" si="10"/>
        <v>0</v>
      </c>
      <c r="W54" s="127">
        <f t="shared" si="11"/>
        <v>0</v>
      </c>
    </row>
    <row r="55" spans="2:23">
      <c r="B55" s="123">
        <f>Amnt_Deposited!B50</f>
        <v>2036</v>
      </c>
      <c r="C55" s="126">
        <f>Amnt_Deposited!P50</f>
        <v>0</v>
      </c>
      <c r="D55" s="537">
        <f>Dry_Matter_Content!P42</f>
        <v>0</v>
      </c>
      <c r="E55" s="382">
        <f>MCF!R54</f>
        <v>0.4</v>
      </c>
      <c r="F55" s="93">
        <f t="shared" si="0"/>
        <v>0</v>
      </c>
      <c r="G55" s="93">
        <f t="shared" si="1"/>
        <v>0</v>
      </c>
      <c r="H55" s="93">
        <f t="shared" si="2"/>
        <v>0</v>
      </c>
      <c r="I55" s="93">
        <f t="shared" si="3"/>
        <v>0</v>
      </c>
      <c r="J55" s="93">
        <f t="shared" si="4"/>
        <v>0</v>
      </c>
      <c r="K55" s="127">
        <f t="shared" si="6"/>
        <v>0</v>
      </c>
      <c r="O55" s="123">
        <f>Amnt_Deposited!B50</f>
        <v>2036</v>
      </c>
      <c r="P55" s="126">
        <f>Amnt_Deposited!P50</f>
        <v>0</v>
      </c>
      <c r="Q55" s="382">
        <f>MCF!R54</f>
        <v>0.4</v>
      </c>
      <c r="R55" s="93">
        <f t="shared" si="5"/>
        <v>0</v>
      </c>
      <c r="S55" s="93">
        <f t="shared" si="7"/>
        <v>0</v>
      </c>
      <c r="T55" s="93">
        <f t="shared" si="8"/>
        <v>0</v>
      </c>
      <c r="U55" s="93">
        <f t="shared" si="9"/>
        <v>0</v>
      </c>
      <c r="V55" s="93">
        <f t="shared" si="10"/>
        <v>0</v>
      </c>
      <c r="W55" s="127">
        <f t="shared" si="11"/>
        <v>0</v>
      </c>
    </row>
    <row r="56" spans="2:23">
      <c r="B56" s="123">
        <f>Amnt_Deposited!B51</f>
        <v>2037</v>
      </c>
      <c r="C56" s="126">
        <f>Amnt_Deposited!P51</f>
        <v>0</v>
      </c>
      <c r="D56" s="537">
        <f>Dry_Matter_Content!P43</f>
        <v>0</v>
      </c>
      <c r="E56" s="382">
        <f>MCF!R55</f>
        <v>0.4</v>
      </c>
      <c r="F56" s="93">
        <f t="shared" si="0"/>
        <v>0</v>
      </c>
      <c r="G56" s="93">
        <f t="shared" si="1"/>
        <v>0</v>
      </c>
      <c r="H56" s="93">
        <f t="shared" si="2"/>
        <v>0</v>
      </c>
      <c r="I56" s="93">
        <f t="shared" si="3"/>
        <v>0</v>
      </c>
      <c r="J56" s="93">
        <f t="shared" si="4"/>
        <v>0</v>
      </c>
      <c r="K56" s="127">
        <f t="shared" si="6"/>
        <v>0</v>
      </c>
      <c r="O56" s="123">
        <f>Amnt_Deposited!B51</f>
        <v>2037</v>
      </c>
      <c r="P56" s="126">
        <f>Amnt_Deposited!P51</f>
        <v>0</v>
      </c>
      <c r="Q56" s="382">
        <f>MCF!R55</f>
        <v>0.4</v>
      </c>
      <c r="R56" s="93">
        <f t="shared" si="5"/>
        <v>0</v>
      </c>
      <c r="S56" s="93">
        <f t="shared" si="7"/>
        <v>0</v>
      </c>
      <c r="T56" s="93">
        <f t="shared" si="8"/>
        <v>0</v>
      </c>
      <c r="U56" s="93">
        <f t="shared" si="9"/>
        <v>0</v>
      </c>
      <c r="V56" s="93">
        <f t="shared" si="10"/>
        <v>0</v>
      </c>
      <c r="W56" s="127">
        <f t="shared" si="11"/>
        <v>0</v>
      </c>
    </row>
    <row r="57" spans="2:23">
      <c r="B57" s="123">
        <f>Amnt_Deposited!B52</f>
        <v>2038</v>
      </c>
      <c r="C57" s="126">
        <f>Amnt_Deposited!P52</f>
        <v>0</v>
      </c>
      <c r="D57" s="537">
        <f>Dry_Matter_Content!P44</f>
        <v>0</v>
      </c>
      <c r="E57" s="382">
        <f>MCF!R56</f>
        <v>0.4</v>
      </c>
      <c r="F57" s="93">
        <f t="shared" si="0"/>
        <v>0</v>
      </c>
      <c r="G57" s="93">
        <f t="shared" si="1"/>
        <v>0</v>
      </c>
      <c r="H57" s="93">
        <f t="shared" si="2"/>
        <v>0</v>
      </c>
      <c r="I57" s="93">
        <f t="shared" si="3"/>
        <v>0</v>
      </c>
      <c r="J57" s="93">
        <f t="shared" si="4"/>
        <v>0</v>
      </c>
      <c r="K57" s="127">
        <f t="shared" si="6"/>
        <v>0</v>
      </c>
      <c r="O57" s="123">
        <f>Amnt_Deposited!B52</f>
        <v>2038</v>
      </c>
      <c r="P57" s="126">
        <f>Amnt_Deposited!P52</f>
        <v>0</v>
      </c>
      <c r="Q57" s="382">
        <f>MCF!R56</f>
        <v>0.4</v>
      </c>
      <c r="R57" s="93">
        <f t="shared" si="5"/>
        <v>0</v>
      </c>
      <c r="S57" s="93">
        <f t="shared" si="7"/>
        <v>0</v>
      </c>
      <c r="T57" s="93">
        <f t="shared" si="8"/>
        <v>0</v>
      </c>
      <c r="U57" s="93">
        <f t="shared" si="9"/>
        <v>0</v>
      </c>
      <c r="V57" s="93">
        <f t="shared" si="10"/>
        <v>0</v>
      </c>
      <c r="W57" s="127">
        <f t="shared" si="11"/>
        <v>0</v>
      </c>
    </row>
    <row r="58" spans="2:23">
      <c r="B58" s="123">
        <f>Amnt_Deposited!B53</f>
        <v>2039</v>
      </c>
      <c r="C58" s="126">
        <f>Amnt_Deposited!P53</f>
        <v>0</v>
      </c>
      <c r="D58" s="537">
        <f>Dry_Matter_Content!P45</f>
        <v>0</v>
      </c>
      <c r="E58" s="382">
        <f>MCF!R57</f>
        <v>0.4</v>
      </c>
      <c r="F58" s="93">
        <f t="shared" si="0"/>
        <v>0</v>
      </c>
      <c r="G58" s="93">
        <f t="shared" si="1"/>
        <v>0</v>
      </c>
      <c r="H58" s="93">
        <f t="shared" si="2"/>
        <v>0</v>
      </c>
      <c r="I58" s="93">
        <f t="shared" si="3"/>
        <v>0</v>
      </c>
      <c r="J58" s="93">
        <f t="shared" si="4"/>
        <v>0</v>
      </c>
      <c r="K58" s="127">
        <f t="shared" si="6"/>
        <v>0</v>
      </c>
      <c r="O58" s="123">
        <f>Amnt_Deposited!B53</f>
        <v>2039</v>
      </c>
      <c r="P58" s="126">
        <f>Amnt_Deposited!P53</f>
        <v>0</v>
      </c>
      <c r="Q58" s="382">
        <f>MCF!R57</f>
        <v>0.4</v>
      </c>
      <c r="R58" s="93">
        <f t="shared" si="5"/>
        <v>0</v>
      </c>
      <c r="S58" s="93">
        <f t="shared" si="7"/>
        <v>0</v>
      </c>
      <c r="T58" s="93">
        <f t="shared" si="8"/>
        <v>0</v>
      </c>
      <c r="U58" s="93">
        <f t="shared" si="9"/>
        <v>0</v>
      </c>
      <c r="V58" s="93">
        <f t="shared" si="10"/>
        <v>0</v>
      </c>
      <c r="W58" s="127">
        <f t="shared" si="11"/>
        <v>0</v>
      </c>
    </row>
    <row r="59" spans="2:23">
      <c r="B59" s="123">
        <f>Amnt_Deposited!B54</f>
        <v>2040</v>
      </c>
      <c r="C59" s="126">
        <f>Amnt_Deposited!P54</f>
        <v>0</v>
      </c>
      <c r="D59" s="537">
        <f>Dry_Matter_Content!P46</f>
        <v>0</v>
      </c>
      <c r="E59" s="382">
        <f>MCF!R58</f>
        <v>0.4</v>
      </c>
      <c r="F59" s="93">
        <f t="shared" si="0"/>
        <v>0</v>
      </c>
      <c r="G59" s="93">
        <f t="shared" si="1"/>
        <v>0</v>
      </c>
      <c r="H59" s="93">
        <f t="shared" si="2"/>
        <v>0</v>
      </c>
      <c r="I59" s="93">
        <f t="shared" si="3"/>
        <v>0</v>
      </c>
      <c r="J59" s="93">
        <f t="shared" si="4"/>
        <v>0</v>
      </c>
      <c r="K59" s="127">
        <f t="shared" si="6"/>
        <v>0</v>
      </c>
      <c r="O59" s="123">
        <f>Amnt_Deposited!B54</f>
        <v>2040</v>
      </c>
      <c r="P59" s="126">
        <f>Amnt_Deposited!P54</f>
        <v>0</v>
      </c>
      <c r="Q59" s="382">
        <f>MCF!R58</f>
        <v>0.4</v>
      </c>
      <c r="R59" s="93">
        <f t="shared" si="5"/>
        <v>0</v>
      </c>
      <c r="S59" s="93">
        <f t="shared" si="7"/>
        <v>0</v>
      </c>
      <c r="T59" s="93">
        <f t="shared" si="8"/>
        <v>0</v>
      </c>
      <c r="U59" s="93">
        <f t="shared" si="9"/>
        <v>0</v>
      </c>
      <c r="V59" s="93">
        <f t="shared" si="10"/>
        <v>0</v>
      </c>
      <c r="W59" s="127">
        <f t="shared" si="11"/>
        <v>0</v>
      </c>
    </row>
    <row r="60" spans="2:23">
      <c r="B60" s="123">
        <f>Amnt_Deposited!B55</f>
        <v>2041</v>
      </c>
      <c r="C60" s="126">
        <f>Amnt_Deposited!P55</f>
        <v>0</v>
      </c>
      <c r="D60" s="537">
        <f>Dry_Matter_Content!P47</f>
        <v>0</v>
      </c>
      <c r="E60" s="382">
        <f>MCF!R59</f>
        <v>0.4</v>
      </c>
      <c r="F60" s="93">
        <f t="shared" si="0"/>
        <v>0</v>
      </c>
      <c r="G60" s="93">
        <f t="shared" si="1"/>
        <v>0</v>
      </c>
      <c r="H60" s="93">
        <f t="shared" si="2"/>
        <v>0</v>
      </c>
      <c r="I60" s="93">
        <f t="shared" si="3"/>
        <v>0</v>
      </c>
      <c r="J60" s="93">
        <f t="shared" si="4"/>
        <v>0</v>
      </c>
      <c r="K60" s="127">
        <f t="shared" si="6"/>
        <v>0</v>
      </c>
      <c r="O60" s="123">
        <f>Amnt_Deposited!B55</f>
        <v>2041</v>
      </c>
      <c r="P60" s="126">
        <f>Amnt_Deposited!P55</f>
        <v>0</v>
      </c>
      <c r="Q60" s="382">
        <f>MCF!R59</f>
        <v>0.4</v>
      </c>
      <c r="R60" s="93">
        <f t="shared" si="5"/>
        <v>0</v>
      </c>
      <c r="S60" s="93">
        <f t="shared" si="7"/>
        <v>0</v>
      </c>
      <c r="T60" s="93">
        <f t="shared" si="8"/>
        <v>0</v>
      </c>
      <c r="U60" s="93">
        <f t="shared" si="9"/>
        <v>0</v>
      </c>
      <c r="V60" s="93">
        <f t="shared" si="10"/>
        <v>0</v>
      </c>
      <c r="W60" s="127">
        <f t="shared" si="11"/>
        <v>0</v>
      </c>
    </row>
    <row r="61" spans="2:23">
      <c r="B61" s="123">
        <f>Amnt_Deposited!B56</f>
        <v>2042</v>
      </c>
      <c r="C61" s="126">
        <f>Amnt_Deposited!P56</f>
        <v>0</v>
      </c>
      <c r="D61" s="537">
        <f>Dry_Matter_Content!P48</f>
        <v>0</v>
      </c>
      <c r="E61" s="382">
        <f>MCF!R60</f>
        <v>0.4</v>
      </c>
      <c r="F61" s="93">
        <f t="shared" si="0"/>
        <v>0</v>
      </c>
      <c r="G61" s="93">
        <f t="shared" si="1"/>
        <v>0</v>
      </c>
      <c r="H61" s="93">
        <f t="shared" si="2"/>
        <v>0</v>
      </c>
      <c r="I61" s="93">
        <f t="shared" si="3"/>
        <v>0</v>
      </c>
      <c r="J61" s="93">
        <f t="shared" si="4"/>
        <v>0</v>
      </c>
      <c r="K61" s="127">
        <f t="shared" si="6"/>
        <v>0</v>
      </c>
      <c r="O61" s="123">
        <f>Amnt_Deposited!B56</f>
        <v>2042</v>
      </c>
      <c r="P61" s="126">
        <f>Amnt_Deposited!P56</f>
        <v>0</v>
      </c>
      <c r="Q61" s="382">
        <f>MCF!R60</f>
        <v>0.4</v>
      </c>
      <c r="R61" s="93">
        <f t="shared" si="5"/>
        <v>0</v>
      </c>
      <c r="S61" s="93">
        <f t="shared" si="7"/>
        <v>0</v>
      </c>
      <c r="T61" s="93">
        <f t="shared" si="8"/>
        <v>0</v>
      </c>
      <c r="U61" s="93">
        <f t="shared" si="9"/>
        <v>0</v>
      </c>
      <c r="V61" s="93">
        <f t="shared" si="10"/>
        <v>0</v>
      </c>
      <c r="W61" s="127">
        <f t="shared" si="11"/>
        <v>0</v>
      </c>
    </row>
    <row r="62" spans="2:23">
      <c r="B62" s="123">
        <f>Amnt_Deposited!B57</f>
        <v>2043</v>
      </c>
      <c r="C62" s="126">
        <f>Amnt_Deposited!P57</f>
        <v>0</v>
      </c>
      <c r="D62" s="537">
        <f>Dry_Matter_Content!P49</f>
        <v>0</v>
      </c>
      <c r="E62" s="382">
        <f>MCF!R61</f>
        <v>0.4</v>
      </c>
      <c r="F62" s="93">
        <f t="shared" si="0"/>
        <v>0</v>
      </c>
      <c r="G62" s="93">
        <f t="shared" si="1"/>
        <v>0</v>
      </c>
      <c r="H62" s="93">
        <f t="shared" si="2"/>
        <v>0</v>
      </c>
      <c r="I62" s="93">
        <f t="shared" si="3"/>
        <v>0</v>
      </c>
      <c r="J62" s="93">
        <f t="shared" si="4"/>
        <v>0</v>
      </c>
      <c r="K62" s="127">
        <f t="shared" si="6"/>
        <v>0</v>
      </c>
      <c r="O62" s="123">
        <f>Amnt_Deposited!B57</f>
        <v>2043</v>
      </c>
      <c r="P62" s="126">
        <f>Amnt_Deposited!P57</f>
        <v>0</v>
      </c>
      <c r="Q62" s="382">
        <f>MCF!R61</f>
        <v>0.4</v>
      </c>
      <c r="R62" s="93">
        <f t="shared" si="5"/>
        <v>0</v>
      </c>
      <c r="S62" s="93">
        <f t="shared" si="7"/>
        <v>0</v>
      </c>
      <c r="T62" s="93">
        <f t="shared" si="8"/>
        <v>0</v>
      </c>
      <c r="U62" s="93">
        <f t="shared" si="9"/>
        <v>0</v>
      </c>
      <c r="V62" s="93">
        <f t="shared" si="10"/>
        <v>0</v>
      </c>
      <c r="W62" s="127">
        <f t="shared" si="11"/>
        <v>0</v>
      </c>
    </row>
    <row r="63" spans="2:23">
      <c r="B63" s="123">
        <f>Amnt_Deposited!B58</f>
        <v>2044</v>
      </c>
      <c r="C63" s="126">
        <f>Amnt_Deposited!P58</f>
        <v>0</v>
      </c>
      <c r="D63" s="537">
        <f>Dry_Matter_Content!P50</f>
        <v>0</v>
      </c>
      <c r="E63" s="382">
        <f>MCF!R62</f>
        <v>0.4</v>
      </c>
      <c r="F63" s="93">
        <f t="shared" si="0"/>
        <v>0</v>
      </c>
      <c r="G63" s="93">
        <f t="shared" si="1"/>
        <v>0</v>
      </c>
      <c r="H63" s="93">
        <f t="shared" si="2"/>
        <v>0</v>
      </c>
      <c r="I63" s="93">
        <f t="shared" si="3"/>
        <v>0</v>
      </c>
      <c r="J63" s="93">
        <f t="shared" si="4"/>
        <v>0</v>
      </c>
      <c r="K63" s="127">
        <f t="shared" si="6"/>
        <v>0</v>
      </c>
      <c r="O63" s="123">
        <f>Amnt_Deposited!B58</f>
        <v>2044</v>
      </c>
      <c r="P63" s="126">
        <f>Amnt_Deposited!P58</f>
        <v>0</v>
      </c>
      <c r="Q63" s="382">
        <f>MCF!R62</f>
        <v>0.4</v>
      </c>
      <c r="R63" s="93">
        <f t="shared" si="5"/>
        <v>0</v>
      </c>
      <c r="S63" s="93">
        <f t="shared" si="7"/>
        <v>0</v>
      </c>
      <c r="T63" s="93">
        <f t="shared" si="8"/>
        <v>0</v>
      </c>
      <c r="U63" s="93">
        <f t="shared" si="9"/>
        <v>0</v>
      </c>
      <c r="V63" s="93">
        <f t="shared" si="10"/>
        <v>0</v>
      </c>
      <c r="W63" s="127">
        <f t="shared" si="11"/>
        <v>0</v>
      </c>
    </row>
    <row r="64" spans="2:23">
      <c r="B64" s="123">
        <f>Amnt_Deposited!B59</f>
        <v>2045</v>
      </c>
      <c r="C64" s="126">
        <f>Amnt_Deposited!P59</f>
        <v>0</v>
      </c>
      <c r="D64" s="537">
        <f>Dry_Matter_Content!P51</f>
        <v>0</v>
      </c>
      <c r="E64" s="382">
        <f>MCF!R63</f>
        <v>0.4</v>
      </c>
      <c r="F64" s="93">
        <f t="shared" si="0"/>
        <v>0</v>
      </c>
      <c r="G64" s="93">
        <f t="shared" si="1"/>
        <v>0</v>
      </c>
      <c r="H64" s="93">
        <f t="shared" si="2"/>
        <v>0</v>
      </c>
      <c r="I64" s="93">
        <f t="shared" si="3"/>
        <v>0</v>
      </c>
      <c r="J64" s="93">
        <f t="shared" si="4"/>
        <v>0</v>
      </c>
      <c r="K64" s="127">
        <f t="shared" si="6"/>
        <v>0</v>
      </c>
      <c r="O64" s="123">
        <f>Amnt_Deposited!B59</f>
        <v>2045</v>
      </c>
      <c r="P64" s="126">
        <f>Amnt_Deposited!P59</f>
        <v>0</v>
      </c>
      <c r="Q64" s="382">
        <f>MCF!R63</f>
        <v>0.4</v>
      </c>
      <c r="R64" s="93">
        <f t="shared" si="5"/>
        <v>0</v>
      </c>
      <c r="S64" s="93">
        <f t="shared" si="7"/>
        <v>0</v>
      </c>
      <c r="T64" s="93">
        <f t="shared" si="8"/>
        <v>0</v>
      </c>
      <c r="U64" s="93">
        <f t="shared" si="9"/>
        <v>0</v>
      </c>
      <c r="V64" s="93">
        <f t="shared" si="10"/>
        <v>0</v>
      </c>
      <c r="W64" s="127">
        <f t="shared" si="11"/>
        <v>0</v>
      </c>
    </row>
    <row r="65" spans="2:23">
      <c r="B65" s="123">
        <f>Amnt_Deposited!B60</f>
        <v>2046</v>
      </c>
      <c r="C65" s="126">
        <f>Amnt_Deposited!P60</f>
        <v>0</v>
      </c>
      <c r="D65" s="537">
        <f>Dry_Matter_Content!P52</f>
        <v>0</v>
      </c>
      <c r="E65" s="382">
        <f>MCF!R64</f>
        <v>0.4</v>
      </c>
      <c r="F65" s="93">
        <f t="shared" si="0"/>
        <v>0</v>
      </c>
      <c r="G65" s="93">
        <f t="shared" si="1"/>
        <v>0</v>
      </c>
      <c r="H65" s="93">
        <f t="shared" si="2"/>
        <v>0</v>
      </c>
      <c r="I65" s="93">
        <f t="shared" si="3"/>
        <v>0</v>
      </c>
      <c r="J65" s="93">
        <f t="shared" si="4"/>
        <v>0</v>
      </c>
      <c r="K65" s="127">
        <f t="shared" si="6"/>
        <v>0</v>
      </c>
      <c r="O65" s="123">
        <f>Amnt_Deposited!B60</f>
        <v>2046</v>
      </c>
      <c r="P65" s="126">
        <f>Amnt_Deposited!P60</f>
        <v>0</v>
      </c>
      <c r="Q65" s="382">
        <f>MCF!R64</f>
        <v>0.4</v>
      </c>
      <c r="R65" s="93">
        <f t="shared" si="5"/>
        <v>0</v>
      </c>
      <c r="S65" s="93">
        <f t="shared" si="7"/>
        <v>0</v>
      </c>
      <c r="T65" s="93">
        <f t="shared" si="8"/>
        <v>0</v>
      </c>
      <c r="U65" s="93">
        <f t="shared" si="9"/>
        <v>0</v>
      </c>
      <c r="V65" s="93">
        <f t="shared" si="10"/>
        <v>0</v>
      </c>
      <c r="W65" s="127">
        <f t="shared" si="11"/>
        <v>0</v>
      </c>
    </row>
    <row r="66" spans="2:23">
      <c r="B66" s="123">
        <f>Amnt_Deposited!B61</f>
        <v>2047</v>
      </c>
      <c r="C66" s="126">
        <f>Amnt_Deposited!P61</f>
        <v>0</v>
      </c>
      <c r="D66" s="537">
        <f>Dry_Matter_Content!P53</f>
        <v>0</v>
      </c>
      <c r="E66" s="382">
        <f>MCF!R65</f>
        <v>0.4</v>
      </c>
      <c r="F66" s="93">
        <f t="shared" si="0"/>
        <v>0</v>
      </c>
      <c r="G66" s="93">
        <f t="shared" si="1"/>
        <v>0</v>
      </c>
      <c r="H66" s="93">
        <f t="shared" si="2"/>
        <v>0</v>
      </c>
      <c r="I66" s="93">
        <f t="shared" si="3"/>
        <v>0</v>
      </c>
      <c r="J66" s="93">
        <f t="shared" si="4"/>
        <v>0</v>
      </c>
      <c r="K66" s="127">
        <f t="shared" si="6"/>
        <v>0</v>
      </c>
      <c r="O66" s="123">
        <f>Amnt_Deposited!B61</f>
        <v>2047</v>
      </c>
      <c r="P66" s="126">
        <f>Amnt_Deposited!P61</f>
        <v>0</v>
      </c>
      <c r="Q66" s="382">
        <f>MCF!R65</f>
        <v>0.4</v>
      </c>
      <c r="R66" s="93">
        <f t="shared" si="5"/>
        <v>0</v>
      </c>
      <c r="S66" s="93">
        <f t="shared" si="7"/>
        <v>0</v>
      </c>
      <c r="T66" s="93">
        <f t="shared" si="8"/>
        <v>0</v>
      </c>
      <c r="U66" s="93">
        <f t="shared" si="9"/>
        <v>0</v>
      </c>
      <c r="V66" s="93">
        <f t="shared" si="10"/>
        <v>0</v>
      </c>
      <c r="W66" s="127">
        <f t="shared" si="11"/>
        <v>0</v>
      </c>
    </row>
    <row r="67" spans="2:23">
      <c r="B67" s="123">
        <f>Amnt_Deposited!B62</f>
        <v>2048</v>
      </c>
      <c r="C67" s="126">
        <f>Amnt_Deposited!P62</f>
        <v>0</v>
      </c>
      <c r="D67" s="537">
        <f>Dry_Matter_Content!P54</f>
        <v>0</v>
      </c>
      <c r="E67" s="382">
        <f>MCF!R66</f>
        <v>0.4</v>
      </c>
      <c r="F67" s="93">
        <f t="shared" si="0"/>
        <v>0</v>
      </c>
      <c r="G67" s="93">
        <f t="shared" si="1"/>
        <v>0</v>
      </c>
      <c r="H67" s="93">
        <f t="shared" si="2"/>
        <v>0</v>
      </c>
      <c r="I67" s="93">
        <f t="shared" si="3"/>
        <v>0</v>
      </c>
      <c r="J67" s="93">
        <f t="shared" si="4"/>
        <v>0</v>
      </c>
      <c r="K67" s="127">
        <f t="shared" si="6"/>
        <v>0</v>
      </c>
      <c r="O67" s="123">
        <f>Amnt_Deposited!B62</f>
        <v>2048</v>
      </c>
      <c r="P67" s="126">
        <f>Amnt_Deposited!P62</f>
        <v>0</v>
      </c>
      <c r="Q67" s="382">
        <f>MCF!R66</f>
        <v>0.4</v>
      </c>
      <c r="R67" s="93">
        <f t="shared" si="5"/>
        <v>0</v>
      </c>
      <c r="S67" s="93">
        <f t="shared" si="7"/>
        <v>0</v>
      </c>
      <c r="T67" s="93">
        <f t="shared" si="8"/>
        <v>0</v>
      </c>
      <c r="U67" s="93">
        <f t="shared" si="9"/>
        <v>0</v>
      </c>
      <c r="V67" s="93">
        <f t="shared" si="10"/>
        <v>0</v>
      </c>
      <c r="W67" s="127">
        <f t="shared" si="11"/>
        <v>0</v>
      </c>
    </row>
    <row r="68" spans="2:23">
      <c r="B68" s="123">
        <f>Amnt_Deposited!B63</f>
        <v>2049</v>
      </c>
      <c r="C68" s="126">
        <f>Amnt_Deposited!P63</f>
        <v>0</v>
      </c>
      <c r="D68" s="537">
        <f>Dry_Matter_Content!P55</f>
        <v>0</v>
      </c>
      <c r="E68" s="382">
        <f>MCF!R67</f>
        <v>0.4</v>
      </c>
      <c r="F68" s="93">
        <f t="shared" si="0"/>
        <v>0</v>
      </c>
      <c r="G68" s="93">
        <f t="shared" si="1"/>
        <v>0</v>
      </c>
      <c r="H68" s="93">
        <f t="shared" si="2"/>
        <v>0</v>
      </c>
      <c r="I68" s="93">
        <f t="shared" si="3"/>
        <v>0</v>
      </c>
      <c r="J68" s="93">
        <f t="shared" si="4"/>
        <v>0</v>
      </c>
      <c r="K68" s="127">
        <f t="shared" si="6"/>
        <v>0</v>
      </c>
      <c r="O68" s="123">
        <f>Amnt_Deposited!B63</f>
        <v>2049</v>
      </c>
      <c r="P68" s="126">
        <f>Amnt_Deposited!P63</f>
        <v>0</v>
      </c>
      <c r="Q68" s="382">
        <f>MCF!R67</f>
        <v>0.4</v>
      </c>
      <c r="R68" s="93">
        <f t="shared" si="5"/>
        <v>0</v>
      </c>
      <c r="S68" s="93">
        <f t="shared" si="7"/>
        <v>0</v>
      </c>
      <c r="T68" s="93">
        <f t="shared" si="8"/>
        <v>0</v>
      </c>
      <c r="U68" s="93">
        <f t="shared" si="9"/>
        <v>0</v>
      </c>
      <c r="V68" s="93">
        <f t="shared" si="10"/>
        <v>0</v>
      </c>
      <c r="W68" s="127">
        <f t="shared" si="11"/>
        <v>0</v>
      </c>
    </row>
    <row r="69" spans="2:23">
      <c r="B69" s="123">
        <f>Amnt_Deposited!B64</f>
        <v>2050</v>
      </c>
      <c r="C69" s="126">
        <f>Amnt_Deposited!P64</f>
        <v>0</v>
      </c>
      <c r="D69" s="537">
        <f>Dry_Matter_Content!P56</f>
        <v>0</v>
      </c>
      <c r="E69" s="382">
        <f>MCF!R68</f>
        <v>0.4</v>
      </c>
      <c r="F69" s="93">
        <f t="shared" si="0"/>
        <v>0</v>
      </c>
      <c r="G69" s="93">
        <f t="shared" si="1"/>
        <v>0</v>
      </c>
      <c r="H69" s="93">
        <f t="shared" si="2"/>
        <v>0</v>
      </c>
      <c r="I69" s="93">
        <f t="shared" si="3"/>
        <v>0</v>
      </c>
      <c r="J69" s="93">
        <f t="shared" si="4"/>
        <v>0</v>
      </c>
      <c r="K69" s="127">
        <f t="shared" si="6"/>
        <v>0</v>
      </c>
      <c r="O69" s="123">
        <f>Amnt_Deposited!B64</f>
        <v>2050</v>
      </c>
      <c r="P69" s="126">
        <f>Amnt_Deposited!P64</f>
        <v>0</v>
      </c>
      <c r="Q69" s="382">
        <f>MCF!R68</f>
        <v>0.4</v>
      </c>
      <c r="R69" s="93">
        <f t="shared" si="5"/>
        <v>0</v>
      </c>
      <c r="S69" s="93">
        <f t="shared" si="7"/>
        <v>0</v>
      </c>
      <c r="T69" s="93">
        <f t="shared" si="8"/>
        <v>0</v>
      </c>
      <c r="U69" s="93">
        <f t="shared" si="9"/>
        <v>0</v>
      </c>
      <c r="V69" s="93">
        <f t="shared" si="10"/>
        <v>0</v>
      </c>
      <c r="W69" s="127">
        <f t="shared" si="11"/>
        <v>0</v>
      </c>
    </row>
    <row r="70" spans="2:23">
      <c r="B70" s="123">
        <f>Amnt_Deposited!B65</f>
        <v>2051</v>
      </c>
      <c r="C70" s="126">
        <f>Amnt_Deposited!P65</f>
        <v>0</v>
      </c>
      <c r="D70" s="537">
        <f>Dry_Matter_Content!P57</f>
        <v>0</v>
      </c>
      <c r="E70" s="382">
        <f>MCF!R69</f>
        <v>0.4</v>
      </c>
      <c r="F70" s="93">
        <f t="shared" si="0"/>
        <v>0</v>
      </c>
      <c r="G70" s="93">
        <f t="shared" si="1"/>
        <v>0</v>
      </c>
      <c r="H70" s="93">
        <f t="shared" si="2"/>
        <v>0</v>
      </c>
      <c r="I70" s="93">
        <f t="shared" si="3"/>
        <v>0</v>
      </c>
      <c r="J70" s="93">
        <f t="shared" si="4"/>
        <v>0</v>
      </c>
      <c r="K70" s="127">
        <f t="shared" si="6"/>
        <v>0</v>
      </c>
      <c r="O70" s="123">
        <f>Amnt_Deposited!B65</f>
        <v>2051</v>
      </c>
      <c r="P70" s="126">
        <f>Amnt_Deposited!P65</f>
        <v>0</v>
      </c>
      <c r="Q70" s="382">
        <f>MCF!R69</f>
        <v>0.4</v>
      </c>
      <c r="R70" s="93">
        <f t="shared" si="5"/>
        <v>0</v>
      </c>
      <c r="S70" s="93">
        <f t="shared" si="7"/>
        <v>0</v>
      </c>
      <c r="T70" s="93">
        <f t="shared" si="8"/>
        <v>0</v>
      </c>
      <c r="U70" s="93">
        <f t="shared" si="9"/>
        <v>0</v>
      </c>
      <c r="V70" s="93">
        <f t="shared" si="10"/>
        <v>0</v>
      </c>
      <c r="W70" s="127">
        <f t="shared" si="11"/>
        <v>0</v>
      </c>
    </row>
    <row r="71" spans="2:23">
      <c r="B71" s="123">
        <f>Amnt_Deposited!B66</f>
        <v>2052</v>
      </c>
      <c r="C71" s="126">
        <f>Amnt_Deposited!P66</f>
        <v>0</v>
      </c>
      <c r="D71" s="537">
        <f>Dry_Matter_Content!P58</f>
        <v>0</v>
      </c>
      <c r="E71" s="382">
        <f>MCF!R70</f>
        <v>0.4</v>
      </c>
      <c r="F71" s="93">
        <f t="shared" si="0"/>
        <v>0</v>
      </c>
      <c r="G71" s="93">
        <f t="shared" si="1"/>
        <v>0</v>
      </c>
      <c r="H71" s="93">
        <f t="shared" si="2"/>
        <v>0</v>
      </c>
      <c r="I71" s="93">
        <f t="shared" si="3"/>
        <v>0</v>
      </c>
      <c r="J71" s="93">
        <f t="shared" si="4"/>
        <v>0</v>
      </c>
      <c r="K71" s="127">
        <f t="shared" si="6"/>
        <v>0</v>
      </c>
      <c r="O71" s="123">
        <f>Amnt_Deposited!B66</f>
        <v>2052</v>
      </c>
      <c r="P71" s="126">
        <f>Amnt_Deposited!P66</f>
        <v>0</v>
      </c>
      <c r="Q71" s="382">
        <f>MCF!R70</f>
        <v>0.4</v>
      </c>
      <c r="R71" s="93">
        <f t="shared" si="5"/>
        <v>0</v>
      </c>
      <c r="S71" s="93">
        <f t="shared" si="7"/>
        <v>0</v>
      </c>
      <c r="T71" s="93">
        <f t="shared" si="8"/>
        <v>0</v>
      </c>
      <c r="U71" s="93">
        <f t="shared" si="9"/>
        <v>0</v>
      </c>
      <c r="V71" s="93">
        <f t="shared" si="10"/>
        <v>0</v>
      </c>
      <c r="W71" s="127">
        <f t="shared" si="11"/>
        <v>0</v>
      </c>
    </row>
    <row r="72" spans="2:23">
      <c r="B72" s="123">
        <f>Amnt_Deposited!B67</f>
        <v>2053</v>
      </c>
      <c r="C72" s="126">
        <f>Amnt_Deposited!P67</f>
        <v>0</v>
      </c>
      <c r="D72" s="537">
        <f>Dry_Matter_Content!P59</f>
        <v>0</v>
      </c>
      <c r="E72" s="382">
        <f>MCF!R71</f>
        <v>0.4</v>
      </c>
      <c r="F72" s="93">
        <f t="shared" si="0"/>
        <v>0</v>
      </c>
      <c r="G72" s="93">
        <f t="shared" si="1"/>
        <v>0</v>
      </c>
      <c r="H72" s="93">
        <f t="shared" si="2"/>
        <v>0</v>
      </c>
      <c r="I72" s="93">
        <f t="shared" si="3"/>
        <v>0</v>
      </c>
      <c r="J72" s="93">
        <f t="shared" si="4"/>
        <v>0</v>
      </c>
      <c r="K72" s="127">
        <f t="shared" si="6"/>
        <v>0</v>
      </c>
      <c r="O72" s="123">
        <f>Amnt_Deposited!B67</f>
        <v>2053</v>
      </c>
      <c r="P72" s="126">
        <f>Amnt_Deposited!P67</f>
        <v>0</v>
      </c>
      <c r="Q72" s="382">
        <f>MCF!R71</f>
        <v>0.4</v>
      </c>
      <c r="R72" s="93">
        <f t="shared" si="5"/>
        <v>0</v>
      </c>
      <c r="S72" s="93">
        <f t="shared" si="7"/>
        <v>0</v>
      </c>
      <c r="T72" s="93">
        <f t="shared" si="8"/>
        <v>0</v>
      </c>
      <c r="U72" s="93">
        <f t="shared" si="9"/>
        <v>0</v>
      </c>
      <c r="V72" s="93">
        <f t="shared" si="10"/>
        <v>0</v>
      </c>
      <c r="W72" s="127">
        <f t="shared" si="11"/>
        <v>0</v>
      </c>
    </row>
    <row r="73" spans="2:23">
      <c r="B73" s="123">
        <f>Amnt_Deposited!B68</f>
        <v>2054</v>
      </c>
      <c r="C73" s="126">
        <f>Amnt_Deposited!P68</f>
        <v>0</v>
      </c>
      <c r="D73" s="537">
        <f>Dry_Matter_Content!P60</f>
        <v>0</v>
      </c>
      <c r="E73" s="382">
        <f>MCF!R72</f>
        <v>0.4</v>
      </c>
      <c r="F73" s="93">
        <f t="shared" si="0"/>
        <v>0</v>
      </c>
      <c r="G73" s="93">
        <f t="shared" si="1"/>
        <v>0</v>
      </c>
      <c r="H73" s="93">
        <f t="shared" si="2"/>
        <v>0</v>
      </c>
      <c r="I73" s="93">
        <f t="shared" si="3"/>
        <v>0</v>
      </c>
      <c r="J73" s="93">
        <f t="shared" si="4"/>
        <v>0</v>
      </c>
      <c r="K73" s="127">
        <f t="shared" si="6"/>
        <v>0</v>
      </c>
      <c r="O73" s="123">
        <f>Amnt_Deposited!B68</f>
        <v>2054</v>
      </c>
      <c r="P73" s="126">
        <f>Amnt_Deposited!P68</f>
        <v>0</v>
      </c>
      <c r="Q73" s="382">
        <f>MCF!R72</f>
        <v>0.4</v>
      </c>
      <c r="R73" s="93">
        <f t="shared" si="5"/>
        <v>0</v>
      </c>
      <c r="S73" s="93">
        <f t="shared" si="7"/>
        <v>0</v>
      </c>
      <c r="T73" s="93">
        <f t="shared" si="8"/>
        <v>0</v>
      </c>
      <c r="U73" s="93">
        <f t="shared" si="9"/>
        <v>0</v>
      </c>
      <c r="V73" s="93">
        <f t="shared" si="10"/>
        <v>0</v>
      </c>
      <c r="W73" s="127">
        <f t="shared" si="11"/>
        <v>0</v>
      </c>
    </row>
    <row r="74" spans="2:23">
      <c r="B74" s="123">
        <f>Amnt_Deposited!B69</f>
        <v>2055</v>
      </c>
      <c r="C74" s="126">
        <f>Amnt_Deposited!P69</f>
        <v>0</v>
      </c>
      <c r="D74" s="537">
        <f>Dry_Matter_Content!P61</f>
        <v>0</v>
      </c>
      <c r="E74" s="382">
        <f>MCF!R73</f>
        <v>0.4</v>
      </c>
      <c r="F74" s="93">
        <f t="shared" si="0"/>
        <v>0</v>
      </c>
      <c r="G74" s="93">
        <f t="shared" si="1"/>
        <v>0</v>
      </c>
      <c r="H74" s="93">
        <f t="shared" si="2"/>
        <v>0</v>
      </c>
      <c r="I74" s="93">
        <f t="shared" si="3"/>
        <v>0</v>
      </c>
      <c r="J74" s="93">
        <f t="shared" si="4"/>
        <v>0</v>
      </c>
      <c r="K74" s="127">
        <f t="shared" si="6"/>
        <v>0</v>
      </c>
      <c r="O74" s="123">
        <f>Amnt_Deposited!B69</f>
        <v>2055</v>
      </c>
      <c r="P74" s="126">
        <f>Amnt_Deposited!P69</f>
        <v>0</v>
      </c>
      <c r="Q74" s="382">
        <f>MCF!R73</f>
        <v>0.4</v>
      </c>
      <c r="R74" s="93">
        <f t="shared" si="5"/>
        <v>0</v>
      </c>
      <c r="S74" s="93">
        <f t="shared" si="7"/>
        <v>0</v>
      </c>
      <c r="T74" s="93">
        <f t="shared" si="8"/>
        <v>0</v>
      </c>
      <c r="U74" s="93">
        <f t="shared" si="9"/>
        <v>0</v>
      </c>
      <c r="V74" s="93">
        <f t="shared" si="10"/>
        <v>0</v>
      </c>
      <c r="W74" s="127">
        <f t="shared" si="11"/>
        <v>0</v>
      </c>
    </row>
    <row r="75" spans="2:23">
      <c r="B75" s="123">
        <f>Amnt_Deposited!B70</f>
        <v>2056</v>
      </c>
      <c r="C75" s="126">
        <f>Amnt_Deposited!P70</f>
        <v>0</v>
      </c>
      <c r="D75" s="537">
        <f>Dry_Matter_Content!P62</f>
        <v>0</v>
      </c>
      <c r="E75" s="382">
        <f>MCF!R74</f>
        <v>0.4</v>
      </c>
      <c r="F75" s="93">
        <f t="shared" si="0"/>
        <v>0</v>
      </c>
      <c r="G75" s="93">
        <f t="shared" si="1"/>
        <v>0</v>
      </c>
      <c r="H75" s="93">
        <f t="shared" si="2"/>
        <v>0</v>
      </c>
      <c r="I75" s="93">
        <f t="shared" si="3"/>
        <v>0</v>
      </c>
      <c r="J75" s="93">
        <f t="shared" si="4"/>
        <v>0</v>
      </c>
      <c r="K75" s="127">
        <f t="shared" si="6"/>
        <v>0</v>
      </c>
      <c r="O75" s="123">
        <f>Amnt_Deposited!B70</f>
        <v>2056</v>
      </c>
      <c r="P75" s="126">
        <f>Amnt_Deposited!P70</f>
        <v>0</v>
      </c>
      <c r="Q75" s="382">
        <f>MCF!R74</f>
        <v>0.4</v>
      </c>
      <c r="R75" s="93">
        <f t="shared" si="5"/>
        <v>0</v>
      </c>
      <c r="S75" s="93">
        <f t="shared" si="7"/>
        <v>0</v>
      </c>
      <c r="T75" s="93">
        <f t="shared" si="8"/>
        <v>0</v>
      </c>
      <c r="U75" s="93">
        <f t="shared" si="9"/>
        <v>0</v>
      </c>
      <c r="V75" s="93">
        <f t="shared" si="10"/>
        <v>0</v>
      </c>
      <c r="W75" s="127">
        <f t="shared" si="11"/>
        <v>0</v>
      </c>
    </row>
    <row r="76" spans="2:23">
      <c r="B76" s="123">
        <f>Amnt_Deposited!B71</f>
        <v>2057</v>
      </c>
      <c r="C76" s="126">
        <f>Amnt_Deposited!P71</f>
        <v>0</v>
      </c>
      <c r="D76" s="537">
        <f>Dry_Matter_Content!P63</f>
        <v>0</v>
      </c>
      <c r="E76" s="382">
        <f>MCF!R75</f>
        <v>0.4</v>
      </c>
      <c r="F76" s="93">
        <f t="shared" si="0"/>
        <v>0</v>
      </c>
      <c r="G76" s="93">
        <f t="shared" si="1"/>
        <v>0</v>
      </c>
      <c r="H76" s="93">
        <f t="shared" si="2"/>
        <v>0</v>
      </c>
      <c r="I76" s="93">
        <f t="shared" si="3"/>
        <v>0</v>
      </c>
      <c r="J76" s="93">
        <f t="shared" si="4"/>
        <v>0</v>
      </c>
      <c r="K76" s="127">
        <f t="shared" si="6"/>
        <v>0</v>
      </c>
      <c r="O76" s="123">
        <f>Amnt_Deposited!B71</f>
        <v>2057</v>
      </c>
      <c r="P76" s="126">
        <f>Amnt_Deposited!P71</f>
        <v>0</v>
      </c>
      <c r="Q76" s="382">
        <f>MCF!R75</f>
        <v>0.4</v>
      </c>
      <c r="R76" s="93">
        <f t="shared" si="5"/>
        <v>0</v>
      </c>
      <c r="S76" s="93">
        <f t="shared" si="7"/>
        <v>0</v>
      </c>
      <c r="T76" s="93">
        <f t="shared" si="8"/>
        <v>0</v>
      </c>
      <c r="U76" s="93">
        <f t="shared" si="9"/>
        <v>0</v>
      </c>
      <c r="V76" s="93">
        <f t="shared" si="10"/>
        <v>0</v>
      </c>
      <c r="W76" s="127">
        <f t="shared" si="11"/>
        <v>0</v>
      </c>
    </row>
    <row r="77" spans="2:23">
      <c r="B77" s="123">
        <f>Amnt_Deposited!B72</f>
        <v>2058</v>
      </c>
      <c r="C77" s="126">
        <f>Amnt_Deposited!P72</f>
        <v>0</v>
      </c>
      <c r="D77" s="537">
        <f>Dry_Matter_Content!P64</f>
        <v>0</v>
      </c>
      <c r="E77" s="382">
        <f>MCF!R76</f>
        <v>0.4</v>
      </c>
      <c r="F77" s="93">
        <f t="shared" si="0"/>
        <v>0</v>
      </c>
      <c r="G77" s="93">
        <f t="shared" si="1"/>
        <v>0</v>
      </c>
      <c r="H77" s="93">
        <f t="shared" si="2"/>
        <v>0</v>
      </c>
      <c r="I77" s="93">
        <f t="shared" si="3"/>
        <v>0</v>
      </c>
      <c r="J77" s="93">
        <f t="shared" si="4"/>
        <v>0</v>
      </c>
      <c r="K77" s="127">
        <f t="shared" si="6"/>
        <v>0</v>
      </c>
      <c r="O77" s="123">
        <f>Amnt_Deposited!B72</f>
        <v>2058</v>
      </c>
      <c r="P77" s="126">
        <f>Amnt_Deposited!P72</f>
        <v>0</v>
      </c>
      <c r="Q77" s="382">
        <f>MCF!R76</f>
        <v>0.4</v>
      </c>
      <c r="R77" s="93">
        <f t="shared" si="5"/>
        <v>0</v>
      </c>
      <c r="S77" s="93">
        <f t="shared" si="7"/>
        <v>0</v>
      </c>
      <c r="T77" s="93">
        <f t="shared" si="8"/>
        <v>0</v>
      </c>
      <c r="U77" s="93">
        <f t="shared" si="9"/>
        <v>0</v>
      </c>
      <c r="V77" s="93">
        <f t="shared" si="10"/>
        <v>0</v>
      </c>
      <c r="W77" s="127">
        <f t="shared" si="11"/>
        <v>0</v>
      </c>
    </row>
    <row r="78" spans="2:23">
      <c r="B78" s="123">
        <f>Amnt_Deposited!B73</f>
        <v>2059</v>
      </c>
      <c r="C78" s="126">
        <f>Amnt_Deposited!P73</f>
        <v>0</v>
      </c>
      <c r="D78" s="537">
        <f>Dry_Matter_Content!P65</f>
        <v>0</v>
      </c>
      <c r="E78" s="382">
        <f>MCF!R77</f>
        <v>0.4</v>
      </c>
      <c r="F78" s="93">
        <f t="shared" si="0"/>
        <v>0</v>
      </c>
      <c r="G78" s="93">
        <f t="shared" si="1"/>
        <v>0</v>
      </c>
      <c r="H78" s="93">
        <f t="shared" si="2"/>
        <v>0</v>
      </c>
      <c r="I78" s="93">
        <f t="shared" si="3"/>
        <v>0</v>
      </c>
      <c r="J78" s="93">
        <f t="shared" si="4"/>
        <v>0</v>
      </c>
      <c r="K78" s="127">
        <f t="shared" si="6"/>
        <v>0</v>
      </c>
      <c r="O78" s="123">
        <f>Amnt_Deposited!B73</f>
        <v>2059</v>
      </c>
      <c r="P78" s="126">
        <f>Amnt_Deposited!P73</f>
        <v>0</v>
      </c>
      <c r="Q78" s="382">
        <f>MCF!R77</f>
        <v>0.4</v>
      </c>
      <c r="R78" s="93">
        <f t="shared" si="5"/>
        <v>0</v>
      </c>
      <c r="S78" s="93">
        <f t="shared" si="7"/>
        <v>0</v>
      </c>
      <c r="T78" s="93">
        <f t="shared" si="8"/>
        <v>0</v>
      </c>
      <c r="U78" s="93">
        <f t="shared" si="9"/>
        <v>0</v>
      </c>
      <c r="V78" s="93">
        <f t="shared" si="10"/>
        <v>0</v>
      </c>
      <c r="W78" s="127">
        <f t="shared" si="11"/>
        <v>0</v>
      </c>
    </row>
    <row r="79" spans="2:23">
      <c r="B79" s="123">
        <f>Amnt_Deposited!B74</f>
        <v>2060</v>
      </c>
      <c r="C79" s="126">
        <f>Amnt_Deposited!P74</f>
        <v>0</v>
      </c>
      <c r="D79" s="537">
        <f>Dry_Matter_Content!P66</f>
        <v>0</v>
      </c>
      <c r="E79" s="382">
        <f>MCF!R78</f>
        <v>0.4</v>
      </c>
      <c r="F79" s="93">
        <f t="shared" si="0"/>
        <v>0</v>
      </c>
      <c r="G79" s="93">
        <f t="shared" si="1"/>
        <v>0</v>
      </c>
      <c r="H79" s="93">
        <f t="shared" si="2"/>
        <v>0</v>
      </c>
      <c r="I79" s="93">
        <f t="shared" si="3"/>
        <v>0</v>
      </c>
      <c r="J79" s="93">
        <f t="shared" si="4"/>
        <v>0</v>
      </c>
      <c r="K79" s="127">
        <f t="shared" si="6"/>
        <v>0</v>
      </c>
      <c r="O79" s="123">
        <f>Amnt_Deposited!B74</f>
        <v>2060</v>
      </c>
      <c r="P79" s="126">
        <f>Amnt_Deposited!P74</f>
        <v>0</v>
      </c>
      <c r="Q79" s="382">
        <f>MCF!R78</f>
        <v>0.4</v>
      </c>
      <c r="R79" s="93">
        <f t="shared" si="5"/>
        <v>0</v>
      </c>
      <c r="S79" s="93">
        <f t="shared" si="7"/>
        <v>0</v>
      </c>
      <c r="T79" s="93">
        <f t="shared" si="8"/>
        <v>0</v>
      </c>
      <c r="U79" s="93">
        <f t="shared" si="9"/>
        <v>0</v>
      </c>
      <c r="V79" s="93">
        <f t="shared" si="10"/>
        <v>0</v>
      </c>
      <c r="W79" s="127">
        <f t="shared" si="11"/>
        <v>0</v>
      </c>
    </row>
    <row r="80" spans="2:23">
      <c r="B80" s="123">
        <f>Amnt_Deposited!B75</f>
        <v>2061</v>
      </c>
      <c r="C80" s="126">
        <f>Amnt_Deposited!P75</f>
        <v>0</v>
      </c>
      <c r="D80" s="537">
        <f>Dry_Matter_Content!P67</f>
        <v>0</v>
      </c>
      <c r="E80" s="382">
        <f>MCF!R79</f>
        <v>0.4</v>
      </c>
      <c r="F80" s="93">
        <f t="shared" si="0"/>
        <v>0</v>
      </c>
      <c r="G80" s="93">
        <f t="shared" si="1"/>
        <v>0</v>
      </c>
      <c r="H80" s="93">
        <f t="shared" si="2"/>
        <v>0</v>
      </c>
      <c r="I80" s="93">
        <f t="shared" si="3"/>
        <v>0</v>
      </c>
      <c r="J80" s="93">
        <f t="shared" si="4"/>
        <v>0</v>
      </c>
      <c r="K80" s="127">
        <f t="shared" si="6"/>
        <v>0</v>
      </c>
      <c r="O80" s="123">
        <f>Amnt_Deposited!B75</f>
        <v>2061</v>
      </c>
      <c r="P80" s="126">
        <f>Amnt_Deposited!P75</f>
        <v>0</v>
      </c>
      <c r="Q80" s="382">
        <f>MCF!R79</f>
        <v>0.4</v>
      </c>
      <c r="R80" s="93">
        <f t="shared" si="5"/>
        <v>0</v>
      </c>
      <c r="S80" s="93">
        <f t="shared" si="7"/>
        <v>0</v>
      </c>
      <c r="T80" s="93">
        <f t="shared" si="8"/>
        <v>0</v>
      </c>
      <c r="U80" s="93">
        <f t="shared" si="9"/>
        <v>0</v>
      </c>
      <c r="V80" s="93">
        <f t="shared" si="10"/>
        <v>0</v>
      </c>
      <c r="W80" s="127">
        <f t="shared" si="11"/>
        <v>0</v>
      </c>
    </row>
    <row r="81" spans="2:23">
      <c r="B81" s="123">
        <f>Amnt_Deposited!B76</f>
        <v>2062</v>
      </c>
      <c r="C81" s="126">
        <f>Amnt_Deposited!P76</f>
        <v>0</v>
      </c>
      <c r="D81" s="537">
        <f>Dry_Matter_Content!P68</f>
        <v>0</v>
      </c>
      <c r="E81" s="382">
        <f>MCF!R80</f>
        <v>0.4</v>
      </c>
      <c r="F81" s="93">
        <f t="shared" si="0"/>
        <v>0</v>
      </c>
      <c r="G81" s="93">
        <f t="shared" si="1"/>
        <v>0</v>
      </c>
      <c r="H81" s="93">
        <f t="shared" si="2"/>
        <v>0</v>
      </c>
      <c r="I81" s="93">
        <f t="shared" si="3"/>
        <v>0</v>
      </c>
      <c r="J81" s="93">
        <f t="shared" si="4"/>
        <v>0</v>
      </c>
      <c r="K81" s="127">
        <f t="shared" si="6"/>
        <v>0</v>
      </c>
      <c r="O81" s="123">
        <f>Amnt_Deposited!B76</f>
        <v>2062</v>
      </c>
      <c r="P81" s="126">
        <f>Amnt_Deposited!P76</f>
        <v>0</v>
      </c>
      <c r="Q81" s="382">
        <f>MCF!R80</f>
        <v>0.4</v>
      </c>
      <c r="R81" s="93">
        <f t="shared" si="5"/>
        <v>0</v>
      </c>
      <c r="S81" s="93">
        <f t="shared" si="7"/>
        <v>0</v>
      </c>
      <c r="T81" s="93">
        <f t="shared" si="8"/>
        <v>0</v>
      </c>
      <c r="U81" s="93">
        <f t="shared" si="9"/>
        <v>0</v>
      </c>
      <c r="V81" s="93">
        <f t="shared" si="10"/>
        <v>0</v>
      </c>
      <c r="W81" s="127">
        <f t="shared" si="11"/>
        <v>0</v>
      </c>
    </row>
    <row r="82" spans="2:23">
      <c r="B82" s="123">
        <f>Amnt_Deposited!B77</f>
        <v>2063</v>
      </c>
      <c r="C82" s="126">
        <f>Amnt_Deposited!P77</f>
        <v>0</v>
      </c>
      <c r="D82" s="537">
        <f>Dry_Matter_Content!P69</f>
        <v>0</v>
      </c>
      <c r="E82" s="382">
        <f>MCF!R81</f>
        <v>0.4</v>
      </c>
      <c r="F82" s="93">
        <f t="shared" si="0"/>
        <v>0</v>
      </c>
      <c r="G82" s="93">
        <f t="shared" si="1"/>
        <v>0</v>
      </c>
      <c r="H82" s="93">
        <f t="shared" si="2"/>
        <v>0</v>
      </c>
      <c r="I82" s="93">
        <f t="shared" si="3"/>
        <v>0</v>
      </c>
      <c r="J82" s="93">
        <f t="shared" si="4"/>
        <v>0</v>
      </c>
      <c r="K82" s="127">
        <f t="shared" si="6"/>
        <v>0</v>
      </c>
      <c r="O82" s="123">
        <f>Amnt_Deposited!B77</f>
        <v>2063</v>
      </c>
      <c r="P82" s="126">
        <f>Amnt_Deposited!P77</f>
        <v>0</v>
      </c>
      <c r="Q82" s="382">
        <f>MCF!R81</f>
        <v>0.4</v>
      </c>
      <c r="R82" s="93">
        <f t="shared" si="5"/>
        <v>0</v>
      </c>
      <c r="S82" s="93">
        <f t="shared" si="7"/>
        <v>0</v>
      </c>
      <c r="T82" s="93">
        <f t="shared" si="8"/>
        <v>0</v>
      </c>
      <c r="U82" s="93">
        <f t="shared" si="9"/>
        <v>0</v>
      </c>
      <c r="V82" s="93">
        <f t="shared" si="10"/>
        <v>0</v>
      </c>
      <c r="W82" s="127">
        <f t="shared" si="11"/>
        <v>0</v>
      </c>
    </row>
    <row r="83" spans="2:23">
      <c r="B83" s="123">
        <f>Amnt_Deposited!B78</f>
        <v>2064</v>
      </c>
      <c r="C83" s="126">
        <f>Amnt_Deposited!P78</f>
        <v>0</v>
      </c>
      <c r="D83" s="537">
        <f>Dry_Matter_Content!P70</f>
        <v>0</v>
      </c>
      <c r="E83" s="382">
        <f>MCF!R82</f>
        <v>0.4</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2064</v>
      </c>
      <c r="P83" s="126">
        <f>Amnt_Deposited!P78</f>
        <v>0</v>
      </c>
      <c r="Q83" s="382">
        <f>MCF!R82</f>
        <v>0.4</v>
      </c>
      <c r="R83" s="93">
        <f t="shared" ref="R83:R99" si="17">P83*$W$6*DOCF*Q83</f>
        <v>0</v>
      </c>
      <c r="S83" s="93">
        <f t="shared" si="7"/>
        <v>0</v>
      </c>
      <c r="T83" s="93">
        <f t="shared" si="8"/>
        <v>0</v>
      </c>
      <c r="U83" s="93">
        <f t="shared" si="9"/>
        <v>0</v>
      </c>
      <c r="V83" s="93">
        <f t="shared" si="10"/>
        <v>0</v>
      </c>
      <c r="W83" s="127">
        <f t="shared" si="11"/>
        <v>0</v>
      </c>
    </row>
    <row r="84" spans="2:23">
      <c r="B84" s="123">
        <f>Amnt_Deposited!B79</f>
        <v>2065</v>
      </c>
      <c r="C84" s="126">
        <f>Amnt_Deposited!P79</f>
        <v>0</v>
      </c>
      <c r="D84" s="537">
        <f>Dry_Matter_Content!P71</f>
        <v>0</v>
      </c>
      <c r="E84" s="382">
        <f>MCF!R83</f>
        <v>0.4</v>
      </c>
      <c r="F84" s="93">
        <f t="shared" si="12"/>
        <v>0</v>
      </c>
      <c r="G84" s="93">
        <f t="shared" si="13"/>
        <v>0</v>
      </c>
      <c r="H84" s="93">
        <f t="shared" si="14"/>
        <v>0</v>
      </c>
      <c r="I84" s="93">
        <f t="shared" si="15"/>
        <v>0</v>
      </c>
      <c r="J84" s="93">
        <f t="shared" si="16"/>
        <v>0</v>
      </c>
      <c r="K84" s="127">
        <f t="shared" si="6"/>
        <v>0</v>
      </c>
      <c r="O84" s="123">
        <f>Amnt_Deposited!B79</f>
        <v>2065</v>
      </c>
      <c r="P84" s="126">
        <f>Amnt_Deposited!P79</f>
        <v>0</v>
      </c>
      <c r="Q84" s="382">
        <f>MCF!R83</f>
        <v>0.4</v>
      </c>
      <c r="R84" s="93">
        <f t="shared" si="17"/>
        <v>0</v>
      </c>
      <c r="S84" s="93">
        <f t="shared" si="7"/>
        <v>0</v>
      </c>
      <c r="T84" s="93">
        <f t="shared" si="8"/>
        <v>0</v>
      </c>
      <c r="U84" s="93">
        <f t="shared" si="9"/>
        <v>0</v>
      </c>
      <c r="V84" s="93">
        <f t="shared" si="10"/>
        <v>0</v>
      </c>
      <c r="W84" s="127">
        <f t="shared" si="11"/>
        <v>0</v>
      </c>
    </row>
    <row r="85" spans="2:23">
      <c r="B85" s="123">
        <f>Amnt_Deposited!B80</f>
        <v>2066</v>
      </c>
      <c r="C85" s="126">
        <f>Amnt_Deposited!P80</f>
        <v>0</v>
      </c>
      <c r="D85" s="537">
        <f>Dry_Matter_Content!P72</f>
        <v>0</v>
      </c>
      <c r="E85" s="382">
        <f>MCF!R84</f>
        <v>0.4</v>
      </c>
      <c r="F85" s="93">
        <f t="shared" si="12"/>
        <v>0</v>
      </c>
      <c r="G85" s="93">
        <f t="shared" si="13"/>
        <v>0</v>
      </c>
      <c r="H85" s="93">
        <f t="shared" si="14"/>
        <v>0</v>
      </c>
      <c r="I85" s="93">
        <f t="shared" si="15"/>
        <v>0</v>
      </c>
      <c r="J85" s="93">
        <f t="shared" si="16"/>
        <v>0</v>
      </c>
      <c r="K85" s="127">
        <f t="shared" ref="K85:K99" si="18">J85*CH4_fraction*conv</f>
        <v>0</v>
      </c>
      <c r="O85" s="123">
        <f>Amnt_Deposited!B80</f>
        <v>2066</v>
      </c>
      <c r="P85" s="126">
        <f>Amnt_Deposited!P80</f>
        <v>0</v>
      </c>
      <c r="Q85" s="382">
        <f>MCF!R84</f>
        <v>0.4</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2067</v>
      </c>
      <c r="C86" s="126">
        <f>Amnt_Deposited!P81</f>
        <v>0</v>
      </c>
      <c r="D86" s="537">
        <f>Dry_Matter_Content!P73</f>
        <v>0</v>
      </c>
      <c r="E86" s="382">
        <f>MCF!R85</f>
        <v>0.4</v>
      </c>
      <c r="F86" s="93">
        <f t="shared" si="12"/>
        <v>0</v>
      </c>
      <c r="G86" s="93">
        <f t="shared" si="13"/>
        <v>0</v>
      </c>
      <c r="H86" s="93">
        <f t="shared" si="14"/>
        <v>0</v>
      </c>
      <c r="I86" s="93">
        <f t="shared" si="15"/>
        <v>0</v>
      </c>
      <c r="J86" s="93">
        <f t="shared" si="16"/>
        <v>0</v>
      </c>
      <c r="K86" s="127">
        <f t="shared" si="18"/>
        <v>0</v>
      </c>
      <c r="O86" s="123">
        <f>Amnt_Deposited!B81</f>
        <v>2067</v>
      </c>
      <c r="P86" s="126">
        <f>Amnt_Deposited!P81</f>
        <v>0</v>
      </c>
      <c r="Q86" s="382">
        <f>MCF!R85</f>
        <v>0.4</v>
      </c>
      <c r="R86" s="93">
        <f t="shared" si="17"/>
        <v>0</v>
      </c>
      <c r="S86" s="93">
        <f t="shared" si="19"/>
        <v>0</v>
      </c>
      <c r="T86" s="93">
        <f t="shared" si="20"/>
        <v>0</v>
      </c>
      <c r="U86" s="93">
        <f t="shared" si="21"/>
        <v>0</v>
      </c>
      <c r="V86" s="93">
        <f t="shared" si="22"/>
        <v>0</v>
      </c>
      <c r="W86" s="127">
        <f t="shared" si="23"/>
        <v>0</v>
      </c>
    </row>
    <row r="87" spans="2:23">
      <c r="B87" s="123">
        <f>Amnt_Deposited!B82</f>
        <v>2068</v>
      </c>
      <c r="C87" s="126">
        <f>Amnt_Deposited!P82</f>
        <v>0</v>
      </c>
      <c r="D87" s="537">
        <f>Dry_Matter_Content!P74</f>
        <v>0</v>
      </c>
      <c r="E87" s="382">
        <f>MCF!R86</f>
        <v>0.4</v>
      </c>
      <c r="F87" s="93">
        <f t="shared" si="12"/>
        <v>0</v>
      </c>
      <c r="G87" s="93">
        <f t="shared" si="13"/>
        <v>0</v>
      </c>
      <c r="H87" s="93">
        <f t="shared" si="14"/>
        <v>0</v>
      </c>
      <c r="I87" s="93">
        <f t="shared" si="15"/>
        <v>0</v>
      </c>
      <c r="J87" s="93">
        <f t="shared" si="16"/>
        <v>0</v>
      </c>
      <c r="K87" s="127">
        <f t="shared" si="18"/>
        <v>0</v>
      </c>
      <c r="O87" s="123">
        <f>Amnt_Deposited!B82</f>
        <v>2068</v>
      </c>
      <c r="P87" s="126">
        <f>Amnt_Deposited!P82</f>
        <v>0</v>
      </c>
      <c r="Q87" s="382">
        <f>MCF!R86</f>
        <v>0.4</v>
      </c>
      <c r="R87" s="93">
        <f t="shared" si="17"/>
        <v>0</v>
      </c>
      <c r="S87" s="93">
        <f t="shared" si="19"/>
        <v>0</v>
      </c>
      <c r="T87" s="93">
        <f t="shared" si="20"/>
        <v>0</v>
      </c>
      <c r="U87" s="93">
        <f t="shared" si="21"/>
        <v>0</v>
      </c>
      <c r="V87" s="93">
        <f t="shared" si="22"/>
        <v>0</v>
      </c>
      <c r="W87" s="127">
        <f t="shared" si="23"/>
        <v>0</v>
      </c>
    </row>
    <row r="88" spans="2:23">
      <c r="B88" s="123">
        <f>Amnt_Deposited!B83</f>
        <v>2069</v>
      </c>
      <c r="C88" s="126">
        <f>Amnt_Deposited!P83</f>
        <v>0</v>
      </c>
      <c r="D88" s="537">
        <f>Dry_Matter_Content!P75</f>
        <v>0</v>
      </c>
      <c r="E88" s="382">
        <f>MCF!R87</f>
        <v>0.4</v>
      </c>
      <c r="F88" s="93">
        <f t="shared" si="12"/>
        <v>0</v>
      </c>
      <c r="G88" s="93">
        <f t="shared" si="13"/>
        <v>0</v>
      </c>
      <c r="H88" s="93">
        <f t="shared" si="14"/>
        <v>0</v>
      </c>
      <c r="I88" s="93">
        <f t="shared" si="15"/>
        <v>0</v>
      </c>
      <c r="J88" s="93">
        <f t="shared" si="16"/>
        <v>0</v>
      </c>
      <c r="K88" s="127">
        <f t="shared" si="18"/>
        <v>0</v>
      </c>
      <c r="O88" s="123">
        <f>Amnt_Deposited!B83</f>
        <v>2069</v>
      </c>
      <c r="P88" s="126">
        <f>Amnt_Deposited!P83</f>
        <v>0</v>
      </c>
      <c r="Q88" s="382">
        <f>MCF!R87</f>
        <v>0.4</v>
      </c>
      <c r="R88" s="93">
        <f t="shared" si="17"/>
        <v>0</v>
      </c>
      <c r="S88" s="93">
        <f t="shared" si="19"/>
        <v>0</v>
      </c>
      <c r="T88" s="93">
        <f t="shared" si="20"/>
        <v>0</v>
      </c>
      <c r="U88" s="93">
        <f t="shared" si="21"/>
        <v>0</v>
      </c>
      <c r="V88" s="93">
        <f t="shared" si="22"/>
        <v>0</v>
      </c>
      <c r="W88" s="127">
        <f t="shared" si="23"/>
        <v>0</v>
      </c>
    </row>
    <row r="89" spans="2:23">
      <c r="B89" s="123">
        <f>Amnt_Deposited!B84</f>
        <v>2070</v>
      </c>
      <c r="C89" s="126">
        <f>Amnt_Deposited!P84</f>
        <v>0</v>
      </c>
      <c r="D89" s="537">
        <f>Dry_Matter_Content!P76</f>
        <v>0</v>
      </c>
      <c r="E89" s="382">
        <f>MCF!R88</f>
        <v>0.4</v>
      </c>
      <c r="F89" s="93">
        <f t="shared" si="12"/>
        <v>0</v>
      </c>
      <c r="G89" s="93">
        <f t="shared" si="13"/>
        <v>0</v>
      </c>
      <c r="H89" s="93">
        <f t="shared" si="14"/>
        <v>0</v>
      </c>
      <c r="I89" s="93">
        <f t="shared" si="15"/>
        <v>0</v>
      </c>
      <c r="J89" s="93">
        <f t="shared" si="16"/>
        <v>0</v>
      </c>
      <c r="K89" s="127">
        <f t="shared" si="18"/>
        <v>0</v>
      </c>
      <c r="O89" s="123">
        <f>Amnt_Deposited!B84</f>
        <v>2070</v>
      </c>
      <c r="P89" s="126">
        <f>Amnt_Deposited!P84</f>
        <v>0</v>
      </c>
      <c r="Q89" s="382">
        <f>MCF!R88</f>
        <v>0.4</v>
      </c>
      <c r="R89" s="93">
        <f t="shared" si="17"/>
        <v>0</v>
      </c>
      <c r="S89" s="93">
        <f t="shared" si="19"/>
        <v>0</v>
      </c>
      <c r="T89" s="93">
        <f t="shared" si="20"/>
        <v>0</v>
      </c>
      <c r="U89" s="93">
        <f t="shared" si="21"/>
        <v>0</v>
      </c>
      <c r="V89" s="93">
        <f t="shared" si="22"/>
        <v>0</v>
      </c>
      <c r="W89" s="127">
        <f t="shared" si="23"/>
        <v>0</v>
      </c>
    </row>
    <row r="90" spans="2:23">
      <c r="B90" s="123">
        <f>Amnt_Deposited!B85</f>
        <v>2071</v>
      </c>
      <c r="C90" s="126">
        <f>Amnt_Deposited!P85</f>
        <v>0</v>
      </c>
      <c r="D90" s="537">
        <f>Dry_Matter_Content!P77</f>
        <v>0</v>
      </c>
      <c r="E90" s="382">
        <f>MCF!R89</f>
        <v>0.4</v>
      </c>
      <c r="F90" s="93">
        <f t="shared" si="12"/>
        <v>0</v>
      </c>
      <c r="G90" s="93">
        <f t="shared" si="13"/>
        <v>0</v>
      </c>
      <c r="H90" s="93">
        <f t="shared" si="14"/>
        <v>0</v>
      </c>
      <c r="I90" s="93">
        <f t="shared" si="15"/>
        <v>0</v>
      </c>
      <c r="J90" s="93">
        <f t="shared" si="16"/>
        <v>0</v>
      </c>
      <c r="K90" s="127">
        <f t="shared" si="18"/>
        <v>0</v>
      </c>
      <c r="O90" s="123">
        <f>Amnt_Deposited!B85</f>
        <v>2071</v>
      </c>
      <c r="P90" s="126">
        <f>Amnt_Deposited!P85</f>
        <v>0</v>
      </c>
      <c r="Q90" s="382">
        <f>MCF!R89</f>
        <v>0.4</v>
      </c>
      <c r="R90" s="93">
        <f t="shared" si="17"/>
        <v>0</v>
      </c>
      <c r="S90" s="93">
        <f t="shared" si="19"/>
        <v>0</v>
      </c>
      <c r="T90" s="93">
        <f t="shared" si="20"/>
        <v>0</v>
      </c>
      <c r="U90" s="93">
        <f t="shared" si="21"/>
        <v>0</v>
      </c>
      <c r="V90" s="93">
        <f t="shared" si="22"/>
        <v>0</v>
      </c>
      <c r="W90" s="127">
        <f t="shared" si="23"/>
        <v>0</v>
      </c>
    </row>
    <row r="91" spans="2:23">
      <c r="B91" s="123">
        <f>Amnt_Deposited!B86</f>
        <v>2072</v>
      </c>
      <c r="C91" s="126">
        <f>Amnt_Deposited!P86</f>
        <v>0</v>
      </c>
      <c r="D91" s="537">
        <f>Dry_Matter_Content!P78</f>
        <v>0</v>
      </c>
      <c r="E91" s="382">
        <f>MCF!R90</f>
        <v>0.4</v>
      </c>
      <c r="F91" s="93">
        <f t="shared" si="12"/>
        <v>0</v>
      </c>
      <c r="G91" s="93">
        <f t="shared" si="13"/>
        <v>0</v>
      </c>
      <c r="H91" s="93">
        <f t="shared" si="14"/>
        <v>0</v>
      </c>
      <c r="I91" s="93">
        <f t="shared" si="15"/>
        <v>0</v>
      </c>
      <c r="J91" s="93">
        <f t="shared" si="16"/>
        <v>0</v>
      </c>
      <c r="K91" s="127">
        <f t="shared" si="18"/>
        <v>0</v>
      </c>
      <c r="O91" s="123">
        <f>Amnt_Deposited!B86</f>
        <v>2072</v>
      </c>
      <c r="P91" s="126">
        <f>Amnt_Deposited!P86</f>
        <v>0</v>
      </c>
      <c r="Q91" s="382">
        <f>MCF!R90</f>
        <v>0.4</v>
      </c>
      <c r="R91" s="93">
        <f t="shared" si="17"/>
        <v>0</v>
      </c>
      <c r="S91" s="93">
        <f t="shared" si="19"/>
        <v>0</v>
      </c>
      <c r="T91" s="93">
        <f t="shared" si="20"/>
        <v>0</v>
      </c>
      <c r="U91" s="93">
        <f t="shared" si="21"/>
        <v>0</v>
      </c>
      <c r="V91" s="93">
        <f t="shared" si="22"/>
        <v>0</v>
      </c>
      <c r="W91" s="127">
        <f t="shared" si="23"/>
        <v>0</v>
      </c>
    </row>
    <row r="92" spans="2:23">
      <c r="B92" s="123">
        <f>Amnt_Deposited!B87</f>
        <v>2073</v>
      </c>
      <c r="C92" s="126">
        <f>Amnt_Deposited!P87</f>
        <v>0</v>
      </c>
      <c r="D92" s="537">
        <f>Dry_Matter_Content!P79</f>
        <v>0</v>
      </c>
      <c r="E92" s="382">
        <f>MCF!R91</f>
        <v>0.4</v>
      </c>
      <c r="F92" s="93">
        <f t="shared" si="12"/>
        <v>0</v>
      </c>
      <c r="G92" s="93">
        <f t="shared" si="13"/>
        <v>0</v>
      </c>
      <c r="H92" s="93">
        <f t="shared" si="14"/>
        <v>0</v>
      </c>
      <c r="I92" s="93">
        <f t="shared" si="15"/>
        <v>0</v>
      </c>
      <c r="J92" s="93">
        <f t="shared" si="16"/>
        <v>0</v>
      </c>
      <c r="K92" s="127">
        <f t="shared" si="18"/>
        <v>0</v>
      </c>
      <c r="O92" s="123">
        <f>Amnt_Deposited!B87</f>
        <v>2073</v>
      </c>
      <c r="P92" s="126">
        <f>Amnt_Deposited!P87</f>
        <v>0</v>
      </c>
      <c r="Q92" s="382">
        <f>MCF!R91</f>
        <v>0.4</v>
      </c>
      <c r="R92" s="93">
        <f t="shared" si="17"/>
        <v>0</v>
      </c>
      <c r="S92" s="93">
        <f t="shared" si="19"/>
        <v>0</v>
      </c>
      <c r="T92" s="93">
        <f t="shared" si="20"/>
        <v>0</v>
      </c>
      <c r="U92" s="93">
        <f t="shared" si="21"/>
        <v>0</v>
      </c>
      <c r="V92" s="93">
        <f t="shared" si="22"/>
        <v>0</v>
      </c>
      <c r="W92" s="127">
        <f t="shared" si="23"/>
        <v>0</v>
      </c>
    </row>
    <row r="93" spans="2:23">
      <c r="B93" s="123">
        <f>Amnt_Deposited!B88</f>
        <v>2074</v>
      </c>
      <c r="C93" s="126">
        <f>Amnt_Deposited!P88</f>
        <v>0</v>
      </c>
      <c r="D93" s="537">
        <f>Dry_Matter_Content!P80</f>
        <v>0</v>
      </c>
      <c r="E93" s="382">
        <f>MCF!R92</f>
        <v>0.4</v>
      </c>
      <c r="F93" s="93">
        <f t="shared" si="12"/>
        <v>0</v>
      </c>
      <c r="G93" s="93">
        <f t="shared" si="13"/>
        <v>0</v>
      </c>
      <c r="H93" s="93">
        <f t="shared" si="14"/>
        <v>0</v>
      </c>
      <c r="I93" s="93">
        <f t="shared" si="15"/>
        <v>0</v>
      </c>
      <c r="J93" s="93">
        <f t="shared" si="16"/>
        <v>0</v>
      </c>
      <c r="K93" s="127">
        <f t="shared" si="18"/>
        <v>0</v>
      </c>
      <c r="O93" s="123">
        <f>Amnt_Deposited!B88</f>
        <v>2074</v>
      </c>
      <c r="P93" s="126">
        <f>Amnt_Deposited!P88</f>
        <v>0</v>
      </c>
      <c r="Q93" s="382">
        <f>MCF!R92</f>
        <v>0.4</v>
      </c>
      <c r="R93" s="93">
        <f t="shared" si="17"/>
        <v>0</v>
      </c>
      <c r="S93" s="93">
        <f t="shared" si="19"/>
        <v>0</v>
      </c>
      <c r="T93" s="93">
        <f t="shared" si="20"/>
        <v>0</v>
      </c>
      <c r="U93" s="93">
        <f t="shared" si="21"/>
        <v>0</v>
      </c>
      <c r="V93" s="93">
        <f t="shared" si="22"/>
        <v>0</v>
      </c>
      <c r="W93" s="127">
        <f t="shared" si="23"/>
        <v>0</v>
      </c>
    </row>
    <row r="94" spans="2:23">
      <c r="B94" s="123">
        <f>Amnt_Deposited!B89</f>
        <v>2075</v>
      </c>
      <c r="C94" s="126">
        <f>Amnt_Deposited!P89</f>
        <v>0</v>
      </c>
      <c r="D94" s="537">
        <f>Dry_Matter_Content!P81</f>
        <v>0</v>
      </c>
      <c r="E94" s="382">
        <f>MCF!R93</f>
        <v>0.4</v>
      </c>
      <c r="F94" s="93">
        <f t="shared" si="12"/>
        <v>0</v>
      </c>
      <c r="G94" s="93">
        <f t="shared" si="13"/>
        <v>0</v>
      </c>
      <c r="H94" s="93">
        <f t="shared" si="14"/>
        <v>0</v>
      </c>
      <c r="I94" s="93">
        <f t="shared" si="15"/>
        <v>0</v>
      </c>
      <c r="J94" s="93">
        <f t="shared" si="16"/>
        <v>0</v>
      </c>
      <c r="K94" s="127">
        <f t="shared" si="18"/>
        <v>0</v>
      </c>
      <c r="O94" s="123">
        <f>Amnt_Deposited!B89</f>
        <v>2075</v>
      </c>
      <c r="P94" s="126">
        <f>Amnt_Deposited!P89</f>
        <v>0</v>
      </c>
      <c r="Q94" s="382">
        <f>MCF!R93</f>
        <v>0.4</v>
      </c>
      <c r="R94" s="93">
        <f t="shared" si="17"/>
        <v>0</v>
      </c>
      <c r="S94" s="93">
        <f t="shared" si="19"/>
        <v>0</v>
      </c>
      <c r="T94" s="93">
        <f t="shared" si="20"/>
        <v>0</v>
      </c>
      <c r="U94" s="93">
        <f t="shared" si="21"/>
        <v>0</v>
      </c>
      <c r="V94" s="93">
        <f t="shared" si="22"/>
        <v>0</v>
      </c>
      <c r="W94" s="127">
        <f t="shared" si="23"/>
        <v>0</v>
      </c>
    </row>
    <row r="95" spans="2:23">
      <c r="B95" s="123">
        <f>Amnt_Deposited!B90</f>
        <v>2076</v>
      </c>
      <c r="C95" s="126">
        <f>Amnt_Deposited!P90</f>
        <v>0</v>
      </c>
      <c r="D95" s="537">
        <f>Dry_Matter_Content!P82</f>
        <v>0</v>
      </c>
      <c r="E95" s="382">
        <f>MCF!R94</f>
        <v>0.4</v>
      </c>
      <c r="F95" s="93">
        <f t="shared" si="12"/>
        <v>0</v>
      </c>
      <c r="G95" s="93">
        <f t="shared" si="13"/>
        <v>0</v>
      </c>
      <c r="H95" s="93">
        <f t="shared" si="14"/>
        <v>0</v>
      </c>
      <c r="I95" s="93">
        <f t="shared" si="15"/>
        <v>0</v>
      </c>
      <c r="J95" s="93">
        <f t="shared" si="16"/>
        <v>0</v>
      </c>
      <c r="K95" s="127">
        <f t="shared" si="18"/>
        <v>0</v>
      </c>
      <c r="O95" s="123">
        <f>Amnt_Deposited!B90</f>
        <v>2076</v>
      </c>
      <c r="P95" s="126">
        <f>Amnt_Deposited!P90</f>
        <v>0</v>
      </c>
      <c r="Q95" s="382">
        <f>MCF!R94</f>
        <v>0.4</v>
      </c>
      <c r="R95" s="93">
        <f t="shared" si="17"/>
        <v>0</v>
      </c>
      <c r="S95" s="93">
        <f t="shared" si="19"/>
        <v>0</v>
      </c>
      <c r="T95" s="93">
        <f t="shared" si="20"/>
        <v>0</v>
      </c>
      <c r="U95" s="93">
        <f t="shared" si="21"/>
        <v>0</v>
      </c>
      <c r="V95" s="93">
        <f t="shared" si="22"/>
        <v>0</v>
      </c>
      <c r="W95" s="127">
        <f t="shared" si="23"/>
        <v>0</v>
      </c>
    </row>
    <row r="96" spans="2:23">
      <c r="B96" s="123">
        <f>Amnt_Deposited!B91</f>
        <v>2077</v>
      </c>
      <c r="C96" s="126">
        <f>Amnt_Deposited!P91</f>
        <v>0</v>
      </c>
      <c r="D96" s="537">
        <f>Dry_Matter_Content!P83</f>
        <v>0</v>
      </c>
      <c r="E96" s="382">
        <f>MCF!R95</f>
        <v>0.4</v>
      </c>
      <c r="F96" s="93">
        <f t="shared" si="12"/>
        <v>0</v>
      </c>
      <c r="G96" s="93">
        <f t="shared" si="13"/>
        <v>0</v>
      </c>
      <c r="H96" s="93">
        <f t="shared" si="14"/>
        <v>0</v>
      </c>
      <c r="I96" s="93">
        <f t="shared" si="15"/>
        <v>0</v>
      </c>
      <c r="J96" s="93">
        <f t="shared" si="16"/>
        <v>0</v>
      </c>
      <c r="K96" s="127">
        <f t="shared" si="18"/>
        <v>0</v>
      </c>
      <c r="O96" s="123">
        <f>Amnt_Deposited!B91</f>
        <v>2077</v>
      </c>
      <c r="P96" s="126">
        <f>Amnt_Deposited!P91</f>
        <v>0</v>
      </c>
      <c r="Q96" s="382">
        <f>MCF!R95</f>
        <v>0.4</v>
      </c>
      <c r="R96" s="93">
        <f t="shared" si="17"/>
        <v>0</v>
      </c>
      <c r="S96" s="93">
        <f t="shared" si="19"/>
        <v>0</v>
      </c>
      <c r="T96" s="93">
        <f t="shared" si="20"/>
        <v>0</v>
      </c>
      <c r="U96" s="93">
        <f t="shared" si="21"/>
        <v>0</v>
      </c>
      <c r="V96" s="93">
        <f t="shared" si="22"/>
        <v>0</v>
      </c>
      <c r="W96" s="127">
        <f t="shared" si="23"/>
        <v>0</v>
      </c>
    </row>
    <row r="97" spans="2:23">
      <c r="B97" s="123">
        <f>Amnt_Deposited!B92</f>
        <v>2078</v>
      </c>
      <c r="C97" s="126">
        <f>Amnt_Deposited!P92</f>
        <v>0</v>
      </c>
      <c r="D97" s="537">
        <f>Dry_Matter_Content!P84</f>
        <v>0</v>
      </c>
      <c r="E97" s="382">
        <f>MCF!R96</f>
        <v>0.4</v>
      </c>
      <c r="F97" s="93">
        <f t="shared" si="12"/>
        <v>0</v>
      </c>
      <c r="G97" s="93">
        <f t="shared" si="13"/>
        <v>0</v>
      </c>
      <c r="H97" s="93">
        <f t="shared" si="14"/>
        <v>0</v>
      </c>
      <c r="I97" s="93">
        <f t="shared" si="15"/>
        <v>0</v>
      </c>
      <c r="J97" s="93">
        <f t="shared" si="16"/>
        <v>0</v>
      </c>
      <c r="K97" s="127">
        <f t="shared" si="18"/>
        <v>0</v>
      </c>
      <c r="O97" s="123">
        <f>Amnt_Deposited!B92</f>
        <v>2078</v>
      </c>
      <c r="P97" s="126">
        <f>Amnt_Deposited!P92</f>
        <v>0</v>
      </c>
      <c r="Q97" s="382">
        <f>MCF!R96</f>
        <v>0.4</v>
      </c>
      <c r="R97" s="93">
        <f t="shared" si="17"/>
        <v>0</v>
      </c>
      <c r="S97" s="93">
        <f t="shared" si="19"/>
        <v>0</v>
      </c>
      <c r="T97" s="93">
        <f t="shared" si="20"/>
        <v>0</v>
      </c>
      <c r="U97" s="93">
        <f t="shared" si="21"/>
        <v>0</v>
      </c>
      <c r="V97" s="93">
        <f t="shared" si="22"/>
        <v>0</v>
      </c>
      <c r="W97" s="127">
        <f t="shared" si="23"/>
        <v>0</v>
      </c>
    </row>
    <row r="98" spans="2:23">
      <c r="B98" s="123">
        <f>Amnt_Deposited!B93</f>
        <v>2079</v>
      </c>
      <c r="C98" s="126">
        <f>Amnt_Deposited!P93</f>
        <v>0</v>
      </c>
      <c r="D98" s="537">
        <f>Dry_Matter_Content!P85</f>
        <v>0</v>
      </c>
      <c r="E98" s="382">
        <f>MCF!R97</f>
        <v>0.4</v>
      </c>
      <c r="F98" s="93">
        <f t="shared" si="12"/>
        <v>0</v>
      </c>
      <c r="G98" s="93">
        <f t="shared" si="13"/>
        <v>0</v>
      </c>
      <c r="H98" s="93">
        <f t="shared" si="14"/>
        <v>0</v>
      </c>
      <c r="I98" s="93">
        <f t="shared" si="15"/>
        <v>0</v>
      </c>
      <c r="J98" s="93">
        <f t="shared" si="16"/>
        <v>0</v>
      </c>
      <c r="K98" s="127">
        <f t="shared" si="18"/>
        <v>0</v>
      </c>
      <c r="O98" s="123">
        <f>Amnt_Deposited!B93</f>
        <v>2079</v>
      </c>
      <c r="P98" s="126">
        <f>Amnt_Deposited!P93</f>
        <v>0</v>
      </c>
      <c r="Q98" s="382">
        <f>MCF!R97</f>
        <v>0.4</v>
      </c>
      <c r="R98" s="93">
        <f t="shared" si="17"/>
        <v>0</v>
      </c>
      <c r="S98" s="93">
        <f t="shared" si="19"/>
        <v>0</v>
      </c>
      <c r="T98" s="93">
        <f t="shared" si="20"/>
        <v>0</v>
      </c>
      <c r="U98" s="93">
        <f t="shared" si="21"/>
        <v>0</v>
      </c>
      <c r="V98" s="93">
        <f t="shared" si="22"/>
        <v>0</v>
      </c>
      <c r="W98" s="127">
        <f t="shared" si="23"/>
        <v>0</v>
      </c>
    </row>
    <row r="99" spans="2:23" ht="13.5" thickBot="1">
      <c r="B99" s="124">
        <f>Amnt_Deposited!B94</f>
        <v>2080</v>
      </c>
      <c r="C99" s="126">
        <f>Amnt_Deposited!P94</f>
        <v>0</v>
      </c>
      <c r="D99" s="537">
        <f>Dry_Matter_Content!P86</f>
        <v>0</v>
      </c>
      <c r="E99" s="383">
        <f>MCF!R98</f>
        <v>0.4</v>
      </c>
      <c r="F99" s="94">
        <f t="shared" si="12"/>
        <v>0</v>
      </c>
      <c r="G99" s="94">
        <f t="shared" si="13"/>
        <v>0</v>
      </c>
      <c r="H99" s="94">
        <f t="shared" si="14"/>
        <v>0</v>
      </c>
      <c r="I99" s="94">
        <f t="shared" si="15"/>
        <v>0</v>
      </c>
      <c r="J99" s="94">
        <f t="shared" si="16"/>
        <v>0</v>
      </c>
      <c r="K99" s="129">
        <f t="shared" si="18"/>
        <v>0</v>
      </c>
      <c r="O99" s="124">
        <f>Amnt_Deposited!B94</f>
        <v>2080</v>
      </c>
      <c r="P99" s="126">
        <f>Amnt_Deposited!P94</f>
        <v>0</v>
      </c>
      <c r="Q99" s="383">
        <f>MCF!R98</f>
        <v>0.4</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zoomScale="85" zoomScaleNormal="85" zoomScalePageLayoutView="150" workbookViewId="0">
      <pane xSplit="2" ySplit="17" topLeftCell="C18" activePane="bottomRight" state="frozen"/>
      <selection activeCell="E19" sqref="E19"/>
      <selection pane="topRight" activeCell="E19" sqref="E19"/>
      <selection pane="bottomLeft" activeCell="E19" sqref="E19"/>
      <selection pane="bottomRight" activeCell="C17" sqref="C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780" t="s">
        <v>107</v>
      </c>
      <c r="R2" s="780"/>
      <c r="S2" s="780"/>
      <c r="T2" s="780"/>
    </row>
    <row r="4" spans="2:20">
      <c r="C4" t="s">
        <v>26</v>
      </c>
    </row>
    <row r="5" spans="2:20">
      <c r="C5" t="s">
        <v>281</v>
      </c>
    </row>
    <row r="6" spans="2:20">
      <c r="C6" t="s">
        <v>29</v>
      </c>
    </row>
    <row r="7" spans="2:20">
      <c r="C7" t="s">
        <v>109</v>
      </c>
    </row>
    <row r="8" spans="2:20" ht="13.5" thickBot="1"/>
    <row r="9" spans="2:20" ht="13.5" thickBot="1">
      <c r="C9" s="781" t="s">
        <v>95</v>
      </c>
      <c r="D9" s="782"/>
      <c r="E9" s="782"/>
      <c r="F9" s="782"/>
      <c r="G9" s="782"/>
      <c r="H9" s="783"/>
      <c r="I9" s="789" t="s">
        <v>308</v>
      </c>
      <c r="J9" s="790"/>
      <c r="K9" s="790"/>
      <c r="L9" s="790"/>
      <c r="M9" s="790"/>
      <c r="N9" s="791"/>
      <c r="R9" s="186" t="s">
        <v>95</v>
      </c>
      <c r="S9" s="558" t="s">
        <v>308</v>
      </c>
    </row>
    <row r="10" spans="2:20" s="1" customFormat="1" ht="38.25" customHeight="1">
      <c r="B10" s="27"/>
      <c r="C10" s="27" t="s">
        <v>341</v>
      </c>
      <c r="D10" s="28" t="s">
        <v>340</v>
      </c>
      <c r="E10" s="28" t="s">
        <v>339</v>
      </c>
      <c r="F10" s="28" t="s">
        <v>206</v>
      </c>
      <c r="G10" s="28" t="s">
        <v>338</v>
      </c>
      <c r="H10" s="29" t="s">
        <v>161</v>
      </c>
      <c r="I10" s="684" t="s">
        <v>104</v>
      </c>
      <c r="J10" s="685" t="s">
        <v>105</v>
      </c>
      <c r="K10" s="685" t="s">
        <v>0</v>
      </c>
      <c r="L10" s="685" t="s">
        <v>206</v>
      </c>
      <c r="M10" s="685" t="s">
        <v>103</v>
      </c>
      <c r="N10" s="686" t="s">
        <v>161</v>
      </c>
      <c r="O10" s="557" t="s">
        <v>28</v>
      </c>
      <c r="R10" s="784" t="s">
        <v>147</v>
      </c>
      <c r="S10" s="784"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87"/>
      <c r="R11" s="785"/>
      <c r="S11" s="785"/>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88"/>
      <c r="R12" s="785"/>
      <c r="S12" s="785"/>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89"/>
      <c r="R13" s="785"/>
      <c r="S13" s="785"/>
    </row>
    <row r="14" spans="2:20" s="3" customFormat="1" ht="13.5" thickBot="1">
      <c r="B14" s="33"/>
      <c r="C14" s="33"/>
      <c r="D14" s="22"/>
      <c r="E14" s="22"/>
      <c r="F14" s="22"/>
      <c r="G14" s="22"/>
      <c r="H14" s="181"/>
      <c r="I14" s="33"/>
      <c r="J14" s="22"/>
      <c r="K14" s="22"/>
      <c r="L14" s="22"/>
      <c r="M14" s="22"/>
      <c r="N14" s="181"/>
      <c r="O14" s="690"/>
      <c r="R14" s="785"/>
      <c r="S14" s="785"/>
    </row>
    <row r="15" spans="2:20" s="3" customFormat="1" ht="12.75" customHeight="1" thickBot="1">
      <c r="B15" s="284"/>
      <c r="C15" s="777" t="s">
        <v>158</v>
      </c>
      <c r="D15" s="778"/>
      <c r="E15" s="778"/>
      <c r="F15" s="778"/>
      <c r="G15" s="778"/>
      <c r="H15" s="779"/>
      <c r="I15" s="777" t="s">
        <v>158</v>
      </c>
      <c r="J15" s="778"/>
      <c r="K15" s="778"/>
      <c r="L15" s="778"/>
      <c r="M15" s="778"/>
      <c r="N15" s="779"/>
      <c r="O15" s="691"/>
      <c r="R15" s="785"/>
      <c r="S15" s="785"/>
    </row>
    <row r="16" spans="2:20" s="3" customFormat="1" ht="26.25" thickBot="1">
      <c r="B16" s="184" t="s">
        <v>160</v>
      </c>
      <c r="C16" s="748">
        <v>1</v>
      </c>
      <c r="D16" s="287">
        <v>0</v>
      </c>
      <c r="E16" s="287">
        <v>0</v>
      </c>
      <c r="F16" s="287">
        <v>0</v>
      </c>
      <c r="G16" s="287">
        <v>0</v>
      </c>
      <c r="H16" s="787" t="s">
        <v>36</v>
      </c>
      <c r="I16" s="692">
        <v>0.2</v>
      </c>
      <c r="J16" s="693">
        <v>0.3</v>
      </c>
      <c r="K16" s="693">
        <v>0.25</v>
      </c>
      <c r="L16" s="693">
        <v>0.05</v>
      </c>
      <c r="M16" s="693">
        <v>0.2</v>
      </c>
      <c r="N16" s="787" t="s">
        <v>36</v>
      </c>
      <c r="O16" s="694"/>
      <c r="R16" s="786"/>
      <c r="S16" s="786"/>
    </row>
    <row r="17" spans="2:19" s="3" customFormat="1" ht="13.5" thickBot="1">
      <c r="B17" s="15" t="s">
        <v>1</v>
      </c>
      <c r="C17" s="15" t="s">
        <v>24</v>
      </c>
      <c r="D17" s="16" t="s">
        <v>24</v>
      </c>
      <c r="E17" s="16" t="s">
        <v>24</v>
      </c>
      <c r="F17" s="16" t="s">
        <v>24</v>
      </c>
      <c r="G17" s="16" t="s">
        <v>24</v>
      </c>
      <c r="H17" s="788"/>
      <c r="I17" s="15" t="s">
        <v>24</v>
      </c>
      <c r="J17" s="16" t="s">
        <v>24</v>
      </c>
      <c r="K17" s="16" t="s">
        <v>24</v>
      </c>
      <c r="L17" s="16" t="s">
        <v>24</v>
      </c>
      <c r="M17" s="16" t="s">
        <v>24</v>
      </c>
      <c r="N17" s="788"/>
      <c r="O17" s="687"/>
      <c r="R17" s="184" t="s">
        <v>157</v>
      </c>
      <c r="S17" s="695" t="s">
        <v>157</v>
      </c>
    </row>
    <row r="18" spans="2:19">
      <c r="B18" s="350">
        <f>year</f>
        <v>2000</v>
      </c>
      <c r="C18" s="285">
        <f>C$16</f>
        <v>1</v>
      </c>
      <c r="D18" s="286">
        <f t="shared" ref="D18:G33" si="0">D$16</f>
        <v>0</v>
      </c>
      <c r="E18" s="286">
        <f t="shared" si="0"/>
        <v>0</v>
      </c>
      <c r="F18" s="286">
        <f t="shared" si="0"/>
        <v>0</v>
      </c>
      <c r="G18" s="286">
        <f t="shared" si="0"/>
        <v>0</v>
      </c>
      <c r="H18" s="34">
        <f>SUM(C18:G18)</f>
        <v>1</v>
      </c>
      <c r="I18" s="285">
        <f>I$16</f>
        <v>0.2</v>
      </c>
      <c r="J18" s="286">
        <f t="shared" ref="J18:M33" si="1">J$16</f>
        <v>0.3</v>
      </c>
      <c r="K18" s="286">
        <f t="shared" si="1"/>
        <v>0.25</v>
      </c>
      <c r="L18" s="286">
        <f t="shared" si="1"/>
        <v>0.05</v>
      </c>
      <c r="M18" s="286">
        <f t="shared" si="1"/>
        <v>0.2</v>
      </c>
      <c r="N18" s="34">
        <f>SUM(I18:M18)</f>
        <v>1</v>
      </c>
      <c r="O18" s="64"/>
      <c r="R18" s="185">
        <f>C18*C$13+D18*D$13+E18*E$13+F18*F$13+G18*G$13</f>
        <v>0.4</v>
      </c>
      <c r="S18" s="696">
        <f>I18*I$13+J18*J$13+K18*K$13+L18*L$13+M18*M$13</f>
        <v>0.71500000000000008</v>
      </c>
    </row>
    <row r="19" spans="2:19">
      <c r="B19" s="351">
        <f t="shared" ref="B19:B50" si="2">B18+1</f>
        <v>2001</v>
      </c>
      <c r="C19" s="67">
        <f t="shared" ref="C19:G50" si="3">C$16</f>
        <v>1</v>
      </c>
      <c r="D19" s="68">
        <f t="shared" si="0"/>
        <v>0</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8"/>
      <c r="R19" s="185">
        <f t="shared" ref="R19:R82" si="7">C19*C$13+D19*D$13+E19*E$13+F19*F$13+G19*G$13</f>
        <v>0.4</v>
      </c>
      <c r="S19" s="696">
        <f t="shared" ref="S19:S82" si="8">I19*I$13+J19*J$13+K19*K$13+L19*L$13+M19*M$13</f>
        <v>0.71500000000000008</v>
      </c>
    </row>
    <row r="20" spans="2:19">
      <c r="B20" s="351">
        <f t="shared" si="2"/>
        <v>2002</v>
      </c>
      <c r="C20" s="67">
        <f t="shared" si="3"/>
        <v>1</v>
      </c>
      <c r="D20" s="68">
        <f t="shared" si="0"/>
        <v>0</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8"/>
      <c r="R20" s="185">
        <f t="shared" si="7"/>
        <v>0.4</v>
      </c>
      <c r="S20" s="696">
        <f t="shared" si="8"/>
        <v>0.71500000000000008</v>
      </c>
    </row>
    <row r="21" spans="2:19">
      <c r="B21" s="351">
        <f t="shared" si="2"/>
        <v>2003</v>
      </c>
      <c r="C21" s="67">
        <f t="shared" si="3"/>
        <v>1</v>
      </c>
      <c r="D21" s="68">
        <f t="shared" si="0"/>
        <v>0</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8"/>
      <c r="R21" s="185">
        <f t="shared" si="7"/>
        <v>0.4</v>
      </c>
      <c r="S21" s="696">
        <f t="shared" si="8"/>
        <v>0.71500000000000008</v>
      </c>
    </row>
    <row r="22" spans="2:19">
      <c r="B22" s="351">
        <f t="shared" si="2"/>
        <v>2004</v>
      </c>
      <c r="C22" s="67">
        <f t="shared" si="3"/>
        <v>1</v>
      </c>
      <c r="D22" s="68">
        <f t="shared" si="0"/>
        <v>0</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8"/>
      <c r="R22" s="185">
        <f t="shared" si="7"/>
        <v>0.4</v>
      </c>
      <c r="S22" s="696">
        <f t="shared" si="8"/>
        <v>0.71500000000000008</v>
      </c>
    </row>
    <row r="23" spans="2:19">
      <c r="B23" s="351">
        <f t="shared" si="2"/>
        <v>2005</v>
      </c>
      <c r="C23" s="67">
        <f t="shared" si="3"/>
        <v>1</v>
      </c>
      <c r="D23" s="68">
        <f t="shared" si="0"/>
        <v>0</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8"/>
      <c r="R23" s="185">
        <f t="shared" si="7"/>
        <v>0.4</v>
      </c>
      <c r="S23" s="696">
        <f t="shared" si="8"/>
        <v>0.71500000000000008</v>
      </c>
    </row>
    <row r="24" spans="2:19">
      <c r="B24" s="351">
        <f t="shared" si="2"/>
        <v>2006</v>
      </c>
      <c r="C24" s="67">
        <f t="shared" si="3"/>
        <v>1</v>
      </c>
      <c r="D24" s="68">
        <f t="shared" si="0"/>
        <v>0</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8"/>
      <c r="R24" s="185">
        <f t="shared" si="7"/>
        <v>0.4</v>
      </c>
      <c r="S24" s="696">
        <f t="shared" si="8"/>
        <v>0.71500000000000008</v>
      </c>
    </row>
    <row r="25" spans="2:19">
      <c r="B25" s="351">
        <f t="shared" si="2"/>
        <v>2007</v>
      </c>
      <c r="C25" s="67">
        <f t="shared" si="3"/>
        <v>1</v>
      </c>
      <c r="D25" s="68">
        <f t="shared" si="0"/>
        <v>0</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8"/>
      <c r="R25" s="185">
        <f t="shared" si="7"/>
        <v>0.4</v>
      </c>
      <c r="S25" s="696">
        <f t="shared" si="8"/>
        <v>0.71500000000000008</v>
      </c>
    </row>
    <row r="26" spans="2:19">
      <c r="B26" s="351">
        <f t="shared" si="2"/>
        <v>2008</v>
      </c>
      <c r="C26" s="67">
        <f t="shared" si="3"/>
        <v>1</v>
      </c>
      <c r="D26" s="68">
        <f t="shared" si="0"/>
        <v>0</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8"/>
      <c r="R26" s="185">
        <f t="shared" si="7"/>
        <v>0.4</v>
      </c>
      <c r="S26" s="696">
        <f t="shared" si="8"/>
        <v>0.71500000000000008</v>
      </c>
    </row>
    <row r="27" spans="2:19">
      <c r="B27" s="351">
        <f t="shared" si="2"/>
        <v>2009</v>
      </c>
      <c r="C27" s="67">
        <f t="shared" si="3"/>
        <v>1</v>
      </c>
      <c r="D27" s="68">
        <f t="shared" si="0"/>
        <v>0</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8"/>
      <c r="R27" s="185">
        <f t="shared" si="7"/>
        <v>0.4</v>
      </c>
      <c r="S27" s="696">
        <f t="shared" si="8"/>
        <v>0.71500000000000008</v>
      </c>
    </row>
    <row r="28" spans="2:19">
      <c r="B28" s="351">
        <f t="shared" si="2"/>
        <v>2010</v>
      </c>
      <c r="C28" s="67">
        <f t="shared" si="3"/>
        <v>1</v>
      </c>
      <c r="D28" s="68">
        <f t="shared" si="0"/>
        <v>0</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8"/>
      <c r="R28" s="185">
        <f t="shared" si="7"/>
        <v>0.4</v>
      </c>
      <c r="S28" s="696">
        <f t="shared" si="8"/>
        <v>0.71500000000000008</v>
      </c>
    </row>
    <row r="29" spans="2:19">
      <c r="B29" s="351">
        <f t="shared" si="2"/>
        <v>2011</v>
      </c>
      <c r="C29" s="67">
        <f t="shared" si="3"/>
        <v>1</v>
      </c>
      <c r="D29" s="68">
        <f t="shared" si="0"/>
        <v>0</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8"/>
      <c r="R29" s="185">
        <f t="shared" si="7"/>
        <v>0.4</v>
      </c>
      <c r="S29" s="696">
        <f t="shared" si="8"/>
        <v>0.71500000000000008</v>
      </c>
    </row>
    <row r="30" spans="2:19">
      <c r="B30" s="351">
        <f t="shared" si="2"/>
        <v>2012</v>
      </c>
      <c r="C30" s="67">
        <f t="shared" si="3"/>
        <v>1</v>
      </c>
      <c r="D30" s="68">
        <f t="shared" si="0"/>
        <v>0</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8"/>
      <c r="R30" s="185">
        <f t="shared" si="7"/>
        <v>0.4</v>
      </c>
      <c r="S30" s="696">
        <f t="shared" si="8"/>
        <v>0.71500000000000008</v>
      </c>
    </row>
    <row r="31" spans="2:19">
      <c r="B31" s="351">
        <f t="shared" si="2"/>
        <v>2013</v>
      </c>
      <c r="C31" s="67">
        <f t="shared" si="3"/>
        <v>1</v>
      </c>
      <c r="D31" s="68">
        <f t="shared" si="0"/>
        <v>0</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8"/>
      <c r="R31" s="185">
        <f t="shared" si="7"/>
        <v>0.4</v>
      </c>
      <c r="S31" s="696">
        <f t="shared" si="8"/>
        <v>0.71500000000000008</v>
      </c>
    </row>
    <row r="32" spans="2:19">
      <c r="B32" s="351">
        <f t="shared" si="2"/>
        <v>2014</v>
      </c>
      <c r="C32" s="67">
        <f t="shared" si="3"/>
        <v>1</v>
      </c>
      <c r="D32" s="68">
        <f t="shared" si="0"/>
        <v>0</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8"/>
      <c r="R32" s="185">
        <f t="shared" si="7"/>
        <v>0.4</v>
      </c>
      <c r="S32" s="696">
        <f t="shared" si="8"/>
        <v>0.71500000000000008</v>
      </c>
    </row>
    <row r="33" spans="2:19">
      <c r="B33" s="351">
        <f t="shared" si="2"/>
        <v>2015</v>
      </c>
      <c r="C33" s="67">
        <f t="shared" si="3"/>
        <v>1</v>
      </c>
      <c r="D33" s="68">
        <f t="shared" si="0"/>
        <v>0</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8"/>
      <c r="R33" s="185">
        <f t="shared" si="7"/>
        <v>0.4</v>
      </c>
      <c r="S33" s="696">
        <f t="shared" si="8"/>
        <v>0.71500000000000008</v>
      </c>
    </row>
    <row r="34" spans="2:19">
      <c r="B34" s="351">
        <f t="shared" si="2"/>
        <v>2016</v>
      </c>
      <c r="C34" s="67">
        <f t="shared" si="3"/>
        <v>1</v>
      </c>
      <c r="D34" s="68">
        <f t="shared" si="3"/>
        <v>0</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8"/>
      <c r="R34" s="185">
        <f t="shared" si="7"/>
        <v>0.4</v>
      </c>
      <c r="S34" s="696">
        <f t="shared" si="8"/>
        <v>0.71500000000000008</v>
      </c>
    </row>
    <row r="35" spans="2:19">
      <c r="B35" s="351">
        <f t="shared" si="2"/>
        <v>2017</v>
      </c>
      <c r="C35" s="67">
        <f t="shared" si="3"/>
        <v>1</v>
      </c>
      <c r="D35" s="68">
        <f t="shared" si="3"/>
        <v>0</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8"/>
      <c r="R35" s="185">
        <f t="shared" si="7"/>
        <v>0.4</v>
      </c>
      <c r="S35" s="696">
        <f t="shared" si="8"/>
        <v>0.71500000000000008</v>
      </c>
    </row>
    <row r="36" spans="2:19">
      <c r="B36" s="351">
        <f t="shared" si="2"/>
        <v>2018</v>
      </c>
      <c r="C36" s="67">
        <f t="shared" si="3"/>
        <v>1</v>
      </c>
      <c r="D36" s="68">
        <f t="shared" si="3"/>
        <v>0</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8"/>
      <c r="R36" s="185">
        <f t="shared" si="7"/>
        <v>0.4</v>
      </c>
      <c r="S36" s="696">
        <f t="shared" si="8"/>
        <v>0.71500000000000008</v>
      </c>
    </row>
    <row r="37" spans="2:19">
      <c r="B37" s="351">
        <f t="shared" si="2"/>
        <v>2019</v>
      </c>
      <c r="C37" s="67">
        <f t="shared" si="3"/>
        <v>1</v>
      </c>
      <c r="D37" s="68">
        <f t="shared" si="3"/>
        <v>0</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8"/>
      <c r="R37" s="185">
        <f t="shared" si="7"/>
        <v>0.4</v>
      </c>
      <c r="S37" s="696">
        <f t="shared" si="8"/>
        <v>0.71500000000000008</v>
      </c>
    </row>
    <row r="38" spans="2:19">
      <c r="B38" s="351">
        <f t="shared" si="2"/>
        <v>2020</v>
      </c>
      <c r="C38" s="67">
        <f t="shared" si="3"/>
        <v>1</v>
      </c>
      <c r="D38" s="68">
        <f t="shared" si="3"/>
        <v>0</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8"/>
      <c r="R38" s="185">
        <f t="shared" si="7"/>
        <v>0.4</v>
      </c>
      <c r="S38" s="696">
        <f t="shared" si="8"/>
        <v>0.71500000000000008</v>
      </c>
    </row>
    <row r="39" spans="2:19">
      <c r="B39" s="351">
        <f t="shared" si="2"/>
        <v>2021</v>
      </c>
      <c r="C39" s="67">
        <f t="shared" si="3"/>
        <v>1</v>
      </c>
      <c r="D39" s="68">
        <f t="shared" si="3"/>
        <v>0</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8"/>
      <c r="R39" s="185">
        <f t="shared" si="7"/>
        <v>0.4</v>
      </c>
      <c r="S39" s="696">
        <f t="shared" si="8"/>
        <v>0.71500000000000008</v>
      </c>
    </row>
    <row r="40" spans="2:19">
      <c r="B40" s="351">
        <f t="shared" si="2"/>
        <v>2022</v>
      </c>
      <c r="C40" s="67">
        <f t="shared" si="3"/>
        <v>1</v>
      </c>
      <c r="D40" s="68">
        <f t="shared" si="3"/>
        <v>0</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8"/>
      <c r="R40" s="185">
        <f t="shared" si="7"/>
        <v>0.4</v>
      </c>
      <c r="S40" s="696">
        <f t="shared" si="8"/>
        <v>0.71500000000000008</v>
      </c>
    </row>
    <row r="41" spans="2:19">
      <c r="B41" s="351">
        <f t="shared" si="2"/>
        <v>2023</v>
      </c>
      <c r="C41" s="67">
        <f t="shared" si="3"/>
        <v>1</v>
      </c>
      <c r="D41" s="68">
        <f t="shared" si="3"/>
        <v>0</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8"/>
      <c r="R41" s="185">
        <f t="shared" si="7"/>
        <v>0.4</v>
      </c>
      <c r="S41" s="696">
        <f t="shared" si="8"/>
        <v>0.71500000000000008</v>
      </c>
    </row>
    <row r="42" spans="2:19">
      <c r="B42" s="351">
        <f t="shared" si="2"/>
        <v>2024</v>
      </c>
      <c r="C42" s="67">
        <f t="shared" si="3"/>
        <v>1</v>
      </c>
      <c r="D42" s="68">
        <f t="shared" si="3"/>
        <v>0</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8"/>
      <c r="R42" s="185">
        <f t="shared" si="7"/>
        <v>0.4</v>
      </c>
      <c r="S42" s="696">
        <f t="shared" si="8"/>
        <v>0.71500000000000008</v>
      </c>
    </row>
    <row r="43" spans="2:19">
      <c r="B43" s="351">
        <f t="shared" si="2"/>
        <v>2025</v>
      </c>
      <c r="C43" s="67">
        <f t="shared" si="3"/>
        <v>1</v>
      </c>
      <c r="D43" s="68">
        <f t="shared" si="3"/>
        <v>0</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8"/>
      <c r="R43" s="185">
        <f t="shared" si="7"/>
        <v>0.4</v>
      </c>
      <c r="S43" s="696">
        <f t="shared" si="8"/>
        <v>0.71500000000000008</v>
      </c>
    </row>
    <row r="44" spans="2:19">
      <c r="B44" s="351">
        <f t="shared" si="2"/>
        <v>2026</v>
      </c>
      <c r="C44" s="67">
        <f t="shared" si="3"/>
        <v>1</v>
      </c>
      <c r="D44" s="68">
        <f t="shared" si="3"/>
        <v>0</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8"/>
      <c r="R44" s="185">
        <f t="shared" si="7"/>
        <v>0.4</v>
      </c>
      <c r="S44" s="696">
        <f t="shared" si="8"/>
        <v>0.71500000000000008</v>
      </c>
    </row>
    <row r="45" spans="2:19">
      <c r="B45" s="351">
        <f t="shared" si="2"/>
        <v>2027</v>
      </c>
      <c r="C45" s="67">
        <f t="shared" si="3"/>
        <v>1</v>
      </c>
      <c r="D45" s="68">
        <f t="shared" si="3"/>
        <v>0</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8"/>
      <c r="R45" s="185">
        <f t="shared" si="7"/>
        <v>0.4</v>
      </c>
      <c r="S45" s="696">
        <f t="shared" si="8"/>
        <v>0.71500000000000008</v>
      </c>
    </row>
    <row r="46" spans="2:19">
      <c r="B46" s="351">
        <f t="shared" si="2"/>
        <v>2028</v>
      </c>
      <c r="C46" s="67">
        <f t="shared" si="3"/>
        <v>1</v>
      </c>
      <c r="D46" s="68">
        <f t="shared" si="3"/>
        <v>0</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8"/>
      <c r="R46" s="185">
        <f t="shared" si="7"/>
        <v>0.4</v>
      </c>
      <c r="S46" s="696">
        <f t="shared" si="8"/>
        <v>0.71500000000000008</v>
      </c>
    </row>
    <row r="47" spans="2:19">
      <c r="B47" s="351">
        <f t="shared" si="2"/>
        <v>2029</v>
      </c>
      <c r="C47" s="67">
        <f t="shared" si="3"/>
        <v>1</v>
      </c>
      <c r="D47" s="68">
        <f t="shared" si="3"/>
        <v>0</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8"/>
      <c r="R47" s="185">
        <f t="shared" si="7"/>
        <v>0.4</v>
      </c>
      <c r="S47" s="696">
        <f t="shared" si="8"/>
        <v>0.71500000000000008</v>
      </c>
    </row>
    <row r="48" spans="2:19">
      <c r="B48" s="351">
        <f t="shared" si="2"/>
        <v>2030</v>
      </c>
      <c r="C48" s="67">
        <f t="shared" si="3"/>
        <v>1</v>
      </c>
      <c r="D48" s="68">
        <f t="shared" si="3"/>
        <v>0</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8"/>
      <c r="R48" s="185">
        <f t="shared" si="7"/>
        <v>0.4</v>
      </c>
      <c r="S48" s="696">
        <f t="shared" si="8"/>
        <v>0.71500000000000008</v>
      </c>
    </row>
    <row r="49" spans="2:19">
      <c r="B49" s="351">
        <f t="shared" si="2"/>
        <v>2031</v>
      </c>
      <c r="C49" s="67">
        <f t="shared" si="3"/>
        <v>1</v>
      </c>
      <c r="D49" s="68">
        <f t="shared" si="3"/>
        <v>0</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8"/>
      <c r="R49" s="185">
        <f t="shared" si="7"/>
        <v>0.4</v>
      </c>
      <c r="S49" s="696">
        <f t="shared" si="8"/>
        <v>0.71500000000000008</v>
      </c>
    </row>
    <row r="50" spans="2:19">
      <c r="B50" s="351">
        <f t="shared" si="2"/>
        <v>2032</v>
      </c>
      <c r="C50" s="67">
        <f t="shared" si="3"/>
        <v>1</v>
      </c>
      <c r="D50" s="68">
        <f t="shared" si="3"/>
        <v>0</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8"/>
      <c r="R50" s="185">
        <f t="shared" si="7"/>
        <v>0.4</v>
      </c>
      <c r="S50" s="696">
        <f t="shared" si="8"/>
        <v>0.71500000000000008</v>
      </c>
    </row>
    <row r="51" spans="2:19">
      <c r="B51" s="351">
        <f t="shared" ref="B51:B82" si="9">B50+1</f>
        <v>2033</v>
      </c>
      <c r="C51" s="67">
        <f t="shared" ref="C51:G98" si="10">C$16</f>
        <v>1</v>
      </c>
      <c r="D51" s="68">
        <f t="shared" si="10"/>
        <v>0</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8"/>
      <c r="R51" s="185">
        <f t="shared" si="7"/>
        <v>0.4</v>
      </c>
      <c r="S51" s="696">
        <f t="shared" si="8"/>
        <v>0.71500000000000008</v>
      </c>
    </row>
    <row r="52" spans="2:19">
      <c r="B52" s="351">
        <f t="shared" si="9"/>
        <v>2034</v>
      </c>
      <c r="C52" s="67">
        <f t="shared" si="10"/>
        <v>1</v>
      </c>
      <c r="D52" s="68">
        <f t="shared" si="10"/>
        <v>0</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8"/>
      <c r="R52" s="185">
        <f t="shared" si="7"/>
        <v>0.4</v>
      </c>
      <c r="S52" s="696">
        <f t="shared" si="8"/>
        <v>0.71500000000000008</v>
      </c>
    </row>
    <row r="53" spans="2:19">
      <c r="B53" s="351">
        <f t="shared" si="9"/>
        <v>2035</v>
      </c>
      <c r="C53" s="67">
        <f t="shared" si="10"/>
        <v>1</v>
      </c>
      <c r="D53" s="68">
        <f t="shared" si="10"/>
        <v>0</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8"/>
      <c r="R53" s="185">
        <f t="shared" si="7"/>
        <v>0.4</v>
      </c>
      <c r="S53" s="696">
        <f t="shared" si="8"/>
        <v>0.71500000000000008</v>
      </c>
    </row>
    <row r="54" spans="2:19">
      <c r="B54" s="351">
        <f t="shared" si="9"/>
        <v>2036</v>
      </c>
      <c r="C54" s="67">
        <f t="shared" si="10"/>
        <v>1</v>
      </c>
      <c r="D54" s="68">
        <f t="shared" si="10"/>
        <v>0</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8"/>
      <c r="R54" s="185">
        <f t="shared" si="7"/>
        <v>0.4</v>
      </c>
      <c r="S54" s="696">
        <f t="shared" si="8"/>
        <v>0.71500000000000008</v>
      </c>
    </row>
    <row r="55" spans="2:19">
      <c r="B55" s="351">
        <f t="shared" si="9"/>
        <v>2037</v>
      </c>
      <c r="C55" s="67">
        <f t="shared" si="10"/>
        <v>1</v>
      </c>
      <c r="D55" s="68">
        <f t="shared" si="10"/>
        <v>0</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8"/>
      <c r="R55" s="185">
        <f t="shared" si="7"/>
        <v>0.4</v>
      </c>
      <c r="S55" s="696">
        <f t="shared" si="8"/>
        <v>0.71500000000000008</v>
      </c>
    </row>
    <row r="56" spans="2:19">
      <c r="B56" s="351">
        <f t="shared" si="9"/>
        <v>2038</v>
      </c>
      <c r="C56" s="67">
        <f t="shared" si="10"/>
        <v>1</v>
      </c>
      <c r="D56" s="68">
        <f t="shared" si="10"/>
        <v>0</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8"/>
      <c r="R56" s="185">
        <f t="shared" si="7"/>
        <v>0.4</v>
      </c>
      <c r="S56" s="696">
        <f t="shared" si="8"/>
        <v>0.71500000000000008</v>
      </c>
    </row>
    <row r="57" spans="2:19">
      <c r="B57" s="351">
        <f t="shared" si="9"/>
        <v>2039</v>
      </c>
      <c r="C57" s="67">
        <f t="shared" si="10"/>
        <v>1</v>
      </c>
      <c r="D57" s="68">
        <f t="shared" si="10"/>
        <v>0</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8"/>
      <c r="R57" s="185">
        <f t="shared" si="7"/>
        <v>0.4</v>
      </c>
      <c r="S57" s="696">
        <f t="shared" si="8"/>
        <v>0.71500000000000008</v>
      </c>
    </row>
    <row r="58" spans="2:19">
      <c r="B58" s="351">
        <f t="shared" si="9"/>
        <v>2040</v>
      </c>
      <c r="C58" s="67">
        <f t="shared" si="10"/>
        <v>1</v>
      </c>
      <c r="D58" s="68">
        <f t="shared" si="10"/>
        <v>0</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8"/>
      <c r="R58" s="185">
        <f t="shared" si="7"/>
        <v>0.4</v>
      </c>
      <c r="S58" s="696">
        <f t="shared" si="8"/>
        <v>0.71500000000000008</v>
      </c>
    </row>
    <row r="59" spans="2:19">
      <c r="B59" s="351">
        <f t="shared" si="9"/>
        <v>2041</v>
      </c>
      <c r="C59" s="67">
        <f t="shared" si="10"/>
        <v>1</v>
      </c>
      <c r="D59" s="68">
        <f t="shared" si="10"/>
        <v>0</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8"/>
      <c r="R59" s="185">
        <f t="shared" si="7"/>
        <v>0.4</v>
      </c>
      <c r="S59" s="696">
        <f t="shared" si="8"/>
        <v>0.71500000000000008</v>
      </c>
    </row>
    <row r="60" spans="2:19">
      <c r="B60" s="351">
        <f t="shared" si="9"/>
        <v>2042</v>
      </c>
      <c r="C60" s="67">
        <f t="shared" si="10"/>
        <v>1</v>
      </c>
      <c r="D60" s="68">
        <f t="shared" si="10"/>
        <v>0</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8"/>
      <c r="R60" s="185">
        <f t="shared" si="7"/>
        <v>0.4</v>
      </c>
      <c r="S60" s="696">
        <f t="shared" si="8"/>
        <v>0.71500000000000008</v>
      </c>
    </row>
    <row r="61" spans="2:19">
      <c r="B61" s="351">
        <f t="shared" si="9"/>
        <v>2043</v>
      </c>
      <c r="C61" s="67">
        <f t="shared" si="10"/>
        <v>1</v>
      </c>
      <c r="D61" s="68">
        <f t="shared" si="10"/>
        <v>0</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8"/>
      <c r="R61" s="185">
        <f t="shared" si="7"/>
        <v>0.4</v>
      </c>
      <c r="S61" s="696">
        <f t="shared" si="8"/>
        <v>0.71500000000000008</v>
      </c>
    </row>
    <row r="62" spans="2:19">
      <c r="B62" s="351">
        <f t="shared" si="9"/>
        <v>2044</v>
      </c>
      <c r="C62" s="67">
        <f t="shared" si="10"/>
        <v>1</v>
      </c>
      <c r="D62" s="68">
        <f t="shared" si="10"/>
        <v>0</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8"/>
      <c r="R62" s="185">
        <f t="shared" si="7"/>
        <v>0.4</v>
      </c>
      <c r="S62" s="696">
        <f t="shared" si="8"/>
        <v>0.71500000000000008</v>
      </c>
    </row>
    <row r="63" spans="2:19">
      <c r="B63" s="351">
        <f t="shared" si="9"/>
        <v>2045</v>
      </c>
      <c r="C63" s="67">
        <f t="shared" si="10"/>
        <v>1</v>
      </c>
      <c r="D63" s="68">
        <f t="shared" si="10"/>
        <v>0</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8"/>
      <c r="R63" s="185">
        <f t="shared" si="7"/>
        <v>0.4</v>
      </c>
      <c r="S63" s="696">
        <f t="shared" si="8"/>
        <v>0.71500000000000008</v>
      </c>
    </row>
    <row r="64" spans="2:19">
      <c r="B64" s="351">
        <f t="shared" si="9"/>
        <v>2046</v>
      </c>
      <c r="C64" s="67">
        <f t="shared" si="10"/>
        <v>1</v>
      </c>
      <c r="D64" s="68">
        <f t="shared" si="10"/>
        <v>0</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8"/>
      <c r="R64" s="185">
        <f t="shared" si="7"/>
        <v>0.4</v>
      </c>
      <c r="S64" s="696">
        <f t="shared" si="8"/>
        <v>0.71500000000000008</v>
      </c>
    </row>
    <row r="65" spans="2:19">
      <c r="B65" s="351">
        <f t="shared" si="9"/>
        <v>2047</v>
      </c>
      <c r="C65" s="67">
        <f t="shared" si="10"/>
        <v>1</v>
      </c>
      <c r="D65" s="68">
        <f t="shared" si="10"/>
        <v>0</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8"/>
      <c r="R65" s="185">
        <f t="shared" si="7"/>
        <v>0.4</v>
      </c>
      <c r="S65" s="696">
        <f t="shared" si="8"/>
        <v>0.71500000000000008</v>
      </c>
    </row>
    <row r="66" spans="2:19">
      <c r="B66" s="351">
        <f t="shared" si="9"/>
        <v>2048</v>
      </c>
      <c r="C66" s="67">
        <f t="shared" si="10"/>
        <v>1</v>
      </c>
      <c r="D66" s="68">
        <f t="shared" si="10"/>
        <v>0</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8"/>
      <c r="R66" s="185">
        <f t="shared" si="7"/>
        <v>0.4</v>
      </c>
      <c r="S66" s="696">
        <f t="shared" si="8"/>
        <v>0.71500000000000008</v>
      </c>
    </row>
    <row r="67" spans="2:19">
      <c r="B67" s="351">
        <f t="shared" si="9"/>
        <v>2049</v>
      </c>
      <c r="C67" s="67">
        <f t="shared" si="10"/>
        <v>1</v>
      </c>
      <c r="D67" s="68">
        <f t="shared" si="10"/>
        <v>0</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8"/>
      <c r="R67" s="185">
        <f t="shared" si="7"/>
        <v>0.4</v>
      </c>
      <c r="S67" s="696">
        <f t="shared" si="8"/>
        <v>0.71500000000000008</v>
      </c>
    </row>
    <row r="68" spans="2:19">
      <c r="B68" s="351">
        <f t="shared" si="9"/>
        <v>2050</v>
      </c>
      <c r="C68" s="67">
        <f t="shared" si="10"/>
        <v>1</v>
      </c>
      <c r="D68" s="68">
        <f t="shared" si="10"/>
        <v>0</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8"/>
      <c r="R68" s="185">
        <f t="shared" si="7"/>
        <v>0.4</v>
      </c>
      <c r="S68" s="696">
        <f t="shared" si="8"/>
        <v>0.71500000000000008</v>
      </c>
    </row>
    <row r="69" spans="2:19">
      <c r="B69" s="351">
        <f t="shared" si="9"/>
        <v>2051</v>
      </c>
      <c r="C69" s="67">
        <f t="shared" si="10"/>
        <v>1</v>
      </c>
      <c r="D69" s="68">
        <f t="shared" si="10"/>
        <v>0</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8"/>
      <c r="R69" s="185">
        <f t="shared" si="7"/>
        <v>0.4</v>
      </c>
      <c r="S69" s="696">
        <f t="shared" si="8"/>
        <v>0.71500000000000008</v>
      </c>
    </row>
    <row r="70" spans="2:19">
      <c r="B70" s="351">
        <f t="shared" si="9"/>
        <v>2052</v>
      </c>
      <c r="C70" s="67">
        <f t="shared" si="10"/>
        <v>1</v>
      </c>
      <c r="D70" s="68">
        <f t="shared" si="10"/>
        <v>0</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8"/>
      <c r="R70" s="185">
        <f t="shared" si="7"/>
        <v>0.4</v>
      </c>
      <c r="S70" s="696">
        <f t="shared" si="8"/>
        <v>0.71500000000000008</v>
      </c>
    </row>
    <row r="71" spans="2:19">
      <c r="B71" s="351">
        <f t="shared" si="9"/>
        <v>2053</v>
      </c>
      <c r="C71" s="67">
        <f t="shared" si="10"/>
        <v>1</v>
      </c>
      <c r="D71" s="68">
        <f t="shared" si="10"/>
        <v>0</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8"/>
      <c r="R71" s="185">
        <f t="shared" si="7"/>
        <v>0.4</v>
      </c>
      <c r="S71" s="696">
        <f t="shared" si="8"/>
        <v>0.71500000000000008</v>
      </c>
    </row>
    <row r="72" spans="2:19">
      <c r="B72" s="351">
        <f t="shared" si="9"/>
        <v>2054</v>
      </c>
      <c r="C72" s="67">
        <f t="shared" si="10"/>
        <v>1</v>
      </c>
      <c r="D72" s="68">
        <f t="shared" si="10"/>
        <v>0</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8"/>
      <c r="R72" s="185">
        <f t="shared" si="7"/>
        <v>0.4</v>
      </c>
      <c r="S72" s="696">
        <f t="shared" si="8"/>
        <v>0.71500000000000008</v>
      </c>
    </row>
    <row r="73" spans="2:19">
      <c r="B73" s="351">
        <f t="shared" si="9"/>
        <v>2055</v>
      </c>
      <c r="C73" s="67">
        <f t="shared" si="10"/>
        <v>1</v>
      </c>
      <c r="D73" s="68">
        <f t="shared" si="10"/>
        <v>0</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8"/>
      <c r="R73" s="185">
        <f t="shared" si="7"/>
        <v>0.4</v>
      </c>
      <c r="S73" s="696">
        <f t="shared" si="8"/>
        <v>0.71500000000000008</v>
      </c>
    </row>
    <row r="74" spans="2:19">
      <c r="B74" s="351">
        <f t="shared" si="9"/>
        <v>2056</v>
      </c>
      <c r="C74" s="67">
        <f t="shared" si="10"/>
        <v>1</v>
      </c>
      <c r="D74" s="68">
        <f t="shared" si="10"/>
        <v>0</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8"/>
      <c r="R74" s="185">
        <f t="shared" si="7"/>
        <v>0.4</v>
      </c>
      <c r="S74" s="696">
        <f t="shared" si="8"/>
        <v>0.71500000000000008</v>
      </c>
    </row>
    <row r="75" spans="2:19">
      <c r="B75" s="351">
        <f t="shared" si="9"/>
        <v>2057</v>
      </c>
      <c r="C75" s="67">
        <f t="shared" si="10"/>
        <v>1</v>
      </c>
      <c r="D75" s="68">
        <f t="shared" si="10"/>
        <v>0</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8"/>
      <c r="R75" s="185">
        <f t="shared" si="7"/>
        <v>0.4</v>
      </c>
      <c r="S75" s="696">
        <f t="shared" si="8"/>
        <v>0.71500000000000008</v>
      </c>
    </row>
    <row r="76" spans="2:19">
      <c r="B76" s="351">
        <f t="shared" si="9"/>
        <v>2058</v>
      </c>
      <c r="C76" s="67">
        <f t="shared" si="10"/>
        <v>1</v>
      </c>
      <c r="D76" s="68">
        <f t="shared" si="10"/>
        <v>0</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8"/>
      <c r="R76" s="185">
        <f t="shared" si="7"/>
        <v>0.4</v>
      </c>
      <c r="S76" s="696">
        <f t="shared" si="8"/>
        <v>0.71500000000000008</v>
      </c>
    </row>
    <row r="77" spans="2:19">
      <c r="B77" s="351">
        <f t="shared" si="9"/>
        <v>2059</v>
      </c>
      <c r="C77" s="67">
        <f t="shared" si="10"/>
        <v>1</v>
      </c>
      <c r="D77" s="68">
        <f t="shared" si="10"/>
        <v>0</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8"/>
      <c r="R77" s="185">
        <f t="shared" si="7"/>
        <v>0.4</v>
      </c>
      <c r="S77" s="696">
        <f t="shared" si="8"/>
        <v>0.71500000000000008</v>
      </c>
    </row>
    <row r="78" spans="2:19">
      <c r="B78" s="351">
        <f t="shared" si="9"/>
        <v>2060</v>
      </c>
      <c r="C78" s="67">
        <f t="shared" si="10"/>
        <v>1</v>
      </c>
      <c r="D78" s="68">
        <f t="shared" si="10"/>
        <v>0</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8"/>
      <c r="R78" s="185">
        <f t="shared" si="7"/>
        <v>0.4</v>
      </c>
      <c r="S78" s="696">
        <f t="shared" si="8"/>
        <v>0.71500000000000008</v>
      </c>
    </row>
    <row r="79" spans="2:19">
      <c r="B79" s="351">
        <f t="shared" si="9"/>
        <v>2061</v>
      </c>
      <c r="C79" s="67">
        <f t="shared" si="10"/>
        <v>1</v>
      </c>
      <c r="D79" s="68">
        <f t="shared" si="10"/>
        <v>0</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8"/>
      <c r="R79" s="185">
        <f t="shared" si="7"/>
        <v>0.4</v>
      </c>
      <c r="S79" s="696">
        <f t="shared" si="8"/>
        <v>0.71500000000000008</v>
      </c>
    </row>
    <row r="80" spans="2:19">
      <c r="B80" s="351">
        <f t="shared" si="9"/>
        <v>2062</v>
      </c>
      <c r="C80" s="67">
        <f t="shared" si="10"/>
        <v>1</v>
      </c>
      <c r="D80" s="68">
        <f t="shared" si="10"/>
        <v>0</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8"/>
      <c r="R80" s="185">
        <f t="shared" si="7"/>
        <v>0.4</v>
      </c>
      <c r="S80" s="696">
        <f t="shared" si="8"/>
        <v>0.71500000000000008</v>
      </c>
    </row>
    <row r="81" spans="2:19">
      <c r="B81" s="351">
        <f t="shared" si="9"/>
        <v>2063</v>
      </c>
      <c r="C81" s="67">
        <f t="shared" si="10"/>
        <v>1</v>
      </c>
      <c r="D81" s="68">
        <f t="shared" si="10"/>
        <v>0</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8"/>
      <c r="R81" s="185">
        <f t="shared" si="7"/>
        <v>0.4</v>
      </c>
      <c r="S81" s="696">
        <f t="shared" si="8"/>
        <v>0.71500000000000008</v>
      </c>
    </row>
    <row r="82" spans="2:19">
      <c r="B82" s="351">
        <f t="shared" si="9"/>
        <v>2064</v>
      </c>
      <c r="C82" s="67">
        <f t="shared" si="10"/>
        <v>1</v>
      </c>
      <c r="D82" s="68">
        <f t="shared" si="10"/>
        <v>0</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8"/>
      <c r="R82" s="185">
        <f t="shared" si="7"/>
        <v>0.4</v>
      </c>
      <c r="S82" s="696">
        <f t="shared" si="8"/>
        <v>0.71500000000000008</v>
      </c>
    </row>
    <row r="83" spans="2:19">
      <c r="B83" s="351">
        <f t="shared" ref="B83:B98" si="12">B82+1</f>
        <v>2065</v>
      </c>
      <c r="C83" s="67">
        <f t="shared" si="10"/>
        <v>1</v>
      </c>
      <c r="D83" s="68">
        <f t="shared" si="10"/>
        <v>0</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8"/>
      <c r="R83" s="185">
        <f t="shared" ref="R83:R98" si="15">C83*C$13+D83*D$13+E83*E$13+F83*F$13+G83*G$13</f>
        <v>0.4</v>
      </c>
      <c r="S83" s="696">
        <f t="shared" ref="S83:S98" si="16">I83*I$13+J83*J$13+K83*K$13+L83*L$13+M83*M$13</f>
        <v>0.71500000000000008</v>
      </c>
    </row>
    <row r="84" spans="2:19">
      <c r="B84" s="351">
        <f t="shared" si="12"/>
        <v>2066</v>
      </c>
      <c r="C84" s="67">
        <f t="shared" si="10"/>
        <v>1</v>
      </c>
      <c r="D84" s="68">
        <f t="shared" si="10"/>
        <v>0</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8"/>
      <c r="R84" s="185">
        <f t="shared" si="15"/>
        <v>0.4</v>
      </c>
      <c r="S84" s="696">
        <f t="shared" si="16"/>
        <v>0.71500000000000008</v>
      </c>
    </row>
    <row r="85" spans="2:19">
      <c r="B85" s="351">
        <f t="shared" si="12"/>
        <v>2067</v>
      </c>
      <c r="C85" s="67">
        <f t="shared" si="10"/>
        <v>1</v>
      </c>
      <c r="D85" s="68">
        <f t="shared" si="10"/>
        <v>0</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8"/>
      <c r="R85" s="185">
        <f t="shared" si="15"/>
        <v>0.4</v>
      </c>
      <c r="S85" s="696">
        <f t="shared" si="16"/>
        <v>0.71500000000000008</v>
      </c>
    </row>
    <row r="86" spans="2:19">
      <c r="B86" s="351">
        <f t="shared" si="12"/>
        <v>2068</v>
      </c>
      <c r="C86" s="67">
        <f t="shared" si="10"/>
        <v>1</v>
      </c>
      <c r="D86" s="68">
        <f t="shared" si="10"/>
        <v>0</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8"/>
      <c r="R86" s="185">
        <f t="shared" si="15"/>
        <v>0.4</v>
      </c>
      <c r="S86" s="696">
        <f t="shared" si="16"/>
        <v>0.71500000000000008</v>
      </c>
    </row>
    <row r="87" spans="2:19">
      <c r="B87" s="351">
        <f t="shared" si="12"/>
        <v>2069</v>
      </c>
      <c r="C87" s="67">
        <f t="shared" si="10"/>
        <v>1</v>
      </c>
      <c r="D87" s="68">
        <f t="shared" si="10"/>
        <v>0</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8"/>
      <c r="R87" s="185">
        <f t="shared" si="15"/>
        <v>0.4</v>
      </c>
      <c r="S87" s="696">
        <f t="shared" si="16"/>
        <v>0.71500000000000008</v>
      </c>
    </row>
    <row r="88" spans="2:19">
      <c r="B88" s="351">
        <f t="shared" si="12"/>
        <v>2070</v>
      </c>
      <c r="C88" s="67">
        <f t="shared" si="10"/>
        <v>1</v>
      </c>
      <c r="D88" s="68">
        <f t="shared" si="10"/>
        <v>0</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8"/>
      <c r="R88" s="185">
        <f t="shared" si="15"/>
        <v>0.4</v>
      </c>
      <c r="S88" s="696">
        <f t="shared" si="16"/>
        <v>0.71500000000000008</v>
      </c>
    </row>
    <row r="89" spans="2:19">
      <c r="B89" s="351">
        <f t="shared" si="12"/>
        <v>2071</v>
      </c>
      <c r="C89" s="67">
        <f t="shared" si="10"/>
        <v>1</v>
      </c>
      <c r="D89" s="68">
        <f t="shared" si="10"/>
        <v>0</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8"/>
      <c r="R89" s="185">
        <f t="shared" si="15"/>
        <v>0.4</v>
      </c>
      <c r="S89" s="696">
        <f t="shared" si="16"/>
        <v>0.71500000000000008</v>
      </c>
    </row>
    <row r="90" spans="2:19">
      <c r="B90" s="351">
        <f t="shared" si="12"/>
        <v>2072</v>
      </c>
      <c r="C90" s="67">
        <f t="shared" si="10"/>
        <v>1</v>
      </c>
      <c r="D90" s="68">
        <f t="shared" si="10"/>
        <v>0</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8"/>
      <c r="R90" s="185">
        <f t="shared" si="15"/>
        <v>0.4</v>
      </c>
      <c r="S90" s="696">
        <f t="shared" si="16"/>
        <v>0.71500000000000008</v>
      </c>
    </row>
    <row r="91" spans="2:19">
      <c r="B91" s="351">
        <f t="shared" si="12"/>
        <v>2073</v>
      </c>
      <c r="C91" s="67">
        <f t="shared" si="10"/>
        <v>1</v>
      </c>
      <c r="D91" s="68">
        <f t="shared" si="10"/>
        <v>0</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8"/>
      <c r="R91" s="185">
        <f t="shared" si="15"/>
        <v>0.4</v>
      </c>
      <c r="S91" s="696">
        <f t="shared" si="16"/>
        <v>0.71500000000000008</v>
      </c>
    </row>
    <row r="92" spans="2:19">
      <c r="B92" s="351">
        <f t="shared" si="12"/>
        <v>2074</v>
      </c>
      <c r="C92" s="67">
        <f t="shared" si="10"/>
        <v>1</v>
      </c>
      <c r="D92" s="68">
        <f t="shared" si="10"/>
        <v>0</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8"/>
      <c r="R92" s="185">
        <f t="shared" si="15"/>
        <v>0.4</v>
      </c>
      <c r="S92" s="696">
        <f t="shared" si="16"/>
        <v>0.71500000000000008</v>
      </c>
    </row>
    <row r="93" spans="2:19">
      <c r="B93" s="351">
        <f t="shared" si="12"/>
        <v>2075</v>
      </c>
      <c r="C93" s="67">
        <f t="shared" si="10"/>
        <v>1</v>
      </c>
      <c r="D93" s="68">
        <f t="shared" si="10"/>
        <v>0</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8"/>
      <c r="R93" s="185">
        <f t="shared" si="15"/>
        <v>0.4</v>
      </c>
      <c r="S93" s="696">
        <f t="shared" si="16"/>
        <v>0.71500000000000008</v>
      </c>
    </row>
    <row r="94" spans="2:19">
      <c r="B94" s="351">
        <f t="shared" si="12"/>
        <v>2076</v>
      </c>
      <c r="C94" s="67">
        <f t="shared" si="10"/>
        <v>1</v>
      </c>
      <c r="D94" s="68">
        <f t="shared" si="10"/>
        <v>0</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8"/>
      <c r="R94" s="185">
        <f t="shared" si="15"/>
        <v>0.4</v>
      </c>
      <c r="S94" s="696">
        <f t="shared" si="16"/>
        <v>0.71500000000000008</v>
      </c>
    </row>
    <row r="95" spans="2:19">
      <c r="B95" s="351">
        <f t="shared" si="12"/>
        <v>2077</v>
      </c>
      <c r="C95" s="67">
        <f t="shared" si="10"/>
        <v>1</v>
      </c>
      <c r="D95" s="68">
        <f t="shared" si="10"/>
        <v>0</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8"/>
      <c r="R95" s="185">
        <f t="shared" si="15"/>
        <v>0.4</v>
      </c>
      <c r="S95" s="696">
        <f t="shared" si="16"/>
        <v>0.71500000000000008</v>
      </c>
    </row>
    <row r="96" spans="2:19">
      <c r="B96" s="351">
        <f t="shared" si="12"/>
        <v>2078</v>
      </c>
      <c r="C96" s="67">
        <f t="shared" si="10"/>
        <v>1</v>
      </c>
      <c r="D96" s="68">
        <f t="shared" si="10"/>
        <v>0</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8"/>
      <c r="R96" s="185">
        <f t="shared" si="15"/>
        <v>0.4</v>
      </c>
      <c r="S96" s="696">
        <f t="shared" si="16"/>
        <v>0.71500000000000008</v>
      </c>
    </row>
    <row r="97" spans="2:19">
      <c r="B97" s="351">
        <f t="shared" si="12"/>
        <v>2079</v>
      </c>
      <c r="C97" s="67">
        <f t="shared" si="10"/>
        <v>1</v>
      </c>
      <c r="D97" s="68">
        <f t="shared" si="10"/>
        <v>0</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8"/>
      <c r="R97" s="185">
        <f t="shared" si="15"/>
        <v>0.4</v>
      </c>
      <c r="S97" s="696">
        <f t="shared" si="16"/>
        <v>0.71500000000000008</v>
      </c>
    </row>
    <row r="98" spans="2:19" ht="13.5" thickBot="1">
      <c r="B98" s="352">
        <f t="shared" si="12"/>
        <v>2080</v>
      </c>
      <c r="C98" s="69">
        <f t="shared" si="10"/>
        <v>1</v>
      </c>
      <c r="D98" s="70">
        <f t="shared" si="10"/>
        <v>0</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79"/>
      <c r="R98" s="179">
        <f t="shared" si="15"/>
        <v>0.4</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21" activePane="bottomRight" state="frozen"/>
      <selection activeCell="E19" sqref="E19"/>
      <selection pane="topRight" activeCell="E19" sqref="E19"/>
      <selection pane="bottomLeft" activeCell="E19" sqref="E19"/>
      <selection pane="bottomRight" activeCell="C13" sqref="C13:C23"/>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30" max="30" width="10.85546875" customWidth="1"/>
  </cols>
  <sheetData>
    <row r="2" spans="2:30" ht="15.75">
      <c r="C2" s="60" t="s">
        <v>34</v>
      </c>
      <c r="S2" s="60" t="s">
        <v>300</v>
      </c>
      <c r="AC2" t="s">
        <v>6</v>
      </c>
      <c r="AD2" s="737">
        <v>0.66390000000000005</v>
      </c>
    </row>
    <row r="3" spans="2:30">
      <c r="B3" s="6"/>
      <c r="C3" s="6"/>
      <c r="S3" s="6"/>
      <c r="AC3" t="s">
        <v>256</v>
      </c>
      <c r="AD3" s="737">
        <v>0.1285</v>
      </c>
    </row>
    <row r="4" spans="2:30">
      <c r="B4" s="6"/>
      <c r="C4" s="6" t="s">
        <v>38</v>
      </c>
      <c r="S4" s="6" t="s">
        <v>301</v>
      </c>
      <c r="AC4" t="s">
        <v>2</v>
      </c>
      <c r="AD4" s="737">
        <v>0</v>
      </c>
    </row>
    <row r="5" spans="2:30">
      <c r="B5" s="6"/>
      <c r="C5" s="6"/>
      <c r="S5" s="6" t="s">
        <v>38</v>
      </c>
      <c r="AC5" t="s">
        <v>16</v>
      </c>
      <c r="AD5" s="737">
        <v>8.1000000000000013E-3</v>
      </c>
    </row>
    <row r="6" spans="2:30">
      <c r="B6" s="6"/>
      <c r="S6" s="6"/>
      <c r="AC6" t="s">
        <v>331</v>
      </c>
      <c r="AD6" s="737">
        <v>0</v>
      </c>
    </row>
    <row r="7" spans="2:30" ht="13.5" thickBot="1">
      <c r="B7" s="6"/>
      <c r="C7" s="227"/>
      <c r="S7" s="6"/>
      <c r="AC7" t="s">
        <v>332</v>
      </c>
      <c r="AD7" s="737">
        <v>0.10710000000000001</v>
      </c>
    </row>
    <row r="8" spans="2:30" ht="13.5" thickBot="1">
      <c r="B8" s="6"/>
      <c r="D8" s="736">
        <v>6.2100000000000002E-2</v>
      </c>
      <c r="E8" s="540">
        <v>0.66390000000000005</v>
      </c>
      <c r="F8" s="541">
        <v>0.1285</v>
      </c>
      <c r="G8" s="542">
        <v>0</v>
      </c>
      <c r="H8" s="541">
        <v>0</v>
      </c>
      <c r="I8" s="541">
        <v>0</v>
      </c>
      <c r="J8" s="541">
        <v>8.0999999999999996E-3</v>
      </c>
      <c r="K8" s="541">
        <v>0</v>
      </c>
      <c r="L8" s="541">
        <v>0.1071</v>
      </c>
      <c r="M8" s="541">
        <v>1.77E-2</v>
      </c>
      <c r="N8" s="541">
        <v>1.3299999999999999E-2</v>
      </c>
      <c r="O8" s="541">
        <v>6.2100000000000002E-2</v>
      </c>
      <c r="P8" s="230">
        <f>SUM(E8:O8)</f>
        <v>1.0006999999999999</v>
      </c>
      <c r="S8" s="6"/>
      <c r="T8" s="6"/>
      <c r="AC8" t="s">
        <v>231</v>
      </c>
      <c r="AD8" s="737">
        <v>1.77E-2</v>
      </c>
    </row>
    <row r="9" spans="2:30" ht="13.5" thickBot="1">
      <c r="B9" s="484"/>
      <c r="C9" s="485"/>
      <c r="D9" s="523"/>
      <c r="E9" s="794" t="s">
        <v>41</v>
      </c>
      <c r="F9" s="795"/>
      <c r="G9" s="795"/>
      <c r="H9" s="795"/>
      <c r="I9" s="795"/>
      <c r="J9" s="795"/>
      <c r="K9" s="795"/>
      <c r="L9" s="795"/>
      <c r="M9" s="795"/>
      <c r="N9" s="795"/>
      <c r="O9" s="795"/>
      <c r="P9" s="95"/>
      <c r="AC9" t="s">
        <v>232</v>
      </c>
      <c r="AD9" s="737">
        <v>1.3300000000000001E-2</v>
      </c>
    </row>
    <row r="10" spans="2:30" ht="21.75" customHeight="1" thickBot="1">
      <c r="B10" s="792" t="s">
        <v>1</v>
      </c>
      <c r="C10" s="792" t="s">
        <v>33</v>
      </c>
      <c r="D10" s="792" t="s">
        <v>40</v>
      </c>
      <c r="E10" s="792" t="s">
        <v>228</v>
      </c>
      <c r="F10" s="792" t="s">
        <v>271</v>
      </c>
      <c r="G10" s="796" t="s">
        <v>267</v>
      </c>
      <c r="H10" s="792" t="s">
        <v>270</v>
      </c>
      <c r="I10" s="796" t="s">
        <v>2</v>
      </c>
      <c r="J10" s="792" t="s">
        <v>16</v>
      </c>
      <c r="K10" s="796" t="s">
        <v>229</v>
      </c>
      <c r="L10" s="781" t="s">
        <v>273</v>
      </c>
      <c r="M10" s="782"/>
      <c r="N10" s="782"/>
      <c r="O10" s="783"/>
      <c r="P10" s="792" t="s">
        <v>27</v>
      </c>
      <c r="AC10" t="s">
        <v>233</v>
      </c>
      <c r="AD10" s="737">
        <v>6.2100000000000002E-2</v>
      </c>
    </row>
    <row r="11" spans="2:30" s="51" customFormat="1" ht="42" customHeight="1" thickBot="1">
      <c r="B11" s="793"/>
      <c r="C11" s="793"/>
      <c r="D11" s="793"/>
      <c r="E11" s="793"/>
      <c r="F11" s="793"/>
      <c r="G11" s="797"/>
      <c r="H11" s="793"/>
      <c r="I11" s="797"/>
      <c r="J11" s="793"/>
      <c r="K11" s="797"/>
      <c r="L11" s="490" t="s">
        <v>230</v>
      </c>
      <c r="M11" s="490" t="s">
        <v>231</v>
      </c>
      <c r="N11" s="490" t="s">
        <v>232</v>
      </c>
      <c r="O11" s="490" t="s">
        <v>233</v>
      </c>
      <c r="P11" s="793"/>
      <c r="S11" s="556" t="s">
        <v>1</v>
      </c>
      <c r="T11" s="557" t="s">
        <v>302</v>
      </c>
      <c r="U11" s="556" t="s">
        <v>303</v>
      </c>
      <c r="V11" s="557" t="s">
        <v>304</v>
      </c>
      <c r="W11" s="556" t="s">
        <v>40</v>
      </c>
      <c r="X11" s="557" t="s">
        <v>305</v>
      </c>
    </row>
    <row r="12" spans="2:30" s="50" customFormat="1" ht="26.25" thickBot="1">
      <c r="B12" s="486"/>
      <c r="C12" s="487" t="s">
        <v>15</v>
      </c>
      <c r="D12" s="487" t="s">
        <v>24</v>
      </c>
      <c r="E12" s="465" t="s">
        <v>24</v>
      </c>
      <c r="F12" s="466" t="s">
        <v>24</v>
      </c>
      <c r="G12" s="466" t="s">
        <v>24</v>
      </c>
      <c r="H12" s="466" t="s">
        <v>24</v>
      </c>
      <c r="I12" s="466" t="s">
        <v>24</v>
      </c>
      <c r="J12" s="466" t="s">
        <v>24</v>
      </c>
      <c r="K12" s="466" t="s">
        <v>24</v>
      </c>
      <c r="L12" s="466" t="s">
        <v>24</v>
      </c>
      <c r="M12" s="466" t="s">
        <v>24</v>
      </c>
      <c r="N12" s="466" t="s">
        <v>24</v>
      </c>
      <c r="O12" s="488" t="s">
        <v>24</v>
      </c>
      <c r="P12" s="489" t="s">
        <v>39</v>
      </c>
      <c r="S12" s="49"/>
      <c r="T12" s="667" t="s">
        <v>306</v>
      </c>
      <c r="U12" s="49" t="s">
        <v>307</v>
      </c>
      <c r="V12" s="667" t="s">
        <v>15</v>
      </c>
      <c r="W12" s="668" t="s">
        <v>24</v>
      </c>
      <c r="X12" s="667" t="s">
        <v>15</v>
      </c>
    </row>
    <row r="13" spans="2:30">
      <c r="B13" s="21">
        <f>year</f>
        <v>2000</v>
      </c>
      <c r="C13" s="750">
        <f>'[2]Fraksi pengelolaan sampah BaU'!G30</f>
        <v>0</v>
      </c>
      <c r="D13" s="531">
        <v>1</v>
      </c>
      <c r="E13" s="283">
        <f t="shared" ref="E13:O28" si="0">E$8</f>
        <v>0.66390000000000005</v>
      </c>
      <c r="F13" s="283">
        <f t="shared" si="0"/>
        <v>0.1285</v>
      </c>
      <c r="G13" s="283">
        <f t="shared" si="0"/>
        <v>0</v>
      </c>
      <c r="H13" s="283">
        <f t="shared" si="0"/>
        <v>0</v>
      </c>
      <c r="I13" s="283">
        <f t="shared" si="0"/>
        <v>0</v>
      </c>
      <c r="J13" s="283">
        <f t="shared" si="0"/>
        <v>8.0999999999999996E-3</v>
      </c>
      <c r="K13" s="283">
        <f t="shared" si="0"/>
        <v>0</v>
      </c>
      <c r="L13" s="283">
        <f t="shared" si="0"/>
        <v>0.1071</v>
      </c>
      <c r="M13" s="283">
        <f t="shared" si="0"/>
        <v>1.77E-2</v>
      </c>
      <c r="N13" s="283">
        <f t="shared" si="0"/>
        <v>1.3299999999999999E-2</v>
      </c>
      <c r="O13" s="283">
        <f t="shared" si="0"/>
        <v>6.2100000000000002E-2</v>
      </c>
      <c r="P13" s="52">
        <f t="shared" ref="P13:P44" si="1">SUM(E13:O13)</f>
        <v>1.0006999999999999</v>
      </c>
      <c r="S13" s="21">
        <f>year</f>
        <v>2000</v>
      </c>
      <c r="T13" s="159">
        <v>0</v>
      </c>
      <c r="U13" s="159">
        <v>5</v>
      </c>
      <c r="V13" s="669">
        <f>T13*U13</f>
        <v>0</v>
      </c>
      <c r="W13" s="670">
        <v>1</v>
      </c>
      <c r="X13" s="61">
        <f t="shared" ref="X13:X44" si="2">V13*W13</f>
        <v>0</v>
      </c>
    </row>
    <row r="14" spans="2:30">
      <c r="B14" s="7">
        <f t="shared" ref="B14:B45" si="3">B13+1</f>
        <v>2001</v>
      </c>
      <c r="C14" s="750">
        <f>'[2]Fraksi pengelolaan sampah BaU'!G31</f>
        <v>0</v>
      </c>
      <c r="D14" s="531">
        <v>1</v>
      </c>
      <c r="E14" s="283">
        <f t="shared" si="0"/>
        <v>0.66390000000000005</v>
      </c>
      <c r="F14" s="283">
        <f t="shared" si="0"/>
        <v>0.1285</v>
      </c>
      <c r="G14" s="283">
        <f t="shared" si="0"/>
        <v>0</v>
      </c>
      <c r="H14" s="283">
        <f t="shared" si="0"/>
        <v>0</v>
      </c>
      <c r="I14" s="283">
        <f t="shared" si="0"/>
        <v>0</v>
      </c>
      <c r="J14" s="283">
        <f t="shared" si="0"/>
        <v>8.0999999999999996E-3</v>
      </c>
      <c r="K14" s="283">
        <f t="shared" si="0"/>
        <v>0</v>
      </c>
      <c r="L14" s="283">
        <f t="shared" si="0"/>
        <v>0.1071</v>
      </c>
      <c r="M14" s="283">
        <f t="shared" si="0"/>
        <v>1.77E-2</v>
      </c>
      <c r="N14" s="283">
        <f t="shared" si="0"/>
        <v>1.3299999999999999E-2</v>
      </c>
      <c r="O14" s="283">
        <f t="shared" si="0"/>
        <v>6.2100000000000002E-2</v>
      </c>
      <c r="P14" s="53">
        <f t="shared" si="1"/>
        <v>1.0006999999999999</v>
      </c>
      <c r="S14" s="7">
        <f t="shared" ref="S14:S77" si="4">S13+1</f>
        <v>2001</v>
      </c>
      <c r="T14" s="64">
        <v>0</v>
      </c>
      <c r="U14" s="64">
        <v>5</v>
      </c>
      <c r="V14" s="671">
        <f>T14*U14</f>
        <v>0</v>
      </c>
      <c r="W14" s="672">
        <v>1</v>
      </c>
      <c r="X14" s="2">
        <f t="shared" si="2"/>
        <v>0</v>
      </c>
    </row>
    <row r="15" spans="2:30">
      <c r="B15" s="7">
        <f t="shared" si="3"/>
        <v>2002</v>
      </c>
      <c r="C15" s="750">
        <f>'[2]Fraksi pengelolaan sampah BaU'!G32</f>
        <v>0</v>
      </c>
      <c r="D15" s="531">
        <v>1</v>
      </c>
      <c r="E15" s="283">
        <f t="shared" si="0"/>
        <v>0.66390000000000005</v>
      </c>
      <c r="F15" s="283">
        <f t="shared" si="0"/>
        <v>0.1285</v>
      </c>
      <c r="G15" s="283">
        <f t="shared" si="0"/>
        <v>0</v>
      </c>
      <c r="H15" s="283">
        <f t="shared" si="0"/>
        <v>0</v>
      </c>
      <c r="I15" s="283">
        <f t="shared" si="0"/>
        <v>0</v>
      </c>
      <c r="J15" s="283">
        <f t="shared" si="0"/>
        <v>8.0999999999999996E-3</v>
      </c>
      <c r="K15" s="283">
        <f t="shared" si="0"/>
        <v>0</v>
      </c>
      <c r="L15" s="283">
        <f t="shared" si="0"/>
        <v>0.1071</v>
      </c>
      <c r="M15" s="283">
        <f t="shared" si="0"/>
        <v>1.77E-2</v>
      </c>
      <c r="N15" s="283">
        <f t="shared" si="0"/>
        <v>1.3299999999999999E-2</v>
      </c>
      <c r="O15" s="283">
        <f t="shared" si="0"/>
        <v>6.2100000000000002E-2</v>
      </c>
      <c r="P15" s="53">
        <f t="shared" si="1"/>
        <v>1.0006999999999999</v>
      </c>
      <c r="S15" s="7">
        <f t="shared" si="4"/>
        <v>2002</v>
      </c>
      <c r="T15" s="64">
        <v>0</v>
      </c>
      <c r="U15" s="64">
        <v>5</v>
      </c>
      <c r="V15" s="671">
        <f t="shared" ref="V15:V78" si="5">T15*U15</f>
        <v>0</v>
      </c>
      <c r="W15" s="672">
        <v>1</v>
      </c>
      <c r="X15" s="2">
        <f t="shared" si="2"/>
        <v>0</v>
      </c>
    </row>
    <row r="16" spans="2:30">
      <c r="B16" s="7">
        <f t="shared" si="3"/>
        <v>2003</v>
      </c>
      <c r="C16" s="750">
        <f>'[2]Fraksi pengelolaan sampah BaU'!G33</f>
        <v>0</v>
      </c>
      <c r="D16" s="531">
        <v>1</v>
      </c>
      <c r="E16" s="283">
        <f t="shared" si="0"/>
        <v>0.66390000000000005</v>
      </c>
      <c r="F16" s="283">
        <f t="shared" si="0"/>
        <v>0.1285</v>
      </c>
      <c r="G16" s="283">
        <f t="shared" si="0"/>
        <v>0</v>
      </c>
      <c r="H16" s="283">
        <f t="shared" si="0"/>
        <v>0</v>
      </c>
      <c r="I16" s="283">
        <f t="shared" si="0"/>
        <v>0</v>
      </c>
      <c r="J16" s="283">
        <f t="shared" si="0"/>
        <v>8.0999999999999996E-3</v>
      </c>
      <c r="K16" s="283">
        <f t="shared" si="0"/>
        <v>0</v>
      </c>
      <c r="L16" s="283">
        <f t="shared" si="0"/>
        <v>0.1071</v>
      </c>
      <c r="M16" s="283">
        <f t="shared" si="0"/>
        <v>1.77E-2</v>
      </c>
      <c r="N16" s="283">
        <f t="shared" si="0"/>
        <v>1.3299999999999999E-2</v>
      </c>
      <c r="O16" s="283">
        <f t="shared" si="0"/>
        <v>6.2100000000000002E-2</v>
      </c>
      <c r="P16" s="53">
        <f t="shared" si="1"/>
        <v>1.0006999999999999</v>
      </c>
      <c r="S16" s="7">
        <f t="shared" si="4"/>
        <v>2003</v>
      </c>
      <c r="T16" s="64">
        <v>0</v>
      </c>
      <c r="U16" s="64">
        <v>5</v>
      </c>
      <c r="V16" s="671">
        <f t="shared" si="5"/>
        <v>0</v>
      </c>
      <c r="W16" s="672">
        <v>1</v>
      </c>
      <c r="X16" s="2">
        <f t="shared" si="2"/>
        <v>0</v>
      </c>
    </row>
    <row r="17" spans="2:24">
      <c r="B17" s="7">
        <f t="shared" si="3"/>
        <v>2004</v>
      </c>
      <c r="C17" s="750">
        <f>'[2]Fraksi pengelolaan sampah BaU'!G34</f>
        <v>0</v>
      </c>
      <c r="D17" s="531">
        <v>1</v>
      </c>
      <c r="E17" s="283">
        <f t="shared" si="0"/>
        <v>0.66390000000000005</v>
      </c>
      <c r="F17" s="283">
        <f t="shared" si="0"/>
        <v>0.1285</v>
      </c>
      <c r="G17" s="283">
        <f t="shared" si="0"/>
        <v>0</v>
      </c>
      <c r="H17" s="283">
        <f t="shared" si="0"/>
        <v>0</v>
      </c>
      <c r="I17" s="283">
        <f t="shared" si="0"/>
        <v>0</v>
      </c>
      <c r="J17" s="283">
        <f t="shared" si="0"/>
        <v>8.0999999999999996E-3</v>
      </c>
      <c r="K17" s="283">
        <f t="shared" si="0"/>
        <v>0</v>
      </c>
      <c r="L17" s="283">
        <f t="shared" si="0"/>
        <v>0.1071</v>
      </c>
      <c r="M17" s="283">
        <f t="shared" si="0"/>
        <v>1.77E-2</v>
      </c>
      <c r="N17" s="283">
        <f t="shared" si="0"/>
        <v>1.3299999999999999E-2</v>
      </c>
      <c r="O17" s="283">
        <f t="shared" si="0"/>
        <v>6.2100000000000002E-2</v>
      </c>
      <c r="P17" s="53">
        <f t="shared" si="1"/>
        <v>1.0006999999999999</v>
      </c>
      <c r="S17" s="7">
        <f t="shared" si="4"/>
        <v>2004</v>
      </c>
      <c r="T17" s="64">
        <v>0</v>
      </c>
      <c r="U17" s="64">
        <v>5</v>
      </c>
      <c r="V17" s="671">
        <f t="shared" si="5"/>
        <v>0</v>
      </c>
      <c r="W17" s="672">
        <v>1</v>
      </c>
      <c r="X17" s="2">
        <f t="shared" si="2"/>
        <v>0</v>
      </c>
    </row>
    <row r="18" spans="2:24">
      <c r="B18" s="7">
        <f t="shared" si="3"/>
        <v>2005</v>
      </c>
      <c r="C18" s="750">
        <f>'[2]Fraksi pengelolaan sampah BaU'!G35</f>
        <v>0</v>
      </c>
      <c r="D18" s="531">
        <v>1</v>
      </c>
      <c r="E18" s="283">
        <f t="shared" si="0"/>
        <v>0.66390000000000005</v>
      </c>
      <c r="F18" s="283">
        <f t="shared" si="0"/>
        <v>0.1285</v>
      </c>
      <c r="G18" s="283">
        <f t="shared" si="0"/>
        <v>0</v>
      </c>
      <c r="H18" s="283">
        <f t="shared" si="0"/>
        <v>0</v>
      </c>
      <c r="I18" s="283">
        <f t="shared" si="0"/>
        <v>0</v>
      </c>
      <c r="J18" s="283">
        <f t="shared" si="0"/>
        <v>8.0999999999999996E-3</v>
      </c>
      <c r="K18" s="283">
        <f t="shared" si="0"/>
        <v>0</v>
      </c>
      <c r="L18" s="283">
        <f t="shared" si="0"/>
        <v>0.1071</v>
      </c>
      <c r="M18" s="283">
        <f t="shared" si="0"/>
        <v>1.77E-2</v>
      </c>
      <c r="N18" s="283">
        <f t="shared" si="0"/>
        <v>1.3299999999999999E-2</v>
      </c>
      <c r="O18" s="283">
        <f t="shared" si="0"/>
        <v>6.2100000000000002E-2</v>
      </c>
      <c r="P18" s="53">
        <f t="shared" si="1"/>
        <v>1.0006999999999999</v>
      </c>
      <c r="S18" s="7">
        <f t="shared" si="4"/>
        <v>2005</v>
      </c>
      <c r="T18" s="64">
        <v>0</v>
      </c>
      <c r="U18" s="64">
        <v>5</v>
      </c>
      <c r="V18" s="671">
        <f t="shared" si="5"/>
        <v>0</v>
      </c>
      <c r="W18" s="672">
        <v>1</v>
      </c>
      <c r="X18" s="2">
        <f t="shared" si="2"/>
        <v>0</v>
      </c>
    </row>
    <row r="19" spans="2:24">
      <c r="B19" s="7">
        <f t="shared" si="3"/>
        <v>2006</v>
      </c>
      <c r="C19" s="750">
        <f>'[2]Fraksi pengelolaan sampah BaU'!G36</f>
        <v>0</v>
      </c>
      <c r="D19" s="531">
        <v>1</v>
      </c>
      <c r="E19" s="283">
        <f t="shared" si="0"/>
        <v>0.66390000000000005</v>
      </c>
      <c r="F19" s="283">
        <f t="shared" si="0"/>
        <v>0.1285</v>
      </c>
      <c r="G19" s="283">
        <f t="shared" si="0"/>
        <v>0</v>
      </c>
      <c r="H19" s="283">
        <f t="shared" si="0"/>
        <v>0</v>
      </c>
      <c r="I19" s="283">
        <f t="shared" si="0"/>
        <v>0</v>
      </c>
      <c r="J19" s="283">
        <f t="shared" si="0"/>
        <v>8.0999999999999996E-3</v>
      </c>
      <c r="K19" s="283">
        <f t="shared" si="0"/>
        <v>0</v>
      </c>
      <c r="L19" s="283">
        <f t="shared" si="0"/>
        <v>0.1071</v>
      </c>
      <c r="M19" s="283">
        <f t="shared" si="0"/>
        <v>1.77E-2</v>
      </c>
      <c r="N19" s="283">
        <f t="shared" si="0"/>
        <v>1.3299999999999999E-2</v>
      </c>
      <c r="O19" s="283">
        <f t="shared" si="0"/>
        <v>6.2100000000000002E-2</v>
      </c>
      <c r="P19" s="53">
        <f t="shared" si="1"/>
        <v>1.0006999999999999</v>
      </c>
      <c r="S19" s="7">
        <f t="shared" si="4"/>
        <v>2006</v>
      </c>
      <c r="T19" s="64">
        <v>0</v>
      </c>
      <c r="U19" s="64">
        <v>5</v>
      </c>
      <c r="V19" s="671">
        <f t="shared" si="5"/>
        <v>0</v>
      </c>
      <c r="W19" s="672">
        <v>1</v>
      </c>
      <c r="X19" s="2">
        <f t="shared" si="2"/>
        <v>0</v>
      </c>
    </row>
    <row r="20" spans="2:24">
      <c r="B20" s="7">
        <f t="shared" si="3"/>
        <v>2007</v>
      </c>
      <c r="C20" s="750">
        <f>'[2]Fraksi pengelolaan sampah BaU'!G37</f>
        <v>0</v>
      </c>
      <c r="D20" s="531">
        <v>1</v>
      </c>
      <c r="E20" s="283">
        <f t="shared" si="0"/>
        <v>0.66390000000000005</v>
      </c>
      <c r="F20" s="283">
        <f t="shared" si="0"/>
        <v>0.1285</v>
      </c>
      <c r="G20" s="283">
        <f t="shared" si="0"/>
        <v>0</v>
      </c>
      <c r="H20" s="283">
        <f t="shared" si="0"/>
        <v>0</v>
      </c>
      <c r="I20" s="283">
        <f t="shared" si="0"/>
        <v>0</v>
      </c>
      <c r="J20" s="283">
        <f t="shared" si="0"/>
        <v>8.0999999999999996E-3</v>
      </c>
      <c r="K20" s="283">
        <f t="shared" si="0"/>
        <v>0</v>
      </c>
      <c r="L20" s="283">
        <f t="shared" si="0"/>
        <v>0.1071</v>
      </c>
      <c r="M20" s="283">
        <f t="shared" si="0"/>
        <v>1.77E-2</v>
      </c>
      <c r="N20" s="283">
        <f t="shared" si="0"/>
        <v>1.3299999999999999E-2</v>
      </c>
      <c r="O20" s="283">
        <f t="shared" si="0"/>
        <v>6.2100000000000002E-2</v>
      </c>
      <c r="P20" s="53">
        <f t="shared" si="1"/>
        <v>1.0006999999999999</v>
      </c>
      <c r="S20" s="7">
        <f t="shared" si="4"/>
        <v>2007</v>
      </c>
      <c r="T20" s="64">
        <v>0</v>
      </c>
      <c r="U20" s="64">
        <v>5</v>
      </c>
      <c r="V20" s="671">
        <f t="shared" si="5"/>
        <v>0</v>
      </c>
      <c r="W20" s="672">
        <v>1</v>
      </c>
      <c r="X20" s="2">
        <f t="shared" si="2"/>
        <v>0</v>
      </c>
    </row>
    <row r="21" spans="2:24">
      <c r="B21" s="7">
        <f t="shared" si="3"/>
        <v>2008</v>
      </c>
      <c r="C21" s="750">
        <f>'[2]Fraksi pengelolaan sampah BaU'!G38</f>
        <v>0</v>
      </c>
      <c r="D21" s="531">
        <v>1</v>
      </c>
      <c r="E21" s="283">
        <f t="shared" si="0"/>
        <v>0.66390000000000005</v>
      </c>
      <c r="F21" s="283">
        <f t="shared" si="0"/>
        <v>0.1285</v>
      </c>
      <c r="G21" s="283">
        <f t="shared" si="0"/>
        <v>0</v>
      </c>
      <c r="H21" s="283">
        <f t="shared" si="0"/>
        <v>0</v>
      </c>
      <c r="I21" s="283">
        <f t="shared" si="0"/>
        <v>0</v>
      </c>
      <c r="J21" s="283">
        <f t="shared" si="0"/>
        <v>8.0999999999999996E-3</v>
      </c>
      <c r="K21" s="283">
        <f t="shared" si="0"/>
        <v>0</v>
      </c>
      <c r="L21" s="283">
        <f t="shared" si="0"/>
        <v>0.1071</v>
      </c>
      <c r="M21" s="283">
        <f t="shared" si="0"/>
        <v>1.77E-2</v>
      </c>
      <c r="N21" s="283">
        <f t="shared" si="0"/>
        <v>1.3299999999999999E-2</v>
      </c>
      <c r="O21" s="283">
        <f t="shared" si="0"/>
        <v>6.2100000000000002E-2</v>
      </c>
      <c r="P21" s="53">
        <f t="shared" si="1"/>
        <v>1.0006999999999999</v>
      </c>
      <c r="S21" s="7">
        <f t="shared" si="4"/>
        <v>2008</v>
      </c>
      <c r="T21" s="64">
        <v>0</v>
      </c>
      <c r="U21" s="64">
        <v>5</v>
      </c>
      <c r="V21" s="671">
        <f t="shared" si="5"/>
        <v>0</v>
      </c>
      <c r="W21" s="672">
        <v>1</v>
      </c>
      <c r="X21" s="2">
        <f t="shared" si="2"/>
        <v>0</v>
      </c>
    </row>
    <row r="22" spans="2:24">
      <c r="B22" s="7">
        <f t="shared" si="3"/>
        <v>2009</v>
      </c>
      <c r="C22" s="750">
        <f>'[2]Fraksi pengelolaan sampah BaU'!G39</f>
        <v>0</v>
      </c>
      <c r="D22" s="531">
        <v>1</v>
      </c>
      <c r="E22" s="283">
        <f t="shared" si="0"/>
        <v>0.66390000000000005</v>
      </c>
      <c r="F22" s="283">
        <f t="shared" si="0"/>
        <v>0.1285</v>
      </c>
      <c r="G22" s="283">
        <f t="shared" si="0"/>
        <v>0</v>
      </c>
      <c r="H22" s="283">
        <f t="shared" si="0"/>
        <v>0</v>
      </c>
      <c r="I22" s="283">
        <f t="shared" si="0"/>
        <v>0</v>
      </c>
      <c r="J22" s="283">
        <f t="shared" si="0"/>
        <v>8.0999999999999996E-3</v>
      </c>
      <c r="K22" s="283">
        <f t="shared" si="0"/>
        <v>0</v>
      </c>
      <c r="L22" s="283">
        <f t="shared" si="0"/>
        <v>0.1071</v>
      </c>
      <c r="M22" s="283">
        <f t="shared" si="0"/>
        <v>1.77E-2</v>
      </c>
      <c r="N22" s="283">
        <f t="shared" si="0"/>
        <v>1.3299999999999999E-2</v>
      </c>
      <c r="O22" s="283">
        <f t="shared" si="0"/>
        <v>6.2100000000000002E-2</v>
      </c>
      <c r="P22" s="53">
        <f t="shared" si="1"/>
        <v>1.0006999999999999</v>
      </c>
      <c r="S22" s="7">
        <f t="shared" si="4"/>
        <v>2009</v>
      </c>
      <c r="T22" s="64">
        <v>0</v>
      </c>
      <c r="U22" s="64">
        <v>5</v>
      </c>
      <c r="V22" s="671">
        <f t="shared" si="5"/>
        <v>0</v>
      </c>
      <c r="W22" s="672">
        <v>1</v>
      </c>
      <c r="X22" s="2">
        <f t="shared" si="2"/>
        <v>0</v>
      </c>
    </row>
    <row r="23" spans="2:24">
      <c r="B23" s="7">
        <f t="shared" si="3"/>
        <v>2010</v>
      </c>
      <c r="C23" s="750">
        <f>'[2]Fraksi pengelolaan sampah BaU'!G40</f>
        <v>0</v>
      </c>
      <c r="D23" s="531">
        <v>1</v>
      </c>
      <c r="E23" s="283">
        <f t="shared" ref="E23:O38" si="6">E$8</f>
        <v>0.66390000000000005</v>
      </c>
      <c r="F23" s="283">
        <f t="shared" si="6"/>
        <v>0.1285</v>
      </c>
      <c r="G23" s="283">
        <f t="shared" si="0"/>
        <v>0</v>
      </c>
      <c r="H23" s="283">
        <f t="shared" si="6"/>
        <v>0</v>
      </c>
      <c r="I23" s="283">
        <f t="shared" si="0"/>
        <v>0</v>
      </c>
      <c r="J23" s="283">
        <f t="shared" si="6"/>
        <v>8.0999999999999996E-3</v>
      </c>
      <c r="K23" s="283">
        <f t="shared" si="6"/>
        <v>0</v>
      </c>
      <c r="L23" s="283">
        <f t="shared" si="6"/>
        <v>0.1071</v>
      </c>
      <c r="M23" s="283">
        <f t="shared" si="6"/>
        <v>1.77E-2</v>
      </c>
      <c r="N23" s="283">
        <f t="shared" si="6"/>
        <v>1.3299999999999999E-2</v>
      </c>
      <c r="O23" s="283">
        <f t="shared" si="6"/>
        <v>6.2100000000000002E-2</v>
      </c>
      <c r="P23" s="53">
        <f t="shared" si="1"/>
        <v>1.0006999999999999</v>
      </c>
      <c r="S23" s="7">
        <f t="shared" si="4"/>
        <v>2010</v>
      </c>
      <c r="T23" s="64">
        <v>0</v>
      </c>
      <c r="U23" s="64">
        <v>5</v>
      </c>
      <c r="V23" s="671">
        <f t="shared" si="5"/>
        <v>0</v>
      </c>
      <c r="W23" s="672">
        <v>1</v>
      </c>
      <c r="X23" s="2">
        <f t="shared" si="2"/>
        <v>0</v>
      </c>
    </row>
    <row r="24" spans="2:24">
      <c r="B24" s="7">
        <f t="shared" si="3"/>
        <v>2011</v>
      </c>
      <c r="C24" s="749"/>
      <c r="D24" s="531">
        <v>1</v>
      </c>
      <c r="E24" s="283">
        <f t="shared" si="6"/>
        <v>0.66390000000000005</v>
      </c>
      <c r="F24" s="283">
        <f t="shared" si="6"/>
        <v>0.1285</v>
      </c>
      <c r="G24" s="283">
        <f t="shared" si="0"/>
        <v>0</v>
      </c>
      <c r="H24" s="283">
        <f t="shared" si="6"/>
        <v>0</v>
      </c>
      <c r="I24" s="283">
        <f t="shared" si="0"/>
        <v>0</v>
      </c>
      <c r="J24" s="283">
        <f t="shared" si="6"/>
        <v>8.0999999999999996E-3</v>
      </c>
      <c r="K24" s="283">
        <f t="shared" si="6"/>
        <v>0</v>
      </c>
      <c r="L24" s="283">
        <f t="shared" si="6"/>
        <v>0.1071</v>
      </c>
      <c r="M24" s="283">
        <f t="shared" si="6"/>
        <v>1.77E-2</v>
      </c>
      <c r="N24" s="283">
        <f t="shared" si="6"/>
        <v>1.3299999999999999E-2</v>
      </c>
      <c r="O24" s="283">
        <f t="shared" si="6"/>
        <v>6.2100000000000002E-2</v>
      </c>
      <c r="P24" s="53">
        <f t="shared" si="1"/>
        <v>1.0006999999999999</v>
      </c>
      <c r="S24" s="7">
        <f t="shared" si="4"/>
        <v>2011</v>
      </c>
      <c r="T24" s="64">
        <v>0</v>
      </c>
      <c r="U24" s="64">
        <v>5</v>
      </c>
      <c r="V24" s="671">
        <f t="shared" si="5"/>
        <v>0</v>
      </c>
      <c r="W24" s="672">
        <v>1</v>
      </c>
      <c r="X24" s="2">
        <f t="shared" si="2"/>
        <v>0</v>
      </c>
    </row>
    <row r="25" spans="2:24">
      <c r="B25" s="7">
        <f t="shared" si="3"/>
        <v>2012</v>
      </c>
      <c r="C25" s="529"/>
      <c r="D25" s="531">
        <v>1</v>
      </c>
      <c r="E25" s="283">
        <f t="shared" si="6"/>
        <v>0.66390000000000005</v>
      </c>
      <c r="F25" s="283">
        <f t="shared" si="6"/>
        <v>0.1285</v>
      </c>
      <c r="G25" s="283">
        <f t="shared" si="0"/>
        <v>0</v>
      </c>
      <c r="H25" s="283">
        <f t="shared" si="6"/>
        <v>0</v>
      </c>
      <c r="I25" s="283">
        <f t="shared" si="0"/>
        <v>0</v>
      </c>
      <c r="J25" s="283">
        <f t="shared" si="6"/>
        <v>8.0999999999999996E-3</v>
      </c>
      <c r="K25" s="283">
        <f t="shared" si="6"/>
        <v>0</v>
      </c>
      <c r="L25" s="283">
        <f t="shared" si="6"/>
        <v>0.1071</v>
      </c>
      <c r="M25" s="283">
        <f t="shared" si="6"/>
        <v>1.77E-2</v>
      </c>
      <c r="N25" s="283">
        <f t="shared" si="6"/>
        <v>1.3299999999999999E-2</v>
      </c>
      <c r="O25" s="283">
        <f t="shared" si="6"/>
        <v>6.2100000000000002E-2</v>
      </c>
      <c r="P25" s="53">
        <f t="shared" si="1"/>
        <v>1.0006999999999999</v>
      </c>
      <c r="S25" s="7">
        <f t="shared" si="4"/>
        <v>2012</v>
      </c>
      <c r="T25" s="64">
        <v>0</v>
      </c>
      <c r="U25" s="64">
        <v>5</v>
      </c>
      <c r="V25" s="671">
        <f t="shared" si="5"/>
        <v>0</v>
      </c>
      <c r="W25" s="672">
        <v>1</v>
      </c>
      <c r="X25" s="2">
        <f t="shared" si="2"/>
        <v>0</v>
      </c>
    </row>
    <row r="26" spans="2:24">
      <c r="B26" s="7">
        <f t="shared" si="3"/>
        <v>2013</v>
      </c>
      <c r="C26" s="529"/>
      <c r="D26" s="531">
        <v>1</v>
      </c>
      <c r="E26" s="283">
        <f t="shared" si="6"/>
        <v>0.66390000000000005</v>
      </c>
      <c r="F26" s="283">
        <f t="shared" si="6"/>
        <v>0.1285</v>
      </c>
      <c r="G26" s="283">
        <f t="shared" si="0"/>
        <v>0</v>
      </c>
      <c r="H26" s="283">
        <f t="shared" si="6"/>
        <v>0</v>
      </c>
      <c r="I26" s="283">
        <f t="shared" si="0"/>
        <v>0</v>
      </c>
      <c r="J26" s="283">
        <f t="shared" si="6"/>
        <v>8.0999999999999996E-3</v>
      </c>
      <c r="K26" s="283">
        <f t="shared" si="6"/>
        <v>0</v>
      </c>
      <c r="L26" s="283">
        <f t="shared" si="6"/>
        <v>0.1071</v>
      </c>
      <c r="M26" s="283">
        <f t="shared" si="6"/>
        <v>1.77E-2</v>
      </c>
      <c r="N26" s="283">
        <f t="shared" si="6"/>
        <v>1.3299999999999999E-2</v>
      </c>
      <c r="O26" s="283">
        <f t="shared" si="6"/>
        <v>6.2100000000000002E-2</v>
      </c>
      <c r="P26" s="53">
        <f t="shared" si="1"/>
        <v>1.0006999999999999</v>
      </c>
      <c r="S26" s="7">
        <f t="shared" si="4"/>
        <v>2013</v>
      </c>
      <c r="T26" s="64">
        <v>0</v>
      </c>
      <c r="U26" s="64">
        <v>5</v>
      </c>
      <c r="V26" s="671">
        <f t="shared" si="5"/>
        <v>0</v>
      </c>
      <c r="W26" s="672">
        <v>1</v>
      </c>
      <c r="X26" s="2">
        <f t="shared" si="2"/>
        <v>0</v>
      </c>
    </row>
    <row r="27" spans="2:24">
      <c r="B27" s="7">
        <f t="shared" si="3"/>
        <v>2014</v>
      </c>
      <c r="C27" s="529"/>
      <c r="D27" s="531">
        <v>1</v>
      </c>
      <c r="E27" s="283">
        <f t="shared" si="6"/>
        <v>0.66390000000000005</v>
      </c>
      <c r="F27" s="283">
        <f t="shared" si="6"/>
        <v>0.1285</v>
      </c>
      <c r="G27" s="283">
        <f t="shared" si="0"/>
        <v>0</v>
      </c>
      <c r="H27" s="283">
        <f t="shared" si="6"/>
        <v>0</v>
      </c>
      <c r="I27" s="283">
        <f t="shared" si="0"/>
        <v>0</v>
      </c>
      <c r="J27" s="283">
        <f t="shared" si="6"/>
        <v>8.0999999999999996E-3</v>
      </c>
      <c r="K27" s="283">
        <f t="shared" si="6"/>
        <v>0</v>
      </c>
      <c r="L27" s="283">
        <f t="shared" si="6"/>
        <v>0.1071</v>
      </c>
      <c r="M27" s="283">
        <f t="shared" si="6"/>
        <v>1.77E-2</v>
      </c>
      <c r="N27" s="283">
        <f t="shared" si="6"/>
        <v>1.3299999999999999E-2</v>
      </c>
      <c r="O27" s="283">
        <f t="shared" si="6"/>
        <v>6.2100000000000002E-2</v>
      </c>
      <c r="P27" s="53">
        <f t="shared" si="1"/>
        <v>1.0006999999999999</v>
      </c>
      <c r="S27" s="7">
        <f t="shared" si="4"/>
        <v>2014</v>
      </c>
      <c r="T27" s="64">
        <v>0</v>
      </c>
      <c r="U27" s="64">
        <v>5</v>
      </c>
      <c r="V27" s="671">
        <f t="shared" si="5"/>
        <v>0</v>
      </c>
      <c r="W27" s="672">
        <v>1</v>
      </c>
      <c r="X27" s="2">
        <f t="shared" si="2"/>
        <v>0</v>
      </c>
    </row>
    <row r="28" spans="2:24">
      <c r="B28" s="7">
        <f t="shared" si="3"/>
        <v>2015</v>
      </c>
      <c r="C28" s="529"/>
      <c r="D28" s="531">
        <v>1</v>
      </c>
      <c r="E28" s="283">
        <f t="shared" si="6"/>
        <v>0.66390000000000005</v>
      </c>
      <c r="F28" s="283">
        <f t="shared" si="6"/>
        <v>0.1285</v>
      </c>
      <c r="G28" s="283">
        <f t="shared" si="0"/>
        <v>0</v>
      </c>
      <c r="H28" s="283">
        <f t="shared" si="6"/>
        <v>0</v>
      </c>
      <c r="I28" s="283">
        <f t="shared" si="0"/>
        <v>0</v>
      </c>
      <c r="J28" s="283">
        <f t="shared" si="6"/>
        <v>8.0999999999999996E-3</v>
      </c>
      <c r="K28" s="283">
        <f t="shared" si="6"/>
        <v>0</v>
      </c>
      <c r="L28" s="283">
        <f t="shared" si="6"/>
        <v>0.1071</v>
      </c>
      <c r="M28" s="283">
        <f t="shared" si="6"/>
        <v>1.77E-2</v>
      </c>
      <c r="N28" s="283">
        <f t="shared" si="6"/>
        <v>1.3299999999999999E-2</v>
      </c>
      <c r="O28" s="283">
        <f t="shared" si="6"/>
        <v>6.2100000000000002E-2</v>
      </c>
      <c r="P28" s="53">
        <f t="shared" si="1"/>
        <v>1.0006999999999999</v>
      </c>
      <c r="S28" s="7">
        <f t="shared" si="4"/>
        <v>2015</v>
      </c>
      <c r="T28" s="64">
        <v>0</v>
      </c>
      <c r="U28" s="64">
        <v>5</v>
      </c>
      <c r="V28" s="671">
        <f t="shared" si="5"/>
        <v>0</v>
      </c>
      <c r="W28" s="672">
        <v>1</v>
      </c>
      <c r="X28" s="2">
        <f t="shared" si="2"/>
        <v>0</v>
      </c>
    </row>
    <row r="29" spans="2:24">
      <c r="B29" s="7">
        <f t="shared" si="3"/>
        <v>2016</v>
      </c>
      <c r="C29" s="529"/>
      <c r="D29" s="531">
        <v>1</v>
      </c>
      <c r="E29" s="283">
        <f t="shared" si="6"/>
        <v>0.66390000000000005</v>
      </c>
      <c r="F29" s="283">
        <f t="shared" si="6"/>
        <v>0.1285</v>
      </c>
      <c r="G29" s="283">
        <f t="shared" si="6"/>
        <v>0</v>
      </c>
      <c r="H29" s="283">
        <f t="shared" si="6"/>
        <v>0</v>
      </c>
      <c r="I29" s="283">
        <f t="shared" si="6"/>
        <v>0</v>
      </c>
      <c r="J29" s="283">
        <f t="shared" si="6"/>
        <v>8.0999999999999996E-3</v>
      </c>
      <c r="K29" s="283">
        <f t="shared" si="6"/>
        <v>0</v>
      </c>
      <c r="L29" s="283">
        <f t="shared" si="6"/>
        <v>0.1071</v>
      </c>
      <c r="M29" s="283">
        <f t="shared" si="6"/>
        <v>1.77E-2</v>
      </c>
      <c r="N29" s="283">
        <f t="shared" si="6"/>
        <v>1.3299999999999999E-2</v>
      </c>
      <c r="O29" s="283">
        <f t="shared" si="6"/>
        <v>6.2100000000000002E-2</v>
      </c>
      <c r="P29" s="53">
        <f t="shared" si="1"/>
        <v>1.0006999999999999</v>
      </c>
      <c r="S29" s="7">
        <f t="shared" si="4"/>
        <v>2016</v>
      </c>
      <c r="T29" s="64">
        <v>0</v>
      </c>
      <c r="U29" s="64">
        <v>5</v>
      </c>
      <c r="V29" s="671">
        <f t="shared" si="5"/>
        <v>0</v>
      </c>
      <c r="W29" s="672">
        <v>1</v>
      </c>
      <c r="X29" s="2">
        <f t="shared" si="2"/>
        <v>0</v>
      </c>
    </row>
    <row r="30" spans="2:24">
      <c r="B30" s="7">
        <f t="shared" si="3"/>
        <v>2017</v>
      </c>
      <c r="C30" s="529"/>
      <c r="D30" s="531">
        <v>1</v>
      </c>
      <c r="E30" s="283">
        <f t="shared" si="6"/>
        <v>0.66390000000000005</v>
      </c>
      <c r="F30" s="283">
        <f t="shared" si="6"/>
        <v>0.1285</v>
      </c>
      <c r="G30" s="283">
        <f t="shared" si="6"/>
        <v>0</v>
      </c>
      <c r="H30" s="283">
        <f t="shared" si="6"/>
        <v>0</v>
      </c>
      <c r="I30" s="283">
        <f t="shared" si="6"/>
        <v>0</v>
      </c>
      <c r="J30" s="283">
        <f t="shared" si="6"/>
        <v>8.0999999999999996E-3</v>
      </c>
      <c r="K30" s="283">
        <f t="shared" si="6"/>
        <v>0</v>
      </c>
      <c r="L30" s="283">
        <f t="shared" si="6"/>
        <v>0.1071</v>
      </c>
      <c r="M30" s="283">
        <f t="shared" si="6"/>
        <v>1.77E-2</v>
      </c>
      <c r="N30" s="283">
        <f t="shared" si="6"/>
        <v>1.3299999999999999E-2</v>
      </c>
      <c r="O30" s="283">
        <f t="shared" si="6"/>
        <v>6.2100000000000002E-2</v>
      </c>
      <c r="P30" s="53">
        <f t="shared" si="1"/>
        <v>1.0006999999999999</v>
      </c>
      <c r="S30" s="7">
        <f t="shared" si="4"/>
        <v>2017</v>
      </c>
      <c r="T30" s="64">
        <v>0</v>
      </c>
      <c r="U30" s="64">
        <v>5</v>
      </c>
      <c r="V30" s="671">
        <f t="shared" si="5"/>
        <v>0</v>
      </c>
      <c r="W30" s="672">
        <v>1</v>
      </c>
      <c r="X30" s="2">
        <f t="shared" si="2"/>
        <v>0</v>
      </c>
    </row>
    <row r="31" spans="2:24">
      <c r="B31" s="7">
        <f t="shared" si="3"/>
        <v>2018</v>
      </c>
      <c r="C31" s="529"/>
      <c r="D31" s="531">
        <v>1</v>
      </c>
      <c r="E31" s="283">
        <f t="shared" si="6"/>
        <v>0.66390000000000005</v>
      </c>
      <c r="F31" s="283">
        <f t="shared" si="6"/>
        <v>0.1285</v>
      </c>
      <c r="G31" s="283">
        <f t="shared" si="6"/>
        <v>0</v>
      </c>
      <c r="H31" s="283">
        <f t="shared" si="6"/>
        <v>0</v>
      </c>
      <c r="I31" s="283">
        <f t="shared" si="6"/>
        <v>0</v>
      </c>
      <c r="J31" s="283">
        <f t="shared" si="6"/>
        <v>8.0999999999999996E-3</v>
      </c>
      <c r="K31" s="283">
        <f t="shared" si="6"/>
        <v>0</v>
      </c>
      <c r="L31" s="283">
        <f t="shared" si="6"/>
        <v>0.1071</v>
      </c>
      <c r="M31" s="283">
        <f t="shared" si="6"/>
        <v>1.77E-2</v>
      </c>
      <c r="N31" s="283">
        <f t="shared" si="6"/>
        <v>1.3299999999999999E-2</v>
      </c>
      <c r="O31" s="283">
        <f t="shared" si="6"/>
        <v>6.2100000000000002E-2</v>
      </c>
      <c r="P31" s="53">
        <f t="shared" si="1"/>
        <v>1.0006999999999999</v>
      </c>
      <c r="S31" s="7">
        <f t="shared" si="4"/>
        <v>2018</v>
      </c>
      <c r="T31" s="64">
        <v>0</v>
      </c>
      <c r="U31" s="64">
        <v>5</v>
      </c>
      <c r="V31" s="671">
        <f t="shared" si="5"/>
        <v>0</v>
      </c>
      <c r="W31" s="672">
        <v>1</v>
      </c>
      <c r="X31" s="2">
        <f t="shared" si="2"/>
        <v>0</v>
      </c>
    </row>
    <row r="32" spans="2:24">
      <c r="B32" s="7">
        <f t="shared" si="3"/>
        <v>2019</v>
      </c>
      <c r="C32" s="529"/>
      <c r="D32" s="531">
        <v>1</v>
      </c>
      <c r="E32" s="283">
        <f t="shared" si="6"/>
        <v>0.66390000000000005</v>
      </c>
      <c r="F32" s="283">
        <f t="shared" si="6"/>
        <v>0.1285</v>
      </c>
      <c r="G32" s="283">
        <f t="shared" si="6"/>
        <v>0</v>
      </c>
      <c r="H32" s="283">
        <f t="shared" si="6"/>
        <v>0</v>
      </c>
      <c r="I32" s="283">
        <f t="shared" si="6"/>
        <v>0</v>
      </c>
      <c r="J32" s="283">
        <f t="shared" si="6"/>
        <v>8.0999999999999996E-3</v>
      </c>
      <c r="K32" s="283">
        <f t="shared" si="6"/>
        <v>0</v>
      </c>
      <c r="L32" s="283">
        <f t="shared" si="6"/>
        <v>0.1071</v>
      </c>
      <c r="M32" s="283">
        <f t="shared" si="6"/>
        <v>1.77E-2</v>
      </c>
      <c r="N32" s="283">
        <f t="shared" si="6"/>
        <v>1.3299999999999999E-2</v>
      </c>
      <c r="O32" s="283">
        <f t="shared" si="6"/>
        <v>6.2100000000000002E-2</v>
      </c>
      <c r="P32" s="53">
        <f t="shared" si="1"/>
        <v>1.0006999999999999</v>
      </c>
      <c r="S32" s="7">
        <f t="shared" si="4"/>
        <v>2019</v>
      </c>
      <c r="T32" s="64">
        <v>0</v>
      </c>
      <c r="U32" s="64">
        <v>5</v>
      </c>
      <c r="V32" s="671">
        <f t="shared" si="5"/>
        <v>0</v>
      </c>
      <c r="W32" s="672">
        <v>1</v>
      </c>
      <c r="X32" s="2">
        <f t="shared" si="2"/>
        <v>0</v>
      </c>
    </row>
    <row r="33" spans="2:24">
      <c r="B33" s="7">
        <f t="shared" si="3"/>
        <v>2020</v>
      </c>
      <c r="C33" s="529"/>
      <c r="D33" s="531">
        <v>1</v>
      </c>
      <c r="E33" s="283">
        <f t="shared" ref="E33:O48" si="7">E$8</f>
        <v>0.66390000000000005</v>
      </c>
      <c r="F33" s="283">
        <f t="shared" si="7"/>
        <v>0.1285</v>
      </c>
      <c r="G33" s="283">
        <f t="shared" si="6"/>
        <v>0</v>
      </c>
      <c r="H33" s="283">
        <f t="shared" si="7"/>
        <v>0</v>
      </c>
      <c r="I33" s="283">
        <f t="shared" si="6"/>
        <v>0</v>
      </c>
      <c r="J33" s="283">
        <f t="shared" si="7"/>
        <v>8.0999999999999996E-3</v>
      </c>
      <c r="K33" s="283">
        <f t="shared" si="7"/>
        <v>0</v>
      </c>
      <c r="L33" s="283">
        <f t="shared" si="7"/>
        <v>0.1071</v>
      </c>
      <c r="M33" s="283">
        <f t="shared" si="7"/>
        <v>1.77E-2</v>
      </c>
      <c r="N33" s="283">
        <f t="shared" si="7"/>
        <v>1.3299999999999999E-2</v>
      </c>
      <c r="O33" s="283">
        <f t="shared" si="7"/>
        <v>6.2100000000000002E-2</v>
      </c>
      <c r="P33" s="53">
        <f t="shared" si="1"/>
        <v>1.0006999999999999</v>
      </c>
      <c r="S33" s="7">
        <f t="shared" si="4"/>
        <v>2020</v>
      </c>
      <c r="T33" s="64">
        <v>0</v>
      </c>
      <c r="U33" s="64">
        <v>5</v>
      </c>
      <c r="V33" s="671">
        <f t="shared" si="5"/>
        <v>0</v>
      </c>
      <c r="W33" s="672">
        <v>1</v>
      </c>
      <c r="X33" s="2">
        <f t="shared" si="2"/>
        <v>0</v>
      </c>
    </row>
    <row r="34" spans="2:24">
      <c r="B34" s="7">
        <f t="shared" si="3"/>
        <v>2021</v>
      </c>
      <c r="C34" s="529"/>
      <c r="D34" s="531">
        <v>1</v>
      </c>
      <c r="E34" s="283">
        <f t="shared" si="7"/>
        <v>0.66390000000000005</v>
      </c>
      <c r="F34" s="283">
        <f t="shared" si="7"/>
        <v>0.1285</v>
      </c>
      <c r="G34" s="283">
        <f t="shared" si="6"/>
        <v>0</v>
      </c>
      <c r="H34" s="283">
        <f t="shared" si="7"/>
        <v>0</v>
      </c>
      <c r="I34" s="283">
        <f t="shared" si="6"/>
        <v>0</v>
      </c>
      <c r="J34" s="283">
        <f t="shared" si="7"/>
        <v>8.0999999999999996E-3</v>
      </c>
      <c r="K34" s="283">
        <f t="shared" si="7"/>
        <v>0</v>
      </c>
      <c r="L34" s="283">
        <f t="shared" si="7"/>
        <v>0.1071</v>
      </c>
      <c r="M34" s="283">
        <f t="shared" si="7"/>
        <v>1.77E-2</v>
      </c>
      <c r="N34" s="283">
        <f t="shared" si="7"/>
        <v>1.3299999999999999E-2</v>
      </c>
      <c r="O34" s="283">
        <f t="shared" si="7"/>
        <v>6.2100000000000002E-2</v>
      </c>
      <c r="P34" s="53">
        <f t="shared" si="1"/>
        <v>1.0006999999999999</v>
      </c>
      <c r="S34" s="7">
        <f t="shared" si="4"/>
        <v>2021</v>
      </c>
      <c r="T34" s="64">
        <v>0</v>
      </c>
      <c r="U34" s="64">
        <v>5</v>
      </c>
      <c r="V34" s="671">
        <f t="shared" si="5"/>
        <v>0</v>
      </c>
      <c r="W34" s="672">
        <v>1</v>
      </c>
      <c r="X34" s="2">
        <f t="shared" si="2"/>
        <v>0</v>
      </c>
    </row>
    <row r="35" spans="2:24">
      <c r="B35" s="7">
        <f t="shared" si="3"/>
        <v>2022</v>
      </c>
      <c r="C35" s="529"/>
      <c r="D35" s="531">
        <v>1</v>
      </c>
      <c r="E35" s="283">
        <f t="shared" si="7"/>
        <v>0.66390000000000005</v>
      </c>
      <c r="F35" s="283">
        <f t="shared" si="7"/>
        <v>0.1285</v>
      </c>
      <c r="G35" s="283">
        <f t="shared" si="6"/>
        <v>0</v>
      </c>
      <c r="H35" s="283">
        <f t="shared" si="7"/>
        <v>0</v>
      </c>
      <c r="I35" s="283">
        <f t="shared" si="6"/>
        <v>0</v>
      </c>
      <c r="J35" s="283">
        <f t="shared" si="7"/>
        <v>8.0999999999999996E-3</v>
      </c>
      <c r="K35" s="283">
        <f t="shared" si="7"/>
        <v>0</v>
      </c>
      <c r="L35" s="283">
        <f t="shared" si="7"/>
        <v>0.1071</v>
      </c>
      <c r="M35" s="283">
        <f t="shared" si="7"/>
        <v>1.77E-2</v>
      </c>
      <c r="N35" s="283">
        <f t="shared" si="7"/>
        <v>1.3299999999999999E-2</v>
      </c>
      <c r="O35" s="283">
        <f t="shared" si="7"/>
        <v>6.2100000000000002E-2</v>
      </c>
      <c r="P35" s="53">
        <f t="shared" si="1"/>
        <v>1.0006999999999999</v>
      </c>
      <c r="S35" s="7">
        <f t="shared" si="4"/>
        <v>2022</v>
      </c>
      <c r="T35" s="64">
        <v>0</v>
      </c>
      <c r="U35" s="64">
        <v>5</v>
      </c>
      <c r="V35" s="671">
        <f t="shared" si="5"/>
        <v>0</v>
      </c>
      <c r="W35" s="672">
        <v>1</v>
      </c>
      <c r="X35" s="2">
        <f t="shared" si="2"/>
        <v>0</v>
      </c>
    </row>
    <row r="36" spans="2:24">
      <c r="B36" s="7">
        <f t="shared" si="3"/>
        <v>2023</v>
      </c>
      <c r="C36" s="529"/>
      <c r="D36" s="531">
        <v>1</v>
      </c>
      <c r="E36" s="283">
        <f t="shared" si="7"/>
        <v>0.66390000000000005</v>
      </c>
      <c r="F36" s="283">
        <f t="shared" si="7"/>
        <v>0.1285</v>
      </c>
      <c r="G36" s="283">
        <f t="shared" si="6"/>
        <v>0</v>
      </c>
      <c r="H36" s="283">
        <f t="shared" si="7"/>
        <v>0</v>
      </c>
      <c r="I36" s="283">
        <f t="shared" si="6"/>
        <v>0</v>
      </c>
      <c r="J36" s="283">
        <f t="shared" si="7"/>
        <v>8.0999999999999996E-3</v>
      </c>
      <c r="K36" s="283">
        <f t="shared" si="7"/>
        <v>0</v>
      </c>
      <c r="L36" s="283">
        <f t="shared" si="7"/>
        <v>0.1071</v>
      </c>
      <c r="M36" s="283">
        <f t="shared" si="7"/>
        <v>1.77E-2</v>
      </c>
      <c r="N36" s="283">
        <f t="shared" si="7"/>
        <v>1.3299999999999999E-2</v>
      </c>
      <c r="O36" s="283">
        <f t="shared" si="7"/>
        <v>6.2100000000000002E-2</v>
      </c>
      <c r="P36" s="53">
        <f t="shared" si="1"/>
        <v>1.0006999999999999</v>
      </c>
      <c r="S36" s="7">
        <f t="shared" si="4"/>
        <v>2023</v>
      </c>
      <c r="T36" s="64">
        <v>0</v>
      </c>
      <c r="U36" s="64">
        <v>5</v>
      </c>
      <c r="V36" s="671">
        <f t="shared" si="5"/>
        <v>0</v>
      </c>
      <c r="W36" s="672">
        <v>1</v>
      </c>
      <c r="X36" s="2">
        <f t="shared" si="2"/>
        <v>0</v>
      </c>
    </row>
    <row r="37" spans="2:24">
      <c r="B37" s="7">
        <f t="shared" si="3"/>
        <v>2024</v>
      </c>
      <c r="C37" s="529"/>
      <c r="D37" s="531">
        <v>1</v>
      </c>
      <c r="E37" s="283">
        <f t="shared" si="7"/>
        <v>0.66390000000000005</v>
      </c>
      <c r="F37" s="283">
        <f t="shared" si="7"/>
        <v>0.1285</v>
      </c>
      <c r="G37" s="283">
        <f t="shared" si="6"/>
        <v>0</v>
      </c>
      <c r="H37" s="283">
        <f t="shared" si="7"/>
        <v>0</v>
      </c>
      <c r="I37" s="283">
        <f t="shared" si="6"/>
        <v>0</v>
      </c>
      <c r="J37" s="283">
        <f t="shared" si="7"/>
        <v>8.0999999999999996E-3</v>
      </c>
      <c r="K37" s="283">
        <f t="shared" si="7"/>
        <v>0</v>
      </c>
      <c r="L37" s="283">
        <f t="shared" si="7"/>
        <v>0.1071</v>
      </c>
      <c r="M37" s="283">
        <f t="shared" si="7"/>
        <v>1.77E-2</v>
      </c>
      <c r="N37" s="283">
        <f t="shared" si="7"/>
        <v>1.3299999999999999E-2</v>
      </c>
      <c r="O37" s="283">
        <f t="shared" si="7"/>
        <v>6.2100000000000002E-2</v>
      </c>
      <c r="P37" s="53">
        <f t="shared" si="1"/>
        <v>1.0006999999999999</v>
      </c>
      <c r="S37" s="7">
        <f t="shared" si="4"/>
        <v>2024</v>
      </c>
      <c r="T37" s="64">
        <v>0</v>
      </c>
      <c r="U37" s="64">
        <v>5</v>
      </c>
      <c r="V37" s="671">
        <f t="shared" si="5"/>
        <v>0</v>
      </c>
      <c r="W37" s="672">
        <v>1</v>
      </c>
      <c r="X37" s="2">
        <f t="shared" si="2"/>
        <v>0</v>
      </c>
    </row>
    <row r="38" spans="2:24">
      <c r="B38" s="7">
        <f t="shared" si="3"/>
        <v>2025</v>
      </c>
      <c r="C38" s="529"/>
      <c r="D38" s="531">
        <v>1</v>
      </c>
      <c r="E38" s="283">
        <f t="shared" si="7"/>
        <v>0.66390000000000005</v>
      </c>
      <c r="F38" s="283">
        <f t="shared" si="7"/>
        <v>0.1285</v>
      </c>
      <c r="G38" s="283">
        <f t="shared" si="6"/>
        <v>0</v>
      </c>
      <c r="H38" s="283">
        <f t="shared" si="7"/>
        <v>0</v>
      </c>
      <c r="I38" s="283">
        <f t="shared" si="6"/>
        <v>0</v>
      </c>
      <c r="J38" s="283">
        <f t="shared" si="7"/>
        <v>8.0999999999999996E-3</v>
      </c>
      <c r="K38" s="283">
        <f t="shared" si="7"/>
        <v>0</v>
      </c>
      <c r="L38" s="283">
        <f t="shared" si="7"/>
        <v>0.1071</v>
      </c>
      <c r="M38" s="283">
        <f t="shared" si="7"/>
        <v>1.77E-2</v>
      </c>
      <c r="N38" s="283">
        <f t="shared" si="7"/>
        <v>1.3299999999999999E-2</v>
      </c>
      <c r="O38" s="283">
        <f t="shared" si="7"/>
        <v>6.2100000000000002E-2</v>
      </c>
      <c r="P38" s="53">
        <f t="shared" si="1"/>
        <v>1.0006999999999999</v>
      </c>
      <c r="S38" s="7">
        <f t="shared" si="4"/>
        <v>2025</v>
      </c>
      <c r="T38" s="64">
        <v>0</v>
      </c>
      <c r="U38" s="64">
        <v>5</v>
      </c>
      <c r="V38" s="671">
        <f t="shared" si="5"/>
        <v>0</v>
      </c>
      <c r="W38" s="672">
        <v>1</v>
      </c>
      <c r="X38" s="2">
        <f t="shared" si="2"/>
        <v>0</v>
      </c>
    </row>
    <row r="39" spans="2:24">
      <c r="B39" s="7">
        <f t="shared" si="3"/>
        <v>2026</v>
      </c>
      <c r="C39" s="529"/>
      <c r="D39" s="531">
        <v>1</v>
      </c>
      <c r="E39" s="283">
        <f t="shared" si="7"/>
        <v>0.66390000000000005</v>
      </c>
      <c r="F39" s="283">
        <f t="shared" si="7"/>
        <v>0.1285</v>
      </c>
      <c r="G39" s="283">
        <f t="shared" si="7"/>
        <v>0</v>
      </c>
      <c r="H39" s="283">
        <f t="shared" si="7"/>
        <v>0</v>
      </c>
      <c r="I39" s="283">
        <f t="shared" si="7"/>
        <v>0</v>
      </c>
      <c r="J39" s="283">
        <f t="shared" si="7"/>
        <v>8.0999999999999996E-3</v>
      </c>
      <c r="K39" s="283">
        <f t="shared" si="7"/>
        <v>0</v>
      </c>
      <c r="L39" s="283">
        <f t="shared" si="7"/>
        <v>0.1071</v>
      </c>
      <c r="M39" s="283">
        <f t="shared" si="7"/>
        <v>1.77E-2</v>
      </c>
      <c r="N39" s="283">
        <f t="shared" si="7"/>
        <v>1.3299999999999999E-2</v>
      </c>
      <c r="O39" s="283">
        <f t="shared" si="7"/>
        <v>6.2100000000000002E-2</v>
      </c>
      <c r="P39" s="53">
        <f t="shared" si="1"/>
        <v>1.0006999999999999</v>
      </c>
      <c r="S39" s="7">
        <f t="shared" si="4"/>
        <v>2026</v>
      </c>
      <c r="T39" s="64">
        <v>0</v>
      </c>
      <c r="U39" s="64">
        <v>5</v>
      </c>
      <c r="V39" s="671">
        <f t="shared" si="5"/>
        <v>0</v>
      </c>
      <c r="W39" s="672">
        <v>1</v>
      </c>
      <c r="X39" s="2">
        <f t="shared" si="2"/>
        <v>0</v>
      </c>
    </row>
    <row r="40" spans="2:24">
      <c r="B40" s="7">
        <f t="shared" si="3"/>
        <v>2027</v>
      </c>
      <c r="C40" s="529"/>
      <c r="D40" s="531">
        <v>1</v>
      </c>
      <c r="E40" s="283">
        <f t="shared" si="7"/>
        <v>0.66390000000000005</v>
      </c>
      <c r="F40" s="283">
        <f t="shared" si="7"/>
        <v>0.1285</v>
      </c>
      <c r="G40" s="283">
        <f t="shared" si="7"/>
        <v>0</v>
      </c>
      <c r="H40" s="283">
        <f t="shared" si="7"/>
        <v>0</v>
      </c>
      <c r="I40" s="283">
        <f t="shared" si="7"/>
        <v>0</v>
      </c>
      <c r="J40" s="283">
        <f t="shared" si="7"/>
        <v>8.0999999999999996E-3</v>
      </c>
      <c r="K40" s="283">
        <f t="shared" si="7"/>
        <v>0</v>
      </c>
      <c r="L40" s="283">
        <f t="shared" si="7"/>
        <v>0.1071</v>
      </c>
      <c r="M40" s="283">
        <f t="shared" si="7"/>
        <v>1.77E-2</v>
      </c>
      <c r="N40" s="283">
        <f t="shared" si="7"/>
        <v>1.3299999999999999E-2</v>
      </c>
      <c r="O40" s="283">
        <f t="shared" si="7"/>
        <v>6.2100000000000002E-2</v>
      </c>
      <c r="P40" s="53">
        <f t="shared" si="1"/>
        <v>1.0006999999999999</v>
      </c>
      <c r="S40" s="7">
        <f t="shared" si="4"/>
        <v>2027</v>
      </c>
      <c r="T40" s="64">
        <v>0</v>
      </c>
      <c r="U40" s="64">
        <v>5</v>
      </c>
      <c r="V40" s="671">
        <f t="shared" si="5"/>
        <v>0</v>
      </c>
      <c r="W40" s="672">
        <v>1</v>
      </c>
      <c r="X40" s="2">
        <f t="shared" si="2"/>
        <v>0</v>
      </c>
    </row>
    <row r="41" spans="2:24">
      <c r="B41" s="7">
        <f t="shared" si="3"/>
        <v>2028</v>
      </c>
      <c r="C41" s="529"/>
      <c r="D41" s="531">
        <v>1</v>
      </c>
      <c r="E41" s="283">
        <f t="shared" si="7"/>
        <v>0.66390000000000005</v>
      </c>
      <c r="F41" s="283">
        <f t="shared" si="7"/>
        <v>0.1285</v>
      </c>
      <c r="G41" s="283">
        <f t="shared" si="7"/>
        <v>0</v>
      </c>
      <c r="H41" s="283">
        <f t="shared" si="7"/>
        <v>0</v>
      </c>
      <c r="I41" s="283">
        <f t="shared" si="7"/>
        <v>0</v>
      </c>
      <c r="J41" s="283">
        <f t="shared" si="7"/>
        <v>8.0999999999999996E-3</v>
      </c>
      <c r="K41" s="283">
        <f t="shared" si="7"/>
        <v>0</v>
      </c>
      <c r="L41" s="283">
        <f t="shared" si="7"/>
        <v>0.1071</v>
      </c>
      <c r="M41" s="283">
        <f t="shared" si="7"/>
        <v>1.77E-2</v>
      </c>
      <c r="N41" s="283">
        <f t="shared" si="7"/>
        <v>1.3299999999999999E-2</v>
      </c>
      <c r="O41" s="283">
        <f t="shared" si="7"/>
        <v>6.2100000000000002E-2</v>
      </c>
      <c r="P41" s="53">
        <f t="shared" si="1"/>
        <v>1.0006999999999999</v>
      </c>
      <c r="S41" s="7">
        <f t="shared" si="4"/>
        <v>2028</v>
      </c>
      <c r="T41" s="64">
        <v>0</v>
      </c>
      <c r="U41" s="64">
        <v>5</v>
      </c>
      <c r="V41" s="671">
        <f t="shared" si="5"/>
        <v>0</v>
      </c>
      <c r="W41" s="672">
        <v>1</v>
      </c>
      <c r="X41" s="2">
        <f t="shared" si="2"/>
        <v>0</v>
      </c>
    </row>
    <row r="42" spans="2:24">
      <c r="B42" s="7">
        <f t="shared" si="3"/>
        <v>2029</v>
      </c>
      <c r="C42" s="529"/>
      <c r="D42" s="531">
        <v>1</v>
      </c>
      <c r="E42" s="283">
        <f t="shared" si="7"/>
        <v>0.66390000000000005</v>
      </c>
      <c r="F42" s="283">
        <f t="shared" si="7"/>
        <v>0.1285</v>
      </c>
      <c r="G42" s="283">
        <f t="shared" si="7"/>
        <v>0</v>
      </c>
      <c r="H42" s="283">
        <f t="shared" si="7"/>
        <v>0</v>
      </c>
      <c r="I42" s="283">
        <f t="shared" si="7"/>
        <v>0</v>
      </c>
      <c r="J42" s="283">
        <f t="shared" si="7"/>
        <v>8.0999999999999996E-3</v>
      </c>
      <c r="K42" s="283">
        <f t="shared" si="7"/>
        <v>0</v>
      </c>
      <c r="L42" s="283">
        <f t="shared" si="7"/>
        <v>0.1071</v>
      </c>
      <c r="M42" s="283">
        <f t="shared" si="7"/>
        <v>1.77E-2</v>
      </c>
      <c r="N42" s="283">
        <f t="shared" si="7"/>
        <v>1.3299999999999999E-2</v>
      </c>
      <c r="O42" s="283">
        <f t="shared" si="7"/>
        <v>6.2100000000000002E-2</v>
      </c>
      <c r="P42" s="53">
        <f t="shared" si="1"/>
        <v>1.0006999999999999</v>
      </c>
      <c r="S42" s="7">
        <f t="shared" si="4"/>
        <v>2029</v>
      </c>
      <c r="T42" s="64">
        <v>0</v>
      </c>
      <c r="U42" s="64">
        <v>5</v>
      </c>
      <c r="V42" s="671">
        <f t="shared" si="5"/>
        <v>0</v>
      </c>
      <c r="W42" s="672">
        <v>1</v>
      </c>
      <c r="X42" s="2">
        <f t="shared" si="2"/>
        <v>0</v>
      </c>
    </row>
    <row r="43" spans="2:24">
      <c r="B43" s="7">
        <f t="shared" si="3"/>
        <v>2030</v>
      </c>
      <c r="C43" s="529"/>
      <c r="D43" s="531">
        <v>1</v>
      </c>
      <c r="E43" s="283">
        <f t="shared" ref="E43:O58" si="8">E$8</f>
        <v>0.66390000000000005</v>
      </c>
      <c r="F43" s="283">
        <f t="shared" si="8"/>
        <v>0.1285</v>
      </c>
      <c r="G43" s="283">
        <f t="shared" si="7"/>
        <v>0</v>
      </c>
      <c r="H43" s="283">
        <f t="shared" si="8"/>
        <v>0</v>
      </c>
      <c r="I43" s="283">
        <f t="shared" si="7"/>
        <v>0</v>
      </c>
      <c r="J43" s="283">
        <f t="shared" si="8"/>
        <v>8.0999999999999996E-3</v>
      </c>
      <c r="K43" s="283">
        <f t="shared" si="8"/>
        <v>0</v>
      </c>
      <c r="L43" s="283">
        <f t="shared" si="8"/>
        <v>0.1071</v>
      </c>
      <c r="M43" s="283">
        <f t="shared" si="8"/>
        <v>1.77E-2</v>
      </c>
      <c r="N43" s="283">
        <f t="shared" si="8"/>
        <v>1.3299999999999999E-2</v>
      </c>
      <c r="O43" s="283">
        <f t="shared" si="8"/>
        <v>6.2100000000000002E-2</v>
      </c>
      <c r="P43" s="53">
        <f t="shared" si="1"/>
        <v>1.0006999999999999</v>
      </c>
      <c r="S43" s="7">
        <f t="shared" si="4"/>
        <v>2030</v>
      </c>
      <c r="T43" s="64">
        <v>0</v>
      </c>
      <c r="U43" s="64">
        <v>5</v>
      </c>
      <c r="V43" s="671">
        <f t="shared" si="5"/>
        <v>0</v>
      </c>
      <c r="W43" s="672">
        <v>1</v>
      </c>
      <c r="X43" s="2">
        <f t="shared" si="2"/>
        <v>0</v>
      </c>
    </row>
    <row r="44" spans="2:24">
      <c r="B44" s="7">
        <f t="shared" si="3"/>
        <v>2031</v>
      </c>
      <c r="C44" s="529"/>
      <c r="D44" s="531">
        <v>1</v>
      </c>
      <c r="E44" s="283">
        <f t="shared" si="8"/>
        <v>0.66390000000000005</v>
      </c>
      <c r="F44" s="283">
        <f t="shared" si="8"/>
        <v>0.1285</v>
      </c>
      <c r="G44" s="283">
        <f t="shared" si="7"/>
        <v>0</v>
      </c>
      <c r="H44" s="283">
        <f t="shared" si="8"/>
        <v>0</v>
      </c>
      <c r="I44" s="283">
        <f t="shared" si="7"/>
        <v>0</v>
      </c>
      <c r="J44" s="283">
        <f t="shared" si="8"/>
        <v>8.0999999999999996E-3</v>
      </c>
      <c r="K44" s="283">
        <f t="shared" si="8"/>
        <v>0</v>
      </c>
      <c r="L44" s="283">
        <f t="shared" si="8"/>
        <v>0.1071</v>
      </c>
      <c r="M44" s="283">
        <f t="shared" si="8"/>
        <v>1.77E-2</v>
      </c>
      <c r="N44" s="283">
        <f t="shared" si="8"/>
        <v>1.3299999999999999E-2</v>
      </c>
      <c r="O44" s="283">
        <f t="shared" si="8"/>
        <v>6.2100000000000002E-2</v>
      </c>
      <c r="P44" s="53">
        <f t="shared" si="1"/>
        <v>1.0006999999999999</v>
      </c>
      <c r="S44" s="7">
        <f t="shared" si="4"/>
        <v>2031</v>
      </c>
      <c r="T44" s="64">
        <v>0</v>
      </c>
      <c r="U44" s="64">
        <v>5</v>
      </c>
      <c r="V44" s="671">
        <f t="shared" si="5"/>
        <v>0</v>
      </c>
      <c r="W44" s="672">
        <v>1</v>
      </c>
      <c r="X44" s="2">
        <f t="shared" si="2"/>
        <v>0</v>
      </c>
    </row>
    <row r="45" spans="2:24">
      <c r="B45" s="7">
        <f t="shared" si="3"/>
        <v>2032</v>
      </c>
      <c r="C45" s="529"/>
      <c r="D45" s="531">
        <v>1</v>
      </c>
      <c r="E45" s="283">
        <f t="shared" si="8"/>
        <v>0.66390000000000005</v>
      </c>
      <c r="F45" s="283">
        <f t="shared" si="8"/>
        <v>0.1285</v>
      </c>
      <c r="G45" s="283">
        <f t="shared" si="7"/>
        <v>0</v>
      </c>
      <c r="H45" s="283">
        <f t="shared" si="8"/>
        <v>0</v>
      </c>
      <c r="I45" s="283">
        <f t="shared" si="7"/>
        <v>0</v>
      </c>
      <c r="J45" s="283">
        <f t="shared" si="8"/>
        <v>8.0999999999999996E-3</v>
      </c>
      <c r="K45" s="283">
        <f t="shared" si="8"/>
        <v>0</v>
      </c>
      <c r="L45" s="283">
        <f t="shared" si="8"/>
        <v>0.1071</v>
      </c>
      <c r="M45" s="283">
        <f t="shared" si="8"/>
        <v>1.77E-2</v>
      </c>
      <c r="N45" s="283">
        <f t="shared" si="8"/>
        <v>1.3299999999999999E-2</v>
      </c>
      <c r="O45" s="283">
        <f t="shared" si="8"/>
        <v>6.2100000000000002E-2</v>
      </c>
      <c r="P45" s="53">
        <f t="shared" ref="P45:P76" si="9">SUM(E45:O45)</f>
        <v>1.0006999999999999</v>
      </c>
      <c r="S45" s="7">
        <f t="shared" si="4"/>
        <v>2032</v>
      </c>
      <c r="T45" s="64">
        <v>0</v>
      </c>
      <c r="U45" s="64">
        <v>5</v>
      </c>
      <c r="V45" s="671">
        <f t="shared" si="5"/>
        <v>0</v>
      </c>
      <c r="W45" s="672">
        <v>1</v>
      </c>
      <c r="X45" s="2">
        <f t="shared" ref="X45:X76" si="10">V45*W45</f>
        <v>0</v>
      </c>
    </row>
    <row r="46" spans="2:24">
      <c r="B46" s="7">
        <f t="shared" ref="B46:B77" si="11">B45+1</f>
        <v>2033</v>
      </c>
      <c r="C46" s="529"/>
      <c r="D46" s="531">
        <v>1</v>
      </c>
      <c r="E46" s="283">
        <f t="shared" si="8"/>
        <v>0.66390000000000005</v>
      </c>
      <c r="F46" s="283">
        <f t="shared" si="8"/>
        <v>0.1285</v>
      </c>
      <c r="G46" s="283">
        <f t="shared" si="7"/>
        <v>0</v>
      </c>
      <c r="H46" s="283">
        <f t="shared" si="8"/>
        <v>0</v>
      </c>
      <c r="I46" s="283">
        <f t="shared" si="7"/>
        <v>0</v>
      </c>
      <c r="J46" s="283">
        <f t="shared" si="8"/>
        <v>8.0999999999999996E-3</v>
      </c>
      <c r="K46" s="283">
        <f t="shared" si="8"/>
        <v>0</v>
      </c>
      <c r="L46" s="283">
        <f t="shared" si="8"/>
        <v>0.1071</v>
      </c>
      <c r="M46" s="283">
        <f t="shared" si="8"/>
        <v>1.77E-2</v>
      </c>
      <c r="N46" s="283">
        <f t="shared" si="8"/>
        <v>1.3299999999999999E-2</v>
      </c>
      <c r="O46" s="283">
        <f t="shared" si="8"/>
        <v>6.2100000000000002E-2</v>
      </c>
      <c r="P46" s="53">
        <f t="shared" si="9"/>
        <v>1.0006999999999999</v>
      </c>
      <c r="S46" s="7">
        <f t="shared" si="4"/>
        <v>2033</v>
      </c>
      <c r="T46" s="64">
        <v>0</v>
      </c>
      <c r="U46" s="64">
        <v>5</v>
      </c>
      <c r="V46" s="671">
        <f t="shared" si="5"/>
        <v>0</v>
      </c>
      <c r="W46" s="672">
        <v>1</v>
      </c>
      <c r="X46" s="2">
        <f t="shared" si="10"/>
        <v>0</v>
      </c>
    </row>
    <row r="47" spans="2:24">
      <c r="B47" s="7">
        <f t="shared" si="11"/>
        <v>2034</v>
      </c>
      <c r="C47" s="529"/>
      <c r="D47" s="531">
        <v>1</v>
      </c>
      <c r="E47" s="283">
        <f t="shared" si="8"/>
        <v>0.66390000000000005</v>
      </c>
      <c r="F47" s="283">
        <f t="shared" si="8"/>
        <v>0.1285</v>
      </c>
      <c r="G47" s="283">
        <f t="shared" si="7"/>
        <v>0</v>
      </c>
      <c r="H47" s="283">
        <f t="shared" si="8"/>
        <v>0</v>
      </c>
      <c r="I47" s="283">
        <f t="shared" si="7"/>
        <v>0</v>
      </c>
      <c r="J47" s="283">
        <f t="shared" si="8"/>
        <v>8.0999999999999996E-3</v>
      </c>
      <c r="K47" s="283">
        <f t="shared" si="8"/>
        <v>0</v>
      </c>
      <c r="L47" s="283">
        <f t="shared" si="8"/>
        <v>0.1071</v>
      </c>
      <c r="M47" s="283">
        <f t="shared" si="8"/>
        <v>1.77E-2</v>
      </c>
      <c r="N47" s="283">
        <f t="shared" si="8"/>
        <v>1.3299999999999999E-2</v>
      </c>
      <c r="O47" s="283">
        <f t="shared" si="8"/>
        <v>6.2100000000000002E-2</v>
      </c>
      <c r="P47" s="53">
        <f t="shared" si="9"/>
        <v>1.0006999999999999</v>
      </c>
      <c r="S47" s="7">
        <f t="shared" si="4"/>
        <v>2034</v>
      </c>
      <c r="T47" s="64">
        <v>0</v>
      </c>
      <c r="U47" s="64">
        <v>5</v>
      </c>
      <c r="V47" s="671">
        <f t="shared" si="5"/>
        <v>0</v>
      </c>
      <c r="W47" s="672">
        <v>1</v>
      </c>
      <c r="X47" s="2">
        <f t="shared" si="10"/>
        <v>0</v>
      </c>
    </row>
    <row r="48" spans="2:24">
      <c r="B48" s="7">
        <f t="shared" si="11"/>
        <v>2035</v>
      </c>
      <c r="C48" s="529"/>
      <c r="D48" s="531">
        <v>1</v>
      </c>
      <c r="E48" s="283">
        <f t="shared" si="8"/>
        <v>0.66390000000000005</v>
      </c>
      <c r="F48" s="283">
        <f t="shared" si="8"/>
        <v>0.1285</v>
      </c>
      <c r="G48" s="283">
        <f t="shared" si="7"/>
        <v>0</v>
      </c>
      <c r="H48" s="283">
        <f t="shared" si="8"/>
        <v>0</v>
      </c>
      <c r="I48" s="283">
        <f t="shared" si="7"/>
        <v>0</v>
      </c>
      <c r="J48" s="283">
        <f t="shared" si="8"/>
        <v>8.0999999999999996E-3</v>
      </c>
      <c r="K48" s="283">
        <f t="shared" si="8"/>
        <v>0</v>
      </c>
      <c r="L48" s="283">
        <f t="shared" si="8"/>
        <v>0.1071</v>
      </c>
      <c r="M48" s="283">
        <f t="shared" si="8"/>
        <v>1.77E-2</v>
      </c>
      <c r="N48" s="283">
        <f t="shared" si="8"/>
        <v>1.3299999999999999E-2</v>
      </c>
      <c r="O48" s="283">
        <f t="shared" si="8"/>
        <v>6.2100000000000002E-2</v>
      </c>
      <c r="P48" s="53">
        <f t="shared" si="9"/>
        <v>1.0006999999999999</v>
      </c>
      <c r="S48" s="7">
        <f t="shared" si="4"/>
        <v>2035</v>
      </c>
      <c r="T48" s="64">
        <v>0</v>
      </c>
      <c r="U48" s="64">
        <v>5</v>
      </c>
      <c r="V48" s="671">
        <f t="shared" si="5"/>
        <v>0</v>
      </c>
      <c r="W48" s="672">
        <v>1</v>
      </c>
      <c r="X48" s="2">
        <f t="shared" si="10"/>
        <v>0</v>
      </c>
    </row>
    <row r="49" spans="2:24">
      <c r="B49" s="7">
        <f t="shared" si="11"/>
        <v>2036</v>
      </c>
      <c r="C49" s="529"/>
      <c r="D49" s="531">
        <v>1</v>
      </c>
      <c r="E49" s="283">
        <f t="shared" si="8"/>
        <v>0.66390000000000005</v>
      </c>
      <c r="F49" s="283">
        <f t="shared" si="8"/>
        <v>0.1285</v>
      </c>
      <c r="G49" s="283">
        <f t="shared" si="8"/>
        <v>0</v>
      </c>
      <c r="H49" s="283">
        <f t="shared" si="8"/>
        <v>0</v>
      </c>
      <c r="I49" s="283">
        <f t="shared" si="8"/>
        <v>0</v>
      </c>
      <c r="J49" s="283">
        <f t="shared" si="8"/>
        <v>8.0999999999999996E-3</v>
      </c>
      <c r="K49" s="283">
        <f t="shared" si="8"/>
        <v>0</v>
      </c>
      <c r="L49" s="283">
        <f t="shared" si="8"/>
        <v>0.1071</v>
      </c>
      <c r="M49" s="283">
        <f t="shared" si="8"/>
        <v>1.77E-2</v>
      </c>
      <c r="N49" s="283">
        <f t="shared" si="8"/>
        <v>1.3299999999999999E-2</v>
      </c>
      <c r="O49" s="283">
        <f t="shared" si="8"/>
        <v>6.2100000000000002E-2</v>
      </c>
      <c r="P49" s="53">
        <f t="shared" si="9"/>
        <v>1.0006999999999999</v>
      </c>
      <c r="S49" s="7">
        <f t="shared" si="4"/>
        <v>2036</v>
      </c>
      <c r="T49" s="64">
        <v>0</v>
      </c>
      <c r="U49" s="64">
        <v>5</v>
      </c>
      <c r="V49" s="671">
        <f t="shared" si="5"/>
        <v>0</v>
      </c>
      <c r="W49" s="672">
        <v>1</v>
      </c>
      <c r="X49" s="2">
        <f t="shared" si="10"/>
        <v>0</v>
      </c>
    </row>
    <row r="50" spans="2:24">
      <c r="B50" s="7">
        <f t="shared" si="11"/>
        <v>2037</v>
      </c>
      <c r="C50" s="529"/>
      <c r="D50" s="531">
        <v>1</v>
      </c>
      <c r="E50" s="283">
        <f t="shared" si="8"/>
        <v>0.66390000000000005</v>
      </c>
      <c r="F50" s="283">
        <f t="shared" si="8"/>
        <v>0.1285</v>
      </c>
      <c r="G50" s="283">
        <f t="shared" si="8"/>
        <v>0</v>
      </c>
      <c r="H50" s="283">
        <f t="shared" si="8"/>
        <v>0</v>
      </c>
      <c r="I50" s="283">
        <f t="shared" si="8"/>
        <v>0</v>
      </c>
      <c r="J50" s="283">
        <f t="shared" si="8"/>
        <v>8.0999999999999996E-3</v>
      </c>
      <c r="K50" s="283">
        <f t="shared" si="8"/>
        <v>0</v>
      </c>
      <c r="L50" s="283">
        <f t="shared" si="8"/>
        <v>0.1071</v>
      </c>
      <c r="M50" s="283">
        <f t="shared" si="8"/>
        <v>1.77E-2</v>
      </c>
      <c r="N50" s="283">
        <f t="shared" si="8"/>
        <v>1.3299999999999999E-2</v>
      </c>
      <c r="O50" s="283">
        <f t="shared" si="8"/>
        <v>6.2100000000000002E-2</v>
      </c>
      <c r="P50" s="53">
        <f t="shared" si="9"/>
        <v>1.0006999999999999</v>
      </c>
      <c r="S50" s="7">
        <f t="shared" si="4"/>
        <v>2037</v>
      </c>
      <c r="T50" s="64">
        <v>0</v>
      </c>
      <c r="U50" s="64">
        <v>5</v>
      </c>
      <c r="V50" s="671">
        <f t="shared" si="5"/>
        <v>0</v>
      </c>
      <c r="W50" s="672">
        <v>1</v>
      </c>
      <c r="X50" s="2">
        <f t="shared" si="10"/>
        <v>0</v>
      </c>
    </row>
    <row r="51" spans="2:24">
      <c r="B51" s="7">
        <f t="shared" si="11"/>
        <v>2038</v>
      </c>
      <c r="C51" s="529"/>
      <c r="D51" s="531">
        <v>1</v>
      </c>
      <c r="E51" s="283">
        <f t="shared" si="8"/>
        <v>0.66390000000000005</v>
      </c>
      <c r="F51" s="283">
        <f t="shared" si="8"/>
        <v>0.1285</v>
      </c>
      <c r="G51" s="283">
        <f t="shared" si="8"/>
        <v>0</v>
      </c>
      <c r="H51" s="283">
        <f t="shared" si="8"/>
        <v>0</v>
      </c>
      <c r="I51" s="283">
        <f t="shared" si="8"/>
        <v>0</v>
      </c>
      <c r="J51" s="283">
        <f t="shared" si="8"/>
        <v>8.0999999999999996E-3</v>
      </c>
      <c r="K51" s="283">
        <f t="shared" si="8"/>
        <v>0</v>
      </c>
      <c r="L51" s="283">
        <f t="shared" si="8"/>
        <v>0.1071</v>
      </c>
      <c r="M51" s="283">
        <f t="shared" si="8"/>
        <v>1.77E-2</v>
      </c>
      <c r="N51" s="283">
        <f t="shared" si="8"/>
        <v>1.3299999999999999E-2</v>
      </c>
      <c r="O51" s="283">
        <f t="shared" si="8"/>
        <v>6.2100000000000002E-2</v>
      </c>
      <c r="P51" s="53">
        <f t="shared" si="9"/>
        <v>1.0006999999999999</v>
      </c>
      <c r="S51" s="7">
        <f t="shared" si="4"/>
        <v>2038</v>
      </c>
      <c r="T51" s="64">
        <v>0</v>
      </c>
      <c r="U51" s="64">
        <v>5</v>
      </c>
      <c r="V51" s="671">
        <f t="shared" si="5"/>
        <v>0</v>
      </c>
      <c r="W51" s="672">
        <v>1</v>
      </c>
      <c r="X51" s="2">
        <f t="shared" si="10"/>
        <v>0</v>
      </c>
    </row>
    <row r="52" spans="2:24">
      <c r="B52" s="7">
        <f t="shared" si="11"/>
        <v>2039</v>
      </c>
      <c r="C52" s="529"/>
      <c r="D52" s="531">
        <v>1</v>
      </c>
      <c r="E52" s="283">
        <f t="shared" si="8"/>
        <v>0.66390000000000005</v>
      </c>
      <c r="F52" s="283">
        <f t="shared" si="8"/>
        <v>0.1285</v>
      </c>
      <c r="G52" s="283">
        <f t="shared" si="8"/>
        <v>0</v>
      </c>
      <c r="H52" s="283">
        <f t="shared" si="8"/>
        <v>0</v>
      </c>
      <c r="I52" s="283">
        <f t="shared" si="8"/>
        <v>0</v>
      </c>
      <c r="J52" s="283">
        <f t="shared" si="8"/>
        <v>8.0999999999999996E-3</v>
      </c>
      <c r="K52" s="283">
        <f t="shared" si="8"/>
        <v>0</v>
      </c>
      <c r="L52" s="283">
        <f t="shared" si="8"/>
        <v>0.1071</v>
      </c>
      <c r="M52" s="283">
        <f t="shared" si="8"/>
        <v>1.77E-2</v>
      </c>
      <c r="N52" s="283">
        <f t="shared" si="8"/>
        <v>1.3299999999999999E-2</v>
      </c>
      <c r="O52" s="283">
        <f t="shared" si="8"/>
        <v>6.2100000000000002E-2</v>
      </c>
      <c r="P52" s="53">
        <f t="shared" si="9"/>
        <v>1.0006999999999999</v>
      </c>
      <c r="S52" s="7">
        <f t="shared" si="4"/>
        <v>2039</v>
      </c>
      <c r="T52" s="64">
        <v>0</v>
      </c>
      <c r="U52" s="64">
        <v>5</v>
      </c>
      <c r="V52" s="671">
        <f t="shared" si="5"/>
        <v>0</v>
      </c>
      <c r="W52" s="672">
        <v>1</v>
      </c>
      <c r="X52" s="2">
        <f t="shared" si="10"/>
        <v>0</v>
      </c>
    </row>
    <row r="53" spans="2:24">
      <c r="B53" s="7">
        <f t="shared" si="11"/>
        <v>2040</v>
      </c>
      <c r="C53" s="529"/>
      <c r="D53" s="531">
        <v>1</v>
      </c>
      <c r="E53" s="283">
        <f t="shared" ref="E53:O68" si="12">E$8</f>
        <v>0.66390000000000005</v>
      </c>
      <c r="F53" s="283">
        <f t="shared" si="12"/>
        <v>0.1285</v>
      </c>
      <c r="G53" s="283">
        <f t="shared" si="8"/>
        <v>0</v>
      </c>
      <c r="H53" s="283">
        <f t="shared" si="12"/>
        <v>0</v>
      </c>
      <c r="I53" s="283">
        <f t="shared" si="8"/>
        <v>0</v>
      </c>
      <c r="J53" s="283">
        <f t="shared" si="12"/>
        <v>8.0999999999999996E-3</v>
      </c>
      <c r="K53" s="283">
        <f t="shared" si="12"/>
        <v>0</v>
      </c>
      <c r="L53" s="283">
        <f t="shared" si="12"/>
        <v>0.1071</v>
      </c>
      <c r="M53" s="283">
        <f t="shared" si="12"/>
        <v>1.77E-2</v>
      </c>
      <c r="N53" s="283">
        <f t="shared" si="12"/>
        <v>1.3299999999999999E-2</v>
      </c>
      <c r="O53" s="283">
        <f t="shared" si="12"/>
        <v>6.2100000000000002E-2</v>
      </c>
      <c r="P53" s="53">
        <f t="shared" si="9"/>
        <v>1.0006999999999999</v>
      </c>
      <c r="S53" s="7">
        <f t="shared" si="4"/>
        <v>2040</v>
      </c>
      <c r="T53" s="64">
        <v>0</v>
      </c>
      <c r="U53" s="64">
        <v>5</v>
      </c>
      <c r="V53" s="671">
        <f t="shared" si="5"/>
        <v>0</v>
      </c>
      <c r="W53" s="672">
        <v>1</v>
      </c>
      <c r="X53" s="2">
        <f t="shared" si="10"/>
        <v>0</v>
      </c>
    </row>
    <row r="54" spans="2:24">
      <c r="B54" s="7">
        <f t="shared" si="11"/>
        <v>2041</v>
      </c>
      <c r="C54" s="529"/>
      <c r="D54" s="531">
        <v>1</v>
      </c>
      <c r="E54" s="283">
        <f t="shared" si="12"/>
        <v>0.66390000000000005</v>
      </c>
      <c r="F54" s="283">
        <f t="shared" si="12"/>
        <v>0.1285</v>
      </c>
      <c r="G54" s="283">
        <f t="shared" si="8"/>
        <v>0</v>
      </c>
      <c r="H54" s="283">
        <f t="shared" si="12"/>
        <v>0</v>
      </c>
      <c r="I54" s="283">
        <f t="shared" si="8"/>
        <v>0</v>
      </c>
      <c r="J54" s="283">
        <f t="shared" si="12"/>
        <v>8.0999999999999996E-3</v>
      </c>
      <c r="K54" s="283">
        <f t="shared" si="12"/>
        <v>0</v>
      </c>
      <c r="L54" s="283">
        <f t="shared" si="12"/>
        <v>0.1071</v>
      </c>
      <c r="M54" s="283">
        <f t="shared" si="12"/>
        <v>1.77E-2</v>
      </c>
      <c r="N54" s="283">
        <f t="shared" si="12"/>
        <v>1.3299999999999999E-2</v>
      </c>
      <c r="O54" s="283">
        <f t="shared" si="12"/>
        <v>6.2100000000000002E-2</v>
      </c>
      <c r="P54" s="53">
        <f t="shared" si="9"/>
        <v>1.0006999999999999</v>
      </c>
      <c r="S54" s="7">
        <f t="shared" si="4"/>
        <v>2041</v>
      </c>
      <c r="T54" s="64">
        <v>0</v>
      </c>
      <c r="U54" s="64">
        <v>5</v>
      </c>
      <c r="V54" s="671">
        <f t="shared" si="5"/>
        <v>0</v>
      </c>
      <c r="W54" s="672">
        <v>1</v>
      </c>
      <c r="X54" s="2">
        <f t="shared" si="10"/>
        <v>0</v>
      </c>
    </row>
    <row r="55" spans="2:24">
      <c r="B55" s="7">
        <f t="shared" si="11"/>
        <v>2042</v>
      </c>
      <c r="C55" s="529"/>
      <c r="D55" s="531">
        <v>1</v>
      </c>
      <c r="E55" s="283">
        <f t="shared" si="12"/>
        <v>0.66390000000000005</v>
      </c>
      <c r="F55" s="283">
        <f t="shared" si="12"/>
        <v>0.1285</v>
      </c>
      <c r="G55" s="283">
        <f t="shared" si="8"/>
        <v>0</v>
      </c>
      <c r="H55" s="283">
        <f t="shared" si="12"/>
        <v>0</v>
      </c>
      <c r="I55" s="283">
        <f t="shared" si="8"/>
        <v>0</v>
      </c>
      <c r="J55" s="283">
        <f t="shared" si="12"/>
        <v>8.0999999999999996E-3</v>
      </c>
      <c r="K55" s="283">
        <f t="shared" si="12"/>
        <v>0</v>
      </c>
      <c r="L55" s="283">
        <f t="shared" si="12"/>
        <v>0.1071</v>
      </c>
      <c r="M55" s="283">
        <f t="shared" si="12"/>
        <v>1.77E-2</v>
      </c>
      <c r="N55" s="283">
        <f t="shared" si="12"/>
        <v>1.3299999999999999E-2</v>
      </c>
      <c r="O55" s="283">
        <f t="shared" si="12"/>
        <v>6.2100000000000002E-2</v>
      </c>
      <c r="P55" s="53">
        <f t="shared" si="9"/>
        <v>1.0006999999999999</v>
      </c>
      <c r="S55" s="7">
        <f t="shared" si="4"/>
        <v>2042</v>
      </c>
      <c r="T55" s="64">
        <v>0</v>
      </c>
      <c r="U55" s="64">
        <v>5</v>
      </c>
      <c r="V55" s="671">
        <f t="shared" si="5"/>
        <v>0</v>
      </c>
      <c r="W55" s="672">
        <v>1</v>
      </c>
      <c r="X55" s="2">
        <f t="shared" si="10"/>
        <v>0</v>
      </c>
    </row>
    <row r="56" spans="2:24">
      <c r="B56" s="7">
        <f t="shared" si="11"/>
        <v>2043</v>
      </c>
      <c r="C56" s="529"/>
      <c r="D56" s="531">
        <v>1</v>
      </c>
      <c r="E56" s="283">
        <f t="shared" si="12"/>
        <v>0.66390000000000005</v>
      </c>
      <c r="F56" s="283">
        <f t="shared" si="12"/>
        <v>0.1285</v>
      </c>
      <c r="G56" s="283">
        <f t="shared" si="8"/>
        <v>0</v>
      </c>
      <c r="H56" s="283">
        <f t="shared" si="12"/>
        <v>0</v>
      </c>
      <c r="I56" s="283">
        <f t="shared" si="8"/>
        <v>0</v>
      </c>
      <c r="J56" s="283">
        <f t="shared" si="12"/>
        <v>8.0999999999999996E-3</v>
      </c>
      <c r="K56" s="283">
        <f t="shared" si="12"/>
        <v>0</v>
      </c>
      <c r="L56" s="283">
        <f t="shared" si="12"/>
        <v>0.1071</v>
      </c>
      <c r="M56" s="283">
        <f t="shared" si="12"/>
        <v>1.77E-2</v>
      </c>
      <c r="N56" s="283">
        <f t="shared" si="12"/>
        <v>1.3299999999999999E-2</v>
      </c>
      <c r="O56" s="283">
        <f t="shared" si="12"/>
        <v>6.2100000000000002E-2</v>
      </c>
      <c r="P56" s="53">
        <f t="shared" si="9"/>
        <v>1.0006999999999999</v>
      </c>
      <c r="S56" s="7">
        <f t="shared" si="4"/>
        <v>2043</v>
      </c>
      <c r="T56" s="64">
        <v>0</v>
      </c>
      <c r="U56" s="64">
        <v>5</v>
      </c>
      <c r="V56" s="671">
        <f t="shared" si="5"/>
        <v>0</v>
      </c>
      <c r="W56" s="672">
        <v>1</v>
      </c>
      <c r="X56" s="2">
        <f t="shared" si="10"/>
        <v>0</v>
      </c>
    </row>
    <row r="57" spans="2:24">
      <c r="B57" s="7">
        <f t="shared" si="11"/>
        <v>2044</v>
      </c>
      <c r="C57" s="529"/>
      <c r="D57" s="531">
        <v>1</v>
      </c>
      <c r="E57" s="283">
        <f t="shared" si="12"/>
        <v>0.66390000000000005</v>
      </c>
      <c r="F57" s="283">
        <f t="shared" si="12"/>
        <v>0.1285</v>
      </c>
      <c r="G57" s="283">
        <f t="shared" si="8"/>
        <v>0</v>
      </c>
      <c r="H57" s="283">
        <f t="shared" si="12"/>
        <v>0</v>
      </c>
      <c r="I57" s="283">
        <f t="shared" si="8"/>
        <v>0</v>
      </c>
      <c r="J57" s="283">
        <f t="shared" si="12"/>
        <v>8.0999999999999996E-3</v>
      </c>
      <c r="K57" s="283">
        <f t="shared" si="12"/>
        <v>0</v>
      </c>
      <c r="L57" s="283">
        <f t="shared" si="12"/>
        <v>0.1071</v>
      </c>
      <c r="M57" s="283">
        <f t="shared" si="12"/>
        <v>1.77E-2</v>
      </c>
      <c r="N57" s="283">
        <f t="shared" si="12"/>
        <v>1.3299999999999999E-2</v>
      </c>
      <c r="O57" s="283">
        <f t="shared" si="12"/>
        <v>6.2100000000000002E-2</v>
      </c>
      <c r="P57" s="53">
        <f t="shared" si="9"/>
        <v>1.0006999999999999</v>
      </c>
      <c r="S57" s="7">
        <f t="shared" si="4"/>
        <v>2044</v>
      </c>
      <c r="T57" s="64">
        <v>0</v>
      </c>
      <c r="U57" s="64">
        <v>5</v>
      </c>
      <c r="V57" s="671">
        <f t="shared" si="5"/>
        <v>0</v>
      </c>
      <c r="W57" s="672">
        <v>1</v>
      </c>
      <c r="X57" s="2">
        <f t="shared" si="10"/>
        <v>0</v>
      </c>
    </row>
    <row r="58" spans="2:24">
      <c r="B58" s="7">
        <f t="shared" si="11"/>
        <v>2045</v>
      </c>
      <c r="C58" s="529"/>
      <c r="D58" s="531">
        <v>1</v>
      </c>
      <c r="E58" s="283">
        <f t="shared" si="12"/>
        <v>0.66390000000000005</v>
      </c>
      <c r="F58" s="283">
        <f t="shared" si="12"/>
        <v>0.1285</v>
      </c>
      <c r="G58" s="283">
        <f t="shared" si="8"/>
        <v>0</v>
      </c>
      <c r="H58" s="283">
        <f t="shared" si="12"/>
        <v>0</v>
      </c>
      <c r="I58" s="283">
        <f t="shared" si="8"/>
        <v>0</v>
      </c>
      <c r="J58" s="283">
        <f t="shared" si="12"/>
        <v>8.0999999999999996E-3</v>
      </c>
      <c r="K58" s="283">
        <f t="shared" si="12"/>
        <v>0</v>
      </c>
      <c r="L58" s="283">
        <f t="shared" si="12"/>
        <v>0.1071</v>
      </c>
      <c r="M58" s="283">
        <f t="shared" si="12"/>
        <v>1.77E-2</v>
      </c>
      <c r="N58" s="283">
        <f t="shared" si="12"/>
        <v>1.3299999999999999E-2</v>
      </c>
      <c r="O58" s="283">
        <f t="shared" si="12"/>
        <v>6.2100000000000002E-2</v>
      </c>
      <c r="P58" s="53">
        <f t="shared" si="9"/>
        <v>1.0006999999999999</v>
      </c>
      <c r="S58" s="7">
        <f t="shared" si="4"/>
        <v>2045</v>
      </c>
      <c r="T58" s="64">
        <v>0</v>
      </c>
      <c r="U58" s="64">
        <v>5</v>
      </c>
      <c r="V58" s="671">
        <f t="shared" si="5"/>
        <v>0</v>
      </c>
      <c r="W58" s="672">
        <v>1</v>
      </c>
      <c r="X58" s="2">
        <f t="shared" si="10"/>
        <v>0</v>
      </c>
    </row>
    <row r="59" spans="2:24">
      <c r="B59" s="7">
        <f t="shared" si="11"/>
        <v>2046</v>
      </c>
      <c r="C59" s="529"/>
      <c r="D59" s="531">
        <v>1</v>
      </c>
      <c r="E59" s="283">
        <f t="shared" si="12"/>
        <v>0.66390000000000005</v>
      </c>
      <c r="F59" s="283">
        <f t="shared" si="12"/>
        <v>0.1285</v>
      </c>
      <c r="G59" s="283">
        <f t="shared" si="12"/>
        <v>0</v>
      </c>
      <c r="H59" s="283">
        <f t="shared" si="12"/>
        <v>0</v>
      </c>
      <c r="I59" s="283">
        <f t="shared" si="12"/>
        <v>0</v>
      </c>
      <c r="J59" s="283">
        <f t="shared" si="12"/>
        <v>8.0999999999999996E-3</v>
      </c>
      <c r="K59" s="283">
        <f t="shared" si="12"/>
        <v>0</v>
      </c>
      <c r="L59" s="283">
        <f t="shared" si="12"/>
        <v>0.1071</v>
      </c>
      <c r="M59" s="283">
        <f t="shared" si="12"/>
        <v>1.77E-2</v>
      </c>
      <c r="N59" s="283">
        <f t="shared" si="12"/>
        <v>1.3299999999999999E-2</v>
      </c>
      <c r="O59" s="283">
        <f t="shared" si="12"/>
        <v>6.2100000000000002E-2</v>
      </c>
      <c r="P59" s="53">
        <f t="shared" si="9"/>
        <v>1.0006999999999999</v>
      </c>
      <c r="S59" s="7">
        <f t="shared" si="4"/>
        <v>2046</v>
      </c>
      <c r="T59" s="64">
        <v>0</v>
      </c>
      <c r="U59" s="64">
        <v>5</v>
      </c>
      <c r="V59" s="671">
        <f t="shared" si="5"/>
        <v>0</v>
      </c>
      <c r="W59" s="672">
        <v>1</v>
      </c>
      <c r="X59" s="2">
        <f t="shared" si="10"/>
        <v>0</v>
      </c>
    </row>
    <row r="60" spans="2:24">
      <c r="B60" s="7">
        <f t="shared" si="11"/>
        <v>2047</v>
      </c>
      <c r="C60" s="529"/>
      <c r="D60" s="531">
        <v>1</v>
      </c>
      <c r="E60" s="283">
        <f t="shared" si="12"/>
        <v>0.66390000000000005</v>
      </c>
      <c r="F60" s="283">
        <f t="shared" si="12"/>
        <v>0.1285</v>
      </c>
      <c r="G60" s="283">
        <f t="shared" si="12"/>
        <v>0</v>
      </c>
      <c r="H60" s="283">
        <f t="shared" si="12"/>
        <v>0</v>
      </c>
      <c r="I60" s="283">
        <f t="shared" si="12"/>
        <v>0</v>
      </c>
      <c r="J60" s="283">
        <f t="shared" si="12"/>
        <v>8.0999999999999996E-3</v>
      </c>
      <c r="K60" s="283">
        <f t="shared" si="12"/>
        <v>0</v>
      </c>
      <c r="L60" s="283">
        <f t="shared" si="12"/>
        <v>0.1071</v>
      </c>
      <c r="M60" s="283">
        <f t="shared" si="12"/>
        <v>1.77E-2</v>
      </c>
      <c r="N60" s="283">
        <f t="shared" si="12"/>
        <v>1.3299999999999999E-2</v>
      </c>
      <c r="O60" s="283">
        <f t="shared" si="12"/>
        <v>6.2100000000000002E-2</v>
      </c>
      <c r="P60" s="53">
        <f t="shared" si="9"/>
        <v>1.0006999999999999</v>
      </c>
      <c r="S60" s="7">
        <f t="shared" si="4"/>
        <v>2047</v>
      </c>
      <c r="T60" s="64">
        <v>0</v>
      </c>
      <c r="U60" s="64">
        <v>5</v>
      </c>
      <c r="V60" s="671">
        <f t="shared" si="5"/>
        <v>0</v>
      </c>
      <c r="W60" s="672">
        <v>1</v>
      </c>
      <c r="X60" s="2">
        <f t="shared" si="10"/>
        <v>0</v>
      </c>
    </row>
    <row r="61" spans="2:24">
      <c r="B61" s="7">
        <f t="shared" si="11"/>
        <v>2048</v>
      </c>
      <c r="C61" s="529"/>
      <c r="D61" s="531">
        <v>1</v>
      </c>
      <c r="E61" s="283">
        <f t="shared" si="12"/>
        <v>0.66390000000000005</v>
      </c>
      <c r="F61" s="283">
        <f t="shared" si="12"/>
        <v>0.1285</v>
      </c>
      <c r="G61" s="283">
        <f t="shared" si="12"/>
        <v>0</v>
      </c>
      <c r="H61" s="283">
        <f t="shared" si="12"/>
        <v>0</v>
      </c>
      <c r="I61" s="283">
        <f t="shared" si="12"/>
        <v>0</v>
      </c>
      <c r="J61" s="283">
        <f t="shared" si="12"/>
        <v>8.0999999999999996E-3</v>
      </c>
      <c r="K61" s="283">
        <f t="shared" si="12"/>
        <v>0</v>
      </c>
      <c r="L61" s="283">
        <f t="shared" si="12"/>
        <v>0.1071</v>
      </c>
      <c r="M61" s="283">
        <f t="shared" si="12"/>
        <v>1.77E-2</v>
      </c>
      <c r="N61" s="283">
        <f t="shared" si="12"/>
        <v>1.3299999999999999E-2</v>
      </c>
      <c r="O61" s="283">
        <f t="shared" si="12"/>
        <v>6.2100000000000002E-2</v>
      </c>
      <c r="P61" s="53">
        <f t="shared" si="9"/>
        <v>1.0006999999999999</v>
      </c>
      <c r="S61" s="7">
        <f t="shared" si="4"/>
        <v>2048</v>
      </c>
      <c r="T61" s="64">
        <v>0</v>
      </c>
      <c r="U61" s="64">
        <v>5</v>
      </c>
      <c r="V61" s="671">
        <f t="shared" si="5"/>
        <v>0</v>
      </c>
      <c r="W61" s="672">
        <v>1</v>
      </c>
      <c r="X61" s="2">
        <f t="shared" si="10"/>
        <v>0</v>
      </c>
    </row>
    <row r="62" spans="2:24">
      <c r="B62" s="7">
        <f t="shared" si="11"/>
        <v>2049</v>
      </c>
      <c r="C62" s="529"/>
      <c r="D62" s="531">
        <v>1</v>
      </c>
      <c r="E62" s="283">
        <f t="shared" si="12"/>
        <v>0.66390000000000005</v>
      </c>
      <c r="F62" s="283">
        <f t="shared" si="12"/>
        <v>0.1285</v>
      </c>
      <c r="G62" s="283">
        <f t="shared" si="12"/>
        <v>0</v>
      </c>
      <c r="H62" s="283">
        <f t="shared" si="12"/>
        <v>0</v>
      </c>
      <c r="I62" s="283">
        <f t="shared" si="12"/>
        <v>0</v>
      </c>
      <c r="J62" s="283">
        <f t="shared" si="12"/>
        <v>8.0999999999999996E-3</v>
      </c>
      <c r="K62" s="283">
        <f t="shared" si="12"/>
        <v>0</v>
      </c>
      <c r="L62" s="283">
        <f t="shared" si="12"/>
        <v>0.1071</v>
      </c>
      <c r="M62" s="283">
        <f t="shared" si="12"/>
        <v>1.77E-2</v>
      </c>
      <c r="N62" s="283">
        <f t="shared" si="12"/>
        <v>1.3299999999999999E-2</v>
      </c>
      <c r="O62" s="283">
        <f t="shared" si="12"/>
        <v>6.2100000000000002E-2</v>
      </c>
      <c r="P62" s="53">
        <f t="shared" si="9"/>
        <v>1.0006999999999999</v>
      </c>
      <c r="S62" s="7">
        <f t="shared" si="4"/>
        <v>2049</v>
      </c>
      <c r="T62" s="64">
        <v>0</v>
      </c>
      <c r="U62" s="64">
        <v>5</v>
      </c>
      <c r="V62" s="671">
        <f t="shared" si="5"/>
        <v>0</v>
      </c>
      <c r="W62" s="672">
        <v>1</v>
      </c>
      <c r="X62" s="2">
        <f t="shared" si="10"/>
        <v>0</v>
      </c>
    </row>
    <row r="63" spans="2:24">
      <c r="B63" s="7">
        <f t="shared" si="11"/>
        <v>2050</v>
      </c>
      <c r="C63" s="529"/>
      <c r="D63" s="531">
        <v>1</v>
      </c>
      <c r="E63" s="283">
        <f t="shared" ref="E63:O78" si="13">E$8</f>
        <v>0.66390000000000005</v>
      </c>
      <c r="F63" s="283">
        <f t="shared" si="13"/>
        <v>0.1285</v>
      </c>
      <c r="G63" s="283">
        <f t="shared" si="12"/>
        <v>0</v>
      </c>
      <c r="H63" s="283">
        <f t="shared" si="13"/>
        <v>0</v>
      </c>
      <c r="I63" s="283">
        <f t="shared" si="12"/>
        <v>0</v>
      </c>
      <c r="J63" s="283">
        <f t="shared" si="13"/>
        <v>8.0999999999999996E-3</v>
      </c>
      <c r="K63" s="283">
        <f t="shared" si="13"/>
        <v>0</v>
      </c>
      <c r="L63" s="283">
        <f t="shared" si="13"/>
        <v>0.1071</v>
      </c>
      <c r="M63" s="283">
        <f t="shared" si="13"/>
        <v>1.77E-2</v>
      </c>
      <c r="N63" s="283">
        <f t="shared" si="13"/>
        <v>1.3299999999999999E-2</v>
      </c>
      <c r="O63" s="283">
        <f t="shared" si="13"/>
        <v>6.2100000000000002E-2</v>
      </c>
      <c r="P63" s="53">
        <f t="shared" si="9"/>
        <v>1.0006999999999999</v>
      </c>
      <c r="S63" s="7">
        <f t="shared" si="4"/>
        <v>2050</v>
      </c>
      <c r="T63" s="64">
        <v>0</v>
      </c>
      <c r="U63" s="64">
        <v>5</v>
      </c>
      <c r="V63" s="671">
        <f t="shared" si="5"/>
        <v>0</v>
      </c>
      <c r="W63" s="672">
        <v>1</v>
      </c>
      <c r="X63" s="2">
        <f t="shared" si="10"/>
        <v>0</v>
      </c>
    </row>
    <row r="64" spans="2:24">
      <c r="B64" s="7">
        <f t="shared" si="11"/>
        <v>2051</v>
      </c>
      <c r="C64" s="529"/>
      <c r="D64" s="531">
        <v>1</v>
      </c>
      <c r="E64" s="283">
        <f t="shared" si="13"/>
        <v>0.66390000000000005</v>
      </c>
      <c r="F64" s="283">
        <f t="shared" si="13"/>
        <v>0.1285</v>
      </c>
      <c r="G64" s="283">
        <f t="shared" si="12"/>
        <v>0</v>
      </c>
      <c r="H64" s="283">
        <f t="shared" si="13"/>
        <v>0</v>
      </c>
      <c r="I64" s="283">
        <f t="shared" si="12"/>
        <v>0</v>
      </c>
      <c r="J64" s="283">
        <f t="shared" si="13"/>
        <v>8.0999999999999996E-3</v>
      </c>
      <c r="K64" s="283">
        <f t="shared" si="13"/>
        <v>0</v>
      </c>
      <c r="L64" s="283">
        <f t="shared" si="13"/>
        <v>0.1071</v>
      </c>
      <c r="M64" s="283">
        <f t="shared" si="13"/>
        <v>1.77E-2</v>
      </c>
      <c r="N64" s="283">
        <f t="shared" si="13"/>
        <v>1.3299999999999999E-2</v>
      </c>
      <c r="O64" s="283">
        <f t="shared" si="13"/>
        <v>6.2100000000000002E-2</v>
      </c>
      <c r="P64" s="53">
        <f t="shared" si="9"/>
        <v>1.0006999999999999</v>
      </c>
      <c r="S64" s="7">
        <f t="shared" si="4"/>
        <v>2051</v>
      </c>
      <c r="T64" s="64">
        <v>0</v>
      </c>
      <c r="U64" s="64">
        <v>5</v>
      </c>
      <c r="V64" s="671">
        <f t="shared" si="5"/>
        <v>0</v>
      </c>
      <c r="W64" s="672">
        <v>1</v>
      </c>
      <c r="X64" s="2">
        <f t="shared" si="10"/>
        <v>0</v>
      </c>
    </row>
    <row r="65" spans="2:24">
      <c r="B65" s="7">
        <f t="shared" si="11"/>
        <v>2052</v>
      </c>
      <c r="C65" s="529"/>
      <c r="D65" s="531">
        <v>1</v>
      </c>
      <c r="E65" s="283">
        <f t="shared" si="13"/>
        <v>0.66390000000000005</v>
      </c>
      <c r="F65" s="283">
        <f t="shared" si="13"/>
        <v>0.1285</v>
      </c>
      <c r="G65" s="283">
        <f t="shared" si="12"/>
        <v>0</v>
      </c>
      <c r="H65" s="283">
        <f t="shared" si="13"/>
        <v>0</v>
      </c>
      <c r="I65" s="283">
        <f t="shared" si="12"/>
        <v>0</v>
      </c>
      <c r="J65" s="283">
        <f t="shared" si="13"/>
        <v>8.0999999999999996E-3</v>
      </c>
      <c r="K65" s="283">
        <f t="shared" si="13"/>
        <v>0</v>
      </c>
      <c r="L65" s="283">
        <f t="shared" si="13"/>
        <v>0.1071</v>
      </c>
      <c r="M65" s="283">
        <f t="shared" si="13"/>
        <v>1.77E-2</v>
      </c>
      <c r="N65" s="283">
        <f t="shared" si="13"/>
        <v>1.3299999999999999E-2</v>
      </c>
      <c r="O65" s="283">
        <f t="shared" si="13"/>
        <v>6.2100000000000002E-2</v>
      </c>
      <c r="P65" s="53">
        <f t="shared" si="9"/>
        <v>1.0006999999999999</v>
      </c>
      <c r="S65" s="7">
        <f t="shared" si="4"/>
        <v>2052</v>
      </c>
      <c r="T65" s="64">
        <v>0</v>
      </c>
      <c r="U65" s="64">
        <v>5</v>
      </c>
      <c r="V65" s="671">
        <f t="shared" si="5"/>
        <v>0</v>
      </c>
      <c r="W65" s="672">
        <v>1</v>
      </c>
      <c r="X65" s="2">
        <f t="shared" si="10"/>
        <v>0</v>
      </c>
    </row>
    <row r="66" spans="2:24">
      <c r="B66" s="7">
        <f t="shared" si="11"/>
        <v>2053</v>
      </c>
      <c r="C66" s="529"/>
      <c r="D66" s="531">
        <v>1</v>
      </c>
      <c r="E66" s="283">
        <f t="shared" si="13"/>
        <v>0.66390000000000005</v>
      </c>
      <c r="F66" s="283">
        <f t="shared" si="13"/>
        <v>0.1285</v>
      </c>
      <c r="G66" s="283">
        <f t="shared" si="12"/>
        <v>0</v>
      </c>
      <c r="H66" s="283">
        <f t="shared" si="13"/>
        <v>0</v>
      </c>
      <c r="I66" s="283">
        <f t="shared" si="12"/>
        <v>0</v>
      </c>
      <c r="J66" s="283">
        <f t="shared" si="13"/>
        <v>8.0999999999999996E-3</v>
      </c>
      <c r="K66" s="283">
        <f t="shared" si="13"/>
        <v>0</v>
      </c>
      <c r="L66" s="283">
        <f t="shared" si="13"/>
        <v>0.1071</v>
      </c>
      <c r="M66" s="283">
        <f t="shared" si="13"/>
        <v>1.77E-2</v>
      </c>
      <c r="N66" s="283">
        <f t="shared" si="13"/>
        <v>1.3299999999999999E-2</v>
      </c>
      <c r="O66" s="283">
        <f t="shared" si="13"/>
        <v>6.2100000000000002E-2</v>
      </c>
      <c r="P66" s="53">
        <f t="shared" si="9"/>
        <v>1.0006999999999999</v>
      </c>
      <c r="S66" s="7">
        <f t="shared" si="4"/>
        <v>2053</v>
      </c>
      <c r="T66" s="64">
        <v>0</v>
      </c>
      <c r="U66" s="64">
        <v>5</v>
      </c>
      <c r="V66" s="671">
        <f t="shared" si="5"/>
        <v>0</v>
      </c>
      <c r="W66" s="672">
        <v>1</v>
      </c>
      <c r="X66" s="2">
        <f t="shared" si="10"/>
        <v>0</v>
      </c>
    </row>
    <row r="67" spans="2:24">
      <c r="B67" s="7">
        <f t="shared" si="11"/>
        <v>2054</v>
      </c>
      <c r="C67" s="529"/>
      <c r="D67" s="531">
        <v>1</v>
      </c>
      <c r="E67" s="283">
        <f t="shared" si="13"/>
        <v>0.66390000000000005</v>
      </c>
      <c r="F67" s="283">
        <f t="shared" si="13"/>
        <v>0.1285</v>
      </c>
      <c r="G67" s="283">
        <f t="shared" si="12"/>
        <v>0</v>
      </c>
      <c r="H67" s="283">
        <f t="shared" si="13"/>
        <v>0</v>
      </c>
      <c r="I67" s="283">
        <f t="shared" si="12"/>
        <v>0</v>
      </c>
      <c r="J67" s="283">
        <f t="shared" si="13"/>
        <v>8.0999999999999996E-3</v>
      </c>
      <c r="K67" s="283">
        <f t="shared" si="13"/>
        <v>0</v>
      </c>
      <c r="L67" s="283">
        <f t="shared" si="13"/>
        <v>0.1071</v>
      </c>
      <c r="M67" s="283">
        <f t="shared" si="13"/>
        <v>1.77E-2</v>
      </c>
      <c r="N67" s="283">
        <f t="shared" si="13"/>
        <v>1.3299999999999999E-2</v>
      </c>
      <c r="O67" s="283">
        <f t="shared" si="13"/>
        <v>6.2100000000000002E-2</v>
      </c>
      <c r="P67" s="53">
        <f t="shared" si="9"/>
        <v>1.0006999999999999</v>
      </c>
      <c r="S67" s="7">
        <f t="shared" si="4"/>
        <v>2054</v>
      </c>
      <c r="T67" s="64">
        <v>0</v>
      </c>
      <c r="U67" s="64">
        <v>5</v>
      </c>
      <c r="V67" s="671">
        <f t="shared" si="5"/>
        <v>0</v>
      </c>
      <c r="W67" s="672">
        <v>1</v>
      </c>
      <c r="X67" s="2">
        <f t="shared" si="10"/>
        <v>0</v>
      </c>
    </row>
    <row r="68" spans="2:24">
      <c r="B68" s="7">
        <f t="shared" si="11"/>
        <v>2055</v>
      </c>
      <c r="C68" s="529"/>
      <c r="D68" s="531">
        <v>1</v>
      </c>
      <c r="E68" s="283">
        <f t="shared" si="13"/>
        <v>0.66390000000000005</v>
      </c>
      <c r="F68" s="283">
        <f t="shared" si="13"/>
        <v>0.1285</v>
      </c>
      <c r="G68" s="283">
        <f t="shared" si="12"/>
        <v>0</v>
      </c>
      <c r="H68" s="283">
        <f t="shared" si="13"/>
        <v>0</v>
      </c>
      <c r="I68" s="283">
        <f t="shared" si="12"/>
        <v>0</v>
      </c>
      <c r="J68" s="283">
        <f t="shared" si="13"/>
        <v>8.0999999999999996E-3</v>
      </c>
      <c r="K68" s="283">
        <f t="shared" si="13"/>
        <v>0</v>
      </c>
      <c r="L68" s="283">
        <f t="shared" si="13"/>
        <v>0.1071</v>
      </c>
      <c r="M68" s="283">
        <f t="shared" si="13"/>
        <v>1.77E-2</v>
      </c>
      <c r="N68" s="283">
        <f t="shared" si="13"/>
        <v>1.3299999999999999E-2</v>
      </c>
      <c r="O68" s="283">
        <f t="shared" si="13"/>
        <v>6.2100000000000002E-2</v>
      </c>
      <c r="P68" s="53">
        <f t="shared" si="9"/>
        <v>1.0006999999999999</v>
      </c>
      <c r="S68" s="7">
        <f t="shared" si="4"/>
        <v>2055</v>
      </c>
      <c r="T68" s="64">
        <v>0</v>
      </c>
      <c r="U68" s="64">
        <v>5</v>
      </c>
      <c r="V68" s="671">
        <f t="shared" si="5"/>
        <v>0</v>
      </c>
      <c r="W68" s="672">
        <v>1</v>
      </c>
      <c r="X68" s="2">
        <f t="shared" si="10"/>
        <v>0</v>
      </c>
    </row>
    <row r="69" spans="2:24">
      <c r="B69" s="7">
        <f t="shared" si="11"/>
        <v>2056</v>
      </c>
      <c r="C69" s="529"/>
      <c r="D69" s="531">
        <v>1</v>
      </c>
      <c r="E69" s="283">
        <f t="shared" si="13"/>
        <v>0.66390000000000005</v>
      </c>
      <c r="F69" s="283">
        <f t="shared" si="13"/>
        <v>0.1285</v>
      </c>
      <c r="G69" s="283">
        <f t="shared" si="13"/>
        <v>0</v>
      </c>
      <c r="H69" s="283">
        <f t="shared" si="13"/>
        <v>0</v>
      </c>
      <c r="I69" s="283">
        <f t="shared" si="13"/>
        <v>0</v>
      </c>
      <c r="J69" s="283">
        <f t="shared" si="13"/>
        <v>8.0999999999999996E-3</v>
      </c>
      <c r="K69" s="283">
        <f t="shared" si="13"/>
        <v>0</v>
      </c>
      <c r="L69" s="283">
        <f t="shared" si="13"/>
        <v>0.1071</v>
      </c>
      <c r="M69" s="283">
        <f t="shared" si="13"/>
        <v>1.77E-2</v>
      </c>
      <c r="N69" s="283">
        <f t="shared" si="13"/>
        <v>1.3299999999999999E-2</v>
      </c>
      <c r="O69" s="283">
        <f t="shared" si="13"/>
        <v>6.2100000000000002E-2</v>
      </c>
      <c r="P69" s="53">
        <f t="shared" si="9"/>
        <v>1.0006999999999999</v>
      </c>
      <c r="S69" s="7">
        <f t="shared" si="4"/>
        <v>2056</v>
      </c>
      <c r="T69" s="64">
        <v>0</v>
      </c>
      <c r="U69" s="64">
        <v>5</v>
      </c>
      <c r="V69" s="671">
        <f t="shared" si="5"/>
        <v>0</v>
      </c>
      <c r="W69" s="672">
        <v>1</v>
      </c>
      <c r="X69" s="2">
        <f t="shared" si="10"/>
        <v>0</v>
      </c>
    </row>
    <row r="70" spans="2:24">
      <c r="B70" s="7">
        <f t="shared" si="11"/>
        <v>2057</v>
      </c>
      <c r="C70" s="529"/>
      <c r="D70" s="531">
        <v>1</v>
      </c>
      <c r="E70" s="283">
        <f t="shared" si="13"/>
        <v>0.66390000000000005</v>
      </c>
      <c r="F70" s="283">
        <f t="shared" si="13"/>
        <v>0.1285</v>
      </c>
      <c r="G70" s="283">
        <f t="shared" si="13"/>
        <v>0</v>
      </c>
      <c r="H70" s="283">
        <f t="shared" si="13"/>
        <v>0</v>
      </c>
      <c r="I70" s="283">
        <f t="shared" si="13"/>
        <v>0</v>
      </c>
      <c r="J70" s="283">
        <f t="shared" si="13"/>
        <v>8.0999999999999996E-3</v>
      </c>
      <c r="K70" s="283">
        <f t="shared" si="13"/>
        <v>0</v>
      </c>
      <c r="L70" s="283">
        <f t="shared" si="13"/>
        <v>0.1071</v>
      </c>
      <c r="M70" s="283">
        <f t="shared" si="13"/>
        <v>1.77E-2</v>
      </c>
      <c r="N70" s="283">
        <f t="shared" si="13"/>
        <v>1.3299999999999999E-2</v>
      </c>
      <c r="O70" s="283">
        <f t="shared" si="13"/>
        <v>6.2100000000000002E-2</v>
      </c>
      <c r="P70" s="53">
        <f t="shared" si="9"/>
        <v>1.0006999999999999</v>
      </c>
      <c r="S70" s="7">
        <f t="shared" si="4"/>
        <v>2057</v>
      </c>
      <c r="T70" s="64">
        <v>0</v>
      </c>
      <c r="U70" s="64">
        <v>5</v>
      </c>
      <c r="V70" s="671">
        <f t="shared" si="5"/>
        <v>0</v>
      </c>
      <c r="W70" s="672">
        <v>1</v>
      </c>
      <c r="X70" s="2">
        <f t="shared" si="10"/>
        <v>0</v>
      </c>
    </row>
    <row r="71" spans="2:24">
      <c r="B71" s="7">
        <f t="shared" si="11"/>
        <v>2058</v>
      </c>
      <c r="C71" s="529"/>
      <c r="D71" s="531">
        <v>1</v>
      </c>
      <c r="E71" s="283">
        <f t="shared" si="13"/>
        <v>0.66390000000000005</v>
      </c>
      <c r="F71" s="283">
        <f t="shared" si="13"/>
        <v>0.1285</v>
      </c>
      <c r="G71" s="283">
        <f t="shared" si="13"/>
        <v>0</v>
      </c>
      <c r="H71" s="283">
        <f t="shared" si="13"/>
        <v>0</v>
      </c>
      <c r="I71" s="283">
        <f t="shared" si="13"/>
        <v>0</v>
      </c>
      <c r="J71" s="283">
        <f t="shared" si="13"/>
        <v>8.0999999999999996E-3</v>
      </c>
      <c r="K71" s="283">
        <f t="shared" si="13"/>
        <v>0</v>
      </c>
      <c r="L71" s="283">
        <f t="shared" si="13"/>
        <v>0.1071</v>
      </c>
      <c r="M71" s="283">
        <f t="shared" si="13"/>
        <v>1.77E-2</v>
      </c>
      <c r="N71" s="283">
        <f t="shared" si="13"/>
        <v>1.3299999999999999E-2</v>
      </c>
      <c r="O71" s="283">
        <f t="shared" si="13"/>
        <v>6.2100000000000002E-2</v>
      </c>
      <c r="P71" s="53">
        <f t="shared" si="9"/>
        <v>1.0006999999999999</v>
      </c>
      <c r="S71" s="7">
        <f t="shared" si="4"/>
        <v>2058</v>
      </c>
      <c r="T71" s="64">
        <v>0</v>
      </c>
      <c r="U71" s="64">
        <v>5</v>
      </c>
      <c r="V71" s="671">
        <f t="shared" si="5"/>
        <v>0</v>
      </c>
      <c r="W71" s="672">
        <v>1</v>
      </c>
      <c r="X71" s="2">
        <f t="shared" si="10"/>
        <v>0</v>
      </c>
    </row>
    <row r="72" spans="2:24">
      <c r="B72" s="7">
        <f t="shared" si="11"/>
        <v>2059</v>
      </c>
      <c r="C72" s="529"/>
      <c r="D72" s="531">
        <v>1</v>
      </c>
      <c r="E72" s="283">
        <f t="shared" si="13"/>
        <v>0.66390000000000005</v>
      </c>
      <c r="F72" s="283">
        <f t="shared" si="13"/>
        <v>0.1285</v>
      </c>
      <c r="G72" s="283">
        <f t="shared" si="13"/>
        <v>0</v>
      </c>
      <c r="H72" s="283">
        <f t="shared" si="13"/>
        <v>0</v>
      </c>
      <c r="I72" s="283">
        <f t="shared" si="13"/>
        <v>0</v>
      </c>
      <c r="J72" s="283">
        <f t="shared" si="13"/>
        <v>8.0999999999999996E-3</v>
      </c>
      <c r="K72" s="283">
        <f t="shared" si="13"/>
        <v>0</v>
      </c>
      <c r="L72" s="283">
        <f t="shared" si="13"/>
        <v>0.1071</v>
      </c>
      <c r="M72" s="283">
        <f t="shared" si="13"/>
        <v>1.77E-2</v>
      </c>
      <c r="N72" s="283">
        <f t="shared" si="13"/>
        <v>1.3299999999999999E-2</v>
      </c>
      <c r="O72" s="283">
        <f t="shared" si="13"/>
        <v>6.2100000000000002E-2</v>
      </c>
      <c r="P72" s="53">
        <f t="shared" si="9"/>
        <v>1.0006999999999999</v>
      </c>
      <c r="S72" s="7">
        <f t="shared" si="4"/>
        <v>2059</v>
      </c>
      <c r="T72" s="64">
        <v>0</v>
      </c>
      <c r="U72" s="64">
        <v>5</v>
      </c>
      <c r="V72" s="671">
        <f t="shared" si="5"/>
        <v>0</v>
      </c>
      <c r="W72" s="672">
        <v>1</v>
      </c>
      <c r="X72" s="2">
        <f t="shared" si="10"/>
        <v>0</v>
      </c>
    </row>
    <row r="73" spans="2:24">
      <c r="B73" s="7">
        <f t="shared" si="11"/>
        <v>2060</v>
      </c>
      <c r="C73" s="529"/>
      <c r="D73" s="531">
        <v>1</v>
      </c>
      <c r="E73" s="283">
        <f t="shared" ref="E73:O88" si="14">E$8</f>
        <v>0.66390000000000005</v>
      </c>
      <c r="F73" s="283">
        <f t="shared" si="14"/>
        <v>0.1285</v>
      </c>
      <c r="G73" s="283">
        <f t="shared" si="13"/>
        <v>0</v>
      </c>
      <c r="H73" s="283">
        <f t="shared" si="14"/>
        <v>0</v>
      </c>
      <c r="I73" s="283">
        <f t="shared" si="13"/>
        <v>0</v>
      </c>
      <c r="J73" s="283">
        <f t="shared" si="14"/>
        <v>8.0999999999999996E-3</v>
      </c>
      <c r="K73" s="283">
        <f t="shared" si="14"/>
        <v>0</v>
      </c>
      <c r="L73" s="283">
        <f t="shared" si="14"/>
        <v>0.1071</v>
      </c>
      <c r="M73" s="283">
        <f t="shared" si="14"/>
        <v>1.77E-2</v>
      </c>
      <c r="N73" s="283">
        <f t="shared" si="14"/>
        <v>1.3299999999999999E-2</v>
      </c>
      <c r="O73" s="283">
        <f t="shared" si="14"/>
        <v>6.2100000000000002E-2</v>
      </c>
      <c r="P73" s="53">
        <f t="shared" si="9"/>
        <v>1.0006999999999999</v>
      </c>
      <c r="S73" s="7">
        <f t="shared" si="4"/>
        <v>2060</v>
      </c>
      <c r="T73" s="64">
        <v>0</v>
      </c>
      <c r="U73" s="64">
        <v>5</v>
      </c>
      <c r="V73" s="671">
        <f t="shared" si="5"/>
        <v>0</v>
      </c>
      <c r="W73" s="672">
        <v>1</v>
      </c>
      <c r="X73" s="2">
        <f t="shared" si="10"/>
        <v>0</v>
      </c>
    </row>
    <row r="74" spans="2:24">
      <c r="B74" s="7">
        <f t="shared" si="11"/>
        <v>2061</v>
      </c>
      <c r="C74" s="529"/>
      <c r="D74" s="531">
        <v>1</v>
      </c>
      <c r="E74" s="283">
        <f t="shared" si="14"/>
        <v>0.66390000000000005</v>
      </c>
      <c r="F74" s="283">
        <f t="shared" si="14"/>
        <v>0.1285</v>
      </c>
      <c r="G74" s="283">
        <f t="shared" si="13"/>
        <v>0</v>
      </c>
      <c r="H74" s="283">
        <f t="shared" si="14"/>
        <v>0</v>
      </c>
      <c r="I74" s="283">
        <f t="shared" si="13"/>
        <v>0</v>
      </c>
      <c r="J74" s="283">
        <f t="shared" si="14"/>
        <v>8.0999999999999996E-3</v>
      </c>
      <c r="K74" s="283">
        <f t="shared" si="14"/>
        <v>0</v>
      </c>
      <c r="L74" s="283">
        <f t="shared" si="14"/>
        <v>0.1071</v>
      </c>
      <c r="M74" s="283">
        <f t="shared" si="14"/>
        <v>1.77E-2</v>
      </c>
      <c r="N74" s="283">
        <f t="shared" si="14"/>
        <v>1.3299999999999999E-2</v>
      </c>
      <c r="O74" s="283">
        <f t="shared" si="14"/>
        <v>6.2100000000000002E-2</v>
      </c>
      <c r="P74" s="53">
        <f t="shared" si="9"/>
        <v>1.0006999999999999</v>
      </c>
      <c r="S74" s="7">
        <f t="shared" si="4"/>
        <v>2061</v>
      </c>
      <c r="T74" s="64">
        <v>0</v>
      </c>
      <c r="U74" s="64">
        <v>5</v>
      </c>
      <c r="V74" s="671">
        <f t="shared" si="5"/>
        <v>0</v>
      </c>
      <c r="W74" s="672">
        <v>1</v>
      </c>
      <c r="X74" s="2">
        <f t="shared" si="10"/>
        <v>0</v>
      </c>
    </row>
    <row r="75" spans="2:24">
      <c r="B75" s="7">
        <f t="shared" si="11"/>
        <v>2062</v>
      </c>
      <c r="C75" s="529"/>
      <c r="D75" s="531">
        <v>1</v>
      </c>
      <c r="E75" s="283">
        <f t="shared" si="14"/>
        <v>0.66390000000000005</v>
      </c>
      <c r="F75" s="283">
        <f t="shared" si="14"/>
        <v>0.1285</v>
      </c>
      <c r="G75" s="283">
        <f t="shared" si="13"/>
        <v>0</v>
      </c>
      <c r="H75" s="283">
        <f t="shared" si="14"/>
        <v>0</v>
      </c>
      <c r="I75" s="283">
        <f t="shared" si="13"/>
        <v>0</v>
      </c>
      <c r="J75" s="283">
        <f t="shared" si="14"/>
        <v>8.0999999999999996E-3</v>
      </c>
      <c r="K75" s="283">
        <f t="shared" si="14"/>
        <v>0</v>
      </c>
      <c r="L75" s="283">
        <f t="shared" si="14"/>
        <v>0.1071</v>
      </c>
      <c r="M75" s="283">
        <f t="shared" si="14"/>
        <v>1.77E-2</v>
      </c>
      <c r="N75" s="283">
        <f t="shared" si="14"/>
        <v>1.3299999999999999E-2</v>
      </c>
      <c r="O75" s="283">
        <f t="shared" si="14"/>
        <v>6.2100000000000002E-2</v>
      </c>
      <c r="P75" s="53">
        <f t="shared" si="9"/>
        <v>1.0006999999999999</v>
      </c>
      <c r="S75" s="7">
        <f t="shared" si="4"/>
        <v>2062</v>
      </c>
      <c r="T75" s="64">
        <v>0</v>
      </c>
      <c r="U75" s="64">
        <v>5</v>
      </c>
      <c r="V75" s="671">
        <f t="shared" si="5"/>
        <v>0</v>
      </c>
      <c r="W75" s="672">
        <v>1</v>
      </c>
      <c r="X75" s="2">
        <f t="shared" si="10"/>
        <v>0</v>
      </c>
    </row>
    <row r="76" spans="2:24">
      <c r="B76" s="7">
        <f t="shared" si="11"/>
        <v>2063</v>
      </c>
      <c r="C76" s="529"/>
      <c r="D76" s="531">
        <v>1</v>
      </c>
      <c r="E76" s="283">
        <f t="shared" si="14"/>
        <v>0.66390000000000005</v>
      </c>
      <c r="F76" s="283">
        <f t="shared" si="14"/>
        <v>0.1285</v>
      </c>
      <c r="G76" s="283">
        <f t="shared" si="13"/>
        <v>0</v>
      </c>
      <c r="H76" s="283">
        <f t="shared" si="14"/>
        <v>0</v>
      </c>
      <c r="I76" s="283">
        <f t="shared" si="13"/>
        <v>0</v>
      </c>
      <c r="J76" s="283">
        <f t="shared" si="14"/>
        <v>8.0999999999999996E-3</v>
      </c>
      <c r="K76" s="283">
        <f t="shared" si="14"/>
        <v>0</v>
      </c>
      <c r="L76" s="283">
        <f t="shared" si="14"/>
        <v>0.1071</v>
      </c>
      <c r="M76" s="283">
        <f t="shared" si="14"/>
        <v>1.77E-2</v>
      </c>
      <c r="N76" s="283">
        <f t="shared" si="14"/>
        <v>1.3299999999999999E-2</v>
      </c>
      <c r="O76" s="283">
        <f t="shared" si="14"/>
        <v>6.2100000000000002E-2</v>
      </c>
      <c r="P76" s="53">
        <f t="shared" si="9"/>
        <v>1.0006999999999999</v>
      </c>
      <c r="S76" s="7">
        <f t="shared" si="4"/>
        <v>2063</v>
      </c>
      <c r="T76" s="64">
        <v>0</v>
      </c>
      <c r="U76" s="64">
        <v>5</v>
      </c>
      <c r="V76" s="671">
        <f t="shared" si="5"/>
        <v>0</v>
      </c>
      <c r="W76" s="672">
        <v>1</v>
      </c>
      <c r="X76" s="2">
        <f t="shared" si="10"/>
        <v>0</v>
      </c>
    </row>
    <row r="77" spans="2:24">
      <c r="B77" s="7">
        <f t="shared" si="11"/>
        <v>2064</v>
      </c>
      <c r="C77" s="529"/>
      <c r="D77" s="531">
        <v>1</v>
      </c>
      <c r="E77" s="283">
        <f t="shared" si="14"/>
        <v>0.66390000000000005</v>
      </c>
      <c r="F77" s="283">
        <f t="shared" si="14"/>
        <v>0.1285</v>
      </c>
      <c r="G77" s="283">
        <f t="shared" si="13"/>
        <v>0</v>
      </c>
      <c r="H77" s="283">
        <f t="shared" si="14"/>
        <v>0</v>
      </c>
      <c r="I77" s="283">
        <f t="shared" si="13"/>
        <v>0</v>
      </c>
      <c r="J77" s="283">
        <f t="shared" si="14"/>
        <v>8.0999999999999996E-3</v>
      </c>
      <c r="K77" s="283">
        <f t="shared" si="14"/>
        <v>0</v>
      </c>
      <c r="L77" s="283">
        <f t="shared" si="14"/>
        <v>0.1071</v>
      </c>
      <c r="M77" s="283">
        <f t="shared" si="14"/>
        <v>1.77E-2</v>
      </c>
      <c r="N77" s="283">
        <f t="shared" si="14"/>
        <v>1.3299999999999999E-2</v>
      </c>
      <c r="O77" s="283">
        <f t="shared" si="14"/>
        <v>6.2100000000000002E-2</v>
      </c>
      <c r="P77" s="53">
        <f t="shared" ref="P77:P93" si="15">SUM(E77:O77)</f>
        <v>1.0006999999999999</v>
      </c>
      <c r="S77" s="7">
        <f t="shared" si="4"/>
        <v>2064</v>
      </c>
      <c r="T77" s="64">
        <v>0</v>
      </c>
      <c r="U77" s="64">
        <v>5</v>
      </c>
      <c r="V77" s="671">
        <f t="shared" si="5"/>
        <v>0</v>
      </c>
      <c r="W77" s="672">
        <v>1</v>
      </c>
      <c r="X77" s="2">
        <f t="shared" ref="X77:X93" si="16">V77*W77</f>
        <v>0</v>
      </c>
    </row>
    <row r="78" spans="2:24">
      <c r="B78" s="7">
        <f t="shared" ref="B78:B93" si="17">B77+1</f>
        <v>2065</v>
      </c>
      <c r="C78" s="529"/>
      <c r="D78" s="531">
        <v>1</v>
      </c>
      <c r="E78" s="283">
        <f t="shared" si="14"/>
        <v>0.66390000000000005</v>
      </c>
      <c r="F78" s="283">
        <f t="shared" si="14"/>
        <v>0.1285</v>
      </c>
      <c r="G78" s="283">
        <f t="shared" si="13"/>
        <v>0</v>
      </c>
      <c r="H78" s="283">
        <f t="shared" si="14"/>
        <v>0</v>
      </c>
      <c r="I78" s="283">
        <f t="shared" si="13"/>
        <v>0</v>
      </c>
      <c r="J78" s="283">
        <f t="shared" si="14"/>
        <v>8.0999999999999996E-3</v>
      </c>
      <c r="K78" s="283">
        <f t="shared" si="14"/>
        <v>0</v>
      </c>
      <c r="L78" s="283">
        <f t="shared" si="14"/>
        <v>0.1071</v>
      </c>
      <c r="M78" s="283">
        <f t="shared" si="14"/>
        <v>1.77E-2</v>
      </c>
      <c r="N78" s="283">
        <f t="shared" si="14"/>
        <v>1.3299999999999999E-2</v>
      </c>
      <c r="O78" s="283">
        <f t="shared" si="14"/>
        <v>6.2100000000000002E-2</v>
      </c>
      <c r="P78" s="53">
        <f t="shared" si="15"/>
        <v>1.0006999999999999</v>
      </c>
      <c r="S78" s="7">
        <f t="shared" ref="S78:S93" si="18">S77+1</f>
        <v>2065</v>
      </c>
      <c r="T78" s="64">
        <v>0</v>
      </c>
      <c r="U78" s="64">
        <v>5</v>
      </c>
      <c r="V78" s="671">
        <f t="shared" si="5"/>
        <v>0</v>
      </c>
      <c r="W78" s="672">
        <v>1</v>
      </c>
      <c r="X78" s="2">
        <f t="shared" si="16"/>
        <v>0</v>
      </c>
    </row>
    <row r="79" spans="2:24">
      <c r="B79" s="7">
        <f t="shared" si="17"/>
        <v>2066</v>
      </c>
      <c r="C79" s="529"/>
      <c r="D79" s="531">
        <v>1</v>
      </c>
      <c r="E79" s="283">
        <f t="shared" si="14"/>
        <v>0.66390000000000005</v>
      </c>
      <c r="F79" s="283">
        <f t="shared" si="14"/>
        <v>0.1285</v>
      </c>
      <c r="G79" s="283">
        <f t="shared" si="14"/>
        <v>0</v>
      </c>
      <c r="H79" s="283">
        <f t="shared" si="14"/>
        <v>0</v>
      </c>
      <c r="I79" s="283">
        <f t="shared" si="14"/>
        <v>0</v>
      </c>
      <c r="J79" s="283">
        <f t="shared" si="14"/>
        <v>8.0999999999999996E-3</v>
      </c>
      <c r="K79" s="283">
        <f t="shared" si="14"/>
        <v>0</v>
      </c>
      <c r="L79" s="283">
        <f t="shared" si="14"/>
        <v>0.1071</v>
      </c>
      <c r="M79" s="283">
        <f t="shared" si="14"/>
        <v>1.77E-2</v>
      </c>
      <c r="N79" s="283">
        <f t="shared" si="14"/>
        <v>1.3299999999999999E-2</v>
      </c>
      <c r="O79" s="283">
        <f t="shared" si="14"/>
        <v>6.2100000000000002E-2</v>
      </c>
      <c r="P79" s="53">
        <f t="shared" si="15"/>
        <v>1.0006999999999999</v>
      </c>
      <c r="S79" s="7">
        <f t="shared" si="18"/>
        <v>2066</v>
      </c>
      <c r="T79" s="64">
        <v>0</v>
      </c>
      <c r="U79" s="64">
        <v>5</v>
      </c>
      <c r="V79" s="671">
        <f t="shared" ref="V79:V93" si="19">T79*U79</f>
        <v>0</v>
      </c>
      <c r="W79" s="672">
        <v>1</v>
      </c>
      <c r="X79" s="2">
        <f t="shared" si="16"/>
        <v>0</v>
      </c>
    </row>
    <row r="80" spans="2:24">
      <c r="B80" s="7">
        <f t="shared" si="17"/>
        <v>2067</v>
      </c>
      <c r="C80" s="529"/>
      <c r="D80" s="531">
        <v>1</v>
      </c>
      <c r="E80" s="283">
        <f t="shared" si="14"/>
        <v>0.66390000000000005</v>
      </c>
      <c r="F80" s="283">
        <f t="shared" si="14"/>
        <v>0.1285</v>
      </c>
      <c r="G80" s="283">
        <f t="shared" si="14"/>
        <v>0</v>
      </c>
      <c r="H80" s="283">
        <f t="shared" si="14"/>
        <v>0</v>
      </c>
      <c r="I80" s="283">
        <f t="shared" si="14"/>
        <v>0</v>
      </c>
      <c r="J80" s="283">
        <f t="shared" si="14"/>
        <v>8.0999999999999996E-3</v>
      </c>
      <c r="K80" s="283">
        <f t="shared" si="14"/>
        <v>0</v>
      </c>
      <c r="L80" s="283">
        <f t="shared" si="14"/>
        <v>0.1071</v>
      </c>
      <c r="M80" s="283">
        <f t="shared" si="14"/>
        <v>1.77E-2</v>
      </c>
      <c r="N80" s="283">
        <f t="shared" si="14"/>
        <v>1.3299999999999999E-2</v>
      </c>
      <c r="O80" s="283">
        <f t="shared" si="14"/>
        <v>6.2100000000000002E-2</v>
      </c>
      <c r="P80" s="53">
        <f t="shared" si="15"/>
        <v>1.0006999999999999</v>
      </c>
      <c r="S80" s="7">
        <f t="shared" si="18"/>
        <v>2067</v>
      </c>
      <c r="T80" s="64">
        <v>0</v>
      </c>
      <c r="U80" s="64">
        <v>5</v>
      </c>
      <c r="V80" s="671">
        <f t="shared" si="19"/>
        <v>0</v>
      </c>
      <c r="W80" s="672">
        <v>1</v>
      </c>
      <c r="X80" s="2">
        <f t="shared" si="16"/>
        <v>0</v>
      </c>
    </row>
    <row r="81" spans="2:24">
      <c r="B81" s="7">
        <f t="shared" si="17"/>
        <v>2068</v>
      </c>
      <c r="C81" s="529"/>
      <c r="D81" s="531">
        <v>1</v>
      </c>
      <c r="E81" s="283">
        <f t="shared" si="14"/>
        <v>0.66390000000000005</v>
      </c>
      <c r="F81" s="283">
        <f t="shared" si="14"/>
        <v>0.1285</v>
      </c>
      <c r="G81" s="283">
        <f t="shared" si="14"/>
        <v>0</v>
      </c>
      <c r="H81" s="283">
        <f t="shared" si="14"/>
        <v>0</v>
      </c>
      <c r="I81" s="283">
        <f t="shared" si="14"/>
        <v>0</v>
      </c>
      <c r="J81" s="283">
        <f t="shared" si="14"/>
        <v>8.0999999999999996E-3</v>
      </c>
      <c r="K81" s="283">
        <f t="shared" si="14"/>
        <v>0</v>
      </c>
      <c r="L81" s="283">
        <f t="shared" si="14"/>
        <v>0.1071</v>
      </c>
      <c r="M81" s="283">
        <f t="shared" si="14"/>
        <v>1.77E-2</v>
      </c>
      <c r="N81" s="283">
        <f t="shared" si="14"/>
        <v>1.3299999999999999E-2</v>
      </c>
      <c r="O81" s="283">
        <f t="shared" si="14"/>
        <v>6.2100000000000002E-2</v>
      </c>
      <c r="P81" s="53">
        <f t="shared" si="15"/>
        <v>1.0006999999999999</v>
      </c>
      <c r="S81" s="7">
        <f t="shared" si="18"/>
        <v>2068</v>
      </c>
      <c r="T81" s="64">
        <v>0</v>
      </c>
      <c r="U81" s="64">
        <v>5</v>
      </c>
      <c r="V81" s="671">
        <f t="shared" si="19"/>
        <v>0</v>
      </c>
      <c r="W81" s="672">
        <v>1</v>
      </c>
      <c r="X81" s="2">
        <f t="shared" si="16"/>
        <v>0</v>
      </c>
    </row>
    <row r="82" spans="2:24">
      <c r="B82" s="7">
        <f t="shared" si="17"/>
        <v>2069</v>
      </c>
      <c r="C82" s="529"/>
      <c r="D82" s="531">
        <v>1</v>
      </c>
      <c r="E82" s="283">
        <f t="shared" si="14"/>
        <v>0.66390000000000005</v>
      </c>
      <c r="F82" s="283">
        <f t="shared" si="14"/>
        <v>0.1285</v>
      </c>
      <c r="G82" s="283">
        <f t="shared" si="14"/>
        <v>0</v>
      </c>
      <c r="H82" s="283">
        <f t="shared" si="14"/>
        <v>0</v>
      </c>
      <c r="I82" s="283">
        <f t="shared" si="14"/>
        <v>0</v>
      </c>
      <c r="J82" s="283">
        <f t="shared" si="14"/>
        <v>8.0999999999999996E-3</v>
      </c>
      <c r="K82" s="283">
        <f t="shared" si="14"/>
        <v>0</v>
      </c>
      <c r="L82" s="283">
        <f t="shared" si="14"/>
        <v>0.1071</v>
      </c>
      <c r="M82" s="283">
        <f t="shared" si="14"/>
        <v>1.77E-2</v>
      </c>
      <c r="N82" s="283">
        <f t="shared" si="14"/>
        <v>1.3299999999999999E-2</v>
      </c>
      <c r="O82" s="283">
        <f t="shared" si="14"/>
        <v>6.2100000000000002E-2</v>
      </c>
      <c r="P82" s="53">
        <f t="shared" si="15"/>
        <v>1.0006999999999999</v>
      </c>
      <c r="S82" s="7">
        <f t="shared" si="18"/>
        <v>2069</v>
      </c>
      <c r="T82" s="64">
        <v>0</v>
      </c>
      <c r="U82" s="64">
        <v>5</v>
      </c>
      <c r="V82" s="671">
        <f t="shared" si="19"/>
        <v>0</v>
      </c>
      <c r="W82" s="672">
        <v>1</v>
      </c>
      <c r="X82" s="2">
        <f t="shared" si="16"/>
        <v>0</v>
      </c>
    </row>
    <row r="83" spans="2:24">
      <c r="B83" s="7">
        <f t="shared" si="17"/>
        <v>2070</v>
      </c>
      <c r="C83" s="529"/>
      <c r="D83" s="531">
        <v>1</v>
      </c>
      <c r="E83" s="283">
        <f t="shared" ref="E83:O93" si="20">E$8</f>
        <v>0.66390000000000005</v>
      </c>
      <c r="F83" s="283">
        <f t="shared" si="20"/>
        <v>0.1285</v>
      </c>
      <c r="G83" s="283">
        <f t="shared" si="14"/>
        <v>0</v>
      </c>
      <c r="H83" s="283">
        <f t="shared" si="20"/>
        <v>0</v>
      </c>
      <c r="I83" s="283">
        <f t="shared" si="14"/>
        <v>0</v>
      </c>
      <c r="J83" s="283">
        <f t="shared" si="20"/>
        <v>8.0999999999999996E-3</v>
      </c>
      <c r="K83" s="283">
        <f t="shared" si="20"/>
        <v>0</v>
      </c>
      <c r="L83" s="283">
        <f t="shared" si="20"/>
        <v>0.1071</v>
      </c>
      <c r="M83" s="283">
        <f t="shared" si="20"/>
        <v>1.77E-2</v>
      </c>
      <c r="N83" s="283">
        <f t="shared" si="20"/>
        <v>1.3299999999999999E-2</v>
      </c>
      <c r="O83" s="283">
        <f t="shared" si="20"/>
        <v>6.2100000000000002E-2</v>
      </c>
      <c r="P83" s="53">
        <f t="shared" si="15"/>
        <v>1.0006999999999999</v>
      </c>
      <c r="S83" s="7">
        <f t="shared" si="18"/>
        <v>2070</v>
      </c>
      <c r="T83" s="64">
        <v>0</v>
      </c>
      <c r="U83" s="64">
        <v>5</v>
      </c>
      <c r="V83" s="671">
        <f t="shared" si="19"/>
        <v>0</v>
      </c>
      <c r="W83" s="672">
        <v>1</v>
      </c>
      <c r="X83" s="2">
        <f t="shared" si="16"/>
        <v>0</v>
      </c>
    </row>
    <row r="84" spans="2:24">
      <c r="B84" s="7">
        <f t="shared" si="17"/>
        <v>2071</v>
      </c>
      <c r="C84" s="529"/>
      <c r="D84" s="531">
        <v>1</v>
      </c>
      <c r="E84" s="283">
        <f t="shared" si="20"/>
        <v>0.66390000000000005</v>
      </c>
      <c r="F84" s="283">
        <f t="shared" si="20"/>
        <v>0.1285</v>
      </c>
      <c r="G84" s="283">
        <f t="shared" si="14"/>
        <v>0</v>
      </c>
      <c r="H84" s="283">
        <f t="shared" si="20"/>
        <v>0</v>
      </c>
      <c r="I84" s="283">
        <f t="shared" si="14"/>
        <v>0</v>
      </c>
      <c r="J84" s="283">
        <f t="shared" si="20"/>
        <v>8.0999999999999996E-3</v>
      </c>
      <c r="K84" s="283">
        <f t="shared" si="20"/>
        <v>0</v>
      </c>
      <c r="L84" s="283">
        <f t="shared" si="20"/>
        <v>0.1071</v>
      </c>
      <c r="M84" s="283">
        <f t="shared" si="20"/>
        <v>1.77E-2</v>
      </c>
      <c r="N84" s="283">
        <f t="shared" si="20"/>
        <v>1.3299999999999999E-2</v>
      </c>
      <c r="O84" s="283">
        <f t="shared" si="20"/>
        <v>6.2100000000000002E-2</v>
      </c>
      <c r="P84" s="53">
        <f t="shared" si="15"/>
        <v>1.0006999999999999</v>
      </c>
      <c r="S84" s="7">
        <f t="shared" si="18"/>
        <v>2071</v>
      </c>
      <c r="T84" s="64">
        <v>0</v>
      </c>
      <c r="U84" s="64">
        <v>5</v>
      </c>
      <c r="V84" s="671">
        <f t="shared" si="19"/>
        <v>0</v>
      </c>
      <c r="W84" s="672">
        <v>1</v>
      </c>
      <c r="X84" s="2">
        <f t="shared" si="16"/>
        <v>0</v>
      </c>
    </row>
    <row r="85" spans="2:24">
      <c r="B85" s="7">
        <f t="shared" si="17"/>
        <v>2072</v>
      </c>
      <c r="C85" s="529"/>
      <c r="D85" s="531">
        <v>1</v>
      </c>
      <c r="E85" s="283">
        <f t="shared" si="20"/>
        <v>0.66390000000000005</v>
      </c>
      <c r="F85" s="283">
        <f t="shared" si="20"/>
        <v>0.1285</v>
      </c>
      <c r="G85" s="283">
        <f t="shared" si="14"/>
        <v>0</v>
      </c>
      <c r="H85" s="283">
        <f t="shared" si="20"/>
        <v>0</v>
      </c>
      <c r="I85" s="283">
        <f t="shared" si="14"/>
        <v>0</v>
      </c>
      <c r="J85" s="283">
        <f t="shared" si="20"/>
        <v>8.0999999999999996E-3</v>
      </c>
      <c r="K85" s="283">
        <f t="shared" si="20"/>
        <v>0</v>
      </c>
      <c r="L85" s="283">
        <f t="shared" si="20"/>
        <v>0.1071</v>
      </c>
      <c r="M85" s="283">
        <f t="shared" si="20"/>
        <v>1.77E-2</v>
      </c>
      <c r="N85" s="283">
        <f t="shared" si="20"/>
        <v>1.3299999999999999E-2</v>
      </c>
      <c r="O85" s="283">
        <f t="shared" si="20"/>
        <v>6.2100000000000002E-2</v>
      </c>
      <c r="P85" s="53">
        <f t="shared" si="15"/>
        <v>1.0006999999999999</v>
      </c>
      <c r="S85" s="7">
        <f t="shared" si="18"/>
        <v>2072</v>
      </c>
      <c r="T85" s="64">
        <v>0</v>
      </c>
      <c r="U85" s="64">
        <v>5</v>
      </c>
      <c r="V85" s="671">
        <f t="shared" si="19"/>
        <v>0</v>
      </c>
      <c r="W85" s="672">
        <v>1</v>
      </c>
      <c r="X85" s="2">
        <f t="shared" si="16"/>
        <v>0</v>
      </c>
    </row>
    <row r="86" spans="2:24">
      <c r="B86" s="7">
        <f t="shared" si="17"/>
        <v>2073</v>
      </c>
      <c r="C86" s="529"/>
      <c r="D86" s="531">
        <v>1</v>
      </c>
      <c r="E86" s="283">
        <f t="shared" si="20"/>
        <v>0.66390000000000005</v>
      </c>
      <c r="F86" s="283">
        <f t="shared" si="20"/>
        <v>0.1285</v>
      </c>
      <c r="G86" s="283">
        <f t="shared" si="14"/>
        <v>0</v>
      </c>
      <c r="H86" s="283">
        <f t="shared" si="20"/>
        <v>0</v>
      </c>
      <c r="I86" s="283">
        <f t="shared" si="14"/>
        <v>0</v>
      </c>
      <c r="J86" s="283">
        <f t="shared" si="20"/>
        <v>8.0999999999999996E-3</v>
      </c>
      <c r="K86" s="283">
        <f t="shared" si="20"/>
        <v>0</v>
      </c>
      <c r="L86" s="283">
        <f t="shared" si="20"/>
        <v>0.1071</v>
      </c>
      <c r="M86" s="283">
        <f t="shared" si="20"/>
        <v>1.77E-2</v>
      </c>
      <c r="N86" s="283">
        <f t="shared" si="20"/>
        <v>1.3299999999999999E-2</v>
      </c>
      <c r="O86" s="283">
        <f t="shared" si="20"/>
        <v>6.2100000000000002E-2</v>
      </c>
      <c r="P86" s="53">
        <f t="shared" si="15"/>
        <v>1.0006999999999999</v>
      </c>
      <c r="S86" s="7">
        <f t="shared" si="18"/>
        <v>2073</v>
      </c>
      <c r="T86" s="64">
        <v>0</v>
      </c>
      <c r="U86" s="64">
        <v>5</v>
      </c>
      <c r="V86" s="671">
        <f t="shared" si="19"/>
        <v>0</v>
      </c>
      <c r="W86" s="672">
        <v>1</v>
      </c>
      <c r="X86" s="2">
        <f t="shared" si="16"/>
        <v>0</v>
      </c>
    </row>
    <row r="87" spans="2:24">
      <c r="B87" s="7">
        <f t="shared" si="17"/>
        <v>2074</v>
      </c>
      <c r="C87" s="529"/>
      <c r="D87" s="531">
        <v>1</v>
      </c>
      <c r="E87" s="283">
        <f t="shared" si="20"/>
        <v>0.66390000000000005</v>
      </c>
      <c r="F87" s="283">
        <f t="shared" si="20"/>
        <v>0.1285</v>
      </c>
      <c r="G87" s="283">
        <f t="shared" si="14"/>
        <v>0</v>
      </c>
      <c r="H87" s="283">
        <f t="shared" si="20"/>
        <v>0</v>
      </c>
      <c r="I87" s="283">
        <f t="shared" si="14"/>
        <v>0</v>
      </c>
      <c r="J87" s="283">
        <f t="shared" si="20"/>
        <v>8.0999999999999996E-3</v>
      </c>
      <c r="K87" s="283">
        <f t="shared" si="20"/>
        <v>0</v>
      </c>
      <c r="L87" s="283">
        <f t="shared" si="20"/>
        <v>0.1071</v>
      </c>
      <c r="M87" s="283">
        <f t="shared" si="20"/>
        <v>1.77E-2</v>
      </c>
      <c r="N87" s="283">
        <f t="shared" si="20"/>
        <v>1.3299999999999999E-2</v>
      </c>
      <c r="O87" s="283">
        <f t="shared" si="20"/>
        <v>6.2100000000000002E-2</v>
      </c>
      <c r="P87" s="53">
        <f t="shared" si="15"/>
        <v>1.0006999999999999</v>
      </c>
      <c r="S87" s="7">
        <f t="shared" si="18"/>
        <v>2074</v>
      </c>
      <c r="T87" s="64">
        <v>0</v>
      </c>
      <c r="U87" s="64">
        <v>5</v>
      </c>
      <c r="V87" s="671">
        <f t="shared" si="19"/>
        <v>0</v>
      </c>
      <c r="W87" s="672">
        <v>1</v>
      </c>
      <c r="X87" s="2">
        <f t="shared" si="16"/>
        <v>0</v>
      </c>
    </row>
    <row r="88" spans="2:24">
      <c r="B88" s="7">
        <f t="shared" si="17"/>
        <v>2075</v>
      </c>
      <c r="C88" s="529"/>
      <c r="D88" s="531">
        <v>1</v>
      </c>
      <c r="E88" s="283">
        <f t="shared" si="20"/>
        <v>0.66390000000000005</v>
      </c>
      <c r="F88" s="283">
        <f t="shared" si="20"/>
        <v>0.1285</v>
      </c>
      <c r="G88" s="283">
        <f t="shared" si="14"/>
        <v>0</v>
      </c>
      <c r="H88" s="283">
        <f t="shared" si="20"/>
        <v>0</v>
      </c>
      <c r="I88" s="283">
        <f t="shared" si="14"/>
        <v>0</v>
      </c>
      <c r="J88" s="283">
        <f t="shared" si="20"/>
        <v>8.0999999999999996E-3</v>
      </c>
      <c r="K88" s="283">
        <f t="shared" si="20"/>
        <v>0</v>
      </c>
      <c r="L88" s="283">
        <f t="shared" si="20"/>
        <v>0.1071</v>
      </c>
      <c r="M88" s="283">
        <f t="shared" si="20"/>
        <v>1.77E-2</v>
      </c>
      <c r="N88" s="283">
        <f t="shared" si="20"/>
        <v>1.3299999999999999E-2</v>
      </c>
      <c r="O88" s="283">
        <f t="shared" si="20"/>
        <v>6.2100000000000002E-2</v>
      </c>
      <c r="P88" s="53">
        <f t="shared" si="15"/>
        <v>1.0006999999999999</v>
      </c>
      <c r="S88" s="7">
        <f t="shared" si="18"/>
        <v>2075</v>
      </c>
      <c r="T88" s="64">
        <v>0</v>
      </c>
      <c r="U88" s="64">
        <v>5</v>
      </c>
      <c r="V88" s="671">
        <f t="shared" si="19"/>
        <v>0</v>
      </c>
      <c r="W88" s="672">
        <v>1</v>
      </c>
      <c r="X88" s="2">
        <f t="shared" si="16"/>
        <v>0</v>
      </c>
    </row>
    <row r="89" spans="2:24">
      <c r="B89" s="7">
        <f t="shared" si="17"/>
        <v>2076</v>
      </c>
      <c r="C89" s="529"/>
      <c r="D89" s="531">
        <v>1</v>
      </c>
      <c r="E89" s="283">
        <f t="shared" si="20"/>
        <v>0.66390000000000005</v>
      </c>
      <c r="F89" s="283">
        <f t="shared" si="20"/>
        <v>0.1285</v>
      </c>
      <c r="G89" s="283">
        <f t="shared" si="20"/>
        <v>0</v>
      </c>
      <c r="H89" s="283">
        <f t="shared" si="20"/>
        <v>0</v>
      </c>
      <c r="I89" s="283">
        <f t="shared" si="20"/>
        <v>0</v>
      </c>
      <c r="J89" s="283">
        <f t="shared" si="20"/>
        <v>8.0999999999999996E-3</v>
      </c>
      <c r="K89" s="283">
        <f t="shared" si="20"/>
        <v>0</v>
      </c>
      <c r="L89" s="283">
        <f t="shared" si="20"/>
        <v>0.1071</v>
      </c>
      <c r="M89" s="283">
        <f t="shared" si="20"/>
        <v>1.77E-2</v>
      </c>
      <c r="N89" s="283">
        <f t="shared" si="20"/>
        <v>1.3299999999999999E-2</v>
      </c>
      <c r="O89" s="283">
        <f t="shared" si="20"/>
        <v>6.2100000000000002E-2</v>
      </c>
      <c r="P89" s="53">
        <f t="shared" si="15"/>
        <v>1.0006999999999999</v>
      </c>
      <c r="S89" s="7">
        <f t="shared" si="18"/>
        <v>2076</v>
      </c>
      <c r="T89" s="64">
        <v>0</v>
      </c>
      <c r="U89" s="64">
        <v>5</v>
      </c>
      <c r="V89" s="671">
        <f t="shared" si="19"/>
        <v>0</v>
      </c>
      <c r="W89" s="672">
        <v>1</v>
      </c>
      <c r="X89" s="2">
        <f t="shared" si="16"/>
        <v>0</v>
      </c>
    </row>
    <row r="90" spans="2:24">
      <c r="B90" s="7">
        <f t="shared" si="17"/>
        <v>2077</v>
      </c>
      <c r="C90" s="529"/>
      <c r="D90" s="531">
        <v>1</v>
      </c>
      <c r="E90" s="283">
        <f t="shared" si="20"/>
        <v>0.66390000000000005</v>
      </c>
      <c r="F90" s="283">
        <f t="shared" si="20"/>
        <v>0.1285</v>
      </c>
      <c r="G90" s="283">
        <f t="shared" si="20"/>
        <v>0</v>
      </c>
      <c r="H90" s="283">
        <f t="shared" si="20"/>
        <v>0</v>
      </c>
      <c r="I90" s="283">
        <f t="shared" si="20"/>
        <v>0</v>
      </c>
      <c r="J90" s="283">
        <f t="shared" si="20"/>
        <v>8.0999999999999996E-3</v>
      </c>
      <c r="K90" s="283">
        <f t="shared" si="20"/>
        <v>0</v>
      </c>
      <c r="L90" s="283">
        <f t="shared" si="20"/>
        <v>0.1071</v>
      </c>
      <c r="M90" s="283">
        <f t="shared" si="20"/>
        <v>1.77E-2</v>
      </c>
      <c r="N90" s="283">
        <f t="shared" si="20"/>
        <v>1.3299999999999999E-2</v>
      </c>
      <c r="O90" s="283">
        <f t="shared" si="20"/>
        <v>6.2100000000000002E-2</v>
      </c>
      <c r="P90" s="53">
        <f t="shared" si="15"/>
        <v>1.0006999999999999</v>
      </c>
      <c r="S90" s="7">
        <f t="shared" si="18"/>
        <v>2077</v>
      </c>
      <c r="T90" s="64">
        <v>0</v>
      </c>
      <c r="U90" s="64">
        <v>5</v>
      </c>
      <c r="V90" s="671">
        <f t="shared" si="19"/>
        <v>0</v>
      </c>
      <c r="W90" s="672">
        <v>1</v>
      </c>
      <c r="X90" s="2">
        <f t="shared" si="16"/>
        <v>0</v>
      </c>
    </row>
    <row r="91" spans="2:24">
      <c r="B91" s="7">
        <f t="shared" si="17"/>
        <v>2078</v>
      </c>
      <c r="C91" s="529"/>
      <c r="D91" s="531">
        <v>1</v>
      </c>
      <c r="E91" s="283">
        <f t="shared" si="20"/>
        <v>0.66390000000000005</v>
      </c>
      <c r="F91" s="283">
        <f t="shared" si="20"/>
        <v>0.1285</v>
      </c>
      <c r="G91" s="283">
        <f t="shared" si="20"/>
        <v>0</v>
      </c>
      <c r="H91" s="283">
        <f t="shared" si="20"/>
        <v>0</v>
      </c>
      <c r="I91" s="283">
        <f t="shared" si="20"/>
        <v>0</v>
      </c>
      <c r="J91" s="283">
        <f t="shared" si="20"/>
        <v>8.0999999999999996E-3</v>
      </c>
      <c r="K91" s="283">
        <f t="shared" si="20"/>
        <v>0</v>
      </c>
      <c r="L91" s="283">
        <f t="shared" si="20"/>
        <v>0.1071</v>
      </c>
      <c r="M91" s="283">
        <f t="shared" si="20"/>
        <v>1.77E-2</v>
      </c>
      <c r="N91" s="283">
        <f t="shared" si="20"/>
        <v>1.3299999999999999E-2</v>
      </c>
      <c r="O91" s="283">
        <f t="shared" si="20"/>
        <v>6.2100000000000002E-2</v>
      </c>
      <c r="P91" s="53">
        <f t="shared" si="15"/>
        <v>1.0006999999999999</v>
      </c>
      <c r="S91" s="7">
        <f t="shared" si="18"/>
        <v>2078</v>
      </c>
      <c r="T91" s="64">
        <v>0</v>
      </c>
      <c r="U91" s="64">
        <v>5</v>
      </c>
      <c r="V91" s="671">
        <f t="shared" si="19"/>
        <v>0</v>
      </c>
      <c r="W91" s="672">
        <v>1</v>
      </c>
      <c r="X91" s="2">
        <f t="shared" si="16"/>
        <v>0</v>
      </c>
    </row>
    <row r="92" spans="2:24">
      <c r="B92" s="7">
        <f t="shared" si="17"/>
        <v>2079</v>
      </c>
      <c r="C92" s="529"/>
      <c r="D92" s="531">
        <v>1</v>
      </c>
      <c r="E92" s="283">
        <f t="shared" si="20"/>
        <v>0.66390000000000005</v>
      </c>
      <c r="F92" s="283">
        <f t="shared" si="20"/>
        <v>0.1285</v>
      </c>
      <c r="G92" s="283">
        <f t="shared" si="20"/>
        <v>0</v>
      </c>
      <c r="H92" s="283">
        <f t="shared" si="20"/>
        <v>0</v>
      </c>
      <c r="I92" s="283">
        <f t="shared" si="20"/>
        <v>0</v>
      </c>
      <c r="J92" s="283">
        <f t="shared" si="20"/>
        <v>8.0999999999999996E-3</v>
      </c>
      <c r="K92" s="283">
        <f t="shared" si="20"/>
        <v>0</v>
      </c>
      <c r="L92" s="283">
        <f t="shared" si="20"/>
        <v>0.1071</v>
      </c>
      <c r="M92" s="283">
        <f t="shared" si="20"/>
        <v>1.77E-2</v>
      </c>
      <c r="N92" s="283">
        <f t="shared" si="20"/>
        <v>1.3299999999999999E-2</v>
      </c>
      <c r="O92" s="283">
        <f t="shared" si="20"/>
        <v>6.2100000000000002E-2</v>
      </c>
      <c r="P92" s="53">
        <f t="shared" si="15"/>
        <v>1.0006999999999999</v>
      </c>
      <c r="S92" s="7">
        <f t="shared" si="18"/>
        <v>2079</v>
      </c>
      <c r="T92" s="64">
        <v>0</v>
      </c>
      <c r="U92" s="64">
        <v>5</v>
      </c>
      <c r="V92" s="671">
        <f t="shared" si="19"/>
        <v>0</v>
      </c>
      <c r="W92" s="672">
        <v>1</v>
      </c>
      <c r="X92" s="2">
        <f t="shared" si="16"/>
        <v>0</v>
      </c>
    </row>
    <row r="93" spans="2:24" ht="13.5" thickBot="1">
      <c r="B93" s="18">
        <f t="shared" si="17"/>
        <v>2080</v>
      </c>
      <c r="C93" s="530"/>
      <c r="D93" s="531">
        <v>1</v>
      </c>
      <c r="E93" s="532">
        <f t="shared" si="20"/>
        <v>0.66390000000000005</v>
      </c>
      <c r="F93" s="532">
        <f t="shared" si="20"/>
        <v>0.1285</v>
      </c>
      <c r="G93" s="532">
        <f t="shared" si="20"/>
        <v>0</v>
      </c>
      <c r="H93" s="532">
        <f t="shared" si="20"/>
        <v>0</v>
      </c>
      <c r="I93" s="532">
        <f t="shared" si="20"/>
        <v>0</v>
      </c>
      <c r="J93" s="532">
        <f t="shared" si="20"/>
        <v>8.0999999999999996E-3</v>
      </c>
      <c r="K93" s="532">
        <f t="shared" si="20"/>
        <v>0</v>
      </c>
      <c r="L93" s="532">
        <f t="shared" si="20"/>
        <v>0.1071</v>
      </c>
      <c r="M93" s="532">
        <f t="shared" si="20"/>
        <v>1.77E-2</v>
      </c>
      <c r="N93" s="532">
        <f t="shared" si="20"/>
        <v>1.3299999999999999E-2</v>
      </c>
      <c r="O93" s="533">
        <f t="shared" si="20"/>
        <v>6.2100000000000002E-2</v>
      </c>
      <c r="P93" s="54">
        <f t="shared" si="15"/>
        <v>1.0006999999999999</v>
      </c>
      <c r="S93" s="18">
        <f t="shared" si="18"/>
        <v>2080</v>
      </c>
      <c r="T93" s="679">
        <v>0</v>
      </c>
      <c r="U93" s="673">
        <v>5</v>
      </c>
      <c r="V93" s="674">
        <f t="shared" si="19"/>
        <v>0</v>
      </c>
      <c r="W93" s="675">
        <v>1</v>
      </c>
      <c r="X93" s="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20" activePane="bottomLeft" state="frozen"/>
      <selection pane="bottomLeft" activeCell="G15" sqref="G15"/>
    </sheetView>
  </sheetViews>
  <sheetFormatPr defaultColWidth="8.85546875" defaultRowHeight="12.75"/>
  <cols>
    <col min="1" max="1" width="8.85546875" style="492"/>
    <col min="2" max="2" width="7.42578125" style="492" customWidth="1"/>
    <col min="3" max="3" width="10.42578125" style="492" customWidth="1"/>
    <col min="4" max="4" width="10.28515625" style="492" customWidth="1"/>
    <col min="5" max="5" width="11.140625" style="492" customWidth="1"/>
    <col min="6" max="7" width="11.42578125" style="492" customWidth="1"/>
    <col min="8" max="8" width="8.7109375" style="492" customWidth="1"/>
    <col min="9" max="9" width="11" style="492" customWidth="1"/>
    <col min="10" max="16384" width="8.85546875" style="492"/>
  </cols>
  <sheetData>
    <row r="2" spans="2:16" ht="18">
      <c r="B2" s="491" t="s">
        <v>241</v>
      </c>
    </row>
    <row r="3" spans="2:16" ht="13.5" thickBot="1">
      <c r="B3" s="536" t="s">
        <v>274</v>
      </c>
    </row>
    <row r="4" spans="2:16" ht="25.5">
      <c r="B4" s="544" t="s">
        <v>1</v>
      </c>
      <c r="C4" s="545" t="s">
        <v>6</v>
      </c>
      <c r="D4" s="546" t="s">
        <v>269</v>
      </c>
      <c r="E4" s="546" t="s">
        <v>267</v>
      </c>
      <c r="F4" s="546" t="s">
        <v>139</v>
      </c>
      <c r="G4" s="546" t="s">
        <v>2</v>
      </c>
      <c r="H4" s="545" t="s">
        <v>16</v>
      </c>
      <c r="I4" s="545" t="s">
        <v>229</v>
      </c>
      <c r="J4" s="545" t="s">
        <v>230</v>
      </c>
      <c r="K4" s="545" t="s">
        <v>231</v>
      </c>
      <c r="L4" s="545" t="s">
        <v>232</v>
      </c>
      <c r="M4" s="547" t="s">
        <v>233</v>
      </c>
      <c r="N4" s="547" t="s">
        <v>146</v>
      </c>
      <c r="O4" s="547" t="s">
        <v>204</v>
      </c>
      <c r="P4" s="547" t="s">
        <v>308</v>
      </c>
    </row>
    <row r="5" spans="2:16" ht="13.5" thickBot="1">
      <c r="B5" s="548"/>
      <c r="C5" s="543" t="s">
        <v>24</v>
      </c>
      <c r="D5" s="543" t="s">
        <v>24</v>
      </c>
      <c r="E5" s="543" t="s">
        <v>24</v>
      </c>
      <c r="F5" s="543" t="s">
        <v>24</v>
      </c>
      <c r="G5" s="543" t="s">
        <v>24</v>
      </c>
      <c r="H5" s="543" t="s">
        <v>24</v>
      </c>
      <c r="I5" s="543" t="s">
        <v>24</v>
      </c>
      <c r="J5" s="543" t="s">
        <v>24</v>
      </c>
      <c r="K5" s="543" t="s">
        <v>24</v>
      </c>
      <c r="L5" s="543" t="s">
        <v>24</v>
      </c>
      <c r="M5" s="543" t="s">
        <v>24</v>
      </c>
      <c r="N5" s="543" t="s">
        <v>24</v>
      </c>
      <c r="O5" s="543" t="s">
        <v>24</v>
      </c>
      <c r="P5" s="543" t="s">
        <v>24</v>
      </c>
    </row>
    <row r="6" spans="2:16">
      <c r="B6" s="498">
        <f>year</f>
        <v>2000</v>
      </c>
      <c r="C6" s="539">
        <v>0.59</v>
      </c>
      <c r="D6" s="539">
        <v>0.44</v>
      </c>
      <c r="E6" s="539">
        <v>0.44</v>
      </c>
      <c r="F6" s="539">
        <v>0.56999999999999995</v>
      </c>
      <c r="G6" s="539">
        <v>0.56999999999999995</v>
      </c>
      <c r="H6" s="539">
        <v>0.73</v>
      </c>
      <c r="I6" s="539">
        <v>0.89</v>
      </c>
      <c r="J6" s="539">
        <v>0.56999999999999995</v>
      </c>
      <c r="K6" s="539">
        <v>0.97</v>
      </c>
      <c r="L6" s="539">
        <v>0.66</v>
      </c>
      <c r="M6" s="539">
        <v>0.95</v>
      </c>
      <c r="N6" s="539">
        <v>0</v>
      </c>
      <c r="O6" s="539">
        <v>0</v>
      </c>
      <c r="P6" s="539">
        <v>0</v>
      </c>
    </row>
    <row r="7" spans="2:16">
      <c r="B7" s="493">
        <f>B6+1</f>
        <v>2001</v>
      </c>
      <c r="C7" s="539">
        <v>0.59</v>
      </c>
      <c r="D7" s="539">
        <v>0.44</v>
      </c>
      <c r="E7" s="539">
        <v>0.44</v>
      </c>
      <c r="F7" s="539">
        <v>0.56999999999999995</v>
      </c>
      <c r="G7" s="539">
        <v>0.56999999999999995</v>
      </c>
      <c r="H7" s="539">
        <v>0.73</v>
      </c>
      <c r="I7" s="539">
        <v>0.89</v>
      </c>
      <c r="J7" s="539">
        <v>0.56999999999999995</v>
      </c>
      <c r="K7" s="539">
        <v>0.97</v>
      </c>
      <c r="L7" s="539">
        <v>0.66</v>
      </c>
      <c r="M7" s="539">
        <v>0.95</v>
      </c>
      <c r="N7" s="539">
        <v>0</v>
      </c>
      <c r="O7" s="539">
        <v>0</v>
      </c>
      <c r="P7" s="539">
        <v>0</v>
      </c>
    </row>
    <row r="8" spans="2:16">
      <c r="B8" s="493">
        <f t="shared" ref="B8:B71" si="0">B7+1</f>
        <v>2002</v>
      </c>
      <c r="C8" s="539">
        <v>0.59</v>
      </c>
      <c r="D8" s="539">
        <v>0.44</v>
      </c>
      <c r="E8" s="539">
        <v>0.44</v>
      </c>
      <c r="F8" s="539">
        <v>0.56999999999999995</v>
      </c>
      <c r="G8" s="539">
        <v>0.56999999999999995</v>
      </c>
      <c r="H8" s="539">
        <v>0.73</v>
      </c>
      <c r="I8" s="539">
        <v>0.89</v>
      </c>
      <c r="J8" s="539">
        <v>0.56999999999999995</v>
      </c>
      <c r="K8" s="539">
        <v>0.97</v>
      </c>
      <c r="L8" s="539">
        <v>0.66</v>
      </c>
      <c r="M8" s="539">
        <v>0.95</v>
      </c>
      <c r="N8" s="539">
        <v>0</v>
      </c>
      <c r="O8" s="539">
        <v>0</v>
      </c>
      <c r="P8" s="539">
        <v>0</v>
      </c>
    </row>
    <row r="9" spans="2:16">
      <c r="B9" s="493">
        <f t="shared" si="0"/>
        <v>2003</v>
      </c>
      <c r="C9" s="539">
        <v>0.59</v>
      </c>
      <c r="D9" s="539">
        <v>0.44</v>
      </c>
      <c r="E9" s="539">
        <v>0.44</v>
      </c>
      <c r="F9" s="539">
        <v>0.56999999999999995</v>
      </c>
      <c r="G9" s="539">
        <v>0.56999999999999995</v>
      </c>
      <c r="H9" s="539">
        <v>0.73</v>
      </c>
      <c r="I9" s="539">
        <v>0.89</v>
      </c>
      <c r="J9" s="539">
        <v>0.56999999999999995</v>
      </c>
      <c r="K9" s="539">
        <v>0.97</v>
      </c>
      <c r="L9" s="539">
        <v>0.66</v>
      </c>
      <c r="M9" s="539">
        <v>0.95</v>
      </c>
      <c r="N9" s="539">
        <v>0</v>
      </c>
      <c r="O9" s="539">
        <v>0</v>
      </c>
      <c r="P9" s="539">
        <v>0</v>
      </c>
    </row>
    <row r="10" spans="2:16">
      <c r="B10" s="493">
        <f t="shared" si="0"/>
        <v>2004</v>
      </c>
      <c r="C10" s="539">
        <v>0.59</v>
      </c>
      <c r="D10" s="539">
        <v>0.44</v>
      </c>
      <c r="E10" s="539">
        <v>0.44</v>
      </c>
      <c r="F10" s="539">
        <v>0.56999999999999995</v>
      </c>
      <c r="G10" s="539">
        <v>0.56999999999999995</v>
      </c>
      <c r="H10" s="539">
        <v>0.73</v>
      </c>
      <c r="I10" s="539">
        <v>0.89</v>
      </c>
      <c r="J10" s="539">
        <v>0.56999999999999995</v>
      </c>
      <c r="K10" s="539">
        <v>0.97</v>
      </c>
      <c r="L10" s="539">
        <v>0.66</v>
      </c>
      <c r="M10" s="539">
        <v>0.95</v>
      </c>
      <c r="N10" s="539">
        <v>0</v>
      </c>
      <c r="O10" s="539">
        <v>0</v>
      </c>
      <c r="P10" s="539">
        <v>0</v>
      </c>
    </row>
    <row r="11" spans="2:16">
      <c r="B11" s="493">
        <f t="shared" si="0"/>
        <v>2005</v>
      </c>
      <c r="C11" s="539">
        <v>0.59</v>
      </c>
      <c r="D11" s="539">
        <v>0.44</v>
      </c>
      <c r="E11" s="539">
        <v>0.44</v>
      </c>
      <c r="F11" s="539">
        <v>0.56999999999999995</v>
      </c>
      <c r="G11" s="539">
        <v>0.56999999999999995</v>
      </c>
      <c r="H11" s="539">
        <v>0.73</v>
      </c>
      <c r="I11" s="539">
        <v>0.89</v>
      </c>
      <c r="J11" s="539">
        <v>0.56999999999999995</v>
      </c>
      <c r="K11" s="539">
        <v>0.97</v>
      </c>
      <c r="L11" s="539">
        <v>0.66</v>
      </c>
      <c r="M11" s="539">
        <v>0.95</v>
      </c>
      <c r="N11" s="539">
        <v>0</v>
      </c>
      <c r="O11" s="539">
        <v>0</v>
      </c>
      <c r="P11" s="539">
        <v>0</v>
      </c>
    </row>
    <row r="12" spans="2:16">
      <c r="B12" s="493">
        <f t="shared" si="0"/>
        <v>2006</v>
      </c>
      <c r="C12" s="539">
        <v>0.59</v>
      </c>
      <c r="D12" s="539">
        <v>0.44</v>
      </c>
      <c r="E12" s="539">
        <v>0.44</v>
      </c>
      <c r="F12" s="539">
        <v>0.56999999999999995</v>
      </c>
      <c r="G12" s="539">
        <v>0.56999999999999995</v>
      </c>
      <c r="H12" s="539">
        <v>0.73</v>
      </c>
      <c r="I12" s="539">
        <v>0.89</v>
      </c>
      <c r="J12" s="539">
        <v>0.56999999999999995</v>
      </c>
      <c r="K12" s="539">
        <v>0.97</v>
      </c>
      <c r="L12" s="539">
        <v>0.66</v>
      </c>
      <c r="M12" s="539">
        <v>0.95</v>
      </c>
      <c r="N12" s="539">
        <v>0</v>
      </c>
      <c r="O12" s="539">
        <v>0</v>
      </c>
      <c r="P12" s="539">
        <v>0</v>
      </c>
    </row>
    <row r="13" spans="2:16">
      <c r="B13" s="493">
        <f t="shared" si="0"/>
        <v>2007</v>
      </c>
      <c r="C13" s="539">
        <v>0.59</v>
      </c>
      <c r="D13" s="539">
        <v>0.44</v>
      </c>
      <c r="E13" s="539">
        <v>0.44</v>
      </c>
      <c r="F13" s="539">
        <v>0.56999999999999995</v>
      </c>
      <c r="G13" s="539">
        <v>0.56999999999999995</v>
      </c>
      <c r="H13" s="539">
        <v>0.73</v>
      </c>
      <c r="I13" s="539">
        <v>0.89</v>
      </c>
      <c r="J13" s="539">
        <v>0.56999999999999995</v>
      </c>
      <c r="K13" s="539">
        <v>0.97</v>
      </c>
      <c r="L13" s="539">
        <v>0.66</v>
      </c>
      <c r="M13" s="539">
        <v>0.95</v>
      </c>
      <c r="N13" s="539">
        <v>0</v>
      </c>
      <c r="O13" s="539">
        <v>0</v>
      </c>
      <c r="P13" s="539">
        <v>0</v>
      </c>
    </row>
    <row r="14" spans="2:16">
      <c r="B14" s="493">
        <f t="shared" si="0"/>
        <v>2008</v>
      </c>
      <c r="C14" s="539">
        <v>0.59</v>
      </c>
      <c r="D14" s="539">
        <v>0.44</v>
      </c>
      <c r="E14" s="539">
        <v>0.44</v>
      </c>
      <c r="F14" s="539">
        <v>0.56999999999999995</v>
      </c>
      <c r="G14" s="539">
        <v>0.56999999999999995</v>
      </c>
      <c r="H14" s="539">
        <v>0.73</v>
      </c>
      <c r="I14" s="539">
        <v>0.89</v>
      </c>
      <c r="J14" s="539">
        <v>0.56999999999999995</v>
      </c>
      <c r="K14" s="539">
        <v>0.97</v>
      </c>
      <c r="L14" s="539">
        <v>0.66</v>
      </c>
      <c r="M14" s="539">
        <v>0.95</v>
      </c>
      <c r="N14" s="539">
        <v>0</v>
      </c>
      <c r="O14" s="539">
        <v>0</v>
      </c>
      <c r="P14" s="539">
        <v>0</v>
      </c>
    </row>
    <row r="15" spans="2:16">
      <c r="B15" s="493">
        <f t="shared" si="0"/>
        <v>2009</v>
      </c>
      <c r="C15" s="539">
        <v>0.59</v>
      </c>
      <c r="D15" s="539">
        <v>0.44</v>
      </c>
      <c r="E15" s="539">
        <v>0.44</v>
      </c>
      <c r="F15" s="539">
        <v>0.56999999999999995</v>
      </c>
      <c r="G15" s="539">
        <v>0.56999999999999995</v>
      </c>
      <c r="H15" s="539">
        <v>0.73</v>
      </c>
      <c r="I15" s="539">
        <v>0.89</v>
      </c>
      <c r="J15" s="539">
        <v>0.56999999999999995</v>
      </c>
      <c r="K15" s="539">
        <v>0.97</v>
      </c>
      <c r="L15" s="539">
        <v>0.66</v>
      </c>
      <c r="M15" s="539">
        <v>0.95</v>
      </c>
      <c r="N15" s="539">
        <v>0</v>
      </c>
      <c r="O15" s="539">
        <v>0</v>
      </c>
      <c r="P15" s="539">
        <v>0</v>
      </c>
    </row>
    <row r="16" spans="2:16">
      <c r="B16" s="493">
        <f t="shared" si="0"/>
        <v>2010</v>
      </c>
      <c r="C16" s="539">
        <v>0.59</v>
      </c>
      <c r="D16" s="539">
        <v>0.44</v>
      </c>
      <c r="E16" s="539">
        <v>0.44</v>
      </c>
      <c r="F16" s="539">
        <v>0.56999999999999995</v>
      </c>
      <c r="G16" s="539">
        <v>0.56999999999999995</v>
      </c>
      <c r="H16" s="539">
        <v>0.73</v>
      </c>
      <c r="I16" s="539">
        <v>0.89</v>
      </c>
      <c r="J16" s="539">
        <v>0.56999999999999995</v>
      </c>
      <c r="K16" s="539">
        <v>0.97</v>
      </c>
      <c r="L16" s="539">
        <v>0.66</v>
      </c>
      <c r="M16" s="539">
        <v>0.95</v>
      </c>
      <c r="N16" s="539">
        <v>0</v>
      </c>
      <c r="O16" s="539">
        <v>0</v>
      </c>
      <c r="P16" s="539">
        <v>0</v>
      </c>
    </row>
    <row r="17" spans="2:20">
      <c r="B17" s="493">
        <f t="shared" si="0"/>
        <v>2011</v>
      </c>
      <c r="C17" s="539">
        <v>0.59</v>
      </c>
      <c r="D17" s="539">
        <v>0.44</v>
      </c>
      <c r="E17" s="539">
        <v>0.44</v>
      </c>
      <c r="F17" s="539">
        <v>0.56999999999999995</v>
      </c>
      <c r="G17" s="539">
        <v>0.56999999999999995</v>
      </c>
      <c r="H17" s="539">
        <v>0.73</v>
      </c>
      <c r="I17" s="539">
        <v>0.89</v>
      </c>
      <c r="J17" s="539">
        <v>0.56999999999999995</v>
      </c>
      <c r="K17" s="539">
        <v>0.97</v>
      </c>
      <c r="L17" s="539">
        <v>0.66</v>
      </c>
      <c r="M17" s="539">
        <v>0.95</v>
      </c>
      <c r="N17" s="539">
        <v>0</v>
      </c>
      <c r="O17" s="539">
        <v>0</v>
      </c>
      <c r="P17" s="539">
        <v>0</v>
      </c>
    </row>
    <row r="18" spans="2:20">
      <c r="B18" s="493">
        <f t="shared" si="0"/>
        <v>2012</v>
      </c>
      <c r="C18" s="539">
        <v>0.59</v>
      </c>
      <c r="D18" s="539">
        <v>0.44</v>
      </c>
      <c r="E18" s="539">
        <v>0.44</v>
      </c>
      <c r="F18" s="539">
        <v>0.56999999999999995</v>
      </c>
      <c r="G18" s="539">
        <v>0.56999999999999995</v>
      </c>
      <c r="H18" s="539">
        <v>0.73</v>
      </c>
      <c r="I18" s="539">
        <v>0.89</v>
      </c>
      <c r="J18" s="539">
        <v>0.56999999999999995</v>
      </c>
      <c r="K18" s="539">
        <v>0.97</v>
      </c>
      <c r="L18" s="539">
        <v>0.66</v>
      </c>
      <c r="M18" s="539">
        <v>0.95</v>
      </c>
      <c r="N18" s="539">
        <v>0</v>
      </c>
      <c r="O18" s="539">
        <v>0</v>
      </c>
      <c r="P18" s="539">
        <v>0</v>
      </c>
      <c r="S18" s="494"/>
      <c r="T18" s="495"/>
    </row>
    <row r="19" spans="2:20">
      <c r="B19" s="493">
        <f t="shared" si="0"/>
        <v>2013</v>
      </c>
      <c r="C19" s="539">
        <v>0.59</v>
      </c>
      <c r="D19" s="539">
        <v>0.44</v>
      </c>
      <c r="E19" s="539">
        <v>0.44</v>
      </c>
      <c r="F19" s="539">
        <v>0.56999999999999995</v>
      </c>
      <c r="G19" s="539">
        <v>0.56999999999999995</v>
      </c>
      <c r="H19" s="539">
        <v>0.73</v>
      </c>
      <c r="I19" s="539">
        <v>0.89</v>
      </c>
      <c r="J19" s="539">
        <v>0.56999999999999995</v>
      </c>
      <c r="K19" s="539">
        <v>0.97</v>
      </c>
      <c r="L19" s="539">
        <v>0.66</v>
      </c>
      <c r="M19" s="539">
        <v>0.95</v>
      </c>
      <c r="N19" s="539">
        <v>0</v>
      </c>
      <c r="O19" s="539">
        <v>0</v>
      </c>
      <c r="P19" s="539">
        <v>0</v>
      </c>
      <c r="S19" s="494"/>
      <c r="T19" s="496"/>
    </row>
    <row r="20" spans="2:20">
      <c r="B20" s="493">
        <f t="shared" si="0"/>
        <v>2014</v>
      </c>
      <c r="C20" s="539">
        <v>0.59</v>
      </c>
      <c r="D20" s="539">
        <v>0.44</v>
      </c>
      <c r="E20" s="539">
        <v>0.44</v>
      </c>
      <c r="F20" s="539">
        <v>0.56999999999999995</v>
      </c>
      <c r="G20" s="539">
        <v>0.56999999999999995</v>
      </c>
      <c r="H20" s="539">
        <v>0.73</v>
      </c>
      <c r="I20" s="539">
        <v>0.89</v>
      </c>
      <c r="J20" s="539">
        <v>0.56999999999999995</v>
      </c>
      <c r="K20" s="539">
        <v>0.97</v>
      </c>
      <c r="L20" s="539">
        <v>0.66</v>
      </c>
      <c r="M20" s="539">
        <v>0.95</v>
      </c>
      <c r="N20" s="539">
        <v>0</v>
      </c>
      <c r="O20" s="539">
        <v>0</v>
      </c>
      <c r="P20" s="539">
        <v>0</v>
      </c>
      <c r="S20" s="494"/>
      <c r="T20" s="496"/>
    </row>
    <row r="21" spans="2:20">
      <c r="B21" s="493">
        <f t="shared" si="0"/>
        <v>2015</v>
      </c>
      <c r="C21" s="539">
        <v>0.59</v>
      </c>
      <c r="D21" s="539">
        <v>0.44</v>
      </c>
      <c r="E21" s="539">
        <v>0.44</v>
      </c>
      <c r="F21" s="539">
        <v>0.56999999999999995</v>
      </c>
      <c r="G21" s="539">
        <v>0.56999999999999995</v>
      </c>
      <c r="H21" s="539">
        <v>0.73</v>
      </c>
      <c r="I21" s="539">
        <v>0.89</v>
      </c>
      <c r="J21" s="539">
        <v>0.56999999999999995</v>
      </c>
      <c r="K21" s="539">
        <v>0.97</v>
      </c>
      <c r="L21" s="539">
        <v>0.66</v>
      </c>
      <c r="M21" s="539">
        <v>0.95</v>
      </c>
      <c r="N21" s="539">
        <v>0</v>
      </c>
      <c r="O21" s="539">
        <v>0</v>
      </c>
      <c r="P21" s="539">
        <v>0</v>
      </c>
      <c r="S21" s="494"/>
      <c r="T21" s="496"/>
    </row>
    <row r="22" spans="2:20">
      <c r="B22" s="493">
        <f t="shared" si="0"/>
        <v>2016</v>
      </c>
      <c r="C22" s="539">
        <v>0.59</v>
      </c>
      <c r="D22" s="539">
        <v>0.44</v>
      </c>
      <c r="E22" s="539">
        <v>0.44</v>
      </c>
      <c r="F22" s="539">
        <v>0.56999999999999995</v>
      </c>
      <c r="G22" s="539">
        <v>0.56999999999999995</v>
      </c>
      <c r="H22" s="539">
        <v>0.73</v>
      </c>
      <c r="I22" s="539">
        <v>0.89</v>
      </c>
      <c r="J22" s="539">
        <v>0.56999999999999995</v>
      </c>
      <c r="K22" s="539">
        <v>0.97</v>
      </c>
      <c r="L22" s="539">
        <v>0.66</v>
      </c>
      <c r="M22" s="539">
        <v>0.95</v>
      </c>
      <c r="N22" s="539">
        <v>0</v>
      </c>
      <c r="O22" s="539">
        <v>0</v>
      </c>
      <c r="P22" s="539">
        <v>0</v>
      </c>
      <c r="S22" s="494"/>
      <c r="T22" s="496"/>
    </row>
    <row r="23" spans="2:20">
      <c r="B23" s="493">
        <f t="shared" si="0"/>
        <v>2017</v>
      </c>
      <c r="C23" s="539">
        <v>0.59</v>
      </c>
      <c r="D23" s="539">
        <v>0.44</v>
      </c>
      <c r="E23" s="539">
        <v>0.44</v>
      </c>
      <c r="F23" s="539">
        <v>0.56999999999999995</v>
      </c>
      <c r="G23" s="539">
        <v>0.56999999999999995</v>
      </c>
      <c r="H23" s="539">
        <v>0.73</v>
      </c>
      <c r="I23" s="539">
        <v>0.89</v>
      </c>
      <c r="J23" s="539">
        <v>0.56999999999999995</v>
      </c>
      <c r="K23" s="539">
        <v>0.97</v>
      </c>
      <c r="L23" s="539">
        <v>0.66</v>
      </c>
      <c r="M23" s="539">
        <v>0.95</v>
      </c>
      <c r="N23" s="539">
        <v>0</v>
      </c>
      <c r="O23" s="539">
        <v>0</v>
      </c>
      <c r="P23" s="539">
        <v>0</v>
      </c>
      <c r="S23" s="494"/>
      <c r="T23" s="496"/>
    </row>
    <row r="24" spans="2:20">
      <c r="B24" s="493">
        <f t="shared" si="0"/>
        <v>2018</v>
      </c>
      <c r="C24" s="539">
        <v>0.59</v>
      </c>
      <c r="D24" s="539">
        <v>0.44</v>
      </c>
      <c r="E24" s="539">
        <v>0.44</v>
      </c>
      <c r="F24" s="539">
        <v>0.56999999999999995</v>
      </c>
      <c r="G24" s="539">
        <v>0.56999999999999995</v>
      </c>
      <c r="H24" s="539">
        <v>0.73</v>
      </c>
      <c r="I24" s="539">
        <v>0.89</v>
      </c>
      <c r="J24" s="539">
        <v>0.56999999999999995</v>
      </c>
      <c r="K24" s="539">
        <v>0.97</v>
      </c>
      <c r="L24" s="539">
        <v>0.66</v>
      </c>
      <c r="M24" s="539">
        <v>0.95</v>
      </c>
      <c r="N24" s="539">
        <v>0</v>
      </c>
      <c r="O24" s="539">
        <v>0</v>
      </c>
      <c r="P24" s="539">
        <v>0</v>
      </c>
      <c r="S24" s="494"/>
      <c r="T24" s="496"/>
    </row>
    <row r="25" spans="2:20">
      <c r="B25" s="493">
        <f t="shared" si="0"/>
        <v>2019</v>
      </c>
      <c r="C25" s="539">
        <v>0.59</v>
      </c>
      <c r="D25" s="539">
        <v>0.44</v>
      </c>
      <c r="E25" s="539">
        <v>0.44</v>
      </c>
      <c r="F25" s="539">
        <v>0.56999999999999995</v>
      </c>
      <c r="G25" s="539">
        <v>0.56999999999999995</v>
      </c>
      <c r="H25" s="539">
        <v>0.73</v>
      </c>
      <c r="I25" s="539">
        <v>0.89</v>
      </c>
      <c r="J25" s="539">
        <v>0.56999999999999995</v>
      </c>
      <c r="K25" s="539">
        <v>0.97</v>
      </c>
      <c r="L25" s="539">
        <v>0.66</v>
      </c>
      <c r="M25" s="539">
        <v>0.95</v>
      </c>
      <c r="N25" s="539">
        <v>0</v>
      </c>
      <c r="O25" s="539">
        <v>0</v>
      </c>
      <c r="P25" s="539">
        <v>0</v>
      </c>
      <c r="S25" s="494"/>
      <c r="T25" s="496"/>
    </row>
    <row r="26" spans="2:20">
      <c r="B26" s="493">
        <f t="shared" si="0"/>
        <v>2020</v>
      </c>
      <c r="C26" s="539">
        <v>0.59</v>
      </c>
      <c r="D26" s="539">
        <v>0.44</v>
      </c>
      <c r="E26" s="539">
        <v>0.44</v>
      </c>
      <c r="F26" s="539">
        <v>0.56999999999999995</v>
      </c>
      <c r="G26" s="539">
        <v>0.56999999999999995</v>
      </c>
      <c r="H26" s="539">
        <v>0.73</v>
      </c>
      <c r="I26" s="539">
        <v>0.89</v>
      </c>
      <c r="J26" s="539">
        <v>0.56999999999999995</v>
      </c>
      <c r="K26" s="539">
        <v>0.97</v>
      </c>
      <c r="L26" s="539">
        <v>0.66</v>
      </c>
      <c r="M26" s="539">
        <v>0.95</v>
      </c>
      <c r="N26" s="539">
        <v>0</v>
      </c>
      <c r="O26" s="539">
        <v>0</v>
      </c>
      <c r="P26" s="539">
        <v>0</v>
      </c>
      <c r="S26" s="494"/>
      <c r="T26" s="496"/>
    </row>
    <row r="27" spans="2:20">
      <c r="B27" s="493">
        <f t="shared" si="0"/>
        <v>2021</v>
      </c>
      <c r="C27" s="539">
        <v>0.59</v>
      </c>
      <c r="D27" s="539">
        <v>0.44</v>
      </c>
      <c r="E27" s="539">
        <v>0.44</v>
      </c>
      <c r="F27" s="539">
        <v>0.56999999999999995</v>
      </c>
      <c r="G27" s="539">
        <v>0.56999999999999995</v>
      </c>
      <c r="H27" s="539">
        <v>0.73</v>
      </c>
      <c r="I27" s="539">
        <v>0.89</v>
      </c>
      <c r="J27" s="539">
        <v>0.56999999999999995</v>
      </c>
      <c r="K27" s="539">
        <v>0.97</v>
      </c>
      <c r="L27" s="539">
        <v>0.66</v>
      </c>
      <c r="M27" s="539">
        <v>0.95</v>
      </c>
      <c r="N27" s="539">
        <v>0</v>
      </c>
      <c r="O27" s="539">
        <v>0</v>
      </c>
      <c r="P27" s="539">
        <v>0</v>
      </c>
      <c r="S27" s="497"/>
      <c r="T27" s="496"/>
    </row>
    <row r="28" spans="2:20">
      <c r="B28" s="493">
        <f t="shared" si="0"/>
        <v>2022</v>
      </c>
      <c r="C28" s="539">
        <v>0.59</v>
      </c>
      <c r="D28" s="539">
        <v>0.44</v>
      </c>
      <c r="E28" s="539">
        <v>0.44</v>
      </c>
      <c r="F28" s="539">
        <v>0.56999999999999995</v>
      </c>
      <c r="G28" s="539">
        <v>0.56999999999999995</v>
      </c>
      <c r="H28" s="539">
        <v>0.73</v>
      </c>
      <c r="I28" s="539">
        <v>0.89</v>
      </c>
      <c r="J28" s="539">
        <v>0.56999999999999995</v>
      </c>
      <c r="K28" s="539">
        <v>0.97</v>
      </c>
      <c r="L28" s="539">
        <v>0.66</v>
      </c>
      <c r="M28" s="539">
        <v>0.95</v>
      </c>
      <c r="N28" s="539">
        <v>0</v>
      </c>
      <c r="O28" s="539">
        <v>0</v>
      </c>
      <c r="P28" s="539">
        <v>0</v>
      </c>
    </row>
    <row r="29" spans="2:20">
      <c r="B29" s="493">
        <f t="shared" si="0"/>
        <v>2023</v>
      </c>
      <c r="C29" s="539">
        <v>0.59</v>
      </c>
      <c r="D29" s="539">
        <v>0.44</v>
      </c>
      <c r="E29" s="539">
        <v>0.44</v>
      </c>
      <c r="F29" s="539">
        <v>0.56999999999999995</v>
      </c>
      <c r="G29" s="539">
        <v>0.56999999999999995</v>
      </c>
      <c r="H29" s="539">
        <v>0.73</v>
      </c>
      <c r="I29" s="539">
        <v>0.89</v>
      </c>
      <c r="J29" s="539">
        <v>0.56999999999999995</v>
      </c>
      <c r="K29" s="539">
        <v>0.97</v>
      </c>
      <c r="L29" s="539">
        <v>0.66</v>
      </c>
      <c r="M29" s="539">
        <v>0.95</v>
      </c>
      <c r="N29" s="539">
        <v>0</v>
      </c>
      <c r="O29" s="539">
        <v>0</v>
      </c>
      <c r="P29" s="539">
        <v>0</v>
      </c>
    </row>
    <row r="30" spans="2:20">
      <c r="B30" s="493">
        <f t="shared" si="0"/>
        <v>2024</v>
      </c>
      <c r="C30" s="539">
        <v>0.59</v>
      </c>
      <c r="D30" s="539">
        <v>0.44</v>
      </c>
      <c r="E30" s="539">
        <v>0.44</v>
      </c>
      <c r="F30" s="539">
        <v>0.56999999999999995</v>
      </c>
      <c r="G30" s="539">
        <v>0.56999999999999995</v>
      </c>
      <c r="H30" s="539">
        <v>0.73</v>
      </c>
      <c r="I30" s="539">
        <v>0.89</v>
      </c>
      <c r="J30" s="539">
        <v>0.56999999999999995</v>
      </c>
      <c r="K30" s="539">
        <v>0.97</v>
      </c>
      <c r="L30" s="539">
        <v>0.66</v>
      </c>
      <c r="M30" s="539">
        <v>0.95</v>
      </c>
      <c r="N30" s="539">
        <v>0</v>
      </c>
      <c r="O30" s="539">
        <v>0</v>
      </c>
      <c r="P30" s="539">
        <v>0</v>
      </c>
    </row>
    <row r="31" spans="2:20">
      <c r="B31" s="493">
        <f t="shared" si="0"/>
        <v>2025</v>
      </c>
      <c r="C31" s="539">
        <v>0.59</v>
      </c>
      <c r="D31" s="539">
        <v>0.44</v>
      </c>
      <c r="E31" s="539">
        <v>0.44</v>
      </c>
      <c r="F31" s="539">
        <v>0.56999999999999995</v>
      </c>
      <c r="G31" s="539">
        <v>0.56999999999999995</v>
      </c>
      <c r="H31" s="539">
        <v>0.73</v>
      </c>
      <c r="I31" s="539">
        <v>0.89</v>
      </c>
      <c r="J31" s="539">
        <v>0.56999999999999995</v>
      </c>
      <c r="K31" s="539">
        <v>0.97</v>
      </c>
      <c r="L31" s="539">
        <v>0.66</v>
      </c>
      <c r="M31" s="539">
        <v>0.95</v>
      </c>
      <c r="N31" s="539">
        <v>0</v>
      </c>
      <c r="O31" s="539">
        <v>0</v>
      </c>
      <c r="P31" s="539">
        <v>0</v>
      </c>
    </row>
    <row r="32" spans="2:20">
      <c r="B32" s="493">
        <f t="shared" si="0"/>
        <v>2026</v>
      </c>
      <c r="C32" s="539">
        <v>0.59</v>
      </c>
      <c r="D32" s="539">
        <v>0.44</v>
      </c>
      <c r="E32" s="539">
        <v>0.44</v>
      </c>
      <c r="F32" s="539">
        <v>0.56999999999999995</v>
      </c>
      <c r="G32" s="539">
        <v>0.56999999999999995</v>
      </c>
      <c r="H32" s="539">
        <v>0.73</v>
      </c>
      <c r="I32" s="539">
        <v>0.89</v>
      </c>
      <c r="J32" s="539">
        <v>0.56999999999999995</v>
      </c>
      <c r="K32" s="539">
        <v>0.97</v>
      </c>
      <c r="L32" s="539">
        <v>0.66</v>
      </c>
      <c r="M32" s="539">
        <v>0.95</v>
      </c>
      <c r="N32" s="539">
        <v>0</v>
      </c>
      <c r="O32" s="539">
        <v>0</v>
      </c>
      <c r="P32" s="539">
        <v>0</v>
      </c>
    </row>
    <row r="33" spans="2:16">
      <c r="B33" s="493">
        <f t="shared" si="0"/>
        <v>2027</v>
      </c>
      <c r="C33" s="539">
        <v>0.59</v>
      </c>
      <c r="D33" s="539">
        <v>0.44</v>
      </c>
      <c r="E33" s="539">
        <v>0.44</v>
      </c>
      <c r="F33" s="539">
        <v>0.56999999999999995</v>
      </c>
      <c r="G33" s="539">
        <v>0.56999999999999995</v>
      </c>
      <c r="H33" s="539">
        <v>0.73</v>
      </c>
      <c r="I33" s="539">
        <v>0.89</v>
      </c>
      <c r="J33" s="539">
        <v>0.56999999999999995</v>
      </c>
      <c r="K33" s="539">
        <v>0.97</v>
      </c>
      <c r="L33" s="539">
        <v>0.66</v>
      </c>
      <c r="M33" s="539">
        <v>0.95</v>
      </c>
      <c r="N33" s="539">
        <v>0</v>
      </c>
      <c r="O33" s="539">
        <v>0</v>
      </c>
      <c r="P33" s="539">
        <v>0</v>
      </c>
    </row>
    <row r="34" spans="2:16">
      <c r="B34" s="493">
        <f t="shared" si="0"/>
        <v>2028</v>
      </c>
      <c r="C34" s="539">
        <v>0.59</v>
      </c>
      <c r="D34" s="539">
        <v>0.44</v>
      </c>
      <c r="E34" s="539">
        <v>0.44</v>
      </c>
      <c r="F34" s="539">
        <v>0.56999999999999995</v>
      </c>
      <c r="G34" s="539">
        <v>0.56999999999999995</v>
      </c>
      <c r="H34" s="539">
        <v>0.73</v>
      </c>
      <c r="I34" s="539">
        <v>0.89</v>
      </c>
      <c r="J34" s="539">
        <v>0.56999999999999995</v>
      </c>
      <c r="K34" s="539">
        <v>0.97</v>
      </c>
      <c r="L34" s="539">
        <v>0.66</v>
      </c>
      <c r="M34" s="539">
        <v>0.95</v>
      </c>
      <c r="N34" s="539">
        <v>0</v>
      </c>
      <c r="O34" s="539">
        <v>0</v>
      </c>
      <c r="P34" s="539">
        <v>0</v>
      </c>
    </row>
    <row r="35" spans="2:16">
      <c r="B35" s="493">
        <f t="shared" si="0"/>
        <v>2029</v>
      </c>
      <c r="C35" s="539">
        <v>0.59</v>
      </c>
      <c r="D35" s="539">
        <v>0.44</v>
      </c>
      <c r="E35" s="539">
        <v>0.44</v>
      </c>
      <c r="F35" s="539">
        <v>0.56999999999999995</v>
      </c>
      <c r="G35" s="539">
        <v>0.56999999999999995</v>
      </c>
      <c r="H35" s="539">
        <v>0.73</v>
      </c>
      <c r="I35" s="539">
        <v>0.89</v>
      </c>
      <c r="J35" s="539">
        <v>0.56999999999999995</v>
      </c>
      <c r="K35" s="539">
        <v>0.97</v>
      </c>
      <c r="L35" s="539">
        <v>0.66</v>
      </c>
      <c r="M35" s="539">
        <v>0.95</v>
      </c>
      <c r="N35" s="539">
        <v>0</v>
      </c>
      <c r="O35" s="539">
        <v>0</v>
      </c>
      <c r="P35" s="539">
        <v>0</v>
      </c>
    </row>
    <row r="36" spans="2:16">
      <c r="B36" s="493">
        <f t="shared" si="0"/>
        <v>2030</v>
      </c>
      <c r="C36" s="539">
        <v>0.59</v>
      </c>
      <c r="D36" s="539">
        <v>0.44</v>
      </c>
      <c r="E36" s="539">
        <v>0.44</v>
      </c>
      <c r="F36" s="539">
        <v>0.56999999999999995</v>
      </c>
      <c r="G36" s="539">
        <v>0.56999999999999995</v>
      </c>
      <c r="H36" s="539">
        <v>0.73</v>
      </c>
      <c r="I36" s="539">
        <v>0.89</v>
      </c>
      <c r="J36" s="539">
        <v>0.56999999999999995</v>
      </c>
      <c r="K36" s="539">
        <v>0.97</v>
      </c>
      <c r="L36" s="539">
        <v>0.66</v>
      </c>
      <c r="M36" s="539">
        <v>0.95</v>
      </c>
      <c r="N36" s="539">
        <v>0</v>
      </c>
      <c r="O36" s="539">
        <v>0</v>
      </c>
      <c r="P36" s="539">
        <v>0</v>
      </c>
    </row>
    <row r="37" spans="2:16">
      <c r="B37" s="493">
        <f t="shared" si="0"/>
        <v>2031</v>
      </c>
      <c r="C37" s="539">
        <v>0.59</v>
      </c>
      <c r="D37" s="539">
        <v>0.44</v>
      </c>
      <c r="E37" s="539">
        <v>0.44</v>
      </c>
      <c r="F37" s="539">
        <v>0.56999999999999995</v>
      </c>
      <c r="G37" s="539">
        <v>0.56999999999999995</v>
      </c>
      <c r="H37" s="539">
        <v>0.73</v>
      </c>
      <c r="I37" s="539">
        <v>0.89</v>
      </c>
      <c r="J37" s="539">
        <v>0.56999999999999995</v>
      </c>
      <c r="K37" s="539">
        <v>0.97</v>
      </c>
      <c r="L37" s="539">
        <v>0.66</v>
      </c>
      <c r="M37" s="539">
        <v>0.95</v>
      </c>
      <c r="N37" s="539">
        <v>0</v>
      </c>
      <c r="O37" s="539">
        <v>0</v>
      </c>
      <c r="P37" s="539">
        <v>0</v>
      </c>
    </row>
    <row r="38" spans="2:16">
      <c r="B38" s="493">
        <f t="shared" si="0"/>
        <v>2032</v>
      </c>
      <c r="C38" s="539">
        <v>0.59</v>
      </c>
      <c r="D38" s="539">
        <v>0.44</v>
      </c>
      <c r="E38" s="539">
        <v>0.44</v>
      </c>
      <c r="F38" s="539">
        <v>0.56999999999999995</v>
      </c>
      <c r="G38" s="539">
        <v>0.56999999999999995</v>
      </c>
      <c r="H38" s="539">
        <v>0.73</v>
      </c>
      <c r="I38" s="539">
        <v>0.89</v>
      </c>
      <c r="J38" s="539">
        <v>0.56999999999999995</v>
      </c>
      <c r="K38" s="539">
        <v>0.97</v>
      </c>
      <c r="L38" s="539">
        <v>0.66</v>
      </c>
      <c r="M38" s="539">
        <v>0.95</v>
      </c>
      <c r="N38" s="539">
        <v>0</v>
      </c>
      <c r="O38" s="539">
        <v>0</v>
      </c>
      <c r="P38" s="539">
        <v>0</v>
      </c>
    </row>
    <row r="39" spans="2:16">
      <c r="B39" s="493">
        <f t="shared" si="0"/>
        <v>2033</v>
      </c>
      <c r="C39" s="539">
        <v>0.59</v>
      </c>
      <c r="D39" s="539">
        <v>0.44</v>
      </c>
      <c r="E39" s="539">
        <v>0.44</v>
      </c>
      <c r="F39" s="539">
        <v>0.56999999999999995</v>
      </c>
      <c r="G39" s="539">
        <v>0.56999999999999995</v>
      </c>
      <c r="H39" s="539">
        <v>0.73</v>
      </c>
      <c r="I39" s="539">
        <v>0.89</v>
      </c>
      <c r="J39" s="539">
        <v>0.56999999999999995</v>
      </c>
      <c r="K39" s="539">
        <v>0.97</v>
      </c>
      <c r="L39" s="539">
        <v>0.66</v>
      </c>
      <c r="M39" s="539">
        <v>0.95</v>
      </c>
      <c r="N39" s="539">
        <v>0</v>
      </c>
      <c r="O39" s="539">
        <v>0</v>
      </c>
      <c r="P39" s="539">
        <v>0</v>
      </c>
    </row>
    <row r="40" spans="2:16">
      <c r="B40" s="493">
        <f t="shared" si="0"/>
        <v>2034</v>
      </c>
      <c r="C40" s="539">
        <v>0.59</v>
      </c>
      <c r="D40" s="539">
        <v>0.44</v>
      </c>
      <c r="E40" s="539">
        <v>0.44</v>
      </c>
      <c r="F40" s="539">
        <v>0.56999999999999995</v>
      </c>
      <c r="G40" s="539">
        <v>0.56999999999999995</v>
      </c>
      <c r="H40" s="539">
        <v>0.73</v>
      </c>
      <c r="I40" s="539">
        <v>0.89</v>
      </c>
      <c r="J40" s="539">
        <v>0.56999999999999995</v>
      </c>
      <c r="K40" s="539">
        <v>0.97</v>
      </c>
      <c r="L40" s="539">
        <v>0.66</v>
      </c>
      <c r="M40" s="539">
        <v>0.95</v>
      </c>
      <c r="N40" s="539">
        <v>0</v>
      </c>
      <c r="O40" s="539">
        <v>0</v>
      </c>
      <c r="P40" s="539">
        <v>0</v>
      </c>
    </row>
    <row r="41" spans="2:16">
      <c r="B41" s="493">
        <f t="shared" si="0"/>
        <v>2035</v>
      </c>
      <c r="C41" s="539">
        <v>0.59</v>
      </c>
      <c r="D41" s="539">
        <v>0.44</v>
      </c>
      <c r="E41" s="539">
        <v>0.44</v>
      </c>
      <c r="F41" s="539">
        <v>0.56999999999999995</v>
      </c>
      <c r="G41" s="539">
        <v>0.56999999999999995</v>
      </c>
      <c r="H41" s="539">
        <v>0.73</v>
      </c>
      <c r="I41" s="539">
        <v>0.89</v>
      </c>
      <c r="J41" s="539">
        <v>0.56999999999999995</v>
      </c>
      <c r="K41" s="539">
        <v>0.97</v>
      </c>
      <c r="L41" s="539">
        <v>0.66</v>
      </c>
      <c r="M41" s="539">
        <v>0.95</v>
      </c>
      <c r="N41" s="539">
        <v>0</v>
      </c>
      <c r="O41" s="539">
        <v>0</v>
      </c>
      <c r="P41" s="539">
        <v>0</v>
      </c>
    </row>
    <row r="42" spans="2:16">
      <c r="B42" s="493">
        <f t="shared" si="0"/>
        <v>2036</v>
      </c>
      <c r="C42" s="539">
        <v>0.59</v>
      </c>
      <c r="D42" s="539">
        <v>0.44</v>
      </c>
      <c r="E42" s="539">
        <v>0.44</v>
      </c>
      <c r="F42" s="539">
        <v>0.56999999999999995</v>
      </c>
      <c r="G42" s="539">
        <v>0.56999999999999995</v>
      </c>
      <c r="H42" s="539">
        <v>0.73</v>
      </c>
      <c r="I42" s="539">
        <v>0.89</v>
      </c>
      <c r="J42" s="539">
        <v>0.56999999999999995</v>
      </c>
      <c r="K42" s="539">
        <v>0.97</v>
      </c>
      <c r="L42" s="539">
        <v>0.66</v>
      </c>
      <c r="M42" s="539">
        <v>0.95</v>
      </c>
      <c r="N42" s="539">
        <v>0</v>
      </c>
      <c r="O42" s="539">
        <v>0</v>
      </c>
      <c r="P42" s="539">
        <v>0</v>
      </c>
    </row>
    <row r="43" spans="2:16">
      <c r="B43" s="493">
        <f t="shared" si="0"/>
        <v>2037</v>
      </c>
      <c r="C43" s="539">
        <v>0.59</v>
      </c>
      <c r="D43" s="539">
        <v>0.44</v>
      </c>
      <c r="E43" s="539">
        <v>0.44</v>
      </c>
      <c r="F43" s="539">
        <v>0.56999999999999995</v>
      </c>
      <c r="G43" s="539">
        <v>0.56999999999999995</v>
      </c>
      <c r="H43" s="539">
        <v>0.73</v>
      </c>
      <c r="I43" s="539">
        <v>0.89</v>
      </c>
      <c r="J43" s="539">
        <v>0.56999999999999995</v>
      </c>
      <c r="K43" s="539">
        <v>0.97</v>
      </c>
      <c r="L43" s="539">
        <v>0.66</v>
      </c>
      <c r="M43" s="539">
        <v>0.95</v>
      </c>
      <c r="N43" s="539">
        <v>0</v>
      </c>
      <c r="O43" s="539">
        <v>0</v>
      </c>
      <c r="P43" s="539">
        <v>0</v>
      </c>
    </row>
    <row r="44" spans="2:16">
      <c r="B44" s="493">
        <f t="shared" si="0"/>
        <v>2038</v>
      </c>
      <c r="C44" s="539">
        <v>0.59</v>
      </c>
      <c r="D44" s="539">
        <v>0.44</v>
      </c>
      <c r="E44" s="539">
        <v>0.44</v>
      </c>
      <c r="F44" s="539">
        <v>0.56999999999999995</v>
      </c>
      <c r="G44" s="539">
        <v>0.56999999999999995</v>
      </c>
      <c r="H44" s="539">
        <v>0.73</v>
      </c>
      <c r="I44" s="539">
        <v>0.89</v>
      </c>
      <c r="J44" s="539">
        <v>0.56999999999999995</v>
      </c>
      <c r="K44" s="539">
        <v>0.97</v>
      </c>
      <c r="L44" s="539">
        <v>0.66</v>
      </c>
      <c r="M44" s="539">
        <v>0.95</v>
      </c>
      <c r="N44" s="539">
        <v>0</v>
      </c>
      <c r="O44" s="539">
        <v>0</v>
      </c>
      <c r="P44" s="539">
        <v>0</v>
      </c>
    </row>
    <row r="45" spans="2:16">
      <c r="B45" s="493">
        <f t="shared" si="0"/>
        <v>2039</v>
      </c>
      <c r="C45" s="539">
        <v>0.59</v>
      </c>
      <c r="D45" s="539">
        <v>0.44</v>
      </c>
      <c r="E45" s="539">
        <v>0.44</v>
      </c>
      <c r="F45" s="539">
        <v>0.56999999999999995</v>
      </c>
      <c r="G45" s="539">
        <v>0.56999999999999995</v>
      </c>
      <c r="H45" s="539">
        <v>0.73</v>
      </c>
      <c r="I45" s="539">
        <v>0.89</v>
      </c>
      <c r="J45" s="539">
        <v>0.56999999999999995</v>
      </c>
      <c r="K45" s="539">
        <v>0.97</v>
      </c>
      <c r="L45" s="539">
        <v>0.66</v>
      </c>
      <c r="M45" s="539">
        <v>0.95</v>
      </c>
      <c r="N45" s="539">
        <v>0</v>
      </c>
      <c r="O45" s="539">
        <v>0</v>
      </c>
      <c r="P45" s="539">
        <v>0</v>
      </c>
    </row>
    <row r="46" spans="2:16">
      <c r="B46" s="493">
        <f t="shared" si="0"/>
        <v>2040</v>
      </c>
      <c r="C46" s="539">
        <v>0.59</v>
      </c>
      <c r="D46" s="539">
        <v>0.44</v>
      </c>
      <c r="E46" s="539">
        <v>0.44</v>
      </c>
      <c r="F46" s="539">
        <v>0.56999999999999995</v>
      </c>
      <c r="G46" s="539">
        <v>0.56999999999999995</v>
      </c>
      <c r="H46" s="539">
        <v>0.73</v>
      </c>
      <c r="I46" s="539">
        <v>0.89</v>
      </c>
      <c r="J46" s="539">
        <v>0.56999999999999995</v>
      </c>
      <c r="K46" s="539">
        <v>0.97</v>
      </c>
      <c r="L46" s="539">
        <v>0.66</v>
      </c>
      <c r="M46" s="539">
        <v>0.95</v>
      </c>
      <c r="N46" s="539">
        <v>0</v>
      </c>
      <c r="O46" s="539">
        <v>0</v>
      </c>
      <c r="P46" s="539">
        <v>0</v>
      </c>
    </row>
    <row r="47" spans="2:16">
      <c r="B47" s="493">
        <f t="shared" si="0"/>
        <v>2041</v>
      </c>
      <c r="C47" s="539">
        <v>0.59</v>
      </c>
      <c r="D47" s="539">
        <v>0.44</v>
      </c>
      <c r="E47" s="539">
        <v>0.44</v>
      </c>
      <c r="F47" s="539">
        <v>0.56999999999999995</v>
      </c>
      <c r="G47" s="539">
        <v>0.56999999999999995</v>
      </c>
      <c r="H47" s="539">
        <v>0.73</v>
      </c>
      <c r="I47" s="539">
        <v>0.89</v>
      </c>
      <c r="J47" s="539">
        <v>0.56999999999999995</v>
      </c>
      <c r="K47" s="539">
        <v>0.97</v>
      </c>
      <c r="L47" s="539">
        <v>0.66</v>
      </c>
      <c r="M47" s="539">
        <v>0.95</v>
      </c>
      <c r="N47" s="539">
        <v>0</v>
      </c>
      <c r="O47" s="539">
        <v>0</v>
      </c>
      <c r="P47" s="539">
        <v>0</v>
      </c>
    </row>
    <row r="48" spans="2:16">
      <c r="B48" s="493">
        <f t="shared" si="0"/>
        <v>2042</v>
      </c>
      <c r="C48" s="539">
        <v>0.59</v>
      </c>
      <c r="D48" s="539">
        <v>0.44</v>
      </c>
      <c r="E48" s="539">
        <v>0.44</v>
      </c>
      <c r="F48" s="539">
        <v>0.56999999999999995</v>
      </c>
      <c r="G48" s="539">
        <v>0.56999999999999995</v>
      </c>
      <c r="H48" s="539">
        <v>0.73</v>
      </c>
      <c r="I48" s="539">
        <v>0.89</v>
      </c>
      <c r="J48" s="539">
        <v>0.56999999999999995</v>
      </c>
      <c r="K48" s="539">
        <v>0.97</v>
      </c>
      <c r="L48" s="539">
        <v>0.66</v>
      </c>
      <c r="M48" s="539">
        <v>0.95</v>
      </c>
      <c r="N48" s="539">
        <v>0</v>
      </c>
      <c r="O48" s="539">
        <v>0</v>
      </c>
      <c r="P48" s="539">
        <v>0</v>
      </c>
    </row>
    <row r="49" spans="2:16">
      <c r="B49" s="493">
        <f t="shared" si="0"/>
        <v>2043</v>
      </c>
      <c r="C49" s="539">
        <v>0.59</v>
      </c>
      <c r="D49" s="539">
        <v>0.44</v>
      </c>
      <c r="E49" s="539">
        <v>0.44</v>
      </c>
      <c r="F49" s="539">
        <v>0.56999999999999995</v>
      </c>
      <c r="G49" s="539">
        <v>0.56999999999999995</v>
      </c>
      <c r="H49" s="539">
        <v>0.73</v>
      </c>
      <c r="I49" s="539">
        <v>0.89</v>
      </c>
      <c r="J49" s="539">
        <v>0.56999999999999995</v>
      </c>
      <c r="K49" s="539">
        <v>0.97</v>
      </c>
      <c r="L49" s="539">
        <v>0.66</v>
      </c>
      <c r="M49" s="539">
        <v>0.95</v>
      </c>
      <c r="N49" s="539">
        <v>0</v>
      </c>
      <c r="O49" s="539">
        <v>0</v>
      </c>
      <c r="P49" s="539">
        <v>0</v>
      </c>
    </row>
    <row r="50" spans="2:16">
      <c r="B50" s="493">
        <f t="shared" si="0"/>
        <v>2044</v>
      </c>
      <c r="C50" s="539">
        <v>0.59</v>
      </c>
      <c r="D50" s="539">
        <v>0.44</v>
      </c>
      <c r="E50" s="539">
        <v>0.44</v>
      </c>
      <c r="F50" s="539">
        <v>0.56999999999999995</v>
      </c>
      <c r="G50" s="539">
        <v>0.56999999999999995</v>
      </c>
      <c r="H50" s="539">
        <v>0.73</v>
      </c>
      <c r="I50" s="539">
        <v>0.89</v>
      </c>
      <c r="J50" s="539">
        <v>0.56999999999999995</v>
      </c>
      <c r="K50" s="539">
        <v>0.97</v>
      </c>
      <c r="L50" s="539">
        <v>0.66</v>
      </c>
      <c r="M50" s="539">
        <v>0.95</v>
      </c>
      <c r="N50" s="539">
        <v>0</v>
      </c>
      <c r="O50" s="539">
        <v>0</v>
      </c>
      <c r="P50" s="539">
        <v>0</v>
      </c>
    </row>
    <row r="51" spans="2:16">
      <c r="B51" s="493">
        <f t="shared" si="0"/>
        <v>2045</v>
      </c>
      <c r="C51" s="539">
        <v>0.59</v>
      </c>
      <c r="D51" s="539">
        <v>0.44</v>
      </c>
      <c r="E51" s="539">
        <v>0.44</v>
      </c>
      <c r="F51" s="539">
        <v>0.56999999999999995</v>
      </c>
      <c r="G51" s="539">
        <v>0.56999999999999995</v>
      </c>
      <c r="H51" s="539">
        <v>0.73</v>
      </c>
      <c r="I51" s="539">
        <v>0.89</v>
      </c>
      <c r="J51" s="539">
        <v>0.56999999999999995</v>
      </c>
      <c r="K51" s="539">
        <v>0.97</v>
      </c>
      <c r="L51" s="539">
        <v>0.66</v>
      </c>
      <c r="M51" s="539">
        <v>0.95</v>
      </c>
      <c r="N51" s="539">
        <v>0</v>
      </c>
      <c r="O51" s="539">
        <v>0</v>
      </c>
      <c r="P51" s="539">
        <v>0</v>
      </c>
    </row>
    <row r="52" spans="2:16">
      <c r="B52" s="493">
        <f t="shared" si="0"/>
        <v>2046</v>
      </c>
      <c r="C52" s="539">
        <v>0.59</v>
      </c>
      <c r="D52" s="539">
        <v>0.44</v>
      </c>
      <c r="E52" s="539">
        <v>0.44</v>
      </c>
      <c r="F52" s="539">
        <v>0.56999999999999995</v>
      </c>
      <c r="G52" s="539">
        <v>0.56999999999999995</v>
      </c>
      <c r="H52" s="539">
        <v>0.73</v>
      </c>
      <c r="I52" s="539">
        <v>0.89</v>
      </c>
      <c r="J52" s="539">
        <v>0.56999999999999995</v>
      </c>
      <c r="K52" s="539">
        <v>0.97</v>
      </c>
      <c r="L52" s="539">
        <v>0.66</v>
      </c>
      <c r="M52" s="539">
        <v>0.95</v>
      </c>
      <c r="N52" s="539">
        <v>0</v>
      </c>
      <c r="O52" s="539">
        <v>0</v>
      </c>
      <c r="P52" s="539">
        <v>0</v>
      </c>
    </row>
    <row r="53" spans="2:16">
      <c r="B53" s="493">
        <f t="shared" si="0"/>
        <v>2047</v>
      </c>
      <c r="C53" s="539">
        <v>0.59</v>
      </c>
      <c r="D53" s="539">
        <v>0.44</v>
      </c>
      <c r="E53" s="539">
        <v>0.44</v>
      </c>
      <c r="F53" s="539">
        <v>0.56999999999999995</v>
      </c>
      <c r="G53" s="539">
        <v>0.56999999999999995</v>
      </c>
      <c r="H53" s="539">
        <v>0.73</v>
      </c>
      <c r="I53" s="539">
        <v>0.89</v>
      </c>
      <c r="J53" s="539">
        <v>0.56999999999999995</v>
      </c>
      <c r="K53" s="539">
        <v>0.97</v>
      </c>
      <c r="L53" s="539">
        <v>0.66</v>
      </c>
      <c r="M53" s="539">
        <v>0.95</v>
      </c>
      <c r="N53" s="539">
        <v>0</v>
      </c>
      <c r="O53" s="539">
        <v>0</v>
      </c>
      <c r="P53" s="539">
        <v>0</v>
      </c>
    </row>
    <row r="54" spans="2:16">
      <c r="B54" s="493">
        <f t="shared" si="0"/>
        <v>2048</v>
      </c>
      <c r="C54" s="539">
        <v>0.59</v>
      </c>
      <c r="D54" s="539">
        <v>0.44</v>
      </c>
      <c r="E54" s="539">
        <v>0.44</v>
      </c>
      <c r="F54" s="539">
        <v>0.56999999999999995</v>
      </c>
      <c r="G54" s="539">
        <v>0.56999999999999995</v>
      </c>
      <c r="H54" s="539">
        <v>0.73</v>
      </c>
      <c r="I54" s="539">
        <v>0.89</v>
      </c>
      <c r="J54" s="539">
        <v>0.56999999999999995</v>
      </c>
      <c r="K54" s="539">
        <v>0.97</v>
      </c>
      <c r="L54" s="539">
        <v>0.66</v>
      </c>
      <c r="M54" s="539">
        <v>0.95</v>
      </c>
      <c r="N54" s="539">
        <v>0</v>
      </c>
      <c r="O54" s="539">
        <v>0</v>
      </c>
      <c r="P54" s="539">
        <v>0</v>
      </c>
    </row>
    <row r="55" spans="2:16">
      <c r="B55" s="493">
        <f t="shared" si="0"/>
        <v>2049</v>
      </c>
      <c r="C55" s="539">
        <v>0.59</v>
      </c>
      <c r="D55" s="539">
        <v>0.44</v>
      </c>
      <c r="E55" s="539">
        <v>0.44</v>
      </c>
      <c r="F55" s="539">
        <v>0.56999999999999995</v>
      </c>
      <c r="G55" s="539">
        <v>0.56999999999999995</v>
      </c>
      <c r="H55" s="539">
        <v>0.73</v>
      </c>
      <c r="I55" s="539">
        <v>0.89</v>
      </c>
      <c r="J55" s="539">
        <v>0.56999999999999995</v>
      </c>
      <c r="K55" s="539">
        <v>0.97</v>
      </c>
      <c r="L55" s="539">
        <v>0.66</v>
      </c>
      <c r="M55" s="539">
        <v>0.95</v>
      </c>
      <c r="N55" s="539">
        <v>0</v>
      </c>
      <c r="O55" s="539">
        <v>0</v>
      </c>
      <c r="P55" s="539">
        <v>0</v>
      </c>
    </row>
    <row r="56" spans="2:16">
      <c r="B56" s="493">
        <f t="shared" si="0"/>
        <v>2050</v>
      </c>
      <c r="C56" s="539">
        <v>0.59</v>
      </c>
      <c r="D56" s="539">
        <v>0.44</v>
      </c>
      <c r="E56" s="539">
        <v>0.44</v>
      </c>
      <c r="F56" s="539">
        <v>0.56999999999999995</v>
      </c>
      <c r="G56" s="539">
        <v>0.56999999999999995</v>
      </c>
      <c r="H56" s="539">
        <v>0.73</v>
      </c>
      <c r="I56" s="539">
        <v>0.89</v>
      </c>
      <c r="J56" s="539">
        <v>0.56999999999999995</v>
      </c>
      <c r="K56" s="539">
        <v>0.97</v>
      </c>
      <c r="L56" s="539">
        <v>0.66</v>
      </c>
      <c r="M56" s="539">
        <v>0.95</v>
      </c>
      <c r="N56" s="539">
        <v>0</v>
      </c>
      <c r="O56" s="539">
        <v>0</v>
      </c>
      <c r="P56" s="539">
        <v>0</v>
      </c>
    </row>
    <row r="57" spans="2:16">
      <c r="B57" s="493">
        <f t="shared" si="0"/>
        <v>2051</v>
      </c>
      <c r="C57" s="539">
        <v>0.59</v>
      </c>
      <c r="D57" s="539">
        <v>0.44</v>
      </c>
      <c r="E57" s="539">
        <v>0.44</v>
      </c>
      <c r="F57" s="539">
        <v>0.56999999999999995</v>
      </c>
      <c r="G57" s="539">
        <v>0.56999999999999995</v>
      </c>
      <c r="H57" s="539">
        <v>0.73</v>
      </c>
      <c r="I57" s="539">
        <v>0.89</v>
      </c>
      <c r="J57" s="539">
        <v>0.56999999999999995</v>
      </c>
      <c r="K57" s="539">
        <v>0.97</v>
      </c>
      <c r="L57" s="539">
        <v>0.66</v>
      </c>
      <c r="M57" s="539">
        <v>0.95</v>
      </c>
      <c r="N57" s="539">
        <v>0</v>
      </c>
      <c r="O57" s="539">
        <v>0</v>
      </c>
      <c r="P57" s="539">
        <v>0</v>
      </c>
    </row>
    <row r="58" spans="2:16">
      <c r="B58" s="493">
        <f t="shared" si="0"/>
        <v>2052</v>
      </c>
      <c r="C58" s="539">
        <v>0.59</v>
      </c>
      <c r="D58" s="539">
        <v>0.44</v>
      </c>
      <c r="E58" s="539">
        <v>0.44</v>
      </c>
      <c r="F58" s="539">
        <v>0.56999999999999995</v>
      </c>
      <c r="G58" s="539">
        <v>0.56999999999999995</v>
      </c>
      <c r="H58" s="539">
        <v>0.73</v>
      </c>
      <c r="I58" s="539">
        <v>0.89</v>
      </c>
      <c r="J58" s="539">
        <v>0.56999999999999995</v>
      </c>
      <c r="K58" s="539">
        <v>0.97</v>
      </c>
      <c r="L58" s="539">
        <v>0.66</v>
      </c>
      <c r="M58" s="539">
        <v>0.95</v>
      </c>
      <c r="N58" s="539">
        <v>0</v>
      </c>
      <c r="O58" s="539">
        <v>0</v>
      </c>
      <c r="P58" s="539">
        <v>0</v>
      </c>
    </row>
    <row r="59" spans="2:16">
      <c r="B59" s="493">
        <f t="shared" si="0"/>
        <v>2053</v>
      </c>
      <c r="C59" s="539">
        <v>0.59</v>
      </c>
      <c r="D59" s="539">
        <v>0.44</v>
      </c>
      <c r="E59" s="539">
        <v>0.44</v>
      </c>
      <c r="F59" s="539">
        <v>0.56999999999999995</v>
      </c>
      <c r="G59" s="539">
        <v>0.56999999999999995</v>
      </c>
      <c r="H59" s="539">
        <v>0.73</v>
      </c>
      <c r="I59" s="539">
        <v>0.89</v>
      </c>
      <c r="J59" s="539">
        <v>0.56999999999999995</v>
      </c>
      <c r="K59" s="539">
        <v>0.97</v>
      </c>
      <c r="L59" s="539">
        <v>0.66</v>
      </c>
      <c r="M59" s="539">
        <v>0.95</v>
      </c>
      <c r="N59" s="539">
        <v>0</v>
      </c>
      <c r="O59" s="539">
        <v>0</v>
      </c>
      <c r="P59" s="539">
        <v>0</v>
      </c>
    </row>
    <row r="60" spans="2:16">
      <c r="B60" s="493">
        <f t="shared" si="0"/>
        <v>2054</v>
      </c>
      <c r="C60" s="539">
        <v>0.59</v>
      </c>
      <c r="D60" s="539">
        <v>0.44</v>
      </c>
      <c r="E60" s="539">
        <v>0.44</v>
      </c>
      <c r="F60" s="539">
        <v>0.56999999999999995</v>
      </c>
      <c r="G60" s="539">
        <v>0.56999999999999995</v>
      </c>
      <c r="H60" s="539">
        <v>0.73</v>
      </c>
      <c r="I60" s="539">
        <v>0.89</v>
      </c>
      <c r="J60" s="539">
        <v>0.56999999999999995</v>
      </c>
      <c r="K60" s="539">
        <v>0.97</v>
      </c>
      <c r="L60" s="539">
        <v>0.66</v>
      </c>
      <c r="M60" s="539">
        <v>0.95</v>
      </c>
      <c r="N60" s="539">
        <v>0</v>
      </c>
      <c r="O60" s="539">
        <v>0</v>
      </c>
      <c r="P60" s="539">
        <v>0</v>
      </c>
    </row>
    <row r="61" spans="2:16">
      <c r="B61" s="493">
        <f t="shared" si="0"/>
        <v>2055</v>
      </c>
      <c r="C61" s="539">
        <v>0.59</v>
      </c>
      <c r="D61" s="539">
        <v>0.44</v>
      </c>
      <c r="E61" s="539">
        <v>0.44</v>
      </c>
      <c r="F61" s="539">
        <v>0.56999999999999995</v>
      </c>
      <c r="G61" s="539">
        <v>0.56999999999999995</v>
      </c>
      <c r="H61" s="539">
        <v>0.73</v>
      </c>
      <c r="I61" s="539">
        <v>0.89</v>
      </c>
      <c r="J61" s="539">
        <v>0.56999999999999995</v>
      </c>
      <c r="K61" s="539">
        <v>0.97</v>
      </c>
      <c r="L61" s="539">
        <v>0.66</v>
      </c>
      <c r="M61" s="539">
        <v>0.95</v>
      </c>
      <c r="N61" s="539">
        <v>0</v>
      </c>
      <c r="O61" s="539">
        <v>0</v>
      </c>
      <c r="P61" s="539">
        <v>0</v>
      </c>
    </row>
    <row r="62" spans="2:16">
      <c r="B62" s="493">
        <f t="shared" si="0"/>
        <v>2056</v>
      </c>
      <c r="C62" s="539">
        <v>0.59</v>
      </c>
      <c r="D62" s="539">
        <v>0.44</v>
      </c>
      <c r="E62" s="539">
        <v>0.44</v>
      </c>
      <c r="F62" s="539">
        <v>0.56999999999999995</v>
      </c>
      <c r="G62" s="539">
        <v>0.56999999999999995</v>
      </c>
      <c r="H62" s="539">
        <v>0.73</v>
      </c>
      <c r="I62" s="539">
        <v>0.89</v>
      </c>
      <c r="J62" s="539">
        <v>0.56999999999999995</v>
      </c>
      <c r="K62" s="539">
        <v>0.97</v>
      </c>
      <c r="L62" s="539">
        <v>0.66</v>
      </c>
      <c r="M62" s="539">
        <v>0.95</v>
      </c>
      <c r="N62" s="539">
        <v>0</v>
      </c>
      <c r="O62" s="539">
        <v>0</v>
      </c>
      <c r="P62" s="539">
        <v>0</v>
      </c>
    </row>
    <row r="63" spans="2:16">
      <c r="B63" s="493">
        <f t="shared" si="0"/>
        <v>2057</v>
      </c>
      <c r="C63" s="539">
        <v>0.59</v>
      </c>
      <c r="D63" s="539">
        <v>0.44</v>
      </c>
      <c r="E63" s="539">
        <v>0.44</v>
      </c>
      <c r="F63" s="539">
        <v>0.56999999999999995</v>
      </c>
      <c r="G63" s="539">
        <v>0.56999999999999995</v>
      </c>
      <c r="H63" s="539">
        <v>0.73</v>
      </c>
      <c r="I63" s="539">
        <v>0.89</v>
      </c>
      <c r="J63" s="539">
        <v>0.56999999999999995</v>
      </c>
      <c r="K63" s="539">
        <v>0.97</v>
      </c>
      <c r="L63" s="539">
        <v>0.66</v>
      </c>
      <c r="M63" s="539">
        <v>0.95</v>
      </c>
      <c r="N63" s="539">
        <v>0</v>
      </c>
      <c r="O63" s="539">
        <v>0</v>
      </c>
      <c r="P63" s="539">
        <v>0</v>
      </c>
    </row>
    <row r="64" spans="2:16">
      <c r="B64" s="493">
        <f t="shared" si="0"/>
        <v>2058</v>
      </c>
      <c r="C64" s="539">
        <v>0.59</v>
      </c>
      <c r="D64" s="539">
        <v>0.44</v>
      </c>
      <c r="E64" s="539">
        <v>0.44</v>
      </c>
      <c r="F64" s="539">
        <v>0.56999999999999995</v>
      </c>
      <c r="G64" s="539">
        <v>0.56999999999999995</v>
      </c>
      <c r="H64" s="539">
        <v>0.73</v>
      </c>
      <c r="I64" s="539">
        <v>0.89</v>
      </c>
      <c r="J64" s="539">
        <v>0.56999999999999995</v>
      </c>
      <c r="K64" s="539">
        <v>0.97</v>
      </c>
      <c r="L64" s="539">
        <v>0.66</v>
      </c>
      <c r="M64" s="539">
        <v>0.95</v>
      </c>
      <c r="N64" s="539">
        <v>0</v>
      </c>
      <c r="O64" s="539">
        <v>0</v>
      </c>
      <c r="P64" s="539">
        <v>0</v>
      </c>
    </row>
    <row r="65" spans="2:16">
      <c r="B65" s="493">
        <f t="shared" si="0"/>
        <v>2059</v>
      </c>
      <c r="C65" s="539">
        <v>0.59</v>
      </c>
      <c r="D65" s="539">
        <v>0.44</v>
      </c>
      <c r="E65" s="539">
        <v>0.44</v>
      </c>
      <c r="F65" s="539">
        <v>0.56999999999999995</v>
      </c>
      <c r="G65" s="539">
        <v>0.56999999999999995</v>
      </c>
      <c r="H65" s="539">
        <v>0.73</v>
      </c>
      <c r="I65" s="539">
        <v>0.89</v>
      </c>
      <c r="J65" s="539">
        <v>0.56999999999999995</v>
      </c>
      <c r="K65" s="539">
        <v>0.97</v>
      </c>
      <c r="L65" s="539">
        <v>0.66</v>
      </c>
      <c r="M65" s="539">
        <v>0.95</v>
      </c>
      <c r="N65" s="539">
        <v>0</v>
      </c>
      <c r="O65" s="539">
        <v>0</v>
      </c>
      <c r="P65" s="539">
        <v>0</v>
      </c>
    </row>
    <row r="66" spans="2:16">
      <c r="B66" s="493">
        <f t="shared" si="0"/>
        <v>2060</v>
      </c>
      <c r="C66" s="539">
        <v>0.59</v>
      </c>
      <c r="D66" s="539">
        <v>0.44</v>
      </c>
      <c r="E66" s="539">
        <v>0.44</v>
      </c>
      <c r="F66" s="539">
        <v>0.56999999999999995</v>
      </c>
      <c r="G66" s="539">
        <v>0.56999999999999995</v>
      </c>
      <c r="H66" s="539">
        <v>0.73</v>
      </c>
      <c r="I66" s="539">
        <v>0.89</v>
      </c>
      <c r="J66" s="539">
        <v>0.56999999999999995</v>
      </c>
      <c r="K66" s="539">
        <v>0.97</v>
      </c>
      <c r="L66" s="539">
        <v>0.66</v>
      </c>
      <c r="M66" s="539">
        <v>0.95</v>
      </c>
      <c r="N66" s="539">
        <v>0</v>
      </c>
      <c r="O66" s="539">
        <v>0</v>
      </c>
      <c r="P66" s="539">
        <v>0</v>
      </c>
    </row>
    <row r="67" spans="2:16">
      <c r="B67" s="493">
        <f t="shared" si="0"/>
        <v>2061</v>
      </c>
      <c r="C67" s="539">
        <v>0.59</v>
      </c>
      <c r="D67" s="539">
        <v>0.44</v>
      </c>
      <c r="E67" s="539">
        <v>0.44</v>
      </c>
      <c r="F67" s="539">
        <v>0.56999999999999995</v>
      </c>
      <c r="G67" s="539">
        <v>0.56999999999999995</v>
      </c>
      <c r="H67" s="539">
        <v>0.73</v>
      </c>
      <c r="I67" s="539">
        <v>0.89</v>
      </c>
      <c r="J67" s="539">
        <v>0.56999999999999995</v>
      </c>
      <c r="K67" s="539">
        <v>0.97</v>
      </c>
      <c r="L67" s="539">
        <v>0.66</v>
      </c>
      <c r="M67" s="539">
        <v>0.95</v>
      </c>
      <c r="N67" s="539">
        <v>0</v>
      </c>
      <c r="O67" s="539">
        <v>0</v>
      </c>
      <c r="P67" s="539">
        <v>0</v>
      </c>
    </row>
    <row r="68" spans="2:16">
      <c r="B68" s="493">
        <f t="shared" si="0"/>
        <v>2062</v>
      </c>
      <c r="C68" s="539">
        <v>0.59</v>
      </c>
      <c r="D68" s="539">
        <v>0.44</v>
      </c>
      <c r="E68" s="539">
        <v>0.44</v>
      </c>
      <c r="F68" s="539">
        <v>0.56999999999999995</v>
      </c>
      <c r="G68" s="539">
        <v>0.56999999999999995</v>
      </c>
      <c r="H68" s="539">
        <v>0.73</v>
      </c>
      <c r="I68" s="539">
        <v>0.89</v>
      </c>
      <c r="J68" s="539">
        <v>0.56999999999999995</v>
      </c>
      <c r="K68" s="539">
        <v>0.97</v>
      </c>
      <c r="L68" s="539">
        <v>0.66</v>
      </c>
      <c r="M68" s="539">
        <v>0.95</v>
      </c>
      <c r="N68" s="539">
        <v>0</v>
      </c>
      <c r="O68" s="539">
        <v>0</v>
      </c>
      <c r="P68" s="539">
        <v>0</v>
      </c>
    </row>
    <row r="69" spans="2:16">
      <c r="B69" s="493">
        <f t="shared" si="0"/>
        <v>2063</v>
      </c>
      <c r="C69" s="539">
        <v>0.59</v>
      </c>
      <c r="D69" s="539">
        <v>0.44</v>
      </c>
      <c r="E69" s="539">
        <v>0.44</v>
      </c>
      <c r="F69" s="539">
        <v>0.56999999999999995</v>
      </c>
      <c r="G69" s="539">
        <v>0.56999999999999995</v>
      </c>
      <c r="H69" s="539">
        <v>0.73</v>
      </c>
      <c r="I69" s="539">
        <v>0.89</v>
      </c>
      <c r="J69" s="539">
        <v>0.56999999999999995</v>
      </c>
      <c r="K69" s="539">
        <v>0.97</v>
      </c>
      <c r="L69" s="539">
        <v>0.66</v>
      </c>
      <c r="M69" s="539">
        <v>0.95</v>
      </c>
      <c r="N69" s="539">
        <v>0</v>
      </c>
      <c r="O69" s="539">
        <v>0</v>
      </c>
      <c r="P69" s="539">
        <v>0</v>
      </c>
    </row>
    <row r="70" spans="2:16">
      <c r="B70" s="493">
        <f t="shared" si="0"/>
        <v>2064</v>
      </c>
      <c r="C70" s="539">
        <v>0.59</v>
      </c>
      <c r="D70" s="539">
        <v>0.44</v>
      </c>
      <c r="E70" s="539">
        <v>0.44</v>
      </c>
      <c r="F70" s="539">
        <v>0.56999999999999995</v>
      </c>
      <c r="G70" s="539">
        <v>0.56999999999999995</v>
      </c>
      <c r="H70" s="539">
        <v>0.73</v>
      </c>
      <c r="I70" s="539">
        <v>0.89</v>
      </c>
      <c r="J70" s="539">
        <v>0.56999999999999995</v>
      </c>
      <c r="K70" s="539">
        <v>0.97</v>
      </c>
      <c r="L70" s="539">
        <v>0.66</v>
      </c>
      <c r="M70" s="539">
        <v>0.95</v>
      </c>
      <c r="N70" s="539">
        <v>0</v>
      </c>
      <c r="O70" s="539">
        <v>0</v>
      </c>
      <c r="P70" s="539">
        <v>0</v>
      </c>
    </row>
    <row r="71" spans="2:16">
      <c r="B71" s="493">
        <f t="shared" si="0"/>
        <v>2065</v>
      </c>
      <c r="C71" s="539">
        <v>0.59</v>
      </c>
      <c r="D71" s="539">
        <v>0.44</v>
      </c>
      <c r="E71" s="539">
        <v>0.44</v>
      </c>
      <c r="F71" s="539">
        <v>0.56999999999999995</v>
      </c>
      <c r="G71" s="539">
        <v>0.56999999999999995</v>
      </c>
      <c r="H71" s="539">
        <v>0.73</v>
      </c>
      <c r="I71" s="539">
        <v>0.89</v>
      </c>
      <c r="J71" s="539">
        <v>0.56999999999999995</v>
      </c>
      <c r="K71" s="539">
        <v>0.97</v>
      </c>
      <c r="L71" s="539">
        <v>0.66</v>
      </c>
      <c r="M71" s="539">
        <v>0.95</v>
      </c>
      <c r="N71" s="539">
        <v>0</v>
      </c>
      <c r="O71" s="539">
        <v>0</v>
      </c>
      <c r="P71" s="539">
        <v>0</v>
      </c>
    </row>
    <row r="72" spans="2:16">
      <c r="B72" s="493">
        <f t="shared" ref="B72:B86" si="1">B71+1</f>
        <v>2066</v>
      </c>
      <c r="C72" s="539">
        <v>0.59</v>
      </c>
      <c r="D72" s="539">
        <v>0.44</v>
      </c>
      <c r="E72" s="539">
        <v>0.44</v>
      </c>
      <c r="F72" s="539">
        <v>0.56999999999999995</v>
      </c>
      <c r="G72" s="539">
        <v>0.56999999999999995</v>
      </c>
      <c r="H72" s="539">
        <v>0.73</v>
      </c>
      <c r="I72" s="539">
        <v>0.89</v>
      </c>
      <c r="J72" s="539">
        <v>0.56999999999999995</v>
      </c>
      <c r="K72" s="539">
        <v>0.97</v>
      </c>
      <c r="L72" s="539">
        <v>0.66</v>
      </c>
      <c r="M72" s="539">
        <v>0.95</v>
      </c>
      <c r="N72" s="539">
        <v>0</v>
      </c>
      <c r="O72" s="539">
        <v>0</v>
      </c>
      <c r="P72" s="539">
        <v>0</v>
      </c>
    </row>
    <row r="73" spans="2:16">
      <c r="B73" s="493">
        <f t="shared" si="1"/>
        <v>2067</v>
      </c>
      <c r="C73" s="539">
        <v>0.59</v>
      </c>
      <c r="D73" s="539">
        <v>0.44</v>
      </c>
      <c r="E73" s="539">
        <v>0.44</v>
      </c>
      <c r="F73" s="539">
        <v>0.56999999999999995</v>
      </c>
      <c r="G73" s="539">
        <v>0.56999999999999995</v>
      </c>
      <c r="H73" s="539">
        <v>0.73</v>
      </c>
      <c r="I73" s="539">
        <v>0.89</v>
      </c>
      <c r="J73" s="539">
        <v>0.56999999999999995</v>
      </c>
      <c r="K73" s="539">
        <v>0.97</v>
      </c>
      <c r="L73" s="539">
        <v>0.66</v>
      </c>
      <c r="M73" s="539">
        <v>0.95</v>
      </c>
      <c r="N73" s="539">
        <v>0</v>
      </c>
      <c r="O73" s="539">
        <v>0</v>
      </c>
      <c r="P73" s="539">
        <v>0</v>
      </c>
    </row>
    <row r="74" spans="2:16">
      <c r="B74" s="493">
        <f t="shared" si="1"/>
        <v>2068</v>
      </c>
      <c r="C74" s="539">
        <v>0.59</v>
      </c>
      <c r="D74" s="539">
        <v>0.44</v>
      </c>
      <c r="E74" s="539">
        <v>0.44</v>
      </c>
      <c r="F74" s="539">
        <v>0.56999999999999995</v>
      </c>
      <c r="G74" s="539">
        <v>0.56999999999999995</v>
      </c>
      <c r="H74" s="539">
        <v>0.73</v>
      </c>
      <c r="I74" s="539">
        <v>0.89</v>
      </c>
      <c r="J74" s="539">
        <v>0.56999999999999995</v>
      </c>
      <c r="K74" s="539">
        <v>0.97</v>
      </c>
      <c r="L74" s="539">
        <v>0.66</v>
      </c>
      <c r="M74" s="539">
        <v>0.95</v>
      </c>
      <c r="N74" s="539">
        <v>0</v>
      </c>
      <c r="O74" s="539">
        <v>0</v>
      </c>
      <c r="P74" s="539">
        <v>0</v>
      </c>
    </row>
    <row r="75" spans="2:16">
      <c r="B75" s="493">
        <f t="shared" si="1"/>
        <v>2069</v>
      </c>
      <c r="C75" s="539">
        <v>0.59</v>
      </c>
      <c r="D75" s="539">
        <v>0.44</v>
      </c>
      <c r="E75" s="539">
        <v>0.44</v>
      </c>
      <c r="F75" s="539">
        <v>0.56999999999999995</v>
      </c>
      <c r="G75" s="539">
        <v>0.56999999999999995</v>
      </c>
      <c r="H75" s="539">
        <v>0.73</v>
      </c>
      <c r="I75" s="539">
        <v>0.89</v>
      </c>
      <c r="J75" s="539">
        <v>0.56999999999999995</v>
      </c>
      <c r="K75" s="539">
        <v>0.97</v>
      </c>
      <c r="L75" s="539">
        <v>0.66</v>
      </c>
      <c r="M75" s="539">
        <v>0.95</v>
      </c>
      <c r="N75" s="539">
        <v>0</v>
      </c>
      <c r="O75" s="539">
        <v>0</v>
      </c>
      <c r="P75" s="539">
        <v>0</v>
      </c>
    </row>
    <row r="76" spans="2:16">
      <c r="B76" s="493">
        <f t="shared" si="1"/>
        <v>2070</v>
      </c>
      <c r="C76" s="539">
        <v>0.59</v>
      </c>
      <c r="D76" s="539">
        <v>0.44</v>
      </c>
      <c r="E76" s="539">
        <v>0.44</v>
      </c>
      <c r="F76" s="539">
        <v>0.56999999999999995</v>
      </c>
      <c r="G76" s="539">
        <v>0.56999999999999995</v>
      </c>
      <c r="H76" s="539">
        <v>0.73</v>
      </c>
      <c r="I76" s="539">
        <v>0.89</v>
      </c>
      <c r="J76" s="539">
        <v>0.56999999999999995</v>
      </c>
      <c r="K76" s="539">
        <v>0.97</v>
      </c>
      <c r="L76" s="539">
        <v>0.66</v>
      </c>
      <c r="M76" s="539">
        <v>0.95</v>
      </c>
      <c r="N76" s="539">
        <v>0</v>
      </c>
      <c r="O76" s="539">
        <v>0</v>
      </c>
      <c r="P76" s="539">
        <v>0</v>
      </c>
    </row>
    <row r="77" spans="2:16">
      <c r="B77" s="493">
        <f t="shared" si="1"/>
        <v>2071</v>
      </c>
      <c r="C77" s="539">
        <v>0.59</v>
      </c>
      <c r="D77" s="539">
        <v>0.44</v>
      </c>
      <c r="E77" s="539">
        <v>0.44</v>
      </c>
      <c r="F77" s="539">
        <v>0.56999999999999995</v>
      </c>
      <c r="G77" s="539">
        <v>0.56999999999999995</v>
      </c>
      <c r="H77" s="539">
        <v>0.73</v>
      </c>
      <c r="I77" s="539">
        <v>0.89</v>
      </c>
      <c r="J77" s="539">
        <v>0.56999999999999995</v>
      </c>
      <c r="K77" s="539">
        <v>0.97</v>
      </c>
      <c r="L77" s="539">
        <v>0.66</v>
      </c>
      <c r="M77" s="539">
        <v>0.95</v>
      </c>
      <c r="N77" s="539">
        <v>0</v>
      </c>
      <c r="O77" s="539">
        <v>0</v>
      </c>
      <c r="P77" s="539">
        <v>0</v>
      </c>
    </row>
    <row r="78" spans="2:16">
      <c r="B78" s="493">
        <f t="shared" si="1"/>
        <v>2072</v>
      </c>
      <c r="C78" s="539">
        <v>0.59</v>
      </c>
      <c r="D78" s="539">
        <v>0.44</v>
      </c>
      <c r="E78" s="539">
        <v>0.44</v>
      </c>
      <c r="F78" s="539">
        <v>0.56999999999999995</v>
      </c>
      <c r="G78" s="539">
        <v>0.56999999999999995</v>
      </c>
      <c r="H78" s="539">
        <v>0.73</v>
      </c>
      <c r="I78" s="539">
        <v>0.89</v>
      </c>
      <c r="J78" s="539">
        <v>0.56999999999999995</v>
      </c>
      <c r="K78" s="539">
        <v>0.97</v>
      </c>
      <c r="L78" s="539">
        <v>0.66</v>
      </c>
      <c r="M78" s="539">
        <v>0.95</v>
      </c>
      <c r="N78" s="539">
        <v>0</v>
      </c>
      <c r="O78" s="539">
        <v>0</v>
      </c>
      <c r="P78" s="539">
        <v>0</v>
      </c>
    </row>
    <row r="79" spans="2:16">
      <c r="B79" s="493">
        <f t="shared" si="1"/>
        <v>2073</v>
      </c>
      <c r="C79" s="539">
        <v>0.59</v>
      </c>
      <c r="D79" s="539">
        <v>0.44</v>
      </c>
      <c r="E79" s="539">
        <v>0.44</v>
      </c>
      <c r="F79" s="539">
        <v>0.56999999999999995</v>
      </c>
      <c r="G79" s="539">
        <v>0.56999999999999995</v>
      </c>
      <c r="H79" s="539">
        <v>0.73</v>
      </c>
      <c r="I79" s="539">
        <v>0.89</v>
      </c>
      <c r="J79" s="539">
        <v>0.56999999999999995</v>
      </c>
      <c r="K79" s="539">
        <v>0.97</v>
      </c>
      <c r="L79" s="539">
        <v>0.66</v>
      </c>
      <c r="M79" s="539">
        <v>0.95</v>
      </c>
      <c r="N79" s="539">
        <v>0</v>
      </c>
      <c r="O79" s="539">
        <v>0</v>
      </c>
      <c r="P79" s="539">
        <v>0</v>
      </c>
    </row>
    <row r="80" spans="2:16">
      <c r="B80" s="493">
        <f t="shared" si="1"/>
        <v>2074</v>
      </c>
      <c r="C80" s="539">
        <v>0.59</v>
      </c>
      <c r="D80" s="539">
        <v>0.44</v>
      </c>
      <c r="E80" s="539">
        <v>0.44</v>
      </c>
      <c r="F80" s="539">
        <v>0.56999999999999995</v>
      </c>
      <c r="G80" s="539">
        <v>0.56999999999999995</v>
      </c>
      <c r="H80" s="539">
        <v>0.73</v>
      </c>
      <c r="I80" s="539">
        <v>0.89</v>
      </c>
      <c r="J80" s="539">
        <v>0.56999999999999995</v>
      </c>
      <c r="K80" s="539">
        <v>0.97</v>
      </c>
      <c r="L80" s="539">
        <v>0.66</v>
      </c>
      <c r="M80" s="539">
        <v>0.95</v>
      </c>
      <c r="N80" s="539">
        <v>0</v>
      </c>
      <c r="O80" s="539">
        <v>0</v>
      </c>
      <c r="P80" s="539">
        <v>0</v>
      </c>
    </row>
    <row r="81" spans="2:16">
      <c r="B81" s="493">
        <f t="shared" si="1"/>
        <v>2075</v>
      </c>
      <c r="C81" s="539">
        <v>0.59</v>
      </c>
      <c r="D81" s="539">
        <v>0.44</v>
      </c>
      <c r="E81" s="539">
        <v>0.44</v>
      </c>
      <c r="F81" s="539">
        <v>0.56999999999999995</v>
      </c>
      <c r="G81" s="539">
        <v>0.56999999999999995</v>
      </c>
      <c r="H81" s="539">
        <v>0.73</v>
      </c>
      <c r="I81" s="539">
        <v>0.89</v>
      </c>
      <c r="J81" s="539">
        <v>0.56999999999999995</v>
      </c>
      <c r="K81" s="539">
        <v>0.97</v>
      </c>
      <c r="L81" s="539">
        <v>0.66</v>
      </c>
      <c r="M81" s="539">
        <v>0.95</v>
      </c>
      <c r="N81" s="539">
        <v>0</v>
      </c>
      <c r="O81" s="539">
        <v>0</v>
      </c>
      <c r="P81" s="539">
        <v>0</v>
      </c>
    </row>
    <row r="82" spans="2:16">
      <c r="B82" s="493">
        <f t="shared" si="1"/>
        <v>2076</v>
      </c>
      <c r="C82" s="539">
        <v>0.59</v>
      </c>
      <c r="D82" s="539">
        <v>0.44</v>
      </c>
      <c r="E82" s="539">
        <v>0.44</v>
      </c>
      <c r="F82" s="539">
        <v>0.56999999999999995</v>
      </c>
      <c r="G82" s="539">
        <v>0.56999999999999995</v>
      </c>
      <c r="H82" s="539">
        <v>0.73</v>
      </c>
      <c r="I82" s="539">
        <v>0.89</v>
      </c>
      <c r="J82" s="539">
        <v>0.56999999999999995</v>
      </c>
      <c r="K82" s="539">
        <v>0.97</v>
      </c>
      <c r="L82" s="539">
        <v>0.66</v>
      </c>
      <c r="M82" s="539">
        <v>0.95</v>
      </c>
      <c r="N82" s="539">
        <v>0</v>
      </c>
      <c r="O82" s="539">
        <v>0</v>
      </c>
      <c r="P82" s="539">
        <v>0</v>
      </c>
    </row>
    <row r="83" spans="2:16">
      <c r="B83" s="493">
        <f t="shared" si="1"/>
        <v>2077</v>
      </c>
      <c r="C83" s="539">
        <v>0.59</v>
      </c>
      <c r="D83" s="539">
        <v>0.44</v>
      </c>
      <c r="E83" s="539">
        <v>0.44</v>
      </c>
      <c r="F83" s="539">
        <v>0.56999999999999995</v>
      </c>
      <c r="G83" s="539">
        <v>0.56999999999999995</v>
      </c>
      <c r="H83" s="539">
        <v>0.73</v>
      </c>
      <c r="I83" s="539">
        <v>0.89</v>
      </c>
      <c r="J83" s="539">
        <v>0.56999999999999995</v>
      </c>
      <c r="K83" s="539">
        <v>0.97</v>
      </c>
      <c r="L83" s="539">
        <v>0.66</v>
      </c>
      <c r="M83" s="539">
        <v>0.95</v>
      </c>
      <c r="N83" s="539">
        <v>0</v>
      </c>
      <c r="O83" s="539">
        <v>0</v>
      </c>
      <c r="P83" s="539">
        <v>0</v>
      </c>
    </row>
    <row r="84" spans="2:16">
      <c r="B84" s="493">
        <f t="shared" si="1"/>
        <v>2078</v>
      </c>
      <c r="C84" s="539">
        <v>0.59</v>
      </c>
      <c r="D84" s="539">
        <v>0.44</v>
      </c>
      <c r="E84" s="539">
        <v>0.44</v>
      </c>
      <c r="F84" s="539">
        <v>0.56999999999999995</v>
      </c>
      <c r="G84" s="539">
        <v>0.56999999999999995</v>
      </c>
      <c r="H84" s="539">
        <v>0.73</v>
      </c>
      <c r="I84" s="539">
        <v>0.89</v>
      </c>
      <c r="J84" s="539">
        <v>0.56999999999999995</v>
      </c>
      <c r="K84" s="539">
        <v>0.97</v>
      </c>
      <c r="L84" s="539">
        <v>0.66</v>
      </c>
      <c r="M84" s="539">
        <v>0.95</v>
      </c>
      <c r="N84" s="539">
        <v>0</v>
      </c>
      <c r="O84" s="539">
        <v>0</v>
      </c>
      <c r="P84" s="539">
        <v>0</v>
      </c>
    </row>
    <row r="85" spans="2:16">
      <c r="B85" s="493">
        <f t="shared" si="1"/>
        <v>2079</v>
      </c>
      <c r="C85" s="539">
        <v>0.59</v>
      </c>
      <c r="D85" s="539">
        <v>0.44</v>
      </c>
      <c r="E85" s="539">
        <v>0.44</v>
      </c>
      <c r="F85" s="539">
        <v>0.56999999999999995</v>
      </c>
      <c r="G85" s="539">
        <v>0.56999999999999995</v>
      </c>
      <c r="H85" s="539">
        <v>0.73</v>
      </c>
      <c r="I85" s="539">
        <v>0.89</v>
      </c>
      <c r="J85" s="539">
        <v>0.56999999999999995</v>
      </c>
      <c r="K85" s="539">
        <v>0.97</v>
      </c>
      <c r="L85" s="539">
        <v>0.66</v>
      </c>
      <c r="M85" s="539">
        <v>0.95</v>
      </c>
      <c r="N85" s="539">
        <v>0</v>
      </c>
      <c r="O85" s="539">
        <v>0</v>
      </c>
      <c r="P85" s="539">
        <v>0</v>
      </c>
    </row>
    <row r="86" spans="2:16">
      <c r="B86" s="493">
        <f t="shared" si="1"/>
        <v>2080</v>
      </c>
      <c r="C86" s="539">
        <v>0.59</v>
      </c>
      <c r="D86" s="539">
        <v>0.44</v>
      </c>
      <c r="E86" s="539">
        <v>0.44</v>
      </c>
      <c r="F86" s="539">
        <v>0.56999999999999995</v>
      </c>
      <c r="G86" s="539">
        <v>0.56999999999999995</v>
      </c>
      <c r="H86" s="539">
        <v>0.73</v>
      </c>
      <c r="I86" s="539">
        <v>0.89</v>
      </c>
      <c r="J86" s="539">
        <v>0.56999999999999995</v>
      </c>
      <c r="K86" s="539">
        <v>0.97</v>
      </c>
      <c r="L86" s="539">
        <v>0.66</v>
      </c>
      <c r="M86" s="539">
        <v>0.95</v>
      </c>
      <c r="N86" s="539">
        <v>0</v>
      </c>
      <c r="O86" s="539">
        <v>0</v>
      </c>
      <c r="P86" s="539">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14" activePane="bottomRight" state="frozen"/>
      <selection activeCell="E19" sqref="E19"/>
      <selection pane="topRight" activeCell="E19" sqref="E19"/>
      <selection pane="bottomLeft" activeCell="E19" sqref="E19"/>
      <selection pane="bottomRight" activeCell="N14" sqref="N14"/>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798" t="str">
        <f>city</f>
        <v>SAMARINDA</v>
      </c>
      <c r="J2" s="799"/>
      <c r="K2" s="799"/>
      <c r="L2" s="799"/>
      <c r="M2" s="799"/>
      <c r="N2" s="799"/>
      <c r="O2" s="799"/>
    </row>
    <row r="3" spans="2:16" ht="16.5" thickBot="1">
      <c r="C3" s="4"/>
      <c r="H3" s="5" t="s">
        <v>276</v>
      </c>
      <c r="I3" s="798" t="str">
        <f>province</f>
        <v>Kalimantan Timur</v>
      </c>
      <c r="J3" s="799"/>
      <c r="K3" s="799"/>
      <c r="L3" s="799"/>
      <c r="M3" s="799"/>
      <c r="N3" s="799"/>
      <c r="O3" s="799"/>
    </row>
    <row r="4" spans="2:16" ht="16.5" thickBot="1">
      <c r="D4" s="4"/>
      <c r="E4" s="4"/>
      <c r="H4" s="5" t="s">
        <v>30</v>
      </c>
      <c r="I4" s="798" t="str">
        <f>country</f>
        <v>Indonesia</v>
      </c>
      <c r="J4" s="799"/>
      <c r="K4" s="799"/>
      <c r="L4" s="799"/>
      <c r="M4" s="799"/>
      <c r="N4" s="799"/>
      <c r="O4" s="799"/>
      <c r="P4" s="676"/>
    </row>
    <row r="5" spans="2:16">
      <c r="C5" s="5"/>
      <c r="D5" s="5"/>
      <c r="E5" s="5"/>
      <c r="F5" s="96"/>
      <c r="G5" s="96"/>
      <c r="P5" s="676"/>
    </row>
    <row r="6" spans="2:16" s="160" customFormat="1">
      <c r="C6" s="96" t="s">
        <v>101</v>
      </c>
      <c r="D6" s="96"/>
      <c r="E6" s="96"/>
      <c r="F6" s="96"/>
      <c r="G6" s="96"/>
      <c r="P6"/>
    </row>
    <row r="7" spans="2:16" s="160" customFormat="1">
      <c r="C7" s="96" t="s">
        <v>96</v>
      </c>
      <c r="D7" s="96"/>
      <c r="E7" s="96"/>
      <c r="F7" s="96"/>
      <c r="G7" s="96"/>
      <c r="P7"/>
    </row>
    <row r="9" spans="2:16" ht="13.5" thickBot="1"/>
    <row r="10" spans="2:16" ht="13.5" thickBot="1">
      <c r="C10" s="781" t="s">
        <v>32</v>
      </c>
      <c r="D10" s="782"/>
      <c r="E10" s="782"/>
      <c r="F10" s="782"/>
      <c r="G10" s="782"/>
      <c r="H10" s="782"/>
      <c r="I10" s="782"/>
      <c r="J10" s="782"/>
      <c r="K10" s="782"/>
      <c r="L10" s="782"/>
      <c r="M10" s="782"/>
      <c r="N10" s="782"/>
      <c r="O10" s="782"/>
      <c r="P10" s="783"/>
    </row>
    <row r="11" spans="2:16" ht="13.5" customHeight="1" thickBot="1">
      <c r="C11" s="785" t="s">
        <v>228</v>
      </c>
      <c r="D11" s="785" t="s">
        <v>262</v>
      </c>
      <c r="E11" s="785" t="s">
        <v>267</v>
      </c>
      <c r="F11" s="785" t="s">
        <v>261</v>
      </c>
      <c r="G11" s="785" t="s">
        <v>2</v>
      </c>
      <c r="H11" s="785" t="s">
        <v>16</v>
      </c>
      <c r="I11" s="785" t="s">
        <v>229</v>
      </c>
      <c r="J11" s="800" t="s">
        <v>273</v>
      </c>
      <c r="K11" s="801"/>
      <c r="L11" s="801"/>
      <c r="M11" s="802"/>
      <c r="N11" s="785" t="s">
        <v>146</v>
      </c>
      <c r="O11" s="785" t="s">
        <v>210</v>
      </c>
      <c r="P11" s="784" t="s">
        <v>308</v>
      </c>
    </row>
    <row r="12" spans="2:16" s="1" customFormat="1">
      <c r="B12" s="463" t="s">
        <v>1</v>
      </c>
      <c r="C12" s="803"/>
      <c r="D12" s="803"/>
      <c r="E12" s="803"/>
      <c r="F12" s="803"/>
      <c r="G12" s="803"/>
      <c r="H12" s="803"/>
      <c r="I12" s="803"/>
      <c r="J12" s="467" t="s">
        <v>230</v>
      </c>
      <c r="K12" s="467" t="s">
        <v>231</v>
      </c>
      <c r="L12" s="467" t="s">
        <v>232</v>
      </c>
      <c r="M12" s="463" t="s">
        <v>233</v>
      </c>
      <c r="N12" s="803"/>
      <c r="O12" s="803"/>
      <c r="P12" s="803"/>
    </row>
    <row r="13" spans="2:16" s="3" customFormat="1" ht="13.5" thickBot="1">
      <c r="B13" s="49"/>
      <c r="C13" s="464" t="s">
        <v>15</v>
      </c>
      <c r="D13" s="465" t="s">
        <v>15</v>
      </c>
      <c r="E13" s="465" t="s">
        <v>15</v>
      </c>
      <c r="F13" s="466" t="s">
        <v>15</v>
      </c>
      <c r="G13" s="465" t="s">
        <v>15</v>
      </c>
      <c r="H13" s="466" t="s">
        <v>15</v>
      </c>
      <c r="I13" s="466" t="s">
        <v>15</v>
      </c>
      <c r="J13" s="466" t="s">
        <v>15</v>
      </c>
      <c r="K13" s="466" t="s">
        <v>15</v>
      </c>
      <c r="L13" s="466" t="s">
        <v>15</v>
      </c>
      <c r="M13" s="466" t="s">
        <v>15</v>
      </c>
      <c r="N13" s="466" t="s">
        <v>15</v>
      </c>
      <c r="O13" s="553" t="s">
        <v>15</v>
      </c>
      <c r="P13" s="553" t="s">
        <v>15</v>
      </c>
    </row>
    <row r="14" spans="2:16">
      <c r="B14" s="156">
        <f>year</f>
        <v>2000</v>
      </c>
      <c r="C14" s="698">
        <f>Activity!$C13*Activity!$D13*Activity!E13</f>
        <v>0</v>
      </c>
      <c r="D14" s="699">
        <f>Activity!$C13*Activity!$D13*Activity!F13</f>
        <v>0</v>
      </c>
      <c r="E14" s="699">
        <f>Activity!$C13*Activity!$D13*Activity!G13</f>
        <v>0</v>
      </c>
      <c r="F14" s="699">
        <f>Activity!$C13*Activity!$D13*Activity!H13</f>
        <v>0</v>
      </c>
      <c r="G14" s="699">
        <f>Activity!$C13*Activity!$D13*Activity!I13</f>
        <v>0</v>
      </c>
      <c r="H14" s="699">
        <f>Activity!$C13*Activity!$D13*Activity!J13</f>
        <v>0</v>
      </c>
      <c r="I14" s="699">
        <f>Activity!$C13*Activity!$D13*Activity!K13</f>
        <v>0</v>
      </c>
      <c r="J14" s="699">
        <f>Activity!$C13*Activity!$D13*Activity!L13</f>
        <v>0</v>
      </c>
      <c r="K14" s="700">
        <f>Activity!$C13*Activity!$D13*Activity!M13</f>
        <v>0</v>
      </c>
      <c r="L14" s="700">
        <f>Activity!$C13*Activity!$D13*Activity!N13</f>
        <v>0</v>
      </c>
      <c r="M14" s="699">
        <f>Activity!$C13*Activity!$D13*Activity!O13</f>
        <v>0</v>
      </c>
      <c r="N14" s="526">
        <v>0</v>
      </c>
      <c r="O14" s="707">
        <f>Activity!C13*Activity!D13</f>
        <v>0</v>
      </c>
      <c r="P14" s="708">
        <f>Activity!X13</f>
        <v>0</v>
      </c>
    </row>
    <row r="15" spans="2:16">
      <c r="B15" s="55">
        <f>B14+1</f>
        <v>2001</v>
      </c>
      <c r="C15" s="701">
        <f>Activity!$C14*Activity!$D14*Activity!E14</f>
        <v>0</v>
      </c>
      <c r="D15" s="702">
        <f>Activity!$C14*Activity!$D14*Activity!F14</f>
        <v>0</v>
      </c>
      <c r="E15" s="700">
        <f>Activity!$C14*Activity!$D14*Activity!G14</f>
        <v>0</v>
      </c>
      <c r="F15" s="702">
        <f>Activity!$C14*Activity!$D14*Activity!H14</f>
        <v>0</v>
      </c>
      <c r="G15" s="702">
        <f>Activity!$C14*Activity!$D14*Activity!I14</f>
        <v>0</v>
      </c>
      <c r="H15" s="702">
        <f>Activity!$C14*Activity!$D14*Activity!J14</f>
        <v>0</v>
      </c>
      <c r="I15" s="702">
        <f>Activity!$C14*Activity!$D14*Activity!K14</f>
        <v>0</v>
      </c>
      <c r="J15" s="703">
        <f>Activity!$C14*Activity!$D14*Activity!L14</f>
        <v>0</v>
      </c>
      <c r="K15" s="702">
        <f>Activity!$C14*Activity!$D14*Activity!M14</f>
        <v>0</v>
      </c>
      <c r="L15" s="702">
        <f>Activity!$C14*Activity!$D14*Activity!N14</f>
        <v>0</v>
      </c>
      <c r="M15" s="700">
        <f>Activity!$C14*Activity!$D14*Activity!O14</f>
        <v>0</v>
      </c>
      <c r="N15" s="527">
        <v>0</v>
      </c>
      <c r="O15" s="702">
        <f>Activity!C14*Activity!D14</f>
        <v>0</v>
      </c>
      <c r="P15" s="709">
        <f>Activity!X14</f>
        <v>0</v>
      </c>
    </row>
    <row r="16" spans="2:16">
      <c r="B16" s="7">
        <f t="shared" ref="B16:B21" si="0">B15+1</f>
        <v>2002</v>
      </c>
      <c r="C16" s="701">
        <f>Activity!$C15*Activity!$D15*Activity!E15</f>
        <v>0</v>
      </c>
      <c r="D16" s="702">
        <f>Activity!$C15*Activity!$D15*Activity!F15</f>
        <v>0</v>
      </c>
      <c r="E16" s="700">
        <f>Activity!$C15*Activity!$D15*Activity!G15</f>
        <v>0</v>
      </c>
      <c r="F16" s="702">
        <f>Activity!$C15*Activity!$D15*Activity!H15</f>
        <v>0</v>
      </c>
      <c r="G16" s="702">
        <f>Activity!$C15*Activity!$D15*Activity!I15</f>
        <v>0</v>
      </c>
      <c r="H16" s="702">
        <f>Activity!$C15*Activity!$D15*Activity!J15</f>
        <v>0</v>
      </c>
      <c r="I16" s="702">
        <f>Activity!$C15*Activity!$D15*Activity!K15</f>
        <v>0</v>
      </c>
      <c r="J16" s="703">
        <f>Activity!$C15*Activity!$D15*Activity!L15</f>
        <v>0</v>
      </c>
      <c r="K16" s="702">
        <f>Activity!$C15*Activity!$D15*Activity!M15</f>
        <v>0</v>
      </c>
      <c r="L16" s="702">
        <f>Activity!$C15*Activity!$D15*Activity!N15</f>
        <v>0</v>
      </c>
      <c r="M16" s="700">
        <f>Activity!$C15*Activity!$D15*Activity!O15</f>
        <v>0</v>
      </c>
      <c r="N16" s="527">
        <v>0</v>
      </c>
      <c r="O16" s="702">
        <f>Activity!C15*Activity!D15</f>
        <v>0</v>
      </c>
      <c r="P16" s="709">
        <f>Activity!X15</f>
        <v>0</v>
      </c>
    </row>
    <row r="17" spans="2:16">
      <c r="B17" s="7">
        <f t="shared" si="0"/>
        <v>2003</v>
      </c>
      <c r="C17" s="701">
        <f>Activity!$C16*Activity!$D16*Activity!E16</f>
        <v>0</v>
      </c>
      <c r="D17" s="702">
        <f>Activity!$C16*Activity!$D16*Activity!F16</f>
        <v>0</v>
      </c>
      <c r="E17" s="700">
        <f>Activity!$C16*Activity!$D16*Activity!G16</f>
        <v>0</v>
      </c>
      <c r="F17" s="702">
        <f>Activity!$C16*Activity!$D16*Activity!H16</f>
        <v>0</v>
      </c>
      <c r="G17" s="702">
        <f>Activity!$C16*Activity!$D16*Activity!I16</f>
        <v>0</v>
      </c>
      <c r="H17" s="702">
        <f>Activity!$C16*Activity!$D16*Activity!J16</f>
        <v>0</v>
      </c>
      <c r="I17" s="702">
        <f>Activity!$C16*Activity!$D16*Activity!K16</f>
        <v>0</v>
      </c>
      <c r="J17" s="703">
        <f>Activity!$C16*Activity!$D16*Activity!L16</f>
        <v>0</v>
      </c>
      <c r="K17" s="702">
        <f>Activity!$C16*Activity!$D16*Activity!M16</f>
        <v>0</v>
      </c>
      <c r="L17" s="702">
        <f>Activity!$C16*Activity!$D16*Activity!N16</f>
        <v>0</v>
      </c>
      <c r="M17" s="700">
        <f>Activity!$C16*Activity!$D16*Activity!O16</f>
        <v>0</v>
      </c>
      <c r="N17" s="527">
        <v>0</v>
      </c>
      <c r="O17" s="702">
        <f>Activity!C16*Activity!D16</f>
        <v>0</v>
      </c>
      <c r="P17" s="709">
        <f>Activity!X16</f>
        <v>0</v>
      </c>
    </row>
    <row r="18" spans="2:16">
      <c r="B18" s="7">
        <f t="shared" si="0"/>
        <v>2004</v>
      </c>
      <c r="C18" s="701">
        <f>Activity!$C17*Activity!$D17*Activity!E17</f>
        <v>0</v>
      </c>
      <c r="D18" s="702">
        <f>Activity!$C17*Activity!$D17*Activity!F17</f>
        <v>0</v>
      </c>
      <c r="E18" s="700">
        <f>Activity!$C17*Activity!$D17*Activity!G17</f>
        <v>0</v>
      </c>
      <c r="F18" s="702">
        <f>Activity!$C17*Activity!$D17*Activity!H17</f>
        <v>0</v>
      </c>
      <c r="G18" s="702">
        <f>Activity!$C17*Activity!$D17*Activity!I17</f>
        <v>0</v>
      </c>
      <c r="H18" s="702">
        <f>Activity!$C17*Activity!$D17*Activity!J17</f>
        <v>0</v>
      </c>
      <c r="I18" s="702">
        <f>Activity!$C17*Activity!$D17*Activity!K17</f>
        <v>0</v>
      </c>
      <c r="J18" s="703">
        <f>Activity!$C17*Activity!$D17*Activity!L17</f>
        <v>0</v>
      </c>
      <c r="K18" s="702">
        <f>Activity!$C17*Activity!$D17*Activity!M17</f>
        <v>0</v>
      </c>
      <c r="L18" s="702">
        <f>Activity!$C17*Activity!$D17*Activity!N17</f>
        <v>0</v>
      </c>
      <c r="M18" s="700">
        <f>Activity!$C17*Activity!$D17*Activity!O17</f>
        <v>0</v>
      </c>
      <c r="N18" s="527">
        <v>0</v>
      </c>
      <c r="O18" s="702">
        <f>Activity!C17*Activity!D17</f>
        <v>0</v>
      </c>
      <c r="P18" s="709">
        <f>Activity!X17</f>
        <v>0</v>
      </c>
    </row>
    <row r="19" spans="2:16">
      <c r="B19" s="7">
        <f t="shared" si="0"/>
        <v>2005</v>
      </c>
      <c r="C19" s="701">
        <f>Activity!$C18*Activity!$D18*Activity!E18</f>
        <v>0</v>
      </c>
      <c r="D19" s="702">
        <f>Activity!$C18*Activity!$D18*Activity!F18</f>
        <v>0</v>
      </c>
      <c r="E19" s="700">
        <f>Activity!$C18*Activity!$D18*Activity!G18</f>
        <v>0</v>
      </c>
      <c r="F19" s="702">
        <f>Activity!$C18*Activity!$D18*Activity!H18</f>
        <v>0</v>
      </c>
      <c r="G19" s="702">
        <f>Activity!$C18*Activity!$D18*Activity!I18</f>
        <v>0</v>
      </c>
      <c r="H19" s="702">
        <f>Activity!$C18*Activity!$D18*Activity!J18</f>
        <v>0</v>
      </c>
      <c r="I19" s="702">
        <f>Activity!$C18*Activity!$D18*Activity!K18</f>
        <v>0</v>
      </c>
      <c r="J19" s="703">
        <f>Activity!$C18*Activity!$D18*Activity!L18</f>
        <v>0</v>
      </c>
      <c r="K19" s="702">
        <f>Activity!$C18*Activity!$D18*Activity!M18</f>
        <v>0</v>
      </c>
      <c r="L19" s="702">
        <f>Activity!$C18*Activity!$D18*Activity!N18</f>
        <v>0</v>
      </c>
      <c r="M19" s="700">
        <f>Activity!$C18*Activity!$D18*Activity!O18</f>
        <v>0</v>
      </c>
      <c r="N19" s="527">
        <v>0</v>
      </c>
      <c r="O19" s="702">
        <f>Activity!C18*Activity!D18</f>
        <v>0</v>
      </c>
      <c r="P19" s="709">
        <f>Activity!X18</f>
        <v>0</v>
      </c>
    </row>
    <row r="20" spans="2:16">
      <c r="B20" s="7">
        <f t="shared" si="0"/>
        <v>2006</v>
      </c>
      <c r="C20" s="701">
        <f>Activity!$C19*Activity!$D19*Activity!E19</f>
        <v>0</v>
      </c>
      <c r="D20" s="702">
        <f>Activity!$C19*Activity!$D19*Activity!F19</f>
        <v>0</v>
      </c>
      <c r="E20" s="700">
        <f>Activity!$C19*Activity!$D19*Activity!G19</f>
        <v>0</v>
      </c>
      <c r="F20" s="702">
        <f>Activity!$C19*Activity!$D19*Activity!H19</f>
        <v>0</v>
      </c>
      <c r="G20" s="702">
        <f>Activity!$C19*Activity!$D19*Activity!I19</f>
        <v>0</v>
      </c>
      <c r="H20" s="702">
        <f>Activity!$C19*Activity!$D19*Activity!J19</f>
        <v>0</v>
      </c>
      <c r="I20" s="702">
        <f>Activity!$C19*Activity!$D19*Activity!K19</f>
        <v>0</v>
      </c>
      <c r="J20" s="703">
        <f>Activity!$C19*Activity!$D19*Activity!L19</f>
        <v>0</v>
      </c>
      <c r="K20" s="702">
        <f>Activity!$C19*Activity!$D19*Activity!M19</f>
        <v>0</v>
      </c>
      <c r="L20" s="702">
        <f>Activity!$C19*Activity!$D19*Activity!N19</f>
        <v>0</v>
      </c>
      <c r="M20" s="700">
        <f>Activity!$C19*Activity!$D19*Activity!O19</f>
        <v>0</v>
      </c>
      <c r="N20" s="527">
        <v>0</v>
      </c>
      <c r="O20" s="702">
        <f>Activity!C19*Activity!D19</f>
        <v>0</v>
      </c>
      <c r="P20" s="709">
        <f>Activity!X19</f>
        <v>0</v>
      </c>
    </row>
    <row r="21" spans="2:16">
      <c r="B21" s="7">
        <f t="shared" si="0"/>
        <v>2007</v>
      </c>
      <c r="C21" s="701">
        <f>Activity!$C20*Activity!$D20*Activity!E20</f>
        <v>0</v>
      </c>
      <c r="D21" s="702">
        <f>Activity!$C20*Activity!$D20*Activity!F20</f>
        <v>0</v>
      </c>
      <c r="E21" s="700">
        <f>Activity!$C20*Activity!$D20*Activity!G20</f>
        <v>0</v>
      </c>
      <c r="F21" s="702">
        <f>Activity!$C20*Activity!$D20*Activity!H20</f>
        <v>0</v>
      </c>
      <c r="G21" s="702">
        <f>Activity!$C20*Activity!$D20*Activity!I20</f>
        <v>0</v>
      </c>
      <c r="H21" s="702">
        <f>Activity!$C20*Activity!$D20*Activity!J20</f>
        <v>0</v>
      </c>
      <c r="I21" s="702">
        <f>Activity!$C20*Activity!$D20*Activity!K20</f>
        <v>0</v>
      </c>
      <c r="J21" s="703">
        <f>Activity!$C20*Activity!$D20*Activity!L20</f>
        <v>0</v>
      </c>
      <c r="K21" s="702">
        <f>Activity!$C20*Activity!$D20*Activity!M20</f>
        <v>0</v>
      </c>
      <c r="L21" s="702">
        <f>Activity!$C20*Activity!$D20*Activity!N20</f>
        <v>0</v>
      </c>
      <c r="M21" s="700">
        <f>Activity!$C20*Activity!$D20*Activity!O20</f>
        <v>0</v>
      </c>
      <c r="N21" s="527">
        <v>0</v>
      </c>
      <c r="O21" s="702">
        <f>Activity!C20*Activity!D20</f>
        <v>0</v>
      </c>
      <c r="P21" s="709">
        <f>Activity!X20</f>
        <v>0</v>
      </c>
    </row>
    <row r="22" spans="2:16">
      <c r="B22" s="7">
        <f t="shared" ref="B22:B85" si="1">B21+1</f>
        <v>2008</v>
      </c>
      <c r="C22" s="701">
        <f>Activity!$C21*Activity!$D21*Activity!E21</f>
        <v>0</v>
      </c>
      <c r="D22" s="702">
        <f>Activity!$C21*Activity!$D21*Activity!F21</f>
        <v>0</v>
      </c>
      <c r="E22" s="700">
        <f>Activity!$C21*Activity!$D21*Activity!G21</f>
        <v>0</v>
      </c>
      <c r="F22" s="702">
        <f>Activity!$C21*Activity!$D21*Activity!H21</f>
        <v>0</v>
      </c>
      <c r="G22" s="702">
        <f>Activity!$C21*Activity!$D21*Activity!I21</f>
        <v>0</v>
      </c>
      <c r="H22" s="702">
        <f>Activity!$C21*Activity!$D21*Activity!J21</f>
        <v>0</v>
      </c>
      <c r="I22" s="702">
        <f>Activity!$C21*Activity!$D21*Activity!K21</f>
        <v>0</v>
      </c>
      <c r="J22" s="703">
        <f>Activity!$C21*Activity!$D21*Activity!L21</f>
        <v>0</v>
      </c>
      <c r="K22" s="702">
        <f>Activity!$C21*Activity!$D21*Activity!M21</f>
        <v>0</v>
      </c>
      <c r="L22" s="702">
        <f>Activity!$C21*Activity!$D21*Activity!N21</f>
        <v>0</v>
      </c>
      <c r="M22" s="700">
        <f>Activity!$C21*Activity!$D21*Activity!O21</f>
        <v>0</v>
      </c>
      <c r="N22" s="527">
        <v>0</v>
      </c>
      <c r="O22" s="702">
        <f>Activity!C21*Activity!D21</f>
        <v>0</v>
      </c>
      <c r="P22" s="709">
        <f>Activity!X21</f>
        <v>0</v>
      </c>
    </row>
    <row r="23" spans="2:16">
      <c r="B23" s="7">
        <f t="shared" si="1"/>
        <v>2009</v>
      </c>
      <c r="C23" s="701">
        <f>Activity!$C22*Activity!$D22*Activity!E22</f>
        <v>0</v>
      </c>
      <c r="D23" s="702">
        <f>Activity!$C22*Activity!$D22*Activity!F22</f>
        <v>0</v>
      </c>
      <c r="E23" s="700">
        <f>Activity!$C22*Activity!$D22*Activity!G22</f>
        <v>0</v>
      </c>
      <c r="F23" s="702">
        <f>Activity!$C22*Activity!$D22*Activity!H22</f>
        <v>0</v>
      </c>
      <c r="G23" s="702">
        <f>Activity!$C22*Activity!$D22*Activity!I22</f>
        <v>0</v>
      </c>
      <c r="H23" s="702">
        <f>Activity!$C22*Activity!$D22*Activity!J22</f>
        <v>0</v>
      </c>
      <c r="I23" s="702">
        <f>Activity!$C22*Activity!$D22*Activity!K22</f>
        <v>0</v>
      </c>
      <c r="J23" s="703">
        <f>Activity!$C22*Activity!$D22*Activity!L22</f>
        <v>0</v>
      </c>
      <c r="K23" s="702">
        <f>Activity!$C22*Activity!$D22*Activity!M22</f>
        <v>0</v>
      </c>
      <c r="L23" s="702">
        <f>Activity!$C22*Activity!$D22*Activity!N22</f>
        <v>0</v>
      </c>
      <c r="M23" s="700">
        <f>Activity!$C22*Activity!$D22*Activity!O22</f>
        <v>0</v>
      </c>
      <c r="N23" s="527">
        <v>0</v>
      </c>
      <c r="O23" s="702">
        <f>Activity!C22*Activity!D22</f>
        <v>0</v>
      </c>
      <c r="P23" s="709">
        <f>Activity!X22</f>
        <v>0</v>
      </c>
    </row>
    <row r="24" spans="2:16">
      <c r="B24" s="7">
        <f t="shared" si="1"/>
        <v>2010</v>
      </c>
      <c r="C24" s="701">
        <f>Activity!$C23*Activity!$D23*Activity!E23</f>
        <v>0</v>
      </c>
      <c r="D24" s="702">
        <f>Activity!$C23*Activity!$D23*Activity!F23</f>
        <v>0</v>
      </c>
      <c r="E24" s="700">
        <f>Activity!$C23*Activity!$D23*Activity!G23</f>
        <v>0</v>
      </c>
      <c r="F24" s="702">
        <f>Activity!$C23*Activity!$D23*Activity!H23</f>
        <v>0</v>
      </c>
      <c r="G24" s="702">
        <f>Activity!$C23*Activity!$D23*Activity!I23</f>
        <v>0</v>
      </c>
      <c r="H24" s="702">
        <f>Activity!$C23*Activity!$D23*Activity!J23</f>
        <v>0</v>
      </c>
      <c r="I24" s="702">
        <f>Activity!$C23*Activity!$D23*Activity!K23</f>
        <v>0</v>
      </c>
      <c r="J24" s="703">
        <f>Activity!$C23*Activity!$D23*Activity!L23</f>
        <v>0</v>
      </c>
      <c r="K24" s="702">
        <f>Activity!$C23*Activity!$D23*Activity!M23</f>
        <v>0</v>
      </c>
      <c r="L24" s="702">
        <f>Activity!$C23*Activity!$D23*Activity!N23</f>
        <v>0</v>
      </c>
      <c r="M24" s="700">
        <f>Activity!$C23*Activity!$D23*Activity!O23</f>
        <v>0</v>
      </c>
      <c r="N24" s="527">
        <v>0</v>
      </c>
      <c r="O24" s="702">
        <f>Activity!C23*Activity!D23</f>
        <v>0</v>
      </c>
      <c r="P24" s="709">
        <f>Activity!X23</f>
        <v>0</v>
      </c>
    </row>
    <row r="25" spans="2:16">
      <c r="B25" s="7">
        <f t="shared" si="1"/>
        <v>2011</v>
      </c>
      <c r="C25" s="701">
        <f>Activity!$C24*Activity!$D24*Activity!E24</f>
        <v>0</v>
      </c>
      <c r="D25" s="702">
        <f>Activity!$C24*Activity!$D24*Activity!F24</f>
        <v>0</v>
      </c>
      <c r="E25" s="700">
        <f>Activity!$C24*Activity!$D24*Activity!G24</f>
        <v>0</v>
      </c>
      <c r="F25" s="702">
        <f>Activity!$C24*Activity!$D24*Activity!H24</f>
        <v>0</v>
      </c>
      <c r="G25" s="702">
        <f>Activity!$C24*Activity!$D24*Activity!I24</f>
        <v>0</v>
      </c>
      <c r="H25" s="702">
        <f>Activity!$C24*Activity!$D24*Activity!J24</f>
        <v>0</v>
      </c>
      <c r="I25" s="702">
        <f>Activity!$C24*Activity!$D24*Activity!K24</f>
        <v>0</v>
      </c>
      <c r="J25" s="703">
        <f>Activity!$C24*Activity!$D24*Activity!L24</f>
        <v>0</v>
      </c>
      <c r="K25" s="702">
        <f>Activity!$C24*Activity!$D24*Activity!M24</f>
        <v>0</v>
      </c>
      <c r="L25" s="702">
        <f>Activity!$C24*Activity!$D24*Activity!N24</f>
        <v>0</v>
      </c>
      <c r="M25" s="700">
        <f>Activity!$C24*Activity!$D24*Activity!O24</f>
        <v>0</v>
      </c>
      <c r="N25" s="527">
        <v>0</v>
      </c>
      <c r="O25" s="702">
        <f>Activity!C24*Activity!D24</f>
        <v>0</v>
      </c>
      <c r="P25" s="709">
        <f>Activity!X24</f>
        <v>0</v>
      </c>
    </row>
    <row r="26" spans="2:16">
      <c r="B26" s="7">
        <f t="shared" si="1"/>
        <v>2012</v>
      </c>
      <c r="C26" s="701">
        <f>Activity!$C25*Activity!$D25*Activity!E25</f>
        <v>0</v>
      </c>
      <c r="D26" s="702">
        <f>Activity!$C25*Activity!$D25*Activity!F25</f>
        <v>0</v>
      </c>
      <c r="E26" s="700">
        <f>Activity!$C25*Activity!$D25*Activity!G25</f>
        <v>0</v>
      </c>
      <c r="F26" s="702">
        <f>Activity!$C25*Activity!$D25*Activity!H25</f>
        <v>0</v>
      </c>
      <c r="G26" s="702">
        <f>Activity!$C25*Activity!$D25*Activity!I25</f>
        <v>0</v>
      </c>
      <c r="H26" s="702">
        <f>Activity!$C25*Activity!$D25*Activity!J25</f>
        <v>0</v>
      </c>
      <c r="I26" s="702">
        <f>Activity!$C25*Activity!$D25*Activity!K25</f>
        <v>0</v>
      </c>
      <c r="J26" s="703">
        <f>Activity!$C25*Activity!$D25*Activity!L25</f>
        <v>0</v>
      </c>
      <c r="K26" s="702">
        <f>Activity!$C25*Activity!$D25*Activity!M25</f>
        <v>0</v>
      </c>
      <c r="L26" s="702">
        <f>Activity!$C25*Activity!$D25*Activity!N25</f>
        <v>0</v>
      </c>
      <c r="M26" s="700">
        <f>Activity!$C25*Activity!$D25*Activity!O25</f>
        <v>0</v>
      </c>
      <c r="N26" s="527">
        <v>0</v>
      </c>
      <c r="O26" s="702">
        <f>Activity!C25*Activity!D25</f>
        <v>0</v>
      </c>
      <c r="P26" s="709">
        <f>Activity!X25</f>
        <v>0</v>
      </c>
    </row>
    <row r="27" spans="2:16">
      <c r="B27" s="7">
        <f t="shared" si="1"/>
        <v>2013</v>
      </c>
      <c r="C27" s="701">
        <f>Activity!$C26*Activity!$D26*Activity!E26</f>
        <v>0</v>
      </c>
      <c r="D27" s="702">
        <f>Activity!$C26*Activity!$D26*Activity!F26</f>
        <v>0</v>
      </c>
      <c r="E27" s="700">
        <f>Activity!$C26*Activity!$D26*Activity!G26</f>
        <v>0</v>
      </c>
      <c r="F27" s="702">
        <f>Activity!$C26*Activity!$D26*Activity!H26</f>
        <v>0</v>
      </c>
      <c r="G27" s="702">
        <f>Activity!$C26*Activity!$D26*Activity!I26</f>
        <v>0</v>
      </c>
      <c r="H27" s="702">
        <f>Activity!$C26*Activity!$D26*Activity!J26</f>
        <v>0</v>
      </c>
      <c r="I27" s="702">
        <f>Activity!$C26*Activity!$D26*Activity!K26</f>
        <v>0</v>
      </c>
      <c r="J27" s="703">
        <f>Activity!$C26*Activity!$D26*Activity!L26</f>
        <v>0</v>
      </c>
      <c r="K27" s="702">
        <f>Activity!$C26*Activity!$D26*Activity!M26</f>
        <v>0</v>
      </c>
      <c r="L27" s="702">
        <f>Activity!$C26*Activity!$D26*Activity!N26</f>
        <v>0</v>
      </c>
      <c r="M27" s="700">
        <f>Activity!$C26*Activity!$D26*Activity!O26</f>
        <v>0</v>
      </c>
      <c r="N27" s="527">
        <v>0</v>
      </c>
      <c r="O27" s="702">
        <f>Activity!C26*Activity!D26</f>
        <v>0</v>
      </c>
      <c r="P27" s="709">
        <f>Activity!X26</f>
        <v>0</v>
      </c>
    </row>
    <row r="28" spans="2:16">
      <c r="B28" s="7">
        <f t="shared" si="1"/>
        <v>2014</v>
      </c>
      <c r="C28" s="701">
        <f>Activity!$C27*Activity!$D27*Activity!E27</f>
        <v>0</v>
      </c>
      <c r="D28" s="702">
        <f>Activity!$C27*Activity!$D27*Activity!F27</f>
        <v>0</v>
      </c>
      <c r="E28" s="700">
        <f>Activity!$C27*Activity!$D27*Activity!G27</f>
        <v>0</v>
      </c>
      <c r="F28" s="702">
        <f>Activity!$C27*Activity!$D27*Activity!H27</f>
        <v>0</v>
      </c>
      <c r="G28" s="702">
        <f>Activity!$C27*Activity!$D27*Activity!I27</f>
        <v>0</v>
      </c>
      <c r="H28" s="702">
        <f>Activity!$C27*Activity!$D27*Activity!J27</f>
        <v>0</v>
      </c>
      <c r="I28" s="702">
        <f>Activity!$C27*Activity!$D27*Activity!K27</f>
        <v>0</v>
      </c>
      <c r="J28" s="703">
        <f>Activity!$C27*Activity!$D27*Activity!L27</f>
        <v>0</v>
      </c>
      <c r="K28" s="702">
        <f>Activity!$C27*Activity!$D27*Activity!M27</f>
        <v>0</v>
      </c>
      <c r="L28" s="702">
        <f>Activity!$C27*Activity!$D27*Activity!N27</f>
        <v>0</v>
      </c>
      <c r="M28" s="700">
        <f>Activity!$C27*Activity!$D27*Activity!O27</f>
        <v>0</v>
      </c>
      <c r="N28" s="527">
        <v>0</v>
      </c>
      <c r="O28" s="702">
        <f>Activity!C27*Activity!D27</f>
        <v>0</v>
      </c>
      <c r="P28" s="709">
        <f>Activity!X27</f>
        <v>0</v>
      </c>
    </row>
    <row r="29" spans="2:16">
      <c r="B29" s="7">
        <f t="shared" si="1"/>
        <v>2015</v>
      </c>
      <c r="C29" s="701">
        <f>Activity!$C28*Activity!$D28*Activity!E28</f>
        <v>0</v>
      </c>
      <c r="D29" s="702">
        <f>Activity!$C28*Activity!$D28*Activity!F28</f>
        <v>0</v>
      </c>
      <c r="E29" s="700">
        <f>Activity!$C28*Activity!$D28*Activity!G28</f>
        <v>0</v>
      </c>
      <c r="F29" s="702">
        <f>Activity!$C28*Activity!$D28*Activity!H28</f>
        <v>0</v>
      </c>
      <c r="G29" s="702">
        <f>Activity!$C28*Activity!$D28*Activity!I28</f>
        <v>0</v>
      </c>
      <c r="H29" s="702">
        <f>Activity!$C28*Activity!$D28*Activity!J28</f>
        <v>0</v>
      </c>
      <c r="I29" s="702">
        <f>Activity!$C28*Activity!$D28*Activity!K28</f>
        <v>0</v>
      </c>
      <c r="J29" s="703">
        <f>Activity!$C28*Activity!$D28*Activity!L28</f>
        <v>0</v>
      </c>
      <c r="K29" s="702">
        <f>Activity!$C28*Activity!$D28*Activity!M28</f>
        <v>0</v>
      </c>
      <c r="L29" s="702">
        <f>Activity!$C28*Activity!$D28*Activity!N28</f>
        <v>0</v>
      </c>
      <c r="M29" s="700">
        <f>Activity!$C28*Activity!$D28*Activity!O28</f>
        <v>0</v>
      </c>
      <c r="N29" s="527">
        <v>0</v>
      </c>
      <c r="O29" s="702">
        <f>Activity!C28*Activity!D28</f>
        <v>0</v>
      </c>
      <c r="P29" s="709">
        <f>Activity!X28</f>
        <v>0</v>
      </c>
    </row>
    <row r="30" spans="2:16">
      <c r="B30" s="7">
        <f t="shared" si="1"/>
        <v>2016</v>
      </c>
      <c r="C30" s="701">
        <f>Activity!$C29*Activity!$D29*Activity!E29</f>
        <v>0</v>
      </c>
      <c r="D30" s="702">
        <f>Activity!$C29*Activity!$D29*Activity!F29</f>
        <v>0</v>
      </c>
      <c r="E30" s="700">
        <f>Activity!$C29*Activity!$D29*Activity!G29</f>
        <v>0</v>
      </c>
      <c r="F30" s="702">
        <f>Activity!$C29*Activity!$D29*Activity!H29</f>
        <v>0</v>
      </c>
      <c r="G30" s="702">
        <f>Activity!$C29*Activity!$D29*Activity!I29</f>
        <v>0</v>
      </c>
      <c r="H30" s="702">
        <f>Activity!$C29*Activity!$D29*Activity!J29</f>
        <v>0</v>
      </c>
      <c r="I30" s="702">
        <f>Activity!$C29*Activity!$D29*Activity!K29</f>
        <v>0</v>
      </c>
      <c r="J30" s="703">
        <f>Activity!$C29*Activity!$D29*Activity!L29</f>
        <v>0</v>
      </c>
      <c r="K30" s="702">
        <f>Activity!$C29*Activity!$D29*Activity!M29</f>
        <v>0</v>
      </c>
      <c r="L30" s="702">
        <f>Activity!$C29*Activity!$D29*Activity!N29</f>
        <v>0</v>
      </c>
      <c r="M30" s="700">
        <f>Activity!$C29*Activity!$D29*Activity!O29</f>
        <v>0</v>
      </c>
      <c r="N30" s="527">
        <v>0</v>
      </c>
      <c r="O30" s="702">
        <f>Activity!C29*Activity!D29</f>
        <v>0</v>
      </c>
      <c r="P30" s="709">
        <f>Activity!X29</f>
        <v>0</v>
      </c>
    </row>
    <row r="31" spans="2:16">
      <c r="B31" s="7">
        <f t="shared" si="1"/>
        <v>2017</v>
      </c>
      <c r="C31" s="701">
        <f>Activity!$C30*Activity!$D30*Activity!E30</f>
        <v>0</v>
      </c>
      <c r="D31" s="702">
        <f>Activity!$C30*Activity!$D30*Activity!F30</f>
        <v>0</v>
      </c>
      <c r="E31" s="700">
        <f>Activity!$C30*Activity!$D30*Activity!G30</f>
        <v>0</v>
      </c>
      <c r="F31" s="702">
        <f>Activity!$C30*Activity!$D30*Activity!H30</f>
        <v>0</v>
      </c>
      <c r="G31" s="702">
        <f>Activity!$C30*Activity!$D30*Activity!I30</f>
        <v>0</v>
      </c>
      <c r="H31" s="702">
        <f>Activity!$C30*Activity!$D30*Activity!J30</f>
        <v>0</v>
      </c>
      <c r="I31" s="702">
        <f>Activity!$C30*Activity!$D30*Activity!K30</f>
        <v>0</v>
      </c>
      <c r="J31" s="703">
        <f>Activity!$C30*Activity!$D30*Activity!L30</f>
        <v>0</v>
      </c>
      <c r="K31" s="702">
        <f>Activity!$C30*Activity!$D30*Activity!M30</f>
        <v>0</v>
      </c>
      <c r="L31" s="702">
        <f>Activity!$C30*Activity!$D30*Activity!N30</f>
        <v>0</v>
      </c>
      <c r="M31" s="700">
        <f>Activity!$C30*Activity!$D30*Activity!O30</f>
        <v>0</v>
      </c>
      <c r="N31" s="527">
        <v>0</v>
      </c>
      <c r="O31" s="702">
        <f>Activity!C30*Activity!D30</f>
        <v>0</v>
      </c>
      <c r="P31" s="709">
        <f>Activity!X30</f>
        <v>0</v>
      </c>
    </row>
    <row r="32" spans="2:16">
      <c r="B32" s="7">
        <f t="shared" si="1"/>
        <v>2018</v>
      </c>
      <c r="C32" s="701">
        <f>Activity!$C31*Activity!$D31*Activity!E31</f>
        <v>0</v>
      </c>
      <c r="D32" s="702">
        <f>Activity!$C31*Activity!$D31*Activity!F31</f>
        <v>0</v>
      </c>
      <c r="E32" s="700">
        <f>Activity!$C31*Activity!$D31*Activity!G31</f>
        <v>0</v>
      </c>
      <c r="F32" s="702">
        <f>Activity!$C31*Activity!$D31*Activity!H31</f>
        <v>0</v>
      </c>
      <c r="G32" s="702">
        <f>Activity!$C31*Activity!$D31*Activity!I31</f>
        <v>0</v>
      </c>
      <c r="H32" s="702">
        <f>Activity!$C31*Activity!$D31*Activity!J31</f>
        <v>0</v>
      </c>
      <c r="I32" s="702">
        <f>Activity!$C31*Activity!$D31*Activity!K31</f>
        <v>0</v>
      </c>
      <c r="J32" s="703">
        <f>Activity!$C31*Activity!$D31*Activity!L31</f>
        <v>0</v>
      </c>
      <c r="K32" s="702">
        <f>Activity!$C31*Activity!$D31*Activity!M31</f>
        <v>0</v>
      </c>
      <c r="L32" s="702">
        <f>Activity!$C31*Activity!$D31*Activity!N31</f>
        <v>0</v>
      </c>
      <c r="M32" s="700">
        <f>Activity!$C31*Activity!$D31*Activity!O31</f>
        <v>0</v>
      </c>
      <c r="N32" s="527">
        <v>0</v>
      </c>
      <c r="O32" s="702">
        <f>Activity!C31*Activity!D31</f>
        <v>0</v>
      </c>
      <c r="P32" s="709">
        <f>Activity!X31</f>
        <v>0</v>
      </c>
    </row>
    <row r="33" spans="2:16">
      <c r="B33" s="7">
        <f t="shared" si="1"/>
        <v>2019</v>
      </c>
      <c r="C33" s="701">
        <f>Activity!$C32*Activity!$D32*Activity!E32</f>
        <v>0</v>
      </c>
      <c r="D33" s="702">
        <f>Activity!$C32*Activity!$D32*Activity!F32</f>
        <v>0</v>
      </c>
      <c r="E33" s="700">
        <f>Activity!$C32*Activity!$D32*Activity!G32</f>
        <v>0</v>
      </c>
      <c r="F33" s="702">
        <f>Activity!$C32*Activity!$D32*Activity!H32</f>
        <v>0</v>
      </c>
      <c r="G33" s="702">
        <f>Activity!$C32*Activity!$D32*Activity!I32</f>
        <v>0</v>
      </c>
      <c r="H33" s="702">
        <f>Activity!$C32*Activity!$D32*Activity!J32</f>
        <v>0</v>
      </c>
      <c r="I33" s="702">
        <f>Activity!$C32*Activity!$D32*Activity!K32</f>
        <v>0</v>
      </c>
      <c r="J33" s="703">
        <f>Activity!$C32*Activity!$D32*Activity!L32</f>
        <v>0</v>
      </c>
      <c r="K33" s="702">
        <f>Activity!$C32*Activity!$D32*Activity!M32</f>
        <v>0</v>
      </c>
      <c r="L33" s="702">
        <f>Activity!$C32*Activity!$D32*Activity!N32</f>
        <v>0</v>
      </c>
      <c r="M33" s="700">
        <f>Activity!$C32*Activity!$D32*Activity!O32</f>
        <v>0</v>
      </c>
      <c r="N33" s="527">
        <v>0</v>
      </c>
      <c r="O33" s="702">
        <f>Activity!C32*Activity!D32</f>
        <v>0</v>
      </c>
      <c r="P33" s="709">
        <f>Activity!X32</f>
        <v>0</v>
      </c>
    </row>
    <row r="34" spans="2:16">
      <c r="B34" s="7">
        <f t="shared" si="1"/>
        <v>2020</v>
      </c>
      <c r="C34" s="701">
        <f>Activity!$C33*Activity!$D33*Activity!E33</f>
        <v>0</v>
      </c>
      <c r="D34" s="702">
        <f>Activity!$C33*Activity!$D33*Activity!F33</f>
        <v>0</v>
      </c>
      <c r="E34" s="700">
        <f>Activity!$C33*Activity!$D33*Activity!G33</f>
        <v>0</v>
      </c>
      <c r="F34" s="702">
        <f>Activity!$C33*Activity!$D33*Activity!H33</f>
        <v>0</v>
      </c>
      <c r="G34" s="702">
        <f>Activity!$C33*Activity!$D33*Activity!I33</f>
        <v>0</v>
      </c>
      <c r="H34" s="702">
        <f>Activity!$C33*Activity!$D33*Activity!J33</f>
        <v>0</v>
      </c>
      <c r="I34" s="702">
        <f>Activity!$C33*Activity!$D33*Activity!K33</f>
        <v>0</v>
      </c>
      <c r="J34" s="703">
        <f>Activity!$C33*Activity!$D33*Activity!L33</f>
        <v>0</v>
      </c>
      <c r="K34" s="702">
        <f>Activity!$C33*Activity!$D33*Activity!M33</f>
        <v>0</v>
      </c>
      <c r="L34" s="702">
        <f>Activity!$C33*Activity!$D33*Activity!N33</f>
        <v>0</v>
      </c>
      <c r="M34" s="700">
        <f>Activity!$C33*Activity!$D33*Activity!O33</f>
        <v>0</v>
      </c>
      <c r="N34" s="527">
        <v>0</v>
      </c>
      <c r="O34" s="702">
        <f>Activity!C33*Activity!D33</f>
        <v>0</v>
      </c>
      <c r="P34" s="709">
        <f>Activity!X33</f>
        <v>0</v>
      </c>
    </row>
    <row r="35" spans="2:16">
      <c r="B35" s="7">
        <f t="shared" si="1"/>
        <v>2021</v>
      </c>
      <c r="C35" s="701">
        <f>Activity!$C34*Activity!$D34*Activity!E34</f>
        <v>0</v>
      </c>
      <c r="D35" s="702">
        <f>Activity!$C34*Activity!$D34*Activity!F34</f>
        <v>0</v>
      </c>
      <c r="E35" s="700">
        <f>Activity!$C34*Activity!$D34*Activity!G34</f>
        <v>0</v>
      </c>
      <c r="F35" s="702">
        <f>Activity!$C34*Activity!$D34*Activity!H34</f>
        <v>0</v>
      </c>
      <c r="G35" s="702">
        <f>Activity!$C34*Activity!$D34*Activity!I34</f>
        <v>0</v>
      </c>
      <c r="H35" s="702">
        <f>Activity!$C34*Activity!$D34*Activity!J34</f>
        <v>0</v>
      </c>
      <c r="I35" s="702">
        <f>Activity!$C34*Activity!$D34*Activity!K34</f>
        <v>0</v>
      </c>
      <c r="J35" s="703">
        <f>Activity!$C34*Activity!$D34*Activity!L34</f>
        <v>0</v>
      </c>
      <c r="K35" s="702">
        <f>Activity!$C34*Activity!$D34*Activity!M34</f>
        <v>0</v>
      </c>
      <c r="L35" s="702">
        <f>Activity!$C34*Activity!$D34*Activity!N34</f>
        <v>0</v>
      </c>
      <c r="M35" s="700">
        <f>Activity!$C34*Activity!$D34*Activity!O34</f>
        <v>0</v>
      </c>
      <c r="N35" s="527">
        <v>0</v>
      </c>
      <c r="O35" s="702">
        <f>Activity!C34*Activity!D34</f>
        <v>0</v>
      </c>
      <c r="P35" s="709">
        <f>Activity!X34</f>
        <v>0</v>
      </c>
    </row>
    <row r="36" spans="2:16">
      <c r="B36" s="7">
        <f t="shared" si="1"/>
        <v>2022</v>
      </c>
      <c r="C36" s="701">
        <f>Activity!$C35*Activity!$D35*Activity!E35</f>
        <v>0</v>
      </c>
      <c r="D36" s="702">
        <f>Activity!$C35*Activity!$D35*Activity!F35</f>
        <v>0</v>
      </c>
      <c r="E36" s="700">
        <f>Activity!$C35*Activity!$D35*Activity!G35</f>
        <v>0</v>
      </c>
      <c r="F36" s="702">
        <f>Activity!$C35*Activity!$D35*Activity!H35</f>
        <v>0</v>
      </c>
      <c r="G36" s="702">
        <f>Activity!$C35*Activity!$D35*Activity!I35</f>
        <v>0</v>
      </c>
      <c r="H36" s="702">
        <f>Activity!$C35*Activity!$D35*Activity!J35</f>
        <v>0</v>
      </c>
      <c r="I36" s="702">
        <f>Activity!$C35*Activity!$D35*Activity!K35</f>
        <v>0</v>
      </c>
      <c r="J36" s="703">
        <f>Activity!$C35*Activity!$D35*Activity!L35</f>
        <v>0</v>
      </c>
      <c r="K36" s="702">
        <f>Activity!$C35*Activity!$D35*Activity!M35</f>
        <v>0</v>
      </c>
      <c r="L36" s="702">
        <f>Activity!$C35*Activity!$D35*Activity!N35</f>
        <v>0</v>
      </c>
      <c r="M36" s="700">
        <f>Activity!$C35*Activity!$D35*Activity!O35</f>
        <v>0</v>
      </c>
      <c r="N36" s="527">
        <v>0</v>
      </c>
      <c r="O36" s="702">
        <f>Activity!C35*Activity!D35</f>
        <v>0</v>
      </c>
      <c r="P36" s="709">
        <f>Activity!X35</f>
        <v>0</v>
      </c>
    </row>
    <row r="37" spans="2:16">
      <c r="B37" s="7">
        <f t="shared" si="1"/>
        <v>2023</v>
      </c>
      <c r="C37" s="701">
        <f>Activity!$C36*Activity!$D36*Activity!E36</f>
        <v>0</v>
      </c>
      <c r="D37" s="702">
        <f>Activity!$C36*Activity!$D36*Activity!F36</f>
        <v>0</v>
      </c>
      <c r="E37" s="700">
        <f>Activity!$C36*Activity!$D36*Activity!G36</f>
        <v>0</v>
      </c>
      <c r="F37" s="702">
        <f>Activity!$C36*Activity!$D36*Activity!H36</f>
        <v>0</v>
      </c>
      <c r="G37" s="702">
        <f>Activity!$C36*Activity!$D36*Activity!I36</f>
        <v>0</v>
      </c>
      <c r="H37" s="702">
        <f>Activity!$C36*Activity!$D36*Activity!J36</f>
        <v>0</v>
      </c>
      <c r="I37" s="702">
        <f>Activity!$C36*Activity!$D36*Activity!K36</f>
        <v>0</v>
      </c>
      <c r="J37" s="703">
        <f>Activity!$C36*Activity!$D36*Activity!L36</f>
        <v>0</v>
      </c>
      <c r="K37" s="702">
        <f>Activity!$C36*Activity!$D36*Activity!M36</f>
        <v>0</v>
      </c>
      <c r="L37" s="702">
        <f>Activity!$C36*Activity!$D36*Activity!N36</f>
        <v>0</v>
      </c>
      <c r="M37" s="700">
        <f>Activity!$C36*Activity!$D36*Activity!O36</f>
        <v>0</v>
      </c>
      <c r="N37" s="527">
        <v>0</v>
      </c>
      <c r="O37" s="702">
        <f>Activity!C36*Activity!D36</f>
        <v>0</v>
      </c>
      <c r="P37" s="709">
        <f>Activity!X36</f>
        <v>0</v>
      </c>
    </row>
    <row r="38" spans="2:16">
      <c r="B38" s="7">
        <f t="shared" si="1"/>
        <v>2024</v>
      </c>
      <c r="C38" s="701">
        <f>Activity!$C37*Activity!$D37*Activity!E37</f>
        <v>0</v>
      </c>
      <c r="D38" s="702">
        <f>Activity!$C37*Activity!$D37*Activity!F37</f>
        <v>0</v>
      </c>
      <c r="E38" s="700">
        <f>Activity!$C37*Activity!$D37*Activity!G37</f>
        <v>0</v>
      </c>
      <c r="F38" s="702">
        <f>Activity!$C37*Activity!$D37*Activity!H37</f>
        <v>0</v>
      </c>
      <c r="G38" s="702">
        <f>Activity!$C37*Activity!$D37*Activity!I37</f>
        <v>0</v>
      </c>
      <c r="H38" s="702">
        <f>Activity!$C37*Activity!$D37*Activity!J37</f>
        <v>0</v>
      </c>
      <c r="I38" s="702">
        <f>Activity!$C37*Activity!$D37*Activity!K37</f>
        <v>0</v>
      </c>
      <c r="J38" s="703">
        <f>Activity!$C37*Activity!$D37*Activity!L37</f>
        <v>0</v>
      </c>
      <c r="K38" s="702">
        <f>Activity!$C37*Activity!$D37*Activity!M37</f>
        <v>0</v>
      </c>
      <c r="L38" s="702">
        <f>Activity!$C37*Activity!$D37*Activity!N37</f>
        <v>0</v>
      </c>
      <c r="M38" s="700">
        <f>Activity!$C37*Activity!$D37*Activity!O37</f>
        <v>0</v>
      </c>
      <c r="N38" s="527">
        <v>0</v>
      </c>
      <c r="O38" s="702">
        <f>Activity!C37*Activity!D37</f>
        <v>0</v>
      </c>
      <c r="P38" s="709">
        <f>Activity!X37</f>
        <v>0</v>
      </c>
    </row>
    <row r="39" spans="2:16">
      <c r="B39" s="7">
        <f t="shared" si="1"/>
        <v>2025</v>
      </c>
      <c r="C39" s="701">
        <f>Activity!$C38*Activity!$D38*Activity!E38</f>
        <v>0</v>
      </c>
      <c r="D39" s="702">
        <f>Activity!$C38*Activity!$D38*Activity!F38</f>
        <v>0</v>
      </c>
      <c r="E39" s="700">
        <f>Activity!$C38*Activity!$D38*Activity!G38</f>
        <v>0</v>
      </c>
      <c r="F39" s="702">
        <f>Activity!$C38*Activity!$D38*Activity!H38</f>
        <v>0</v>
      </c>
      <c r="G39" s="702">
        <f>Activity!$C38*Activity!$D38*Activity!I38</f>
        <v>0</v>
      </c>
      <c r="H39" s="702">
        <f>Activity!$C38*Activity!$D38*Activity!J38</f>
        <v>0</v>
      </c>
      <c r="I39" s="702">
        <f>Activity!$C38*Activity!$D38*Activity!K38</f>
        <v>0</v>
      </c>
      <c r="J39" s="703">
        <f>Activity!$C38*Activity!$D38*Activity!L38</f>
        <v>0</v>
      </c>
      <c r="K39" s="702">
        <f>Activity!$C38*Activity!$D38*Activity!M38</f>
        <v>0</v>
      </c>
      <c r="L39" s="702">
        <f>Activity!$C38*Activity!$D38*Activity!N38</f>
        <v>0</v>
      </c>
      <c r="M39" s="700">
        <f>Activity!$C38*Activity!$D38*Activity!O38</f>
        <v>0</v>
      </c>
      <c r="N39" s="527">
        <v>0</v>
      </c>
      <c r="O39" s="702">
        <f>Activity!C38*Activity!D38</f>
        <v>0</v>
      </c>
      <c r="P39" s="709">
        <f>Activity!X38</f>
        <v>0</v>
      </c>
    </row>
    <row r="40" spans="2:16">
      <c r="B40" s="7">
        <f t="shared" si="1"/>
        <v>2026</v>
      </c>
      <c r="C40" s="701">
        <f>Activity!$C39*Activity!$D39*Activity!E39</f>
        <v>0</v>
      </c>
      <c r="D40" s="702">
        <f>Activity!$C39*Activity!$D39*Activity!F39</f>
        <v>0</v>
      </c>
      <c r="E40" s="700">
        <f>Activity!$C39*Activity!$D39*Activity!G39</f>
        <v>0</v>
      </c>
      <c r="F40" s="702">
        <f>Activity!$C39*Activity!$D39*Activity!H39</f>
        <v>0</v>
      </c>
      <c r="G40" s="702">
        <f>Activity!$C39*Activity!$D39*Activity!I39</f>
        <v>0</v>
      </c>
      <c r="H40" s="702">
        <f>Activity!$C39*Activity!$D39*Activity!J39</f>
        <v>0</v>
      </c>
      <c r="I40" s="702">
        <f>Activity!$C39*Activity!$D39*Activity!K39</f>
        <v>0</v>
      </c>
      <c r="J40" s="703">
        <f>Activity!$C39*Activity!$D39*Activity!L39</f>
        <v>0</v>
      </c>
      <c r="K40" s="702">
        <f>Activity!$C39*Activity!$D39*Activity!M39</f>
        <v>0</v>
      </c>
      <c r="L40" s="702">
        <f>Activity!$C39*Activity!$D39*Activity!N39</f>
        <v>0</v>
      </c>
      <c r="M40" s="700">
        <f>Activity!$C39*Activity!$D39*Activity!O39</f>
        <v>0</v>
      </c>
      <c r="N40" s="527">
        <v>0</v>
      </c>
      <c r="O40" s="702">
        <f>Activity!C39*Activity!D39</f>
        <v>0</v>
      </c>
      <c r="P40" s="709">
        <f>Activity!X39</f>
        <v>0</v>
      </c>
    </row>
    <row r="41" spans="2:16">
      <c r="B41" s="7">
        <f t="shared" si="1"/>
        <v>2027</v>
      </c>
      <c r="C41" s="701">
        <f>Activity!$C40*Activity!$D40*Activity!E40</f>
        <v>0</v>
      </c>
      <c r="D41" s="702">
        <f>Activity!$C40*Activity!$D40*Activity!F40</f>
        <v>0</v>
      </c>
      <c r="E41" s="700">
        <f>Activity!$C40*Activity!$D40*Activity!G40</f>
        <v>0</v>
      </c>
      <c r="F41" s="702">
        <f>Activity!$C40*Activity!$D40*Activity!H40</f>
        <v>0</v>
      </c>
      <c r="G41" s="702">
        <f>Activity!$C40*Activity!$D40*Activity!I40</f>
        <v>0</v>
      </c>
      <c r="H41" s="702">
        <f>Activity!$C40*Activity!$D40*Activity!J40</f>
        <v>0</v>
      </c>
      <c r="I41" s="702">
        <f>Activity!$C40*Activity!$D40*Activity!K40</f>
        <v>0</v>
      </c>
      <c r="J41" s="703">
        <f>Activity!$C40*Activity!$D40*Activity!L40</f>
        <v>0</v>
      </c>
      <c r="K41" s="702">
        <f>Activity!$C40*Activity!$D40*Activity!M40</f>
        <v>0</v>
      </c>
      <c r="L41" s="702">
        <f>Activity!$C40*Activity!$D40*Activity!N40</f>
        <v>0</v>
      </c>
      <c r="M41" s="700">
        <f>Activity!$C40*Activity!$D40*Activity!O40</f>
        <v>0</v>
      </c>
      <c r="N41" s="527">
        <v>0</v>
      </c>
      <c r="O41" s="702">
        <f>Activity!C40*Activity!D40</f>
        <v>0</v>
      </c>
      <c r="P41" s="709">
        <f>Activity!X40</f>
        <v>0</v>
      </c>
    </row>
    <row r="42" spans="2:16">
      <c r="B42" s="7">
        <f t="shared" si="1"/>
        <v>2028</v>
      </c>
      <c r="C42" s="701">
        <f>Activity!$C41*Activity!$D41*Activity!E41</f>
        <v>0</v>
      </c>
      <c r="D42" s="702">
        <f>Activity!$C41*Activity!$D41*Activity!F41</f>
        <v>0</v>
      </c>
      <c r="E42" s="700">
        <f>Activity!$C41*Activity!$D41*Activity!G41</f>
        <v>0</v>
      </c>
      <c r="F42" s="702">
        <f>Activity!$C41*Activity!$D41*Activity!H41</f>
        <v>0</v>
      </c>
      <c r="G42" s="702">
        <f>Activity!$C41*Activity!$D41*Activity!I41</f>
        <v>0</v>
      </c>
      <c r="H42" s="702">
        <f>Activity!$C41*Activity!$D41*Activity!J41</f>
        <v>0</v>
      </c>
      <c r="I42" s="702">
        <f>Activity!$C41*Activity!$D41*Activity!K41</f>
        <v>0</v>
      </c>
      <c r="J42" s="703">
        <f>Activity!$C41*Activity!$D41*Activity!L41</f>
        <v>0</v>
      </c>
      <c r="K42" s="702">
        <f>Activity!$C41*Activity!$D41*Activity!M41</f>
        <v>0</v>
      </c>
      <c r="L42" s="702">
        <f>Activity!$C41*Activity!$D41*Activity!N41</f>
        <v>0</v>
      </c>
      <c r="M42" s="700">
        <f>Activity!$C41*Activity!$D41*Activity!O41</f>
        <v>0</v>
      </c>
      <c r="N42" s="527">
        <v>0</v>
      </c>
      <c r="O42" s="702">
        <f>Activity!C41*Activity!D41</f>
        <v>0</v>
      </c>
      <c r="P42" s="709">
        <f>Activity!X41</f>
        <v>0</v>
      </c>
    </row>
    <row r="43" spans="2:16">
      <c r="B43" s="7">
        <f t="shared" si="1"/>
        <v>2029</v>
      </c>
      <c r="C43" s="701">
        <f>Activity!$C42*Activity!$D42*Activity!E42</f>
        <v>0</v>
      </c>
      <c r="D43" s="702">
        <f>Activity!$C42*Activity!$D42*Activity!F42</f>
        <v>0</v>
      </c>
      <c r="E43" s="700">
        <f>Activity!$C42*Activity!$D42*Activity!G42</f>
        <v>0</v>
      </c>
      <c r="F43" s="702">
        <f>Activity!$C42*Activity!$D42*Activity!H42</f>
        <v>0</v>
      </c>
      <c r="G43" s="702">
        <f>Activity!$C42*Activity!$D42*Activity!I42</f>
        <v>0</v>
      </c>
      <c r="H43" s="702">
        <f>Activity!$C42*Activity!$D42*Activity!J42</f>
        <v>0</v>
      </c>
      <c r="I43" s="702">
        <f>Activity!$C42*Activity!$D42*Activity!K42</f>
        <v>0</v>
      </c>
      <c r="J43" s="703">
        <f>Activity!$C42*Activity!$D42*Activity!L42</f>
        <v>0</v>
      </c>
      <c r="K43" s="702">
        <f>Activity!$C42*Activity!$D42*Activity!M42</f>
        <v>0</v>
      </c>
      <c r="L43" s="702">
        <f>Activity!$C42*Activity!$D42*Activity!N42</f>
        <v>0</v>
      </c>
      <c r="M43" s="700">
        <f>Activity!$C42*Activity!$D42*Activity!O42</f>
        <v>0</v>
      </c>
      <c r="N43" s="527">
        <v>0</v>
      </c>
      <c r="O43" s="702">
        <f>Activity!C42*Activity!D42</f>
        <v>0</v>
      </c>
      <c r="P43" s="709">
        <f>Activity!X42</f>
        <v>0</v>
      </c>
    </row>
    <row r="44" spans="2:16">
      <c r="B44" s="7">
        <f t="shared" si="1"/>
        <v>2030</v>
      </c>
      <c r="C44" s="701">
        <f>Activity!$C43*Activity!$D43*Activity!E43</f>
        <v>0</v>
      </c>
      <c r="D44" s="702">
        <f>Activity!$C43*Activity!$D43*Activity!F43</f>
        <v>0</v>
      </c>
      <c r="E44" s="700">
        <f>Activity!$C43*Activity!$D43*Activity!G43</f>
        <v>0</v>
      </c>
      <c r="F44" s="702">
        <f>Activity!$C43*Activity!$D43*Activity!H43</f>
        <v>0</v>
      </c>
      <c r="G44" s="702">
        <f>Activity!$C43*Activity!$D43*Activity!I43</f>
        <v>0</v>
      </c>
      <c r="H44" s="702">
        <f>Activity!$C43*Activity!$D43*Activity!J43</f>
        <v>0</v>
      </c>
      <c r="I44" s="702">
        <f>Activity!$C43*Activity!$D43*Activity!K43</f>
        <v>0</v>
      </c>
      <c r="J44" s="703">
        <f>Activity!$C43*Activity!$D43*Activity!L43</f>
        <v>0</v>
      </c>
      <c r="K44" s="702">
        <f>Activity!$C43*Activity!$D43*Activity!M43</f>
        <v>0</v>
      </c>
      <c r="L44" s="702">
        <f>Activity!$C43*Activity!$D43*Activity!N43</f>
        <v>0</v>
      </c>
      <c r="M44" s="700">
        <f>Activity!$C43*Activity!$D43*Activity!O43</f>
        <v>0</v>
      </c>
      <c r="N44" s="527">
        <v>0</v>
      </c>
      <c r="O44" s="702">
        <f>Activity!C43*Activity!D43</f>
        <v>0</v>
      </c>
      <c r="P44" s="709">
        <f>Activity!X43</f>
        <v>0</v>
      </c>
    </row>
    <row r="45" spans="2:16">
      <c r="B45" s="7">
        <f t="shared" si="1"/>
        <v>2031</v>
      </c>
      <c r="C45" s="701">
        <f>Activity!$C44*Activity!$D44*Activity!E44</f>
        <v>0</v>
      </c>
      <c r="D45" s="702">
        <f>Activity!$C44*Activity!$D44*Activity!F44</f>
        <v>0</v>
      </c>
      <c r="E45" s="700">
        <f>Activity!$C44*Activity!$D44*Activity!G44</f>
        <v>0</v>
      </c>
      <c r="F45" s="702">
        <f>Activity!$C44*Activity!$D44*Activity!H44</f>
        <v>0</v>
      </c>
      <c r="G45" s="702">
        <f>Activity!$C44*Activity!$D44*Activity!I44</f>
        <v>0</v>
      </c>
      <c r="H45" s="702">
        <f>Activity!$C44*Activity!$D44*Activity!J44</f>
        <v>0</v>
      </c>
      <c r="I45" s="702">
        <f>Activity!$C44*Activity!$D44*Activity!K44</f>
        <v>0</v>
      </c>
      <c r="J45" s="703">
        <f>Activity!$C44*Activity!$D44*Activity!L44</f>
        <v>0</v>
      </c>
      <c r="K45" s="702">
        <f>Activity!$C44*Activity!$D44*Activity!M44</f>
        <v>0</v>
      </c>
      <c r="L45" s="702">
        <f>Activity!$C44*Activity!$D44*Activity!N44</f>
        <v>0</v>
      </c>
      <c r="M45" s="700">
        <f>Activity!$C44*Activity!$D44*Activity!O44</f>
        <v>0</v>
      </c>
      <c r="N45" s="527">
        <v>0</v>
      </c>
      <c r="O45" s="702">
        <f>Activity!C44*Activity!D44</f>
        <v>0</v>
      </c>
      <c r="P45" s="709">
        <f>Activity!X44</f>
        <v>0</v>
      </c>
    </row>
    <row r="46" spans="2:16">
      <c r="B46" s="7">
        <f t="shared" si="1"/>
        <v>2032</v>
      </c>
      <c r="C46" s="701">
        <f>Activity!$C45*Activity!$D45*Activity!E45</f>
        <v>0</v>
      </c>
      <c r="D46" s="702">
        <f>Activity!$C45*Activity!$D45*Activity!F45</f>
        <v>0</v>
      </c>
      <c r="E46" s="700">
        <f>Activity!$C45*Activity!$D45*Activity!G45</f>
        <v>0</v>
      </c>
      <c r="F46" s="702">
        <f>Activity!$C45*Activity!$D45*Activity!H45</f>
        <v>0</v>
      </c>
      <c r="G46" s="702">
        <f>Activity!$C45*Activity!$D45*Activity!I45</f>
        <v>0</v>
      </c>
      <c r="H46" s="702">
        <f>Activity!$C45*Activity!$D45*Activity!J45</f>
        <v>0</v>
      </c>
      <c r="I46" s="702">
        <f>Activity!$C45*Activity!$D45*Activity!K45</f>
        <v>0</v>
      </c>
      <c r="J46" s="703">
        <f>Activity!$C45*Activity!$D45*Activity!L45</f>
        <v>0</v>
      </c>
      <c r="K46" s="702">
        <f>Activity!$C45*Activity!$D45*Activity!M45</f>
        <v>0</v>
      </c>
      <c r="L46" s="702">
        <f>Activity!$C45*Activity!$D45*Activity!N45</f>
        <v>0</v>
      </c>
      <c r="M46" s="700">
        <f>Activity!$C45*Activity!$D45*Activity!O45</f>
        <v>0</v>
      </c>
      <c r="N46" s="527">
        <v>0</v>
      </c>
      <c r="O46" s="702">
        <f>Activity!C45*Activity!D45</f>
        <v>0</v>
      </c>
      <c r="P46" s="709">
        <f>Activity!X45</f>
        <v>0</v>
      </c>
    </row>
    <row r="47" spans="2:16">
      <c r="B47" s="7">
        <f t="shared" si="1"/>
        <v>2033</v>
      </c>
      <c r="C47" s="701">
        <f>Activity!$C46*Activity!$D46*Activity!E46</f>
        <v>0</v>
      </c>
      <c r="D47" s="702">
        <f>Activity!$C46*Activity!$D46*Activity!F46</f>
        <v>0</v>
      </c>
      <c r="E47" s="700">
        <f>Activity!$C46*Activity!$D46*Activity!G46</f>
        <v>0</v>
      </c>
      <c r="F47" s="702">
        <f>Activity!$C46*Activity!$D46*Activity!H46</f>
        <v>0</v>
      </c>
      <c r="G47" s="702">
        <f>Activity!$C46*Activity!$D46*Activity!I46</f>
        <v>0</v>
      </c>
      <c r="H47" s="702">
        <f>Activity!$C46*Activity!$D46*Activity!J46</f>
        <v>0</v>
      </c>
      <c r="I47" s="702">
        <f>Activity!$C46*Activity!$D46*Activity!K46</f>
        <v>0</v>
      </c>
      <c r="J47" s="703">
        <f>Activity!$C46*Activity!$D46*Activity!L46</f>
        <v>0</v>
      </c>
      <c r="K47" s="702">
        <f>Activity!$C46*Activity!$D46*Activity!M46</f>
        <v>0</v>
      </c>
      <c r="L47" s="702">
        <f>Activity!$C46*Activity!$D46*Activity!N46</f>
        <v>0</v>
      </c>
      <c r="M47" s="700">
        <f>Activity!$C46*Activity!$D46*Activity!O46</f>
        <v>0</v>
      </c>
      <c r="N47" s="527">
        <v>0</v>
      </c>
      <c r="O47" s="702">
        <f>Activity!C46*Activity!D46</f>
        <v>0</v>
      </c>
      <c r="P47" s="709">
        <f>Activity!X46</f>
        <v>0</v>
      </c>
    </row>
    <row r="48" spans="2:16">
      <c r="B48" s="7">
        <f t="shared" si="1"/>
        <v>2034</v>
      </c>
      <c r="C48" s="701">
        <f>Activity!$C47*Activity!$D47*Activity!E47</f>
        <v>0</v>
      </c>
      <c r="D48" s="702">
        <f>Activity!$C47*Activity!$D47*Activity!F47</f>
        <v>0</v>
      </c>
      <c r="E48" s="700">
        <f>Activity!$C47*Activity!$D47*Activity!G47</f>
        <v>0</v>
      </c>
      <c r="F48" s="702">
        <f>Activity!$C47*Activity!$D47*Activity!H47</f>
        <v>0</v>
      </c>
      <c r="G48" s="702">
        <f>Activity!$C47*Activity!$D47*Activity!I47</f>
        <v>0</v>
      </c>
      <c r="H48" s="702">
        <f>Activity!$C47*Activity!$D47*Activity!J47</f>
        <v>0</v>
      </c>
      <c r="I48" s="702">
        <f>Activity!$C47*Activity!$D47*Activity!K47</f>
        <v>0</v>
      </c>
      <c r="J48" s="703">
        <f>Activity!$C47*Activity!$D47*Activity!L47</f>
        <v>0</v>
      </c>
      <c r="K48" s="702">
        <f>Activity!$C47*Activity!$D47*Activity!M47</f>
        <v>0</v>
      </c>
      <c r="L48" s="702">
        <f>Activity!$C47*Activity!$D47*Activity!N47</f>
        <v>0</v>
      </c>
      <c r="M48" s="700">
        <f>Activity!$C47*Activity!$D47*Activity!O47</f>
        <v>0</v>
      </c>
      <c r="N48" s="527">
        <v>0</v>
      </c>
      <c r="O48" s="702">
        <f>Activity!C47*Activity!D47</f>
        <v>0</v>
      </c>
      <c r="P48" s="709">
        <f>Activity!X47</f>
        <v>0</v>
      </c>
    </row>
    <row r="49" spans="2:16">
      <c r="B49" s="7">
        <f t="shared" si="1"/>
        <v>2035</v>
      </c>
      <c r="C49" s="701">
        <f>Activity!$C48*Activity!$D48*Activity!E48</f>
        <v>0</v>
      </c>
      <c r="D49" s="702">
        <f>Activity!$C48*Activity!$D48*Activity!F48</f>
        <v>0</v>
      </c>
      <c r="E49" s="700">
        <f>Activity!$C48*Activity!$D48*Activity!G48</f>
        <v>0</v>
      </c>
      <c r="F49" s="702">
        <f>Activity!$C48*Activity!$D48*Activity!H48</f>
        <v>0</v>
      </c>
      <c r="G49" s="702">
        <f>Activity!$C48*Activity!$D48*Activity!I48</f>
        <v>0</v>
      </c>
      <c r="H49" s="702">
        <f>Activity!$C48*Activity!$D48*Activity!J48</f>
        <v>0</v>
      </c>
      <c r="I49" s="702">
        <f>Activity!$C48*Activity!$D48*Activity!K48</f>
        <v>0</v>
      </c>
      <c r="J49" s="703">
        <f>Activity!$C48*Activity!$D48*Activity!L48</f>
        <v>0</v>
      </c>
      <c r="K49" s="702">
        <f>Activity!$C48*Activity!$D48*Activity!M48</f>
        <v>0</v>
      </c>
      <c r="L49" s="702">
        <f>Activity!$C48*Activity!$D48*Activity!N48</f>
        <v>0</v>
      </c>
      <c r="M49" s="700">
        <f>Activity!$C48*Activity!$D48*Activity!O48</f>
        <v>0</v>
      </c>
      <c r="N49" s="527">
        <v>0</v>
      </c>
      <c r="O49" s="702">
        <f>Activity!C48*Activity!D48</f>
        <v>0</v>
      </c>
      <c r="P49" s="709">
        <f>Activity!X48</f>
        <v>0</v>
      </c>
    </row>
    <row r="50" spans="2:16">
      <c r="B50" s="7">
        <f t="shared" si="1"/>
        <v>2036</v>
      </c>
      <c r="C50" s="701">
        <f>Activity!$C49*Activity!$D49*Activity!E49</f>
        <v>0</v>
      </c>
      <c r="D50" s="702">
        <f>Activity!$C49*Activity!$D49*Activity!F49</f>
        <v>0</v>
      </c>
      <c r="E50" s="700">
        <f>Activity!$C49*Activity!$D49*Activity!G49</f>
        <v>0</v>
      </c>
      <c r="F50" s="702">
        <f>Activity!$C49*Activity!$D49*Activity!H49</f>
        <v>0</v>
      </c>
      <c r="G50" s="702">
        <f>Activity!$C49*Activity!$D49*Activity!I49</f>
        <v>0</v>
      </c>
      <c r="H50" s="702">
        <f>Activity!$C49*Activity!$D49*Activity!J49</f>
        <v>0</v>
      </c>
      <c r="I50" s="702">
        <f>Activity!$C49*Activity!$D49*Activity!K49</f>
        <v>0</v>
      </c>
      <c r="J50" s="703">
        <f>Activity!$C49*Activity!$D49*Activity!L49</f>
        <v>0</v>
      </c>
      <c r="K50" s="702">
        <f>Activity!$C49*Activity!$D49*Activity!M49</f>
        <v>0</v>
      </c>
      <c r="L50" s="702">
        <f>Activity!$C49*Activity!$D49*Activity!N49</f>
        <v>0</v>
      </c>
      <c r="M50" s="700">
        <f>Activity!$C49*Activity!$D49*Activity!O49</f>
        <v>0</v>
      </c>
      <c r="N50" s="527">
        <v>0</v>
      </c>
      <c r="O50" s="702">
        <f>Activity!C49*Activity!D49</f>
        <v>0</v>
      </c>
      <c r="P50" s="709">
        <f>Activity!X49</f>
        <v>0</v>
      </c>
    </row>
    <row r="51" spans="2:16">
      <c r="B51" s="7">
        <f t="shared" si="1"/>
        <v>2037</v>
      </c>
      <c r="C51" s="701">
        <f>Activity!$C50*Activity!$D50*Activity!E50</f>
        <v>0</v>
      </c>
      <c r="D51" s="702">
        <f>Activity!$C50*Activity!$D50*Activity!F50</f>
        <v>0</v>
      </c>
      <c r="E51" s="700">
        <f>Activity!$C50*Activity!$D50*Activity!G50</f>
        <v>0</v>
      </c>
      <c r="F51" s="702">
        <f>Activity!$C50*Activity!$D50*Activity!H50</f>
        <v>0</v>
      </c>
      <c r="G51" s="702">
        <f>Activity!$C50*Activity!$D50*Activity!I50</f>
        <v>0</v>
      </c>
      <c r="H51" s="702">
        <f>Activity!$C50*Activity!$D50*Activity!J50</f>
        <v>0</v>
      </c>
      <c r="I51" s="702">
        <f>Activity!$C50*Activity!$D50*Activity!K50</f>
        <v>0</v>
      </c>
      <c r="J51" s="703">
        <f>Activity!$C50*Activity!$D50*Activity!L50</f>
        <v>0</v>
      </c>
      <c r="K51" s="702">
        <f>Activity!$C50*Activity!$D50*Activity!M50</f>
        <v>0</v>
      </c>
      <c r="L51" s="702">
        <f>Activity!$C50*Activity!$D50*Activity!N50</f>
        <v>0</v>
      </c>
      <c r="M51" s="700">
        <f>Activity!$C50*Activity!$D50*Activity!O50</f>
        <v>0</v>
      </c>
      <c r="N51" s="527">
        <v>0</v>
      </c>
      <c r="O51" s="702">
        <f>Activity!C50*Activity!D50</f>
        <v>0</v>
      </c>
      <c r="P51" s="709">
        <f>Activity!X50</f>
        <v>0</v>
      </c>
    </row>
    <row r="52" spans="2:16">
      <c r="B52" s="7">
        <f t="shared" si="1"/>
        <v>2038</v>
      </c>
      <c r="C52" s="701">
        <f>Activity!$C51*Activity!$D51*Activity!E51</f>
        <v>0</v>
      </c>
      <c r="D52" s="702">
        <f>Activity!$C51*Activity!$D51*Activity!F51</f>
        <v>0</v>
      </c>
      <c r="E52" s="700">
        <f>Activity!$C51*Activity!$D51*Activity!G51</f>
        <v>0</v>
      </c>
      <c r="F52" s="702">
        <f>Activity!$C51*Activity!$D51*Activity!H51</f>
        <v>0</v>
      </c>
      <c r="G52" s="702">
        <f>Activity!$C51*Activity!$D51*Activity!I51</f>
        <v>0</v>
      </c>
      <c r="H52" s="702">
        <f>Activity!$C51*Activity!$D51*Activity!J51</f>
        <v>0</v>
      </c>
      <c r="I52" s="702">
        <f>Activity!$C51*Activity!$D51*Activity!K51</f>
        <v>0</v>
      </c>
      <c r="J52" s="703">
        <f>Activity!$C51*Activity!$D51*Activity!L51</f>
        <v>0</v>
      </c>
      <c r="K52" s="702">
        <f>Activity!$C51*Activity!$D51*Activity!M51</f>
        <v>0</v>
      </c>
      <c r="L52" s="702">
        <f>Activity!$C51*Activity!$D51*Activity!N51</f>
        <v>0</v>
      </c>
      <c r="M52" s="700">
        <f>Activity!$C51*Activity!$D51*Activity!O51</f>
        <v>0</v>
      </c>
      <c r="N52" s="527">
        <v>0</v>
      </c>
      <c r="O52" s="702">
        <f>Activity!C51*Activity!D51</f>
        <v>0</v>
      </c>
      <c r="P52" s="709">
        <f>Activity!X51</f>
        <v>0</v>
      </c>
    </row>
    <row r="53" spans="2:16">
      <c r="B53" s="7">
        <f t="shared" si="1"/>
        <v>2039</v>
      </c>
      <c r="C53" s="701">
        <f>Activity!$C52*Activity!$D52*Activity!E52</f>
        <v>0</v>
      </c>
      <c r="D53" s="702">
        <f>Activity!$C52*Activity!$D52*Activity!F52</f>
        <v>0</v>
      </c>
      <c r="E53" s="700">
        <f>Activity!$C52*Activity!$D52*Activity!G52</f>
        <v>0</v>
      </c>
      <c r="F53" s="702">
        <f>Activity!$C52*Activity!$D52*Activity!H52</f>
        <v>0</v>
      </c>
      <c r="G53" s="702">
        <f>Activity!$C52*Activity!$D52*Activity!I52</f>
        <v>0</v>
      </c>
      <c r="H53" s="702">
        <f>Activity!$C52*Activity!$D52*Activity!J52</f>
        <v>0</v>
      </c>
      <c r="I53" s="702">
        <f>Activity!$C52*Activity!$D52*Activity!K52</f>
        <v>0</v>
      </c>
      <c r="J53" s="703">
        <f>Activity!$C52*Activity!$D52*Activity!L52</f>
        <v>0</v>
      </c>
      <c r="K53" s="702">
        <f>Activity!$C52*Activity!$D52*Activity!M52</f>
        <v>0</v>
      </c>
      <c r="L53" s="702">
        <f>Activity!$C52*Activity!$D52*Activity!N52</f>
        <v>0</v>
      </c>
      <c r="M53" s="700">
        <f>Activity!$C52*Activity!$D52*Activity!O52</f>
        <v>0</v>
      </c>
      <c r="N53" s="527">
        <v>0</v>
      </c>
      <c r="O53" s="702">
        <f>Activity!C52*Activity!D52</f>
        <v>0</v>
      </c>
      <c r="P53" s="709">
        <f>Activity!X52</f>
        <v>0</v>
      </c>
    </row>
    <row r="54" spans="2:16">
      <c r="B54" s="7">
        <f t="shared" si="1"/>
        <v>2040</v>
      </c>
      <c r="C54" s="701">
        <f>Activity!$C53*Activity!$D53*Activity!E53</f>
        <v>0</v>
      </c>
      <c r="D54" s="702">
        <f>Activity!$C53*Activity!$D53*Activity!F53</f>
        <v>0</v>
      </c>
      <c r="E54" s="700">
        <f>Activity!$C53*Activity!$D53*Activity!G53</f>
        <v>0</v>
      </c>
      <c r="F54" s="702">
        <f>Activity!$C53*Activity!$D53*Activity!H53</f>
        <v>0</v>
      </c>
      <c r="G54" s="702">
        <f>Activity!$C53*Activity!$D53*Activity!I53</f>
        <v>0</v>
      </c>
      <c r="H54" s="702">
        <f>Activity!$C53*Activity!$D53*Activity!J53</f>
        <v>0</v>
      </c>
      <c r="I54" s="702">
        <f>Activity!$C53*Activity!$D53*Activity!K53</f>
        <v>0</v>
      </c>
      <c r="J54" s="703">
        <f>Activity!$C53*Activity!$D53*Activity!L53</f>
        <v>0</v>
      </c>
      <c r="K54" s="702">
        <f>Activity!$C53*Activity!$D53*Activity!M53</f>
        <v>0</v>
      </c>
      <c r="L54" s="702">
        <f>Activity!$C53*Activity!$D53*Activity!N53</f>
        <v>0</v>
      </c>
      <c r="M54" s="700">
        <f>Activity!$C53*Activity!$D53*Activity!O53</f>
        <v>0</v>
      </c>
      <c r="N54" s="527">
        <v>0</v>
      </c>
      <c r="O54" s="702">
        <f>Activity!C53*Activity!D53</f>
        <v>0</v>
      </c>
      <c r="P54" s="709">
        <f>Activity!X53</f>
        <v>0</v>
      </c>
    </row>
    <row r="55" spans="2:16">
      <c r="B55" s="7">
        <f t="shared" si="1"/>
        <v>2041</v>
      </c>
      <c r="C55" s="701">
        <f>Activity!$C54*Activity!$D54*Activity!E54</f>
        <v>0</v>
      </c>
      <c r="D55" s="702">
        <f>Activity!$C54*Activity!$D54*Activity!F54</f>
        <v>0</v>
      </c>
      <c r="E55" s="700">
        <f>Activity!$C54*Activity!$D54*Activity!G54</f>
        <v>0</v>
      </c>
      <c r="F55" s="702">
        <f>Activity!$C54*Activity!$D54*Activity!H54</f>
        <v>0</v>
      </c>
      <c r="G55" s="702">
        <f>Activity!$C54*Activity!$D54*Activity!I54</f>
        <v>0</v>
      </c>
      <c r="H55" s="702">
        <f>Activity!$C54*Activity!$D54*Activity!J54</f>
        <v>0</v>
      </c>
      <c r="I55" s="702">
        <f>Activity!$C54*Activity!$D54*Activity!K54</f>
        <v>0</v>
      </c>
      <c r="J55" s="703">
        <f>Activity!$C54*Activity!$D54*Activity!L54</f>
        <v>0</v>
      </c>
      <c r="K55" s="702">
        <f>Activity!$C54*Activity!$D54*Activity!M54</f>
        <v>0</v>
      </c>
      <c r="L55" s="702">
        <f>Activity!$C54*Activity!$D54*Activity!N54</f>
        <v>0</v>
      </c>
      <c r="M55" s="700">
        <f>Activity!$C54*Activity!$D54*Activity!O54</f>
        <v>0</v>
      </c>
      <c r="N55" s="527">
        <v>0</v>
      </c>
      <c r="O55" s="702">
        <f>Activity!C54*Activity!D54</f>
        <v>0</v>
      </c>
      <c r="P55" s="709">
        <f>Activity!X54</f>
        <v>0</v>
      </c>
    </row>
    <row r="56" spans="2:16">
      <c r="B56" s="7">
        <f t="shared" si="1"/>
        <v>2042</v>
      </c>
      <c r="C56" s="701">
        <f>Activity!$C55*Activity!$D55*Activity!E55</f>
        <v>0</v>
      </c>
      <c r="D56" s="702">
        <f>Activity!$C55*Activity!$D55*Activity!F55</f>
        <v>0</v>
      </c>
      <c r="E56" s="700">
        <f>Activity!$C55*Activity!$D55*Activity!G55</f>
        <v>0</v>
      </c>
      <c r="F56" s="702">
        <f>Activity!$C55*Activity!$D55*Activity!H55</f>
        <v>0</v>
      </c>
      <c r="G56" s="702">
        <f>Activity!$C55*Activity!$D55*Activity!I55</f>
        <v>0</v>
      </c>
      <c r="H56" s="702">
        <f>Activity!$C55*Activity!$D55*Activity!J55</f>
        <v>0</v>
      </c>
      <c r="I56" s="702">
        <f>Activity!$C55*Activity!$D55*Activity!K55</f>
        <v>0</v>
      </c>
      <c r="J56" s="703">
        <f>Activity!$C55*Activity!$D55*Activity!L55</f>
        <v>0</v>
      </c>
      <c r="K56" s="702">
        <f>Activity!$C55*Activity!$D55*Activity!M55</f>
        <v>0</v>
      </c>
      <c r="L56" s="702">
        <f>Activity!$C55*Activity!$D55*Activity!N55</f>
        <v>0</v>
      </c>
      <c r="M56" s="700">
        <f>Activity!$C55*Activity!$D55*Activity!O55</f>
        <v>0</v>
      </c>
      <c r="N56" s="527">
        <v>0</v>
      </c>
      <c r="O56" s="702">
        <f>Activity!C55*Activity!D55</f>
        <v>0</v>
      </c>
      <c r="P56" s="709">
        <f>Activity!X55</f>
        <v>0</v>
      </c>
    </row>
    <row r="57" spans="2:16">
      <c r="B57" s="7">
        <f t="shared" si="1"/>
        <v>2043</v>
      </c>
      <c r="C57" s="701">
        <f>Activity!$C56*Activity!$D56*Activity!E56</f>
        <v>0</v>
      </c>
      <c r="D57" s="702">
        <f>Activity!$C56*Activity!$D56*Activity!F56</f>
        <v>0</v>
      </c>
      <c r="E57" s="700">
        <f>Activity!$C56*Activity!$D56*Activity!G56</f>
        <v>0</v>
      </c>
      <c r="F57" s="702">
        <f>Activity!$C56*Activity!$D56*Activity!H56</f>
        <v>0</v>
      </c>
      <c r="G57" s="702">
        <f>Activity!$C56*Activity!$D56*Activity!I56</f>
        <v>0</v>
      </c>
      <c r="H57" s="702">
        <f>Activity!$C56*Activity!$D56*Activity!J56</f>
        <v>0</v>
      </c>
      <c r="I57" s="702">
        <f>Activity!$C56*Activity!$D56*Activity!K56</f>
        <v>0</v>
      </c>
      <c r="J57" s="703">
        <f>Activity!$C56*Activity!$D56*Activity!L56</f>
        <v>0</v>
      </c>
      <c r="K57" s="702">
        <f>Activity!$C56*Activity!$D56*Activity!M56</f>
        <v>0</v>
      </c>
      <c r="L57" s="702">
        <f>Activity!$C56*Activity!$D56*Activity!N56</f>
        <v>0</v>
      </c>
      <c r="M57" s="700">
        <f>Activity!$C56*Activity!$D56*Activity!O56</f>
        <v>0</v>
      </c>
      <c r="N57" s="527">
        <v>0</v>
      </c>
      <c r="O57" s="702">
        <f>Activity!C56*Activity!D56</f>
        <v>0</v>
      </c>
      <c r="P57" s="709">
        <f>Activity!X56</f>
        <v>0</v>
      </c>
    </row>
    <row r="58" spans="2:16">
      <c r="B58" s="7">
        <f t="shared" si="1"/>
        <v>2044</v>
      </c>
      <c r="C58" s="701">
        <f>Activity!$C57*Activity!$D57*Activity!E57</f>
        <v>0</v>
      </c>
      <c r="D58" s="702">
        <f>Activity!$C57*Activity!$D57*Activity!F57</f>
        <v>0</v>
      </c>
      <c r="E58" s="700">
        <f>Activity!$C57*Activity!$D57*Activity!G57</f>
        <v>0</v>
      </c>
      <c r="F58" s="702">
        <f>Activity!$C57*Activity!$D57*Activity!H57</f>
        <v>0</v>
      </c>
      <c r="G58" s="702">
        <f>Activity!$C57*Activity!$D57*Activity!I57</f>
        <v>0</v>
      </c>
      <c r="H58" s="702">
        <f>Activity!$C57*Activity!$D57*Activity!J57</f>
        <v>0</v>
      </c>
      <c r="I58" s="702">
        <f>Activity!$C57*Activity!$D57*Activity!K57</f>
        <v>0</v>
      </c>
      <c r="J58" s="703">
        <f>Activity!$C57*Activity!$D57*Activity!L57</f>
        <v>0</v>
      </c>
      <c r="K58" s="702">
        <f>Activity!$C57*Activity!$D57*Activity!M57</f>
        <v>0</v>
      </c>
      <c r="L58" s="702">
        <f>Activity!$C57*Activity!$D57*Activity!N57</f>
        <v>0</v>
      </c>
      <c r="M58" s="700">
        <f>Activity!$C57*Activity!$D57*Activity!O57</f>
        <v>0</v>
      </c>
      <c r="N58" s="527">
        <v>0</v>
      </c>
      <c r="O58" s="702">
        <f>Activity!C57*Activity!D57</f>
        <v>0</v>
      </c>
      <c r="P58" s="709">
        <f>Activity!X57</f>
        <v>0</v>
      </c>
    </row>
    <row r="59" spans="2:16">
      <c r="B59" s="7">
        <f t="shared" si="1"/>
        <v>2045</v>
      </c>
      <c r="C59" s="701">
        <f>Activity!$C58*Activity!$D58*Activity!E58</f>
        <v>0</v>
      </c>
      <c r="D59" s="702">
        <f>Activity!$C58*Activity!$D58*Activity!F58</f>
        <v>0</v>
      </c>
      <c r="E59" s="700">
        <f>Activity!$C58*Activity!$D58*Activity!G58</f>
        <v>0</v>
      </c>
      <c r="F59" s="702">
        <f>Activity!$C58*Activity!$D58*Activity!H58</f>
        <v>0</v>
      </c>
      <c r="G59" s="702">
        <f>Activity!$C58*Activity!$D58*Activity!I58</f>
        <v>0</v>
      </c>
      <c r="H59" s="702">
        <f>Activity!$C58*Activity!$D58*Activity!J58</f>
        <v>0</v>
      </c>
      <c r="I59" s="702">
        <f>Activity!$C58*Activity!$D58*Activity!K58</f>
        <v>0</v>
      </c>
      <c r="J59" s="703">
        <f>Activity!$C58*Activity!$D58*Activity!L58</f>
        <v>0</v>
      </c>
      <c r="K59" s="702">
        <f>Activity!$C58*Activity!$D58*Activity!M58</f>
        <v>0</v>
      </c>
      <c r="L59" s="702">
        <f>Activity!$C58*Activity!$D58*Activity!N58</f>
        <v>0</v>
      </c>
      <c r="M59" s="700">
        <f>Activity!$C58*Activity!$D58*Activity!O58</f>
        <v>0</v>
      </c>
      <c r="N59" s="527">
        <v>0</v>
      </c>
      <c r="O59" s="702">
        <f>Activity!C58*Activity!D58</f>
        <v>0</v>
      </c>
      <c r="P59" s="709">
        <f>Activity!X58</f>
        <v>0</v>
      </c>
    </row>
    <row r="60" spans="2:16">
      <c r="B60" s="7">
        <f t="shared" si="1"/>
        <v>2046</v>
      </c>
      <c r="C60" s="701">
        <f>Activity!$C59*Activity!$D59*Activity!E59</f>
        <v>0</v>
      </c>
      <c r="D60" s="702">
        <f>Activity!$C59*Activity!$D59*Activity!F59</f>
        <v>0</v>
      </c>
      <c r="E60" s="700">
        <f>Activity!$C59*Activity!$D59*Activity!G59</f>
        <v>0</v>
      </c>
      <c r="F60" s="702">
        <f>Activity!$C59*Activity!$D59*Activity!H59</f>
        <v>0</v>
      </c>
      <c r="G60" s="702">
        <f>Activity!$C59*Activity!$D59*Activity!I59</f>
        <v>0</v>
      </c>
      <c r="H60" s="702">
        <f>Activity!$C59*Activity!$D59*Activity!J59</f>
        <v>0</v>
      </c>
      <c r="I60" s="702">
        <f>Activity!$C59*Activity!$D59*Activity!K59</f>
        <v>0</v>
      </c>
      <c r="J60" s="703">
        <f>Activity!$C59*Activity!$D59*Activity!L59</f>
        <v>0</v>
      </c>
      <c r="K60" s="702">
        <f>Activity!$C59*Activity!$D59*Activity!M59</f>
        <v>0</v>
      </c>
      <c r="L60" s="702">
        <f>Activity!$C59*Activity!$D59*Activity!N59</f>
        <v>0</v>
      </c>
      <c r="M60" s="700">
        <f>Activity!$C59*Activity!$D59*Activity!O59</f>
        <v>0</v>
      </c>
      <c r="N60" s="527">
        <v>0</v>
      </c>
      <c r="O60" s="702">
        <f>Activity!C59*Activity!D59</f>
        <v>0</v>
      </c>
      <c r="P60" s="709">
        <f>Activity!X59</f>
        <v>0</v>
      </c>
    </row>
    <row r="61" spans="2:16">
      <c r="B61" s="7">
        <f t="shared" si="1"/>
        <v>2047</v>
      </c>
      <c r="C61" s="701">
        <f>Activity!$C60*Activity!$D60*Activity!E60</f>
        <v>0</v>
      </c>
      <c r="D61" s="702">
        <f>Activity!$C60*Activity!$D60*Activity!F60</f>
        <v>0</v>
      </c>
      <c r="E61" s="700">
        <f>Activity!$C60*Activity!$D60*Activity!G60</f>
        <v>0</v>
      </c>
      <c r="F61" s="702">
        <f>Activity!$C60*Activity!$D60*Activity!H60</f>
        <v>0</v>
      </c>
      <c r="G61" s="702">
        <f>Activity!$C60*Activity!$D60*Activity!I60</f>
        <v>0</v>
      </c>
      <c r="H61" s="702">
        <f>Activity!$C60*Activity!$D60*Activity!J60</f>
        <v>0</v>
      </c>
      <c r="I61" s="702">
        <f>Activity!$C60*Activity!$D60*Activity!K60</f>
        <v>0</v>
      </c>
      <c r="J61" s="703">
        <f>Activity!$C60*Activity!$D60*Activity!L60</f>
        <v>0</v>
      </c>
      <c r="K61" s="702">
        <f>Activity!$C60*Activity!$D60*Activity!M60</f>
        <v>0</v>
      </c>
      <c r="L61" s="702">
        <f>Activity!$C60*Activity!$D60*Activity!N60</f>
        <v>0</v>
      </c>
      <c r="M61" s="700">
        <f>Activity!$C60*Activity!$D60*Activity!O60</f>
        <v>0</v>
      </c>
      <c r="N61" s="527">
        <v>0</v>
      </c>
      <c r="O61" s="702">
        <f>Activity!C60*Activity!D60</f>
        <v>0</v>
      </c>
      <c r="P61" s="709">
        <f>Activity!X60</f>
        <v>0</v>
      </c>
    </row>
    <row r="62" spans="2:16">
      <c r="B62" s="7">
        <f t="shared" si="1"/>
        <v>2048</v>
      </c>
      <c r="C62" s="701">
        <f>Activity!$C61*Activity!$D61*Activity!E61</f>
        <v>0</v>
      </c>
      <c r="D62" s="702">
        <f>Activity!$C61*Activity!$D61*Activity!F61</f>
        <v>0</v>
      </c>
      <c r="E62" s="700">
        <f>Activity!$C61*Activity!$D61*Activity!G61</f>
        <v>0</v>
      </c>
      <c r="F62" s="702">
        <f>Activity!$C61*Activity!$D61*Activity!H61</f>
        <v>0</v>
      </c>
      <c r="G62" s="702">
        <f>Activity!$C61*Activity!$D61*Activity!I61</f>
        <v>0</v>
      </c>
      <c r="H62" s="702">
        <f>Activity!$C61*Activity!$D61*Activity!J61</f>
        <v>0</v>
      </c>
      <c r="I62" s="702">
        <f>Activity!$C61*Activity!$D61*Activity!K61</f>
        <v>0</v>
      </c>
      <c r="J62" s="703">
        <f>Activity!$C61*Activity!$D61*Activity!L61</f>
        <v>0</v>
      </c>
      <c r="K62" s="702">
        <f>Activity!$C61*Activity!$D61*Activity!M61</f>
        <v>0</v>
      </c>
      <c r="L62" s="702">
        <f>Activity!$C61*Activity!$D61*Activity!N61</f>
        <v>0</v>
      </c>
      <c r="M62" s="700">
        <f>Activity!$C61*Activity!$D61*Activity!O61</f>
        <v>0</v>
      </c>
      <c r="N62" s="527">
        <v>0</v>
      </c>
      <c r="O62" s="702">
        <f>Activity!C61*Activity!D61</f>
        <v>0</v>
      </c>
      <c r="P62" s="709">
        <f>Activity!X61</f>
        <v>0</v>
      </c>
    </row>
    <row r="63" spans="2:16">
      <c r="B63" s="7">
        <f t="shared" si="1"/>
        <v>2049</v>
      </c>
      <c r="C63" s="701">
        <f>Activity!$C62*Activity!$D62*Activity!E62</f>
        <v>0</v>
      </c>
      <c r="D63" s="702">
        <f>Activity!$C62*Activity!$D62*Activity!F62</f>
        <v>0</v>
      </c>
      <c r="E63" s="700">
        <f>Activity!$C62*Activity!$D62*Activity!G62</f>
        <v>0</v>
      </c>
      <c r="F63" s="702">
        <f>Activity!$C62*Activity!$D62*Activity!H62</f>
        <v>0</v>
      </c>
      <c r="G63" s="702">
        <f>Activity!$C62*Activity!$D62*Activity!I62</f>
        <v>0</v>
      </c>
      <c r="H63" s="702">
        <f>Activity!$C62*Activity!$D62*Activity!J62</f>
        <v>0</v>
      </c>
      <c r="I63" s="702">
        <f>Activity!$C62*Activity!$D62*Activity!K62</f>
        <v>0</v>
      </c>
      <c r="J63" s="703">
        <f>Activity!$C62*Activity!$D62*Activity!L62</f>
        <v>0</v>
      </c>
      <c r="K63" s="702">
        <f>Activity!$C62*Activity!$D62*Activity!M62</f>
        <v>0</v>
      </c>
      <c r="L63" s="702">
        <f>Activity!$C62*Activity!$D62*Activity!N62</f>
        <v>0</v>
      </c>
      <c r="M63" s="700">
        <f>Activity!$C62*Activity!$D62*Activity!O62</f>
        <v>0</v>
      </c>
      <c r="N63" s="527">
        <v>0</v>
      </c>
      <c r="O63" s="702">
        <f>Activity!C62*Activity!D62</f>
        <v>0</v>
      </c>
      <c r="P63" s="709">
        <f>Activity!X62</f>
        <v>0</v>
      </c>
    </row>
    <row r="64" spans="2:16">
      <c r="B64" s="7">
        <f t="shared" si="1"/>
        <v>2050</v>
      </c>
      <c r="C64" s="701">
        <f>Activity!$C63*Activity!$D63*Activity!E63</f>
        <v>0</v>
      </c>
      <c r="D64" s="702">
        <f>Activity!$C63*Activity!$D63*Activity!F63</f>
        <v>0</v>
      </c>
      <c r="E64" s="700">
        <f>Activity!$C63*Activity!$D63*Activity!G63</f>
        <v>0</v>
      </c>
      <c r="F64" s="702">
        <f>Activity!$C63*Activity!$D63*Activity!H63</f>
        <v>0</v>
      </c>
      <c r="G64" s="702">
        <f>Activity!$C63*Activity!$D63*Activity!I63</f>
        <v>0</v>
      </c>
      <c r="H64" s="702">
        <f>Activity!$C63*Activity!$D63*Activity!J63</f>
        <v>0</v>
      </c>
      <c r="I64" s="702">
        <f>Activity!$C63*Activity!$D63*Activity!K63</f>
        <v>0</v>
      </c>
      <c r="J64" s="703">
        <f>Activity!$C63*Activity!$D63*Activity!L63</f>
        <v>0</v>
      </c>
      <c r="K64" s="702">
        <f>Activity!$C63*Activity!$D63*Activity!M63</f>
        <v>0</v>
      </c>
      <c r="L64" s="702">
        <f>Activity!$C63*Activity!$D63*Activity!N63</f>
        <v>0</v>
      </c>
      <c r="M64" s="700">
        <f>Activity!$C63*Activity!$D63*Activity!O63</f>
        <v>0</v>
      </c>
      <c r="N64" s="527">
        <v>0</v>
      </c>
      <c r="O64" s="702">
        <f>Activity!C63*Activity!D63</f>
        <v>0</v>
      </c>
      <c r="P64" s="709">
        <f>Activity!X63</f>
        <v>0</v>
      </c>
    </row>
    <row r="65" spans="2:16">
      <c r="B65" s="7">
        <f t="shared" si="1"/>
        <v>2051</v>
      </c>
      <c r="C65" s="701">
        <f>Activity!$C64*Activity!$D64*Activity!E64</f>
        <v>0</v>
      </c>
      <c r="D65" s="702">
        <f>Activity!$C64*Activity!$D64*Activity!F64</f>
        <v>0</v>
      </c>
      <c r="E65" s="700">
        <f>Activity!$C64*Activity!$D64*Activity!G64</f>
        <v>0</v>
      </c>
      <c r="F65" s="702">
        <f>Activity!$C64*Activity!$D64*Activity!H64</f>
        <v>0</v>
      </c>
      <c r="G65" s="702">
        <f>Activity!$C64*Activity!$D64*Activity!I64</f>
        <v>0</v>
      </c>
      <c r="H65" s="702">
        <f>Activity!$C64*Activity!$D64*Activity!J64</f>
        <v>0</v>
      </c>
      <c r="I65" s="702">
        <f>Activity!$C64*Activity!$D64*Activity!K64</f>
        <v>0</v>
      </c>
      <c r="J65" s="703">
        <f>Activity!$C64*Activity!$D64*Activity!L64</f>
        <v>0</v>
      </c>
      <c r="K65" s="702">
        <f>Activity!$C64*Activity!$D64*Activity!M64</f>
        <v>0</v>
      </c>
      <c r="L65" s="702">
        <f>Activity!$C64*Activity!$D64*Activity!N64</f>
        <v>0</v>
      </c>
      <c r="M65" s="700">
        <f>Activity!$C64*Activity!$D64*Activity!O64</f>
        <v>0</v>
      </c>
      <c r="N65" s="527">
        <v>0</v>
      </c>
      <c r="O65" s="702">
        <f>Activity!C64*Activity!D64</f>
        <v>0</v>
      </c>
      <c r="P65" s="709">
        <f>Activity!X64</f>
        <v>0</v>
      </c>
    </row>
    <row r="66" spans="2:16">
      <c r="B66" s="7">
        <f t="shared" si="1"/>
        <v>2052</v>
      </c>
      <c r="C66" s="701">
        <f>Activity!$C65*Activity!$D65*Activity!E65</f>
        <v>0</v>
      </c>
      <c r="D66" s="702">
        <f>Activity!$C65*Activity!$D65*Activity!F65</f>
        <v>0</v>
      </c>
      <c r="E66" s="700">
        <f>Activity!$C65*Activity!$D65*Activity!G65</f>
        <v>0</v>
      </c>
      <c r="F66" s="702">
        <f>Activity!$C65*Activity!$D65*Activity!H65</f>
        <v>0</v>
      </c>
      <c r="G66" s="702">
        <f>Activity!$C65*Activity!$D65*Activity!I65</f>
        <v>0</v>
      </c>
      <c r="H66" s="702">
        <f>Activity!$C65*Activity!$D65*Activity!J65</f>
        <v>0</v>
      </c>
      <c r="I66" s="702">
        <f>Activity!$C65*Activity!$D65*Activity!K65</f>
        <v>0</v>
      </c>
      <c r="J66" s="703">
        <f>Activity!$C65*Activity!$D65*Activity!L65</f>
        <v>0</v>
      </c>
      <c r="K66" s="702">
        <f>Activity!$C65*Activity!$D65*Activity!M65</f>
        <v>0</v>
      </c>
      <c r="L66" s="702">
        <f>Activity!$C65*Activity!$D65*Activity!N65</f>
        <v>0</v>
      </c>
      <c r="M66" s="700">
        <f>Activity!$C65*Activity!$D65*Activity!O65</f>
        <v>0</v>
      </c>
      <c r="N66" s="527">
        <v>0</v>
      </c>
      <c r="O66" s="702">
        <f>Activity!C65*Activity!D65</f>
        <v>0</v>
      </c>
      <c r="P66" s="709">
        <f>Activity!X65</f>
        <v>0</v>
      </c>
    </row>
    <row r="67" spans="2:16">
      <c r="B67" s="7">
        <f t="shared" si="1"/>
        <v>2053</v>
      </c>
      <c r="C67" s="701">
        <f>Activity!$C66*Activity!$D66*Activity!E66</f>
        <v>0</v>
      </c>
      <c r="D67" s="702">
        <f>Activity!$C66*Activity!$D66*Activity!F66</f>
        <v>0</v>
      </c>
      <c r="E67" s="700">
        <f>Activity!$C66*Activity!$D66*Activity!G66</f>
        <v>0</v>
      </c>
      <c r="F67" s="702">
        <f>Activity!$C66*Activity!$D66*Activity!H66</f>
        <v>0</v>
      </c>
      <c r="G67" s="702">
        <f>Activity!$C66*Activity!$D66*Activity!I66</f>
        <v>0</v>
      </c>
      <c r="H67" s="702">
        <f>Activity!$C66*Activity!$D66*Activity!J66</f>
        <v>0</v>
      </c>
      <c r="I67" s="702">
        <f>Activity!$C66*Activity!$D66*Activity!K66</f>
        <v>0</v>
      </c>
      <c r="J67" s="703">
        <f>Activity!$C66*Activity!$D66*Activity!L66</f>
        <v>0</v>
      </c>
      <c r="K67" s="702">
        <f>Activity!$C66*Activity!$D66*Activity!M66</f>
        <v>0</v>
      </c>
      <c r="L67" s="702">
        <f>Activity!$C66*Activity!$D66*Activity!N66</f>
        <v>0</v>
      </c>
      <c r="M67" s="700">
        <f>Activity!$C66*Activity!$D66*Activity!O66</f>
        <v>0</v>
      </c>
      <c r="N67" s="527">
        <v>0</v>
      </c>
      <c r="O67" s="702">
        <f>Activity!C66*Activity!D66</f>
        <v>0</v>
      </c>
      <c r="P67" s="709">
        <f>Activity!X66</f>
        <v>0</v>
      </c>
    </row>
    <row r="68" spans="2:16">
      <c r="B68" s="7">
        <f t="shared" si="1"/>
        <v>2054</v>
      </c>
      <c r="C68" s="701">
        <f>Activity!$C67*Activity!$D67*Activity!E67</f>
        <v>0</v>
      </c>
      <c r="D68" s="702">
        <f>Activity!$C67*Activity!$D67*Activity!F67</f>
        <v>0</v>
      </c>
      <c r="E68" s="700">
        <f>Activity!$C67*Activity!$D67*Activity!G67</f>
        <v>0</v>
      </c>
      <c r="F68" s="702">
        <f>Activity!$C67*Activity!$D67*Activity!H67</f>
        <v>0</v>
      </c>
      <c r="G68" s="702">
        <f>Activity!$C67*Activity!$D67*Activity!I67</f>
        <v>0</v>
      </c>
      <c r="H68" s="702">
        <f>Activity!$C67*Activity!$D67*Activity!J67</f>
        <v>0</v>
      </c>
      <c r="I68" s="702">
        <f>Activity!$C67*Activity!$D67*Activity!K67</f>
        <v>0</v>
      </c>
      <c r="J68" s="703">
        <f>Activity!$C67*Activity!$D67*Activity!L67</f>
        <v>0</v>
      </c>
      <c r="K68" s="702">
        <f>Activity!$C67*Activity!$D67*Activity!M67</f>
        <v>0</v>
      </c>
      <c r="L68" s="702">
        <f>Activity!$C67*Activity!$D67*Activity!N67</f>
        <v>0</v>
      </c>
      <c r="M68" s="700">
        <f>Activity!$C67*Activity!$D67*Activity!O67</f>
        <v>0</v>
      </c>
      <c r="N68" s="527">
        <v>0</v>
      </c>
      <c r="O68" s="702">
        <f>Activity!C67*Activity!D67</f>
        <v>0</v>
      </c>
      <c r="P68" s="709">
        <f>Activity!X67</f>
        <v>0</v>
      </c>
    </row>
    <row r="69" spans="2:16">
      <c r="B69" s="7">
        <f t="shared" si="1"/>
        <v>2055</v>
      </c>
      <c r="C69" s="701">
        <f>Activity!$C68*Activity!$D68*Activity!E68</f>
        <v>0</v>
      </c>
      <c r="D69" s="702">
        <f>Activity!$C68*Activity!$D68*Activity!F68</f>
        <v>0</v>
      </c>
      <c r="E69" s="700">
        <f>Activity!$C68*Activity!$D68*Activity!G68</f>
        <v>0</v>
      </c>
      <c r="F69" s="702">
        <f>Activity!$C68*Activity!$D68*Activity!H68</f>
        <v>0</v>
      </c>
      <c r="G69" s="702">
        <f>Activity!$C68*Activity!$D68*Activity!I68</f>
        <v>0</v>
      </c>
      <c r="H69" s="702">
        <f>Activity!$C68*Activity!$D68*Activity!J68</f>
        <v>0</v>
      </c>
      <c r="I69" s="702">
        <f>Activity!$C68*Activity!$D68*Activity!K68</f>
        <v>0</v>
      </c>
      <c r="J69" s="703">
        <f>Activity!$C68*Activity!$D68*Activity!L68</f>
        <v>0</v>
      </c>
      <c r="K69" s="702">
        <f>Activity!$C68*Activity!$D68*Activity!M68</f>
        <v>0</v>
      </c>
      <c r="L69" s="702">
        <f>Activity!$C68*Activity!$D68*Activity!N68</f>
        <v>0</v>
      </c>
      <c r="M69" s="700">
        <f>Activity!$C68*Activity!$D68*Activity!O68</f>
        <v>0</v>
      </c>
      <c r="N69" s="527">
        <v>0</v>
      </c>
      <c r="O69" s="702">
        <f>Activity!C68*Activity!D68</f>
        <v>0</v>
      </c>
      <c r="P69" s="709">
        <f>Activity!X68</f>
        <v>0</v>
      </c>
    </row>
    <row r="70" spans="2:16">
      <c r="B70" s="7">
        <f t="shared" si="1"/>
        <v>2056</v>
      </c>
      <c r="C70" s="701">
        <f>Activity!$C69*Activity!$D69*Activity!E69</f>
        <v>0</v>
      </c>
      <c r="D70" s="702">
        <f>Activity!$C69*Activity!$D69*Activity!F69</f>
        <v>0</v>
      </c>
      <c r="E70" s="700">
        <f>Activity!$C69*Activity!$D69*Activity!G69</f>
        <v>0</v>
      </c>
      <c r="F70" s="702">
        <f>Activity!$C69*Activity!$D69*Activity!H69</f>
        <v>0</v>
      </c>
      <c r="G70" s="702">
        <f>Activity!$C69*Activity!$D69*Activity!I69</f>
        <v>0</v>
      </c>
      <c r="H70" s="702">
        <f>Activity!$C69*Activity!$D69*Activity!J69</f>
        <v>0</v>
      </c>
      <c r="I70" s="702">
        <f>Activity!$C69*Activity!$D69*Activity!K69</f>
        <v>0</v>
      </c>
      <c r="J70" s="703">
        <f>Activity!$C69*Activity!$D69*Activity!L69</f>
        <v>0</v>
      </c>
      <c r="K70" s="702">
        <f>Activity!$C69*Activity!$D69*Activity!M69</f>
        <v>0</v>
      </c>
      <c r="L70" s="702">
        <f>Activity!$C69*Activity!$D69*Activity!N69</f>
        <v>0</v>
      </c>
      <c r="M70" s="700">
        <f>Activity!$C69*Activity!$D69*Activity!O69</f>
        <v>0</v>
      </c>
      <c r="N70" s="527">
        <v>0</v>
      </c>
      <c r="O70" s="702">
        <f>Activity!C69*Activity!D69</f>
        <v>0</v>
      </c>
      <c r="P70" s="709">
        <f>Activity!X69</f>
        <v>0</v>
      </c>
    </row>
    <row r="71" spans="2:16">
      <c r="B71" s="7">
        <f t="shared" si="1"/>
        <v>2057</v>
      </c>
      <c r="C71" s="701">
        <f>Activity!$C70*Activity!$D70*Activity!E70</f>
        <v>0</v>
      </c>
      <c r="D71" s="702">
        <f>Activity!$C70*Activity!$D70*Activity!F70</f>
        <v>0</v>
      </c>
      <c r="E71" s="700">
        <f>Activity!$C70*Activity!$D70*Activity!G70</f>
        <v>0</v>
      </c>
      <c r="F71" s="702">
        <f>Activity!$C70*Activity!$D70*Activity!H70</f>
        <v>0</v>
      </c>
      <c r="G71" s="702">
        <f>Activity!$C70*Activity!$D70*Activity!I70</f>
        <v>0</v>
      </c>
      <c r="H71" s="702">
        <f>Activity!$C70*Activity!$D70*Activity!J70</f>
        <v>0</v>
      </c>
      <c r="I71" s="702">
        <f>Activity!$C70*Activity!$D70*Activity!K70</f>
        <v>0</v>
      </c>
      <c r="J71" s="703">
        <f>Activity!$C70*Activity!$D70*Activity!L70</f>
        <v>0</v>
      </c>
      <c r="K71" s="702">
        <f>Activity!$C70*Activity!$D70*Activity!M70</f>
        <v>0</v>
      </c>
      <c r="L71" s="702">
        <f>Activity!$C70*Activity!$D70*Activity!N70</f>
        <v>0</v>
      </c>
      <c r="M71" s="700">
        <f>Activity!$C70*Activity!$D70*Activity!O70</f>
        <v>0</v>
      </c>
      <c r="N71" s="527">
        <v>0</v>
      </c>
      <c r="O71" s="702">
        <f>Activity!C70*Activity!D70</f>
        <v>0</v>
      </c>
      <c r="P71" s="709">
        <f>Activity!X70</f>
        <v>0</v>
      </c>
    </row>
    <row r="72" spans="2:16">
      <c r="B72" s="7">
        <f t="shared" si="1"/>
        <v>2058</v>
      </c>
      <c r="C72" s="701">
        <f>Activity!$C71*Activity!$D71*Activity!E71</f>
        <v>0</v>
      </c>
      <c r="D72" s="702">
        <f>Activity!$C71*Activity!$D71*Activity!F71</f>
        <v>0</v>
      </c>
      <c r="E72" s="700">
        <f>Activity!$C71*Activity!$D71*Activity!G71</f>
        <v>0</v>
      </c>
      <c r="F72" s="702">
        <f>Activity!$C71*Activity!$D71*Activity!H71</f>
        <v>0</v>
      </c>
      <c r="G72" s="702">
        <f>Activity!$C71*Activity!$D71*Activity!I71</f>
        <v>0</v>
      </c>
      <c r="H72" s="702">
        <f>Activity!$C71*Activity!$D71*Activity!J71</f>
        <v>0</v>
      </c>
      <c r="I72" s="702">
        <f>Activity!$C71*Activity!$D71*Activity!K71</f>
        <v>0</v>
      </c>
      <c r="J72" s="703">
        <f>Activity!$C71*Activity!$D71*Activity!L71</f>
        <v>0</v>
      </c>
      <c r="K72" s="702">
        <f>Activity!$C71*Activity!$D71*Activity!M71</f>
        <v>0</v>
      </c>
      <c r="L72" s="702">
        <f>Activity!$C71*Activity!$D71*Activity!N71</f>
        <v>0</v>
      </c>
      <c r="M72" s="700">
        <f>Activity!$C71*Activity!$D71*Activity!O71</f>
        <v>0</v>
      </c>
      <c r="N72" s="527">
        <v>0</v>
      </c>
      <c r="O72" s="702">
        <f>Activity!C71*Activity!D71</f>
        <v>0</v>
      </c>
      <c r="P72" s="709">
        <f>Activity!X71</f>
        <v>0</v>
      </c>
    </row>
    <row r="73" spans="2:16">
      <c r="B73" s="7">
        <f t="shared" si="1"/>
        <v>2059</v>
      </c>
      <c r="C73" s="701">
        <f>Activity!$C72*Activity!$D72*Activity!E72</f>
        <v>0</v>
      </c>
      <c r="D73" s="702">
        <f>Activity!$C72*Activity!$D72*Activity!F72</f>
        <v>0</v>
      </c>
      <c r="E73" s="700">
        <f>Activity!$C72*Activity!$D72*Activity!G72</f>
        <v>0</v>
      </c>
      <c r="F73" s="702">
        <f>Activity!$C72*Activity!$D72*Activity!H72</f>
        <v>0</v>
      </c>
      <c r="G73" s="702">
        <f>Activity!$C72*Activity!$D72*Activity!I72</f>
        <v>0</v>
      </c>
      <c r="H73" s="702">
        <f>Activity!$C72*Activity!$D72*Activity!J72</f>
        <v>0</v>
      </c>
      <c r="I73" s="702">
        <f>Activity!$C72*Activity!$D72*Activity!K72</f>
        <v>0</v>
      </c>
      <c r="J73" s="703">
        <f>Activity!$C72*Activity!$D72*Activity!L72</f>
        <v>0</v>
      </c>
      <c r="K73" s="702">
        <f>Activity!$C72*Activity!$D72*Activity!M72</f>
        <v>0</v>
      </c>
      <c r="L73" s="702">
        <f>Activity!$C72*Activity!$D72*Activity!N72</f>
        <v>0</v>
      </c>
      <c r="M73" s="700">
        <f>Activity!$C72*Activity!$D72*Activity!O72</f>
        <v>0</v>
      </c>
      <c r="N73" s="527">
        <v>0</v>
      </c>
      <c r="O73" s="702">
        <f>Activity!C72*Activity!D72</f>
        <v>0</v>
      </c>
      <c r="P73" s="709">
        <f>Activity!X72</f>
        <v>0</v>
      </c>
    </row>
    <row r="74" spans="2:16">
      <c r="B74" s="7">
        <f t="shared" si="1"/>
        <v>2060</v>
      </c>
      <c r="C74" s="701">
        <f>Activity!$C73*Activity!$D73*Activity!E73</f>
        <v>0</v>
      </c>
      <c r="D74" s="702">
        <f>Activity!$C73*Activity!$D73*Activity!F73</f>
        <v>0</v>
      </c>
      <c r="E74" s="700">
        <f>Activity!$C73*Activity!$D73*Activity!G73</f>
        <v>0</v>
      </c>
      <c r="F74" s="702">
        <f>Activity!$C73*Activity!$D73*Activity!H73</f>
        <v>0</v>
      </c>
      <c r="G74" s="702">
        <f>Activity!$C73*Activity!$D73*Activity!I73</f>
        <v>0</v>
      </c>
      <c r="H74" s="702">
        <f>Activity!$C73*Activity!$D73*Activity!J73</f>
        <v>0</v>
      </c>
      <c r="I74" s="702">
        <f>Activity!$C73*Activity!$D73*Activity!K73</f>
        <v>0</v>
      </c>
      <c r="J74" s="703">
        <f>Activity!$C73*Activity!$D73*Activity!L73</f>
        <v>0</v>
      </c>
      <c r="K74" s="702">
        <f>Activity!$C73*Activity!$D73*Activity!M73</f>
        <v>0</v>
      </c>
      <c r="L74" s="702">
        <f>Activity!$C73*Activity!$D73*Activity!N73</f>
        <v>0</v>
      </c>
      <c r="M74" s="700">
        <f>Activity!$C73*Activity!$D73*Activity!O73</f>
        <v>0</v>
      </c>
      <c r="N74" s="527">
        <v>0</v>
      </c>
      <c r="O74" s="702">
        <f>Activity!C73*Activity!D73</f>
        <v>0</v>
      </c>
      <c r="P74" s="709">
        <f>Activity!X73</f>
        <v>0</v>
      </c>
    </row>
    <row r="75" spans="2:16">
      <c r="B75" s="7">
        <f t="shared" si="1"/>
        <v>2061</v>
      </c>
      <c r="C75" s="701">
        <f>Activity!$C74*Activity!$D74*Activity!E74</f>
        <v>0</v>
      </c>
      <c r="D75" s="702">
        <f>Activity!$C74*Activity!$D74*Activity!F74</f>
        <v>0</v>
      </c>
      <c r="E75" s="700">
        <f>Activity!$C74*Activity!$D74*Activity!G74</f>
        <v>0</v>
      </c>
      <c r="F75" s="702">
        <f>Activity!$C74*Activity!$D74*Activity!H74</f>
        <v>0</v>
      </c>
      <c r="G75" s="702">
        <f>Activity!$C74*Activity!$D74*Activity!I74</f>
        <v>0</v>
      </c>
      <c r="H75" s="702">
        <f>Activity!$C74*Activity!$D74*Activity!J74</f>
        <v>0</v>
      </c>
      <c r="I75" s="702">
        <f>Activity!$C74*Activity!$D74*Activity!K74</f>
        <v>0</v>
      </c>
      <c r="J75" s="703">
        <f>Activity!$C74*Activity!$D74*Activity!L74</f>
        <v>0</v>
      </c>
      <c r="K75" s="702">
        <f>Activity!$C74*Activity!$D74*Activity!M74</f>
        <v>0</v>
      </c>
      <c r="L75" s="702">
        <f>Activity!$C74*Activity!$D74*Activity!N74</f>
        <v>0</v>
      </c>
      <c r="M75" s="700">
        <f>Activity!$C74*Activity!$D74*Activity!O74</f>
        <v>0</v>
      </c>
      <c r="N75" s="527">
        <v>0</v>
      </c>
      <c r="O75" s="702">
        <f>Activity!C74*Activity!D74</f>
        <v>0</v>
      </c>
      <c r="P75" s="709">
        <f>Activity!X74</f>
        <v>0</v>
      </c>
    </row>
    <row r="76" spans="2:16">
      <c r="B76" s="7">
        <f t="shared" si="1"/>
        <v>2062</v>
      </c>
      <c r="C76" s="701">
        <f>Activity!$C75*Activity!$D75*Activity!E75</f>
        <v>0</v>
      </c>
      <c r="D76" s="702">
        <f>Activity!$C75*Activity!$D75*Activity!F75</f>
        <v>0</v>
      </c>
      <c r="E76" s="700">
        <f>Activity!$C75*Activity!$D75*Activity!G75</f>
        <v>0</v>
      </c>
      <c r="F76" s="702">
        <f>Activity!$C75*Activity!$D75*Activity!H75</f>
        <v>0</v>
      </c>
      <c r="G76" s="702">
        <f>Activity!$C75*Activity!$D75*Activity!I75</f>
        <v>0</v>
      </c>
      <c r="H76" s="702">
        <f>Activity!$C75*Activity!$D75*Activity!J75</f>
        <v>0</v>
      </c>
      <c r="I76" s="702">
        <f>Activity!$C75*Activity!$D75*Activity!K75</f>
        <v>0</v>
      </c>
      <c r="J76" s="703">
        <f>Activity!$C75*Activity!$D75*Activity!L75</f>
        <v>0</v>
      </c>
      <c r="K76" s="702">
        <f>Activity!$C75*Activity!$D75*Activity!M75</f>
        <v>0</v>
      </c>
      <c r="L76" s="702">
        <f>Activity!$C75*Activity!$D75*Activity!N75</f>
        <v>0</v>
      </c>
      <c r="M76" s="700">
        <f>Activity!$C75*Activity!$D75*Activity!O75</f>
        <v>0</v>
      </c>
      <c r="N76" s="527">
        <v>0</v>
      </c>
      <c r="O76" s="702">
        <f>Activity!C75*Activity!D75</f>
        <v>0</v>
      </c>
      <c r="P76" s="709">
        <f>Activity!X75</f>
        <v>0</v>
      </c>
    </row>
    <row r="77" spans="2:16">
      <c r="B77" s="7">
        <f t="shared" si="1"/>
        <v>2063</v>
      </c>
      <c r="C77" s="701">
        <f>Activity!$C76*Activity!$D76*Activity!E76</f>
        <v>0</v>
      </c>
      <c r="D77" s="702">
        <f>Activity!$C76*Activity!$D76*Activity!F76</f>
        <v>0</v>
      </c>
      <c r="E77" s="700">
        <f>Activity!$C76*Activity!$D76*Activity!G76</f>
        <v>0</v>
      </c>
      <c r="F77" s="702">
        <f>Activity!$C76*Activity!$D76*Activity!H76</f>
        <v>0</v>
      </c>
      <c r="G77" s="702">
        <f>Activity!$C76*Activity!$D76*Activity!I76</f>
        <v>0</v>
      </c>
      <c r="H77" s="702">
        <f>Activity!$C76*Activity!$D76*Activity!J76</f>
        <v>0</v>
      </c>
      <c r="I77" s="702">
        <f>Activity!$C76*Activity!$D76*Activity!K76</f>
        <v>0</v>
      </c>
      <c r="J77" s="703">
        <f>Activity!$C76*Activity!$D76*Activity!L76</f>
        <v>0</v>
      </c>
      <c r="K77" s="702">
        <f>Activity!$C76*Activity!$D76*Activity!M76</f>
        <v>0</v>
      </c>
      <c r="L77" s="702">
        <f>Activity!$C76*Activity!$D76*Activity!N76</f>
        <v>0</v>
      </c>
      <c r="M77" s="700">
        <f>Activity!$C76*Activity!$D76*Activity!O76</f>
        <v>0</v>
      </c>
      <c r="N77" s="527">
        <v>0</v>
      </c>
      <c r="O77" s="702">
        <f>Activity!C76*Activity!D76</f>
        <v>0</v>
      </c>
      <c r="P77" s="709">
        <f>Activity!X76</f>
        <v>0</v>
      </c>
    </row>
    <row r="78" spans="2:16">
      <c r="B78" s="7">
        <f t="shared" si="1"/>
        <v>2064</v>
      </c>
      <c r="C78" s="701">
        <f>Activity!$C77*Activity!$D77*Activity!E77</f>
        <v>0</v>
      </c>
      <c r="D78" s="702">
        <f>Activity!$C77*Activity!$D77*Activity!F77</f>
        <v>0</v>
      </c>
      <c r="E78" s="700">
        <f>Activity!$C77*Activity!$D77*Activity!G77</f>
        <v>0</v>
      </c>
      <c r="F78" s="702">
        <f>Activity!$C77*Activity!$D77*Activity!H77</f>
        <v>0</v>
      </c>
      <c r="G78" s="702">
        <f>Activity!$C77*Activity!$D77*Activity!I77</f>
        <v>0</v>
      </c>
      <c r="H78" s="702">
        <f>Activity!$C77*Activity!$D77*Activity!J77</f>
        <v>0</v>
      </c>
      <c r="I78" s="702">
        <f>Activity!$C77*Activity!$D77*Activity!K77</f>
        <v>0</v>
      </c>
      <c r="J78" s="703">
        <f>Activity!$C77*Activity!$D77*Activity!L77</f>
        <v>0</v>
      </c>
      <c r="K78" s="702">
        <f>Activity!$C77*Activity!$D77*Activity!M77</f>
        <v>0</v>
      </c>
      <c r="L78" s="702">
        <f>Activity!$C77*Activity!$D77*Activity!N77</f>
        <v>0</v>
      </c>
      <c r="M78" s="700">
        <f>Activity!$C77*Activity!$D77*Activity!O77</f>
        <v>0</v>
      </c>
      <c r="N78" s="527">
        <v>0</v>
      </c>
      <c r="O78" s="702">
        <f>Activity!C77*Activity!D77</f>
        <v>0</v>
      </c>
      <c r="P78" s="709">
        <f>Activity!X77</f>
        <v>0</v>
      </c>
    </row>
    <row r="79" spans="2:16">
      <c r="B79" s="7">
        <f t="shared" si="1"/>
        <v>2065</v>
      </c>
      <c r="C79" s="701">
        <f>Activity!$C78*Activity!$D78*Activity!E78</f>
        <v>0</v>
      </c>
      <c r="D79" s="702">
        <f>Activity!$C78*Activity!$D78*Activity!F78</f>
        <v>0</v>
      </c>
      <c r="E79" s="700">
        <f>Activity!$C78*Activity!$D78*Activity!G78</f>
        <v>0</v>
      </c>
      <c r="F79" s="702">
        <f>Activity!$C78*Activity!$D78*Activity!H78</f>
        <v>0</v>
      </c>
      <c r="G79" s="702">
        <f>Activity!$C78*Activity!$D78*Activity!I78</f>
        <v>0</v>
      </c>
      <c r="H79" s="702">
        <f>Activity!$C78*Activity!$D78*Activity!J78</f>
        <v>0</v>
      </c>
      <c r="I79" s="702">
        <f>Activity!$C78*Activity!$D78*Activity!K78</f>
        <v>0</v>
      </c>
      <c r="J79" s="703">
        <f>Activity!$C78*Activity!$D78*Activity!L78</f>
        <v>0</v>
      </c>
      <c r="K79" s="702">
        <f>Activity!$C78*Activity!$D78*Activity!M78</f>
        <v>0</v>
      </c>
      <c r="L79" s="702">
        <f>Activity!$C78*Activity!$D78*Activity!N78</f>
        <v>0</v>
      </c>
      <c r="M79" s="700">
        <f>Activity!$C78*Activity!$D78*Activity!O78</f>
        <v>0</v>
      </c>
      <c r="N79" s="527">
        <v>0</v>
      </c>
      <c r="O79" s="702">
        <f>Activity!C78*Activity!D78</f>
        <v>0</v>
      </c>
      <c r="P79" s="709">
        <f>Activity!X78</f>
        <v>0</v>
      </c>
    </row>
    <row r="80" spans="2:16">
      <c r="B80" s="7">
        <f t="shared" si="1"/>
        <v>2066</v>
      </c>
      <c r="C80" s="701">
        <f>Activity!$C79*Activity!$D79*Activity!E79</f>
        <v>0</v>
      </c>
      <c r="D80" s="702">
        <f>Activity!$C79*Activity!$D79*Activity!F79</f>
        <v>0</v>
      </c>
      <c r="E80" s="700">
        <f>Activity!$C79*Activity!$D79*Activity!G79</f>
        <v>0</v>
      </c>
      <c r="F80" s="702">
        <f>Activity!$C79*Activity!$D79*Activity!H79</f>
        <v>0</v>
      </c>
      <c r="G80" s="702">
        <f>Activity!$C79*Activity!$D79*Activity!I79</f>
        <v>0</v>
      </c>
      <c r="H80" s="702">
        <f>Activity!$C79*Activity!$D79*Activity!J79</f>
        <v>0</v>
      </c>
      <c r="I80" s="702">
        <f>Activity!$C79*Activity!$D79*Activity!K79</f>
        <v>0</v>
      </c>
      <c r="J80" s="703">
        <f>Activity!$C79*Activity!$D79*Activity!L79</f>
        <v>0</v>
      </c>
      <c r="K80" s="702">
        <f>Activity!$C79*Activity!$D79*Activity!M79</f>
        <v>0</v>
      </c>
      <c r="L80" s="702">
        <f>Activity!$C79*Activity!$D79*Activity!N79</f>
        <v>0</v>
      </c>
      <c r="M80" s="700">
        <f>Activity!$C79*Activity!$D79*Activity!O79</f>
        <v>0</v>
      </c>
      <c r="N80" s="527">
        <v>0</v>
      </c>
      <c r="O80" s="702">
        <f>Activity!C79*Activity!D79</f>
        <v>0</v>
      </c>
      <c r="P80" s="709">
        <f>Activity!X79</f>
        <v>0</v>
      </c>
    </row>
    <row r="81" spans="2:16">
      <c r="B81" s="7">
        <f t="shared" si="1"/>
        <v>2067</v>
      </c>
      <c r="C81" s="701">
        <f>Activity!$C80*Activity!$D80*Activity!E80</f>
        <v>0</v>
      </c>
      <c r="D81" s="702">
        <f>Activity!$C80*Activity!$D80*Activity!F80</f>
        <v>0</v>
      </c>
      <c r="E81" s="700">
        <f>Activity!$C80*Activity!$D80*Activity!G80</f>
        <v>0</v>
      </c>
      <c r="F81" s="702">
        <f>Activity!$C80*Activity!$D80*Activity!H80</f>
        <v>0</v>
      </c>
      <c r="G81" s="702">
        <f>Activity!$C80*Activity!$D80*Activity!I80</f>
        <v>0</v>
      </c>
      <c r="H81" s="702">
        <f>Activity!$C80*Activity!$D80*Activity!J80</f>
        <v>0</v>
      </c>
      <c r="I81" s="702">
        <f>Activity!$C80*Activity!$D80*Activity!K80</f>
        <v>0</v>
      </c>
      <c r="J81" s="703">
        <f>Activity!$C80*Activity!$D80*Activity!L80</f>
        <v>0</v>
      </c>
      <c r="K81" s="702">
        <f>Activity!$C80*Activity!$D80*Activity!M80</f>
        <v>0</v>
      </c>
      <c r="L81" s="702">
        <f>Activity!$C80*Activity!$D80*Activity!N80</f>
        <v>0</v>
      </c>
      <c r="M81" s="700">
        <f>Activity!$C80*Activity!$D80*Activity!O80</f>
        <v>0</v>
      </c>
      <c r="N81" s="527">
        <v>0</v>
      </c>
      <c r="O81" s="702">
        <f>Activity!C80*Activity!D80</f>
        <v>0</v>
      </c>
      <c r="P81" s="709">
        <f>Activity!X80</f>
        <v>0</v>
      </c>
    </row>
    <row r="82" spans="2:16">
      <c r="B82" s="7">
        <f t="shared" si="1"/>
        <v>2068</v>
      </c>
      <c r="C82" s="701">
        <f>Activity!$C81*Activity!$D81*Activity!E81</f>
        <v>0</v>
      </c>
      <c r="D82" s="702">
        <f>Activity!$C81*Activity!$D81*Activity!F81</f>
        <v>0</v>
      </c>
      <c r="E82" s="700">
        <f>Activity!$C81*Activity!$D81*Activity!G81</f>
        <v>0</v>
      </c>
      <c r="F82" s="702">
        <f>Activity!$C81*Activity!$D81*Activity!H81</f>
        <v>0</v>
      </c>
      <c r="G82" s="702">
        <f>Activity!$C81*Activity!$D81*Activity!I81</f>
        <v>0</v>
      </c>
      <c r="H82" s="702">
        <f>Activity!$C81*Activity!$D81*Activity!J81</f>
        <v>0</v>
      </c>
      <c r="I82" s="702">
        <f>Activity!$C81*Activity!$D81*Activity!K81</f>
        <v>0</v>
      </c>
      <c r="J82" s="703">
        <f>Activity!$C81*Activity!$D81*Activity!L81</f>
        <v>0</v>
      </c>
      <c r="K82" s="702">
        <f>Activity!$C81*Activity!$D81*Activity!M81</f>
        <v>0</v>
      </c>
      <c r="L82" s="702">
        <f>Activity!$C81*Activity!$D81*Activity!N81</f>
        <v>0</v>
      </c>
      <c r="M82" s="700">
        <f>Activity!$C81*Activity!$D81*Activity!O81</f>
        <v>0</v>
      </c>
      <c r="N82" s="527">
        <v>0</v>
      </c>
      <c r="O82" s="702">
        <f>Activity!C81*Activity!D81</f>
        <v>0</v>
      </c>
      <c r="P82" s="709">
        <f>Activity!X81</f>
        <v>0</v>
      </c>
    </row>
    <row r="83" spans="2:16">
      <c r="B83" s="7">
        <f t="shared" si="1"/>
        <v>2069</v>
      </c>
      <c r="C83" s="701">
        <f>Activity!$C82*Activity!$D82*Activity!E82</f>
        <v>0</v>
      </c>
      <c r="D83" s="702">
        <f>Activity!$C82*Activity!$D82*Activity!F82</f>
        <v>0</v>
      </c>
      <c r="E83" s="700">
        <f>Activity!$C82*Activity!$D82*Activity!G82</f>
        <v>0</v>
      </c>
      <c r="F83" s="702">
        <f>Activity!$C82*Activity!$D82*Activity!H82</f>
        <v>0</v>
      </c>
      <c r="G83" s="702">
        <f>Activity!$C82*Activity!$D82*Activity!I82</f>
        <v>0</v>
      </c>
      <c r="H83" s="702">
        <f>Activity!$C82*Activity!$D82*Activity!J82</f>
        <v>0</v>
      </c>
      <c r="I83" s="702">
        <f>Activity!$C82*Activity!$D82*Activity!K82</f>
        <v>0</v>
      </c>
      <c r="J83" s="703">
        <f>Activity!$C82*Activity!$D82*Activity!L82</f>
        <v>0</v>
      </c>
      <c r="K83" s="702">
        <f>Activity!$C82*Activity!$D82*Activity!M82</f>
        <v>0</v>
      </c>
      <c r="L83" s="702">
        <f>Activity!$C82*Activity!$D82*Activity!N82</f>
        <v>0</v>
      </c>
      <c r="M83" s="700">
        <f>Activity!$C82*Activity!$D82*Activity!O82</f>
        <v>0</v>
      </c>
      <c r="N83" s="527">
        <v>0</v>
      </c>
      <c r="O83" s="702">
        <f>Activity!C82*Activity!D82</f>
        <v>0</v>
      </c>
      <c r="P83" s="709">
        <f>Activity!X82</f>
        <v>0</v>
      </c>
    </row>
    <row r="84" spans="2:16">
      <c r="B84" s="7">
        <f t="shared" si="1"/>
        <v>2070</v>
      </c>
      <c r="C84" s="701">
        <f>Activity!$C83*Activity!$D83*Activity!E83</f>
        <v>0</v>
      </c>
      <c r="D84" s="702">
        <f>Activity!$C83*Activity!$D83*Activity!F83</f>
        <v>0</v>
      </c>
      <c r="E84" s="700">
        <f>Activity!$C83*Activity!$D83*Activity!G83</f>
        <v>0</v>
      </c>
      <c r="F84" s="702">
        <f>Activity!$C83*Activity!$D83*Activity!H83</f>
        <v>0</v>
      </c>
      <c r="G84" s="702">
        <f>Activity!$C83*Activity!$D83*Activity!I83</f>
        <v>0</v>
      </c>
      <c r="H84" s="702">
        <f>Activity!$C83*Activity!$D83*Activity!J83</f>
        <v>0</v>
      </c>
      <c r="I84" s="702">
        <f>Activity!$C83*Activity!$D83*Activity!K83</f>
        <v>0</v>
      </c>
      <c r="J84" s="703">
        <f>Activity!$C83*Activity!$D83*Activity!L83</f>
        <v>0</v>
      </c>
      <c r="K84" s="702">
        <f>Activity!$C83*Activity!$D83*Activity!M83</f>
        <v>0</v>
      </c>
      <c r="L84" s="702">
        <f>Activity!$C83*Activity!$D83*Activity!N83</f>
        <v>0</v>
      </c>
      <c r="M84" s="700">
        <f>Activity!$C83*Activity!$D83*Activity!O83</f>
        <v>0</v>
      </c>
      <c r="N84" s="527">
        <v>0</v>
      </c>
      <c r="O84" s="702">
        <f>Activity!C83*Activity!D83</f>
        <v>0</v>
      </c>
      <c r="P84" s="709">
        <f>Activity!X83</f>
        <v>0</v>
      </c>
    </row>
    <row r="85" spans="2:16">
      <c r="B85" s="7">
        <f t="shared" si="1"/>
        <v>2071</v>
      </c>
      <c r="C85" s="701">
        <f>Activity!$C84*Activity!$D84*Activity!E84</f>
        <v>0</v>
      </c>
      <c r="D85" s="702">
        <f>Activity!$C84*Activity!$D84*Activity!F84</f>
        <v>0</v>
      </c>
      <c r="E85" s="700">
        <f>Activity!$C84*Activity!$D84*Activity!G84</f>
        <v>0</v>
      </c>
      <c r="F85" s="702">
        <f>Activity!$C84*Activity!$D84*Activity!H84</f>
        <v>0</v>
      </c>
      <c r="G85" s="702">
        <f>Activity!$C84*Activity!$D84*Activity!I84</f>
        <v>0</v>
      </c>
      <c r="H85" s="702">
        <f>Activity!$C84*Activity!$D84*Activity!J84</f>
        <v>0</v>
      </c>
      <c r="I85" s="702">
        <f>Activity!$C84*Activity!$D84*Activity!K84</f>
        <v>0</v>
      </c>
      <c r="J85" s="703">
        <f>Activity!$C84*Activity!$D84*Activity!L84</f>
        <v>0</v>
      </c>
      <c r="K85" s="702">
        <f>Activity!$C84*Activity!$D84*Activity!M84</f>
        <v>0</v>
      </c>
      <c r="L85" s="702">
        <f>Activity!$C84*Activity!$D84*Activity!N84</f>
        <v>0</v>
      </c>
      <c r="M85" s="700">
        <f>Activity!$C84*Activity!$D84*Activity!O84</f>
        <v>0</v>
      </c>
      <c r="N85" s="527">
        <v>0</v>
      </c>
      <c r="O85" s="702">
        <f>Activity!C84*Activity!D84</f>
        <v>0</v>
      </c>
      <c r="P85" s="709">
        <f>Activity!X84</f>
        <v>0</v>
      </c>
    </row>
    <row r="86" spans="2:16">
      <c r="B86" s="7">
        <f t="shared" ref="B86:B94" si="2">B85+1</f>
        <v>2072</v>
      </c>
      <c r="C86" s="701">
        <f>Activity!$C85*Activity!$D85*Activity!E85</f>
        <v>0</v>
      </c>
      <c r="D86" s="702">
        <f>Activity!$C85*Activity!$D85*Activity!F85</f>
        <v>0</v>
      </c>
      <c r="E86" s="700">
        <f>Activity!$C85*Activity!$D85*Activity!G85</f>
        <v>0</v>
      </c>
      <c r="F86" s="702">
        <f>Activity!$C85*Activity!$D85*Activity!H85</f>
        <v>0</v>
      </c>
      <c r="G86" s="702">
        <f>Activity!$C85*Activity!$D85*Activity!I85</f>
        <v>0</v>
      </c>
      <c r="H86" s="702">
        <f>Activity!$C85*Activity!$D85*Activity!J85</f>
        <v>0</v>
      </c>
      <c r="I86" s="702">
        <f>Activity!$C85*Activity!$D85*Activity!K85</f>
        <v>0</v>
      </c>
      <c r="J86" s="703">
        <f>Activity!$C85*Activity!$D85*Activity!L85</f>
        <v>0</v>
      </c>
      <c r="K86" s="702">
        <f>Activity!$C85*Activity!$D85*Activity!M85</f>
        <v>0</v>
      </c>
      <c r="L86" s="702">
        <f>Activity!$C85*Activity!$D85*Activity!N85</f>
        <v>0</v>
      </c>
      <c r="M86" s="700">
        <f>Activity!$C85*Activity!$D85*Activity!O85</f>
        <v>0</v>
      </c>
      <c r="N86" s="527">
        <v>0</v>
      </c>
      <c r="O86" s="702">
        <f>Activity!C85*Activity!D85</f>
        <v>0</v>
      </c>
      <c r="P86" s="709">
        <f>Activity!X85</f>
        <v>0</v>
      </c>
    </row>
    <row r="87" spans="2:16">
      <c r="B87" s="7">
        <f t="shared" si="2"/>
        <v>2073</v>
      </c>
      <c r="C87" s="701">
        <f>Activity!$C86*Activity!$D86*Activity!E86</f>
        <v>0</v>
      </c>
      <c r="D87" s="702">
        <f>Activity!$C86*Activity!$D86*Activity!F86</f>
        <v>0</v>
      </c>
      <c r="E87" s="700">
        <f>Activity!$C86*Activity!$D86*Activity!G86</f>
        <v>0</v>
      </c>
      <c r="F87" s="702">
        <f>Activity!$C86*Activity!$D86*Activity!H86</f>
        <v>0</v>
      </c>
      <c r="G87" s="702">
        <f>Activity!$C86*Activity!$D86*Activity!I86</f>
        <v>0</v>
      </c>
      <c r="H87" s="702">
        <f>Activity!$C86*Activity!$D86*Activity!J86</f>
        <v>0</v>
      </c>
      <c r="I87" s="702">
        <f>Activity!$C86*Activity!$D86*Activity!K86</f>
        <v>0</v>
      </c>
      <c r="J87" s="703">
        <f>Activity!$C86*Activity!$D86*Activity!L86</f>
        <v>0</v>
      </c>
      <c r="K87" s="702">
        <f>Activity!$C86*Activity!$D86*Activity!M86</f>
        <v>0</v>
      </c>
      <c r="L87" s="702">
        <f>Activity!$C86*Activity!$D86*Activity!N86</f>
        <v>0</v>
      </c>
      <c r="M87" s="700">
        <f>Activity!$C86*Activity!$D86*Activity!O86</f>
        <v>0</v>
      </c>
      <c r="N87" s="527">
        <v>0</v>
      </c>
      <c r="O87" s="702">
        <f>Activity!C86*Activity!D86</f>
        <v>0</v>
      </c>
      <c r="P87" s="709">
        <f>Activity!X86</f>
        <v>0</v>
      </c>
    </row>
    <row r="88" spans="2:16">
      <c r="B88" s="7">
        <f t="shared" si="2"/>
        <v>2074</v>
      </c>
      <c r="C88" s="701">
        <f>Activity!$C87*Activity!$D87*Activity!E87</f>
        <v>0</v>
      </c>
      <c r="D88" s="702">
        <f>Activity!$C87*Activity!$D87*Activity!F87</f>
        <v>0</v>
      </c>
      <c r="E88" s="700">
        <f>Activity!$C87*Activity!$D87*Activity!G87</f>
        <v>0</v>
      </c>
      <c r="F88" s="702">
        <f>Activity!$C87*Activity!$D87*Activity!H87</f>
        <v>0</v>
      </c>
      <c r="G88" s="702">
        <f>Activity!$C87*Activity!$D87*Activity!I87</f>
        <v>0</v>
      </c>
      <c r="H88" s="702">
        <f>Activity!$C87*Activity!$D87*Activity!J87</f>
        <v>0</v>
      </c>
      <c r="I88" s="702">
        <f>Activity!$C87*Activity!$D87*Activity!K87</f>
        <v>0</v>
      </c>
      <c r="J88" s="703">
        <f>Activity!$C87*Activity!$D87*Activity!L87</f>
        <v>0</v>
      </c>
      <c r="K88" s="702">
        <f>Activity!$C87*Activity!$D87*Activity!M87</f>
        <v>0</v>
      </c>
      <c r="L88" s="702">
        <f>Activity!$C87*Activity!$D87*Activity!N87</f>
        <v>0</v>
      </c>
      <c r="M88" s="700">
        <f>Activity!$C87*Activity!$D87*Activity!O87</f>
        <v>0</v>
      </c>
      <c r="N88" s="527">
        <v>0</v>
      </c>
      <c r="O88" s="702">
        <f>Activity!C87*Activity!D87</f>
        <v>0</v>
      </c>
      <c r="P88" s="709">
        <f>Activity!X87</f>
        <v>0</v>
      </c>
    </row>
    <row r="89" spans="2:16">
      <c r="B89" s="7">
        <f t="shared" si="2"/>
        <v>2075</v>
      </c>
      <c r="C89" s="701">
        <f>Activity!$C88*Activity!$D88*Activity!E88</f>
        <v>0</v>
      </c>
      <c r="D89" s="702">
        <f>Activity!$C88*Activity!$D88*Activity!F88</f>
        <v>0</v>
      </c>
      <c r="E89" s="700">
        <f>Activity!$C88*Activity!$D88*Activity!G88</f>
        <v>0</v>
      </c>
      <c r="F89" s="702">
        <f>Activity!$C88*Activity!$D88*Activity!H88</f>
        <v>0</v>
      </c>
      <c r="G89" s="702">
        <f>Activity!$C88*Activity!$D88*Activity!I88</f>
        <v>0</v>
      </c>
      <c r="H89" s="702">
        <f>Activity!$C88*Activity!$D88*Activity!J88</f>
        <v>0</v>
      </c>
      <c r="I89" s="702">
        <f>Activity!$C88*Activity!$D88*Activity!K88</f>
        <v>0</v>
      </c>
      <c r="J89" s="703">
        <f>Activity!$C88*Activity!$D88*Activity!L88</f>
        <v>0</v>
      </c>
      <c r="K89" s="702">
        <f>Activity!$C88*Activity!$D88*Activity!M88</f>
        <v>0</v>
      </c>
      <c r="L89" s="702">
        <f>Activity!$C88*Activity!$D88*Activity!N88</f>
        <v>0</v>
      </c>
      <c r="M89" s="700">
        <f>Activity!$C88*Activity!$D88*Activity!O88</f>
        <v>0</v>
      </c>
      <c r="N89" s="527">
        <v>0</v>
      </c>
      <c r="O89" s="702">
        <f>Activity!C88*Activity!D88</f>
        <v>0</v>
      </c>
      <c r="P89" s="709">
        <f>Activity!X88</f>
        <v>0</v>
      </c>
    </row>
    <row r="90" spans="2:16">
      <c r="B90" s="7">
        <f t="shared" si="2"/>
        <v>2076</v>
      </c>
      <c r="C90" s="701">
        <f>Activity!$C89*Activity!$D89*Activity!E89</f>
        <v>0</v>
      </c>
      <c r="D90" s="702">
        <f>Activity!$C89*Activity!$D89*Activity!F89</f>
        <v>0</v>
      </c>
      <c r="E90" s="700">
        <f>Activity!$C89*Activity!$D89*Activity!G89</f>
        <v>0</v>
      </c>
      <c r="F90" s="702">
        <f>Activity!$C89*Activity!$D89*Activity!H89</f>
        <v>0</v>
      </c>
      <c r="G90" s="702">
        <f>Activity!$C89*Activity!$D89*Activity!I89</f>
        <v>0</v>
      </c>
      <c r="H90" s="702">
        <f>Activity!$C89*Activity!$D89*Activity!J89</f>
        <v>0</v>
      </c>
      <c r="I90" s="702">
        <f>Activity!$C89*Activity!$D89*Activity!K89</f>
        <v>0</v>
      </c>
      <c r="J90" s="703">
        <f>Activity!$C89*Activity!$D89*Activity!L89</f>
        <v>0</v>
      </c>
      <c r="K90" s="702">
        <f>Activity!$C89*Activity!$D89*Activity!M89</f>
        <v>0</v>
      </c>
      <c r="L90" s="702">
        <f>Activity!$C89*Activity!$D89*Activity!N89</f>
        <v>0</v>
      </c>
      <c r="M90" s="700">
        <f>Activity!$C89*Activity!$D89*Activity!O89</f>
        <v>0</v>
      </c>
      <c r="N90" s="527">
        <v>0</v>
      </c>
      <c r="O90" s="702">
        <f>Activity!C89*Activity!D89</f>
        <v>0</v>
      </c>
      <c r="P90" s="709">
        <f>Activity!X89</f>
        <v>0</v>
      </c>
    </row>
    <row r="91" spans="2:16">
      <c r="B91" s="7">
        <f t="shared" si="2"/>
        <v>2077</v>
      </c>
      <c r="C91" s="701">
        <f>Activity!$C90*Activity!$D90*Activity!E90</f>
        <v>0</v>
      </c>
      <c r="D91" s="702">
        <f>Activity!$C90*Activity!$D90*Activity!F90</f>
        <v>0</v>
      </c>
      <c r="E91" s="700">
        <f>Activity!$C90*Activity!$D90*Activity!G90</f>
        <v>0</v>
      </c>
      <c r="F91" s="702">
        <f>Activity!$C90*Activity!$D90*Activity!H90</f>
        <v>0</v>
      </c>
      <c r="G91" s="702">
        <f>Activity!$C90*Activity!$D90*Activity!I90</f>
        <v>0</v>
      </c>
      <c r="H91" s="702">
        <f>Activity!$C90*Activity!$D90*Activity!J90</f>
        <v>0</v>
      </c>
      <c r="I91" s="702">
        <f>Activity!$C90*Activity!$D90*Activity!K90</f>
        <v>0</v>
      </c>
      <c r="J91" s="703">
        <f>Activity!$C90*Activity!$D90*Activity!L90</f>
        <v>0</v>
      </c>
      <c r="K91" s="702">
        <f>Activity!$C90*Activity!$D90*Activity!M90</f>
        <v>0</v>
      </c>
      <c r="L91" s="702">
        <f>Activity!$C90*Activity!$D90*Activity!N90</f>
        <v>0</v>
      </c>
      <c r="M91" s="700">
        <f>Activity!$C90*Activity!$D90*Activity!O90</f>
        <v>0</v>
      </c>
      <c r="N91" s="527">
        <v>0</v>
      </c>
      <c r="O91" s="702">
        <f>Activity!C90*Activity!D90</f>
        <v>0</v>
      </c>
      <c r="P91" s="709">
        <f>Activity!X90</f>
        <v>0</v>
      </c>
    </row>
    <row r="92" spans="2:16">
      <c r="B92" s="7">
        <f t="shared" si="2"/>
        <v>2078</v>
      </c>
      <c r="C92" s="701">
        <f>Activity!$C91*Activity!$D91*Activity!E91</f>
        <v>0</v>
      </c>
      <c r="D92" s="702">
        <f>Activity!$C91*Activity!$D91*Activity!F91</f>
        <v>0</v>
      </c>
      <c r="E92" s="700">
        <f>Activity!$C91*Activity!$D91*Activity!G91</f>
        <v>0</v>
      </c>
      <c r="F92" s="702">
        <f>Activity!$C91*Activity!$D91*Activity!H91</f>
        <v>0</v>
      </c>
      <c r="G92" s="702">
        <f>Activity!$C91*Activity!$D91*Activity!I91</f>
        <v>0</v>
      </c>
      <c r="H92" s="702">
        <f>Activity!$C91*Activity!$D91*Activity!J91</f>
        <v>0</v>
      </c>
      <c r="I92" s="702">
        <f>Activity!$C91*Activity!$D91*Activity!K91</f>
        <v>0</v>
      </c>
      <c r="J92" s="703">
        <f>Activity!$C91*Activity!$D91*Activity!L91</f>
        <v>0</v>
      </c>
      <c r="K92" s="702">
        <f>Activity!$C91*Activity!$D91*Activity!M91</f>
        <v>0</v>
      </c>
      <c r="L92" s="702">
        <f>Activity!$C91*Activity!$D91*Activity!N91</f>
        <v>0</v>
      </c>
      <c r="M92" s="700">
        <f>Activity!$C91*Activity!$D91*Activity!O91</f>
        <v>0</v>
      </c>
      <c r="N92" s="527">
        <v>0</v>
      </c>
      <c r="O92" s="702">
        <f>Activity!C91*Activity!D91</f>
        <v>0</v>
      </c>
      <c r="P92" s="709">
        <f>Activity!X91</f>
        <v>0</v>
      </c>
    </row>
    <row r="93" spans="2:16">
      <c r="B93" s="7">
        <f t="shared" si="2"/>
        <v>2079</v>
      </c>
      <c r="C93" s="701">
        <f>Activity!$C92*Activity!$D92*Activity!E92</f>
        <v>0</v>
      </c>
      <c r="D93" s="702">
        <f>Activity!$C92*Activity!$D92*Activity!F92</f>
        <v>0</v>
      </c>
      <c r="E93" s="700">
        <f>Activity!$C92*Activity!$D92*Activity!G92</f>
        <v>0</v>
      </c>
      <c r="F93" s="702">
        <f>Activity!$C92*Activity!$D92*Activity!H92</f>
        <v>0</v>
      </c>
      <c r="G93" s="702">
        <f>Activity!$C92*Activity!$D92*Activity!I92</f>
        <v>0</v>
      </c>
      <c r="H93" s="702">
        <f>Activity!$C92*Activity!$D92*Activity!J92</f>
        <v>0</v>
      </c>
      <c r="I93" s="702">
        <f>Activity!$C92*Activity!$D92*Activity!K92</f>
        <v>0</v>
      </c>
      <c r="J93" s="703">
        <f>Activity!$C92*Activity!$D92*Activity!L92</f>
        <v>0</v>
      </c>
      <c r="K93" s="702">
        <f>Activity!$C92*Activity!$D92*Activity!M92</f>
        <v>0</v>
      </c>
      <c r="L93" s="702">
        <f>Activity!$C92*Activity!$D92*Activity!N92</f>
        <v>0</v>
      </c>
      <c r="M93" s="700">
        <f>Activity!$C92*Activity!$D92*Activity!O92</f>
        <v>0</v>
      </c>
      <c r="N93" s="527">
        <v>0</v>
      </c>
      <c r="O93" s="702">
        <f>Activity!C92*Activity!D92</f>
        <v>0</v>
      </c>
      <c r="P93" s="709">
        <f>Activity!X92</f>
        <v>0</v>
      </c>
    </row>
    <row r="94" spans="2:16" ht="13.5" thickBot="1">
      <c r="B94" s="18">
        <f t="shared" si="2"/>
        <v>2080</v>
      </c>
      <c r="C94" s="704">
        <f>Activity!$C93*Activity!$D93*Activity!E93</f>
        <v>0</v>
      </c>
      <c r="D94" s="705">
        <f>Activity!$C93*Activity!$D93*Activity!F93</f>
        <v>0</v>
      </c>
      <c r="E94" s="705">
        <f>Activity!$C93*Activity!$D93*Activity!G93</f>
        <v>0</v>
      </c>
      <c r="F94" s="705">
        <f>Activity!$C93*Activity!$D93*Activity!H93</f>
        <v>0</v>
      </c>
      <c r="G94" s="705">
        <f>Activity!$C93*Activity!$D93*Activity!I93</f>
        <v>0</v>
      </c>
      <c r="H94" s="705">
        <f>Activity!$C93*Activity!$D93*Activity!J93</f>
        <v>0</v>
      </c>
      <c r="I94" s="705">
        <f>Activity!$C93*Activity!$D93*Activity!K93</f>
        <v>0</v>
      </c>
      <c r="J94" s="706">
        <f>Activity!$C93*Activity!$D93*Activity!L93</f>
        <v>0</v>
      </c>
      <c r="K94" s="705">
        <f>Activity!$C93*Activity!$D93*Activity!M93</f>
        <v>0</v>
      </c>
      <c r="L94" s="705">
        <f>Activity!$C93*Activity!$D93*Activity!N93</f>
        <v>0</v>
      </c>
      <c r="M94" s="705">
        <f>Activity!$C93*Activity!$D93*Activity!O93</f>
        <v>0</v>
      </c>
      <c r="N94" s="528">
        <v>0</v>
      </c>
      <c r="O94" s="705">
        <f>Activity!C93*Activity!D93</f>
        <v>0</v>
      </c>
      <c r="P94" s="710">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E12" sqref="E12"/>
    </sheetView>
  </sheetViews>
  <sheetFormatPr defaultColWidth="8.85546875" defaultRowHeight="12.75"/>
  <cols>
    <col min="1" max="1" width="3.42578125" style="405" customWidth="1"/>
    <col min="2" max="2" width="11.7109375" style="405" customWidth="1"/>
    <col min="3" max="3" width="12.7109375" style="405" customWidth="1"/>
    <col min="4" max="4" width="31.28515625" style="405" customWidth="1"/>
    <col min="5" max="5" width="10.42578125" style="407" customWidth="1"/>
    <col min="6" max="6" width="10.28515625" style="405" customWidth="1"/>
    <col min="7" max="7" width="38" style="405" customWidth="1"/>
    <col min="8" max="16384" width="8.85546875" style="405"/>
  </cols>
  <sheetData>
    <row r="2" spans="1:7" ht="15.75">
      <c r="C2" s="72" t="s">
        <v>197</v>
      </c>
      <c r="D2" s="72"/>
      <c r="E2" s="406"/>
    </row>
    <row r="4" spans="1:7">
      <c r="C4" s="405" t="s">
        <v>110</v>
      </c>
    </row>
    <row r="5" spans="1:7">
      <c r="C5" s="405" t="s">
        <v>111</v>
      </c>
    </row>
    <row r="6" spans="1:7" ht="13.5" thickBot="1"/>
    <row r="7" spans="1:7" ht="51.75" thickBot="1">
      <c r="A7" s="408"/>
      <c r="B7" s="409"/>
      <c r="C7" s="410" t="s">
        <v>108</v>
      </c>
      <c r="D7" s="411" t="s">
        <v>28</v>
      </c>
      <c r="E7" s="412" t="s">
        <v>203</v>
      </c>
      <c r="F7" s="413" t="s">
        <v>198</v>
      </c>
      <c r="G7" s="414" t="s">
        <v>199</v>
      </c>
    </row>
    <row r="8" spans="1:7" ht="13.5" thickBot="1">
      <c r="A8" s="415"/>
      <c r="B8" s="416"/>
      <c r="C8" s="417"/>
      <c r="D8" s="418"/>
      <c r="E8" s="419"/>
      <c r="F8" s="420"/>
      <c r="G8" s="421"/>
    </row>
    <row r="9" spans="1:7" ht="13.5" thickBot="1">
      <c r="A9" s="415"/>
      <c r="B9" s="422" t="s">
        <v>25</v>
      </c>
      <c r="C9" s="423">
        <v>0</v>
      </c>
      <c r="D9" s="424"/>
      <c r="E9" s="425"/>
      <c r="F9" s="426">
        <v>0</v>
      </c>
      <c r="G9" s="427"/>
    </row>
    <row r="10" spans="1:7">
      <c r="A10" s="415"/>
      <c r="B10" s="416"/>
      <c r="C10" s="417"/>
      <c r="D10" s="428"/>
      <c r="E10" s="429"/>
      <c r="F10" s="430"/>
      <c r="G10" s="431"/>
    </row>
    <row r="11" spans="1:7" ht="13.5" thickBot="1">
      <c r="A11" s="415"/>
      <c r="B11" s="81" t="s">
        <v>1</v>
      </c>
      <c r="C11" s="432" t="s">
        <v>15</v>
      </c>
      <c r="D11" s="433"/>
      <c r="E11" s="434"/>
      <c r="F11" s="435" t="s">
        <v>200</v>
      </c>
      <c r="G11" s="436"/>
    </row>
    <row r="12" spans="1:7">
      <c r="B12" s="437">
        <f>year</f>
        <v>2000</v>
      </c>
      <c r="C12" s="289">
        <v>0</v>
      </c>
      <c r="D12" s="65"/>
      <c r="E12" s="438">
        <f>IF(Results!L17&lt;=0,0,C12/Results!L17)</f>
        <v>0</v>
      </c>
      <c r="F12" s="439">
        <f t="shared" ref="F12:F43" si="0">ox</f>
        <v>0</v>
      </c>
      <c r="G12" s="440"/>
    </row>
    <row r="13" spans="1:7">
      <c r="B13" s="441">
        <f t="shared" ref="B13:B76" si="1">B12+1</f>
        <v>2001</v>
      </c>
      <c r="C13" s="290">
        <v>0</v>
      </c>
      <c r="D13" s="308"/>
      <c r="E13" s="438">
        <f>IF(Results!L18&lt;=0,0,C13/Results!L18)</f>
        <v>0</v>
      </c>
      <c r="F13" s="439">
        <f t="shared" si="0"/>
        <v>0</v>
      </c>
      <c r="G13" s="442"/>
    </row>
    <row r="14" spans="1:7">
      <c r="B14" s="441">
        <f t="shared" si="1"/>
        <v>2002</v>
      </c>
      <c r="C14" s="290">
        <v>0</v>
      </c>
      <c r="D14" s="308"/>
      <c r="E14" s="438">
        <f>IF(Results!L19&lt;=0,0,C14/Results!L19)</f>
        <v>0</v>
      </c>
      <c r="F14" s="439">
        <f t="shared" si="0"/>
        <v>0</v>
      </c>
      <c r="G14" s="442"/>
    </row>
    <row r="15" spans="1:7">
      <c r="B15" s="441">
        <f t="shared" si="1"/>
        <v>2003</v>
      </c>
      <c r="C15" s="290">
        <v>0</v>
      </c>
      <c r="D15" s="308"/>
      <c r="E15" s="438">
        <f>IF(Results!L20&lt;=0,0,C15/Results!L20)</f>
        <v>0</v>
      </c>
      <c r="F15" s="439">
        <f t="shared" si="0"/>
        <v>0</v>
      </c>
      <c r="G15" s="442"/>
    </row>
    <row r="16" spans="1:7">
      <c r="B16" s="441">
        <f t="shared" si="1"/>
        <v>2004</v>
      </c>
      <c r="C16" s="290">
        <v>0</v>
      </c>
      <c r="D16" s="308"/>
      <c r="E16" s="438">
        <f>IF(Results!L21&lt;=0,0,C16/Results!L21)</f>
        <v>0</v>
      </c>
      <c r="F16" s="439">
        <f t="shared" si="0"/>
        <v>0</v>
      </c>
      <c r="G16" s="442"/>
    </row>
    <row r="17" spans="2:7">
      <c r="B17" s="441">
        <f t="shared" si="1"/>
        <v>2005</v>
      </c>
      <c r="C17" s="290">
        <v>0</v>
      </c>
      <c r="D17" s="308"/>
      <c r="E17" s="438">
        <f>IF(Results!L22&lt;=0,0,C17/Results!L22)</f>
        <v>0</v>
      </c>
      <c r="F17" s="439">
        <f t="shared" si="0"/>
        <v>0</v>
      </c>
      <c r="G17" s="442"/>
    </row>
    <row r="18" spans="2:7">
      <c r="B18" s="441">
        <f t="shared" si="1"/>
        <v>2006</v>
      </c>
      <c r="C18" s="290">
        <v>0</v>
      </c>
      <c r="D18" s="308"/>
      <c r="E18" s="438">
        <f>IF(Results!L23&lt;=0,0,C18/Results!L23)</f>
        <v>0</v>
      </c>
      <c r="F18" s="439">
        <f t="shared" si="0"/>
        <v>0</v>
      </c>
      <c r="G18" s="442"/>
    </row>
    <row r="19" spans="2:7">
      <c r="B19" s="441">
        <f t="shared" si="1"/>
        <v>2007</v>
      </c>
      <c r="C19" s="290">
        <v>0</v>
      </c>
      <c r="D19" s="308"/>
      <c r="E19" s="438">
        <f>IF(Results!L24&lt;=0,0,C19/Results!L24)</f>
        <v>0</v>
      </c>
      <c r="F19" s="439">
        <f t="shared" si="0"/>
        <v>0</v>
      </c>
      <c r="G19" s="442"/>
    </row>
    <row r="20" spans="2:7">
      <c r="B20" s="441">
        <f t="shared" si="1"/>
        <v>2008</v>
      </c>
      <c r="C20" s="290">
        <v>0</v>
      </c>
      <c r="D20" s="308"/>
      <c r="E20" s="438">
        <f>IF(Results!L25&lt;=0,0,C20/Results!L25)</f>
        <v>0</v>
      </c>
      <c r="F20" s="439">
        <f t="shared" si="0"/>
        <v>0</v>
      </c>
      <c r="G20" s="442"/>
    </row>
    <row r="21" spans="2:7">
      <c r="B21" s="441">
        <f t="shared" si="1"/>
        <v>2009</v>
      </c>
      <c r="C21" s="290">
        <v>0</v>
      </c>
      <c r="D21" s="308"/>
      <c r="E21" s="438">
        <f>IF(Results!L26&lt;=0,0,C21/Results!L26)</f>
        <v>0</v>
      </c>
      <c r="F21" s="439">
        <f t="shared" si="0"/>
        <v>0</v>
      </c>
      <c r="G21" s="442"/>
    </row>
    <row r="22" spans="2:7">
      <c r="B22" s="441">
        <f t="shared" si="1"/>
        <v>2010</v>
      </c>
      <c r="C22" s="290">
        <v>0</v>
      </c>
      <c r="D22" s="308"/>
      <c r="E22" s="438">
        <f>IF(Results!L27&lt;=0,0,C22/Results!L27)</f>
        <v>0</v>
      </c>
      <c r="F22" s="439">
        <f t="shared" si="0"/>
        <v>0</v>
      </c>
      <c r="G22" s="442"/>
    </row>
    <row r="23" spans="2:7">
      <c r="B23" s="441">
        <f t="shared" si="1"/>
        <v>2011</v>
      </c>
      <c r="C23" s="290">
        <v>0</v>
      </c>
      <c r="D23" s="308"/>
      <c r="E23" s="438">
        <f>IF(Results!L28&lt;=0,0,C23/Results!L28)</f>
        <v>0</v>
      </c>
      <c r="F23" s="439">
        <f t="shared" si="0"/>
        <v>0</v>
      </c>
      <c r="G23" s="442"/>
    </row>
    <row r="24" spans="2:7">
      <c r="B24" s="441">
        <f t="shared" si="1"/>
        <v>2012</v>
      </c>
      <c r="C24" s="290">
        <v>0</v>
      </c>
      <c r="D24" s="308"/>
      <c r="E24" s="438">
        <f>IF(Results!L29&lt;=0,0,C24/Results!L29)</f>
        <v>0</v>
      </c>
      <c r="F24" s="439">
        <f t="shared" si="0"/>
        <v>0</v>
      </c>
      <c r="G24" s="442"/>
    </row>
    <row r="25" spans="2:7">
      <c r="B25" s="441">
        <f t="shared" si="1"/>
        <v>2013</v>
      </c>
      <c r="C25" s="290">
        <v>0</v>
      </c>
      <c r="D25" s="308"/>
      <c r="E25" s="438">
        <f>IF(Results!L30&lt;=0,0,C25/Results!L30)</f>
        <v>0</v>
      </c>
      <c r="F25" s="439">
        <f t="shared" si="0"/>
        <v>0</v>
      </c>
      <c r="G25" s="442"/>
    </row>
    <row r="26" spans="2:7">
      <c r="B26" s="441">
        <f t="shared" si="1"/>
        <v>2014</v>
      </c>
      <c r="C26" s="290">
        <v>0</v>
      </c>
      <c r="D26" s="308"/>
      <c r="E26" s="438">
        <f>IF(Results!L31&lt;=0,0,C26/Results!L31)</f>
        <v>0</v>
      </c>
      <c r="F26" s="439">
        <f t="shared" si="0"/>
        <v>0</v>
      </c>
      <c r="G26" s="442"/>
    </row>
    <row r="27" spans="2:7">
      <c r="B27" s="441">
        <f t="shared" si="1"/>
        <v>2015</v>
      </c>
      <c r="C27" s="290">
        <v>0</v>
      </c>
      <c r="D27" s="308"/>
      <c r="E27" s="438">
        <f>IF(Results!L32&lt;=0,0,C27/Results!L32)</f>
        <v>0</v>
      </c>
      <c r="F27" s="439">
        <f t="shared" si="0"/>
        <v>0</v>
      </c>
      <c r="G27" s="442"/>
    </row>
    <row r="28" spans="2:7">
      <c r="B28" s="441">
        <f t="shared" si="1"/>
        <v>2016</v>
      </c>
      <c r="C28" s="290">
        <v>0</v>
      </c>
      <c r="D28" s="308"/>
      <c r="E28" s="438">
        <f>IF(Results!L33&lt;=0,0,C28/Results!L33)</f>
        <v>0</v>
      </c>
      <c r="F28" s="439">
        <f t="shared" si="0"/>
        <v>0</v>
      </c>
      <c r="G28" s="442"/>
    </row>
    <row r="29" spans="2:7">
      <c r="B29" s="441">
        <f t="shared" si="1"/>
        <v>2017</v>
      </c>
      <c r="C29" s="290">
        <v>0</v>
      </c>
      <c r="D29" s="308"/>
      <c r="E29" s="438">
        <f>IF(Results!L34&lt;=0,0,C29/Results!L34)</f>
        <v>0</v>
      </c>
      <c r="F29" s="439">
        <f t="shared" si="0"/>
        <v>0</v>
      </c>
      <c r="G29" s="442"/>
    </row>
    <row r="30" spans="2:7">
      <c r="B30" s="441">
        <f t="shared" si="1"/>
        <v>2018</v>
      </c>
      <c r="C30" s="290">
        <v>0</v>
      </c>
      <c r="D30" s="308"/>
      <c r="E30" s="438">
        <f>IF(Results!L35&lt;=0,0,C30/Results!L35)</f>
        <v>0</v>
      </c>
      <c r="F30" s="439">
        <f t="shared" si="0"/>
        <v>0</v>
      </c>
      <c r="G30" s="442"/>
    </row>
    <row r="31" spans="2:7">
      <c r="B31" s="441">
        <f t="shared" si="1"/>
        <v>2019</v>
      </c>
      <c r="C31" s="290">
        <v>0</v>
      </c>
      <c r="D31" s="308"/>
      <c r="E31" s="438">
        <f>IF(Results!L36&lt;=0,0,C31/Results!L36)</f>
        <v>0</v>
      </c>
      <c r="F31" s="439">
        <f t="shared" si="0"/>
        <v>0</v>
      </c>
      <c r="G31" s="442"/>
    </row>
    <row r="32" spans="2:7">
      <c r="B32" s="441">
        <f t="shared" si="1"/>
        <v>2020</v>
      </c>
      <c r="C32" s="290">
        <v>0</v>
      </c>
      <c r="D32" s="308"/>
      <c r="E32" s="438">
        <f>IF(Results!L37&lt;=0,0,C32/Results!L37)</f>
        <v>0</v>
      </c>
      <c r="F32" s="439">
        <f t="shared" si="0"/>
        <v>0</v>
      </c>
      <c r="G32" s="442"/>
    </row>
    <row r="33" spans="2:7">
      <c r="B33" s="441">
        <f t="shared" si="1"/>
        <v>2021</v>
      </c>
      <c r="C33" s="290">
        <v>0</v>
      </c>
      <c r="D33" s="308"/>
      <c r="E33" s="438">
        <f>IF(Results!L38&lt;=0,0,C33/Results!L38)</f>
        <v>0</v>
      </c>
      <c r="F33" s="439">
        <f t="shared" si="0"/>
        <v>0</v>
      </c>
      <c r="G33" s="442"/>
    </row>
    <row r="34" spans="2:7">
      <c r="B34" s="441">
        <f t="shared" si="1"/>
        <v>2022</v>
      </c>
      <c r="C34" s="290">
        <v>0</v>
      </c>
      <c r="D34" s="308"/>
      <c r="E34" s="438">
        <f>IF(Results!L39&lt;=0,0,C34/Results!L39)</f>
        <v>0</v>
      </c>
      <c r="F34" s="439">
        <f t="shared" si="0"/>
        <v>0</v>
      </c>
      <c r="G34" s="442"/>
    </row>
    <row r="35" spans="2:7">
      <c r="B35" s="441">
        <f t="shared" si="1"/>
        <v>2023</v>
      </c>
      <c r="C35" s="290">
        <v>0</v>
      </c>
      <c r="D35" s="308"/>
      <c r="E35" s="438">
        <f>IF(Results!L40&lt;=0,0,C35/Results!L40)</f>
        <v>0</v>
      </c>
      <c r="F35" s="439">
        <f t="shared" si="0"/>
        <v>0</v>
      </c>
      <c r="G35" s="442"/>
    </row>
    <row r="36" spans="2:7">
      <c r="B36" s="441">
        <f t="shared" si="1"/>
        <v>2024</v>
      </c>
      <c r="C36" s="290">
        <v>0</v>
      </c>
      <c r="D36" s="308"/>
      <c r="E36" s="438">
        <f>IF(Results!L41&lt;=0,0,C36/Results!L41)</f>
        <v>0</v>
      </c>
      <c r="F36" s="439">
        <f t="shared" si="0"/>
        <v>0</v>
      </c>
      <c r="G36" s="442"/>
    </row>
    <row r="37" spans="2:7">
      <c r="B37" s="441">
        <f t="shared" si="1"/>
        <v>2025</v>
      </c>
      <c r="C37" s="290">
        <v>0</v>
      </c>
      <c r="D37" s="308"/>
      <c r="E37" s="438">
        <f>IF(Results!L42&lt;=0,0,C37/Results!L42)</f>
        <v>0</v>
      </c>
      <c r="F37" s="439">
        <f t="shared" si="0"/>
        <v>0</v>
      </c>
      <c r="G37" s="442"/>
    </row>
    <row r="38" spans="2:7">
      <c r="B38" s="441">
        <f t="shared" si="1"/>
        <v>2026</v>
      </c>
      <c r="C38" s="290">
        <v>0</v>
      </c>
      <c r="D38" s="308"/>
      <c r="E38" s="438">
        <f>IF(Results!L43&lt;=0,0,C38/Results!L43)</f>
        <v>0</v>
      </c>
      <c r="F38" s="439">
        <f t="shared" si="0"/>
        <v>0</v>
      </c>
      <c r="G38" s="442"/>
    </row>
    <row r="39" spans="2:7">
      <c r="B39" s="441">
        <f t="shared" si="1"/>
        <v>2027</v>
      </c>
      <c r="C39" s="290">
        <v>0</v>
      </c>
      <c r="D39" s="308"/>
      <c r="E39" s="438">
        <f>IF(Results!L44&lt;=0,0,C39/Results!L44)</f>
        <v>0</v>
      </c>
      <c r="F39" s="439">
        <f t="shared" si="0"/>
        <v>0</v>
      </c>
      <c r="G39" s="442"/>
    </row>
    <row r="40" spans="2:7">
      <c r="B40" s="441">
        <f t="shared" si="1"/>
        <v>2028</v>
      </c>
      <c r="C40" s="290">
        <v>0</v>
      </c>
      <c r="D40" s="308"/>
      <c r="E40" s="438">
        <f>IF(Results!L45&lt;=0,0,C40/Results!L45)</f>
        <v>0</v>
      </c>
      <c r="F40" s="439">
        <f t="shared" si="0"/>
        <v>0</v>
      </c>
      <c r="G40" s="442"/>
    </row>
    <row r="41" spans="2:7">
      <c r="B41" s="441">
        <f t="shared" si="1"/>
        <v>2029</v>
      </c>
      <c r="C41" s="290">
        <v>0</v>
      </c>
      <c r="D41" s="308"/>
      <c r="E41" s="438">
        <f>IF(Results!L46&lt;=0,0,C41/Results!L46)</f>
        <v>0</v>
      </c>
      <c r="F41" s="439">
        <f t="shared" si="0"/>
        <v>0</v>
      </c>
      <c r="G41" s="442"/>
    </row>
    <row r="42" spans="2:7">
      <c r="B42" s="441">
        <f t="shared" si="1"/>
        <v>2030</v>
      </c>
      <c r="C42" s="290">
        <v>0</v>
      </c>
      <c r="D42" s="308"/>
      <c r="E42" s="438">
        <f>IF(Results!L47&lt;=0,0,C42/Results!L47)</f>
        <v>0</v>
      </c>
      <c r="F42" s="439">
        <f t="shared" si="0"/>
        <v>0</v>
      </c>
      <c r="G42" s="442"/>
    </row>
    <row r="43" spans="2:7">
      <c r="B43" s="441">
        <f t="shared" si="1"/>
        <v>2031</v>
      </c>
      <c r="C43" s="290">
        <v>0</v>
      </c>
      <c r="D43" s="308"/>
      <c r="E43" s="438">
        <f>IF(Results!L48&lt;=0,0,C43/Results!L48)</f>
        <v>0</v>
      </c>
      <c r="F43" s="439">
        <f t="shared" si="0"/>
        <v>0</v>
      </c>
      <c r="G43" s="442"/>
    </row>
    <row r="44" spans="2:7">
      <c r="B44" s="441">
        <f t="shared" si="1"/>
        <v>2032</v>
      </c>
      <c r="C44" s="290">
        <v>0</v>
      </c>
      <c r="D44" s="308"/>
      <c r="E44" s="438">
        <f>IF(Results!L49&lt;=0,0,C44/Results!L49)</f>
        <v>0</v>
      </c>
      <c r="F44" s="439">
        <f t="shared" ref="F44:F75" si="2">ox</f>
        <v>0</v>
      </c>
      <c r="G44" s="442"/>
    </row>
    <row r="45" spans="2:7">
      <c r="B45" s="441">
        <f t="shared" si="1"/>
        <v>2033</v>
      </c>
      <c r="C45" s="290">
        <v>0</v>
      </c>
      <c r="D45" s="308"/>
      <c r="E45" s="438">
        <f>IF(Results!L50&lt;=0,0,C45/Results!L50)</f>
        <v>0</v>
      </c>
      <c r="F45" s="439">
        <f t="shared" si="2"/>
        <v>0</v>
      </c>
      <c r="G45" s="442"/>
    </row>
    <row r="46" spans="2:7">
      <c r="B46" s="441">
        <f t="shared" si="1"/>
        <v>2034</v>
      </c>
      <c r="C46" s="290">
        <v>0</v>
      </c>
      <c r="D46" s="308"/>
      <c r="E46" s="438">
        <f>IF(Results!L51&lt;=0,0,C46/Results!L51)</f>
        <v>0</v>
      </c>
      <c r="F46" s="439">
        <f t="shared" si="2"/>
        <v>0</v>
      </c>
      <c r="G46" s="442"/>
    </row>
    <row r="47" spans="2:7">
      <c r="B47" s="441">
        <f t="shared" si="1"/>
        <v>2035</v>
      </c>
      <c r="C47" s="290">
        <v>0</v>
      </c>
      <c r="D47" s="308"/>
      <c r="E47" s="438">
        <f>IF(Results!L52&lt;=0,0,C47/Results!L52)</f>
        <v>0</v>
      </c>
      <c r="F47" s="439">
        <f t="shared" si="2"/>
        <v>0</v>
      </c>
      <c r="G47" s="442"/>
    </row>
    <row r="48" spans="2:7">
      <c r="B48" s="441">
        <f t="shared" si="1"/>
        <v>2036</v>
      </c>
      <c r="C48" s="290">
        <v>0</v>
      </c>
      <c r="D48" s="308"/>
      <c r="E48" s="438">
        <f>IF(Results!L53&lt;=0,0,C48/Results!L53)</f>
        <v>0</v>
      </c>
      <c r="F48" s="439">
        <f t="shared" si="2"/>
        <v>0</v>
      </c>
      <c r="G48" s="442"/>
    </row>
    <row r="49" spans="2:7">
      <c r="B49" s="441">
        <f t="shared" si="1"/>
        <v>2037</v>
      </c>
      <c r="C49" s="290">
        <v>0</v>
      </c>
      <c r="D49" s="308"/>
      <c r="E49" s="438">
        <f>IF(Results!L54&lt;=0,0,C49/Results!L54)</f>
        <v>0</v>
      </c>
      <c r="F49" s="439">
        <f t="shared" si="2"/>
        <v>0</v>
      </c>
      <c r="G49" s="442"/>
    </row>
    <row r="50" spans="2:7">
      <c r="B50" s="441">
        <f t="shared" si="1"/>
        <v>2038</v>
      </c>
      <c r="C50" s="290">
        <v>0</v>
      </c>
      <c r="D50" s="308"/>
      <c r="E50" s="438">
        <f>IF(Results!L55&lt;=0,0,C50/Results!L55)</f>
        <v>0</v>
      </c>
      <c r="F50" s="439">
        <f t="shared" si="2"/>
        <v>0</v>
      </c>
      <c r="G50" s="442"/>
    </row>
    <row r="51" spans="2:7">
      <c r="B51" s="441">
        <f t="shared" si="1"/>
        <v>2039</v>
      </c>
      <c r="C51" s="290">
        <v>0</v>
      </c>
      <c r="D51" s="308"/>
      <c r="E51" s="438">
        <f>IF(Results!L56&lt;=0,0,C51/Results!L56)</f>
        <v>0</v>
      </c>
      <c r="F51" s="439">
        <f t="shared" si="2"/>
        <v>0</v>
      </c>
      <c r="G51" s="442"/>
    </row>
    <row r="52" spans="2:7">
      <c r="B52" s="441">
        <f t="shared" si="1"/>
        <v>2040</v>
      </c>
      <c r="C52" s="290">
        <v>0</v>
      </c>
      <c r="D52" s="308"/>
      <c r="E52" s="438">
        <f>IF(Results!L57&lt;=0,0,C52/Results!L57)</f>
        <v>0</v>
      </c>
      <c r="F52" s="439">
        <f t="shared" si="2"/>
        <v>0</v>
      </c>
      <c r="G52" s="442"/>
    </row>
    <row r="53" spans="2:7">
      <c r="B53" s="441">
        <f t="shared" si="1"/>
        <v>2041</v>
      </c>
      <c r="C53" s="290">
        <v>0</v>
      </c>
      <c r="D53" s="308"/>
      <c r="E53" s="438">
        <f>IF(Results!L58&lt;=0,0,C53/Results!L58)</f>
        <v>0</v>
      </c>
      <c r="F53" s="439">
        <f t="shared" si="2"/>
        <v>0</v>
      </c>
      <c r="G53" s="442"/>
    </row>
    <row r="54" spans="2:7">
      <c r="B54" s="441">
        <f t="shared" si="1"/>
        <v>2042</v>
      </c>
      <c r="C54" s="290">
        <v>0</v>
      </c>
      <c r="D54" s="308"/>
      <c r="E54" s="438">
        <f>IF(Results!L59&lt;=0,0,C54/Results!L59)</f>
        <v>0</v>
      </c>
      <c r="F54" s="439">
        <f t="shared" si="2"/>
        <v>0</v>
      </c>
      <c r="G54" s="442"/>
    </row>
    <row r="55" spans="2:7">
      <c r="B55" s="441">
        <f t="shared" si="1"/>
        <v>2043</v>
      </c>
      <c r="C55" s="290">
        <v>0</v>
      </c>
      <c r="D55" s="308"/>
      <c r="E55" s="438">
        <f>IF(Results!L60&lt;=0,0,C55/Results!L60)</f>
        <v>0</v>
      </c>
      <c r="F55" s="439">
        <f t="shared" si="2"/>
        <v>0</v>
      </c>
      <c r="G55" s="442"/>
    </row>
    <row r="56" spans="2:7">
      <c r="B56" s="441">
        <f t="shared" si="1"/>
        <v>2044</v>
      </c>
      <c r="C56" s="290">
        <v>0</v>
      </c>
      <c r="D56" s="308"/>
      <c r="E56" s="438">
        <f>IF(Results!L61&lt;=0,0,C56/Results!L61)</f>
        <v>0</v>
      </c>
      <c r="F56" s="439">
        <f t="shared" si="2"/>
        <v>0</v>
      </c>
      <c r="G56" s="442"/>
    </row>
    <row r="57" spans="2:7">
      <c r="B57" s="441">
        <f t="shared" si="1"/>
        <v>2045</v>
      </c>
      <c r="C57" s="290">
        <v>0</v>
      </c>
      <c r="D57" s="308"/>
      <c r="E57" s="438">
        <f>IF(Results!L62&lt;=0,0,C57/Results!L62)</f>
        <v>0</v>
      </c>
      <c r="F57" s="439">
        <f>ox</f>
        <v>0</v>
      </c>
      <c r="G57" s="442"/>
    </row>
    <row r="58" spans="2:7">
      <c r="B58" s="441">
        <f t="shared" si="1"/>
        <v>2046</v>
      </c>
      <c r="C58" s="290">
        <v>0</v>
      </c>
      <c r="D58" s="308"/>
      <c r="E58" s="438">
        <f>IF(Results!L63&lt;=0,0,C58/Results!L63)</f>
        <v>0</v>
      </c>
      <c r="F58" s="439">
        <f t="shared" si="2"/>
        <v>0</v>
      </c>
      <c r="G58" s="442"/>
    </row>
    <row r="59" spans="2:7">
      <c r="B59" s="441">
        <f t="shared" si="1"/>
        <v>2047</v>
      </c>
      <c r="C59" s="290">
        <v>0</v>
      </c>
      <c r="D59" s="308"/>
      <c r="E59" s="438">
        <f>IF(Results!L64&lt;=0,0,C59/Results!L64)</f>
        <v>0</v>
      </c>
      <c r="F59" s="439">
        <f t="shared" si="2"/>
        <v>0</v>
      </c>
      <c r="G59" s="442"/>
    </row>
    <row r="60" spans="2:7">
      <c r="B60" s="441">
        <f t="shared" si="1"/>
        <v>2048</v>
      </c>
      <c r="C60" s="290">
        <v>0</v>
      </c>
      <c r="D60" s="308"/>
      <c r="E60" s="438">
        <f>IF(Results!L65&lt;=0,0,C60/Results!L65)</f>
        <v>0</v>
      </c>
      <c r="F60" s="439">
        <f t="shared" si="2"/>
        <v>0</v>
      </c>
      <c r="G60" s="442"/>
    </row>
    <row r="61" spans="2:7">
      <c r="B61" s="441">
        <f t="shared" si="1"/>
        <v>2049</v>
      </c>
      <c r="C61" s="290">
        <v>0</v>
      </c>
      <c r="D61" s="308"/>
      <c r="E61" s="438">
        <f>IF(Results!L66&lt;=0,0,C61/Results!L66)</f>
        <v>0</v>
      </c>
      <c r="F61" s="439">
        <f>ox</f>
        <v>0</v>
      </c>
      <c r="G61" s="442"/>
    </row>
    <row r="62" spans="2:7">
      <c r="B62" s="441">
        <f t="shared" si="1"/>
        <v>2050</v>
      </c>
      <c r="C62" s="290">
        <v>0</v>
      </c>
      <c r="D62" s="308"/>
      <c r="E62" s="438">
        <f>IF(Results!L67&lt;=0,0,C62/Results!L67)</f>
        <v>0</v>
      </c>
      <c r="F62" s="439">
        <f t="shared" si="2"/>
        <v>0</v>
      </c>
      <c r="G62" s="442"/>
    </row>
    <row r="63" spans="2:7">
      <c r="B63" s="441">
        <f t="shared" si="1"/>
        <v>2051</v>
      </c>
      <c r="C63" s="290">
        <v>0</v>
      </c>
      <c r="D63" s="308"/>
      <c r="E63" s="438">
        <f>IF(Results!L68&lt;=0,0,C63/Results!L68)</f>
        <v>0</v>
      </c>
      <c r="F63" s="439">
        <f t="shared" si="2"/>
        <v>0</v>
      </c>
      <c r="G63" s="442"/>
    </row>
    <row r="64" spans="2:7">
      <c r="B64" s="441">
        <f t="shared" si="1"/>
        <v>2052</v>
      </c>
      <c r="C64" s="290">
        <v>0</v>
      </c>
      <c r="D64" s="308"/>
      <c r="E64" s="438">
        <f>IF(Results!L69&lt;=0,0,C64/Results!L69)</f>
        <v>0</v>
      </c>
      <c r="F64" s="439">
        <f t="shared" si="2"/>
        <v>0</v>
      </c>
      <c r="G64" s="442"/>
    </row>
    <row r="65" spans="2:7">
      <c r="B65" s="441">
        <f t="shared" si="1"/>
        <v>2053</v>
      </c>
      <c r="C65" s="290">
        <v>0</v>
      </c>
      <c r="D65" s="308"/>
      <c r="E65" s="438">
        <f>IF(Results!L70&lt;=0,0,C65/Results!L70)</f>
        <v>0</v>
      </c>
      <c r="F65" s="439">
        <f t="shared" si="2"/>
        <v>0</v>
      </c>
      <c r="G65" s="442"/>
    </row>
    <row r="66" spans="2:7">
      <c r="B66" s="441">
        <f t="shared" si="1"/>
        <v>2054</v>
      </c>
      <c r="C66" s="290">
        <v>0</v>
      </c>
      <c r="D66" s="308"/>
      <c r="E66" s="438">
        <f>IF(Results!L71&lt;=0,0,C66/Results!L71)</f>
        <v>0</v>
      </c>
      <c r="F66" s="439">
        <f t="shared" si="2"/>
        <v>0</v>
      </c>
      <c r="G66" s="442"/>
    </row>
    <row r="67" spans="2:7">
      <c r="B67" s="441">
        <f t="shared" si="1"/>
        <v>2055</v>
      </c>
      <c r="C67" s="290">
        <v>0</v>
      </c>
      <c r="D67" s="308"/>
      <c r="E67" s="438">
        <f>IF(Results!L72&lt;=0,0,C67/Results!L72)</f>
        <v>0</v>
      </c>
      <c r="F67" s="439">
        <f t="shared" si="2"/>
        <v>0</v>
      </c>
      <c r="G67" s="442"/>
    </row>
    <row r="68" spans="2:7">
      <c r="B68" s="441">
        <f t="shared" si="1"/>
        <v>2056</v>
      </c>
      <c r="C68" s="290">
        <v>0</v>
      </c>
      <c r="D68" s="308"/>
      <c r="E68" s="438">
        <f>IF(Results!L73&lt;=0,0,C68/Results!L73)</f>
        <v>0</v>
      </c>
      <c r="F68" s="439">
        <f t="shared" si="2"/>
        <v>0</v>
      </c>
      <c r="G68" s="442"/>
    </row>
    <row r="69" spans="2:7">
      <c r="B69" s="441">
        <f t="shared" si="1"/>
        <v>2057</v>
      </c>
      <c r="C69" s="290">
        <v>0</v>
      </c>
      <c r="D69" s="308"/>
      <c r="E69" s="438">
        <f>IF(Results!L74&lt;=0,0,C69/Results!L74)</f>
        <v>0</v>
      </c>
      <c r="F69" s="439">
        <f t="shared" si="2"/>
        <v>0</v>
      </c>
      <c r="G69" s="442"/>
    </row>
    <row r="70" spans="2:7">
      <c r="B70" s="441">
        <f t="shared" si="1"/>
        <v>2058</v>
      </c>
      <c r="C70" s="290">
        <v>0</v>
      </c>
      <c r="D70" s="308"/>
      <c r="E70" s="438">
        <f>IF(Results!L75&lt;=0,0,C70/Results!L75)</f>
        <v>0</v>
      </c>
      <c r="F70" s="439">
        <f t="shared" si="2"/>
        <v>0</v>
      </c>
      <c r="G70" s="442"/>
    </row>
    <row r="71" spans="2:7">
      <c r="B71" s="441">
        <f t="shared" si="1"/>
        <v>2059</v>
      </c>
      <c r="C71" s="290">
        <v>0</v>
      </c>
      <c r="D71" s="308"/>
      <c r="E71" s="438">
        <f>IF(Results!L76&lt;=0,0,C71/Results!L76)</f>
        <v>0</v>
      </c>
      <c r="F71" s="439">
        <f t="shared" si="2"/>
        <v>0</v>
      </c>
      <c r="G71" s="442"/>
    </row>
    <row r="72" spans="2:7">
      <c r="B72" s="441">
        <f t="shared" si="1"/>
        <v>2060</v>
      </c>
      <c r="C72" s="290">
        <v>0</v>
      </c>
      <c r="D72" s="308"/>
      <c r="E72" s="438">
        <f>IF(Results!L77&lt;=0,0,C72/Results!L77)</f>
        <v>0</v>
      </c>
      <c r="F72" s="439">
        <f t="shared" si="2"/>
        <v>0</v>
      </c>
      <c r="G72" s="442"/>
    </row>
    <row r="73" spans="2:7">
      <c r="B73" s="441">
        <f t="shared" si="1"/>
        <v>2061</v>
      </c>
      <c r="C73" s="290">
        <v>0</v>
      </c>
      <c r="D73" s="308"/>
      <c r="E73" s="438">
        <f>IF(Results!L78&lt;=0,0,C73/Results!L78)</f>
        <v>0</v>
      </c>
      <c r="F73" s="439">
        <f t="shared" si="2"/>
        <v>0</v>
      </c>
      <c r="G73" s="442"/>
    </row>
    <row r="74" spans="2:7">
      <c r="B74" s="441">
        <f t="shared" si="1"/>
        <v>2062</v>
      </c>
      <c r="C74" s="290">
        <v>0</v>
      </c>
      <c r="D74" s="308"/>
      <c r="E74" s="438">
        <f>IF(Results!L79&lt;=0,0,C74/Results!L79)</f>
        <v>0</v>
      </c>
      <c r="F74" s="439">
        <f t="shared" si="2"/>
        <v>0</v>
      </c>
      <c r="G74" s="442"/>
    </row>
    <row r="75" spans="2:7">
      <c r="B75" s="441">
        <f t="shared" si="1"/>
        <v>2063</v>
      </c>
      <c r="C75" s="290">
        <v>0</v>
      </c>
      <c r="D75" s="308"/>
      <c r="E75" s="438">
        <f>IF(Results!L80&lt;=0,0,C75/Results!L80)</f>
        <v>0</v>
      </c>
      <c r="F75" s="439">
        <f t="shared" si="2"/>
        <v>0</v>
      </c>
      <c r="G75" s="442"/>
    </row>
    <row r="76" spans="2:7">
      <c r="B76" s="441">
        <f t="shared" si="1"/>
        <v>2064</v>
      </c>
      <c r="C76" s="290">
        <v>0</v>
      </c>
      <c r="D76" s="308"/>
      <c r="E76" s="438">
        <f>IF(Results!L81&lt;=0,0,C76/Results!L81)</f>
        <v>0</v>
      </c>
      <c r="F76" s="439">
        <f t="shared" ref="F76:F92" si="3">ox</f>
        <v>0</v>
      </c>
      <c r="G76" s="442"/>
    </row>
    <row r="77" spans="2:7">
      <c r="B77" s="441">
        <f t="shared" ref="B77:B92" si="4">B76+1</f>
        <v>2065</v>
      </c>
      <c r="C77" s="290">
        <v>0</v>
      </c>
      <c r="D77" s="308"/>
      <c r="E77" s="438">
        <f>IF(Results!L82&lt;=0,0,C77/Results!L82)</f>
        <v>0</v>
      </c>
      <c r="F77" s="439">
        <f t="shared" si="3"/>
        <v>0</v>
      </c>
      <c r="G77" s="442"/>
    </row>
    <row r="78" spans="2:7">
      <c r="B78" s="441">
        <f t="shared" si="4"/>
        <v>2066</v>
      </c>
      <c r="C78" s="290">
        <v>0</v>
      </c>
      <c r="D78" s="308"/>
      <c r="E78" s="438">
        <f>IF(Results!L83&lt;=0,0,C78/Results!L83)</f>
        <v>0</v>
      </c>
      <c r="F78" s="439">
        <f t="shared" si="3"/>
        <v>0</v>
      </c>
      <c r="G78" s="442"/>
    </row>
    <row r="79" spans="2:7">
      <c r="B79" s="441">
        <f t="shared" si="4"/>
        <v>2067</v>
      </c>
      <c r="C79" s="290">
        <v>0</v>
      </c>
      <c r="D79" s="308"/>
      <c r="E79" s="438">
        <f>IF(Results!L84&lt;=0,0,C79/Results!L84)</f>
        <v>0</v>
      </c>
      <c r="F79" s="439">
        <f t="shared" si="3"/>
        <v>0</v>
      </c>
      <c r="G79" s="442"/>
    </row>
    <row r="80" spans="2:7">
      <c r="B80" s="441">
        <f t="shared" si="4"/>
        <v>2068</v>
      </c>
      <c r="C80" s="290">
        <v>0</v>
      </c>
      <c r="D80" s="308"/>
      <c r="E80" s="438">
        <f>IF(Results!L85&lt;=0,0,C80/Results!L85)</f>
        <v>0</v>
      </c>
      <c r="F80" s="439">
        <f t="shared" si="3"/>
        <v>0</v>
      </c>
      <c r="G80" s="442"/>
    </row>
    <row r="81" spans="2:7">
      <c r="B81" s="441">
        <f t="shared" si="4"/>
        <v>2069</v>
      </c>
      <c r="C81" s="290">
        <v>0</v>
      </c>
      <c r="D81" s="308"/>
      <c r="E81" s="438">
        <f>IF(Results!L86&lt;=0,0,C81/Results!L86)</f>
        <v>0</v>
      </c>
      <c r="F81" s="439">
        <f t="shared" si="3"/>
        <v>0</v>
      </c>
      <c r="G81" s="442"/>
    </row>
    <row r="82" spans="2:7">
      <c r="B82" s="441">
        <f t="shared" si="4"/>
        <v>2070</v>
      </c>
      <c r="C82" s="290">
        <v>0</v>
      </c>
      <c r="D82" s="308"/>
      <c r="E82" s="438">
        <f>IF(Results!L87&lt;=0,0,C82/Results!L87)</f>
        <v>0</v>
      </c>
      <c r="F82" s="439">
        <f t="shared" si="3"/>
        <v>0</v>
      </c>
      <c r="G82" s="442"/>
    </row>
    <row r="83" spans="2:7">
      <c r="B83" s="441">
        <f t="shared" si="4"/>
        <v>2071</v>
      </c>
      <c r="C83" s="290">
        <v>0</v>
      </c>
      <c r="D83" s="308"/>
      <c r="E83" s="438">
        <f>IF(Results!L88&lt;=0,0,C83/Results!L88)</f>
        <v>0</v>
      </c>
      <c r="F83" s="439">
        <f t="shared" si="3"/>
        <v>0</v>
      </c>
      <c r="G83" s="442"/>
    </row>
    <row r="84" spans="2:7">
      <c r="B84" s="441">
        <f t="shared" si="4"/>
        <v>2072</v>
      </c>
      <c r="C84" s="290">
        <v>0</v>
      </c>
      <c r="D84" s="308"/>
      <c r="E84" s="438">
        <f>IF(Results!L89&lt;=0,0,C84/Results!L89)</f>
        <v>0</v>
      </c>
      <c r="F84" s="439">
        <f t="shared" si="3"/>
        <v>0</v>
      </c>
      <c r="G84" s="442"/>
    </row>
    <row r="85" spans="2:7">
      <c r="B85" s="441">
        <f t="shared" si="4"/>
        <v>2073</v>
      </c>
      <c r="C85" s="290">
        <v>0</v>
      </c>
      <c r="D85" s="308"/>
      <c r="E85" s="438">
        <f>IF(Results!L90&lt;=0,0,C85/Results!L90)</f>
        <v>0</v>
      </c>
      <c r="F85" s="439">
        <f t="shared" si="3"/>
        <v>0</v>
      </c>
      <c r="G85" s="442"/>
    </row>
    <row r="86" spans="2:7">
      <c r="B86" s="441">
        <f t="shared" si="4"/>
        <v>2074</v>
      </c>
      <c r="C86" s="290">
        <v>0</v>
      </c>
      <c r="D86" s="308"/>
      <c r="E86" s="438">
        <f>IF(Results!L91&lt;=0,0,C86/Results!L91)</f>
        <v>0</v>
      </c>
      <c r="F86" s="439">
        <f t="shared" si="3"/>
        <v>0</v>
      </c>
      <c r="G86" s="442"/>
    </row>
    <row r="87" spans="2:7">
      <c r="B87" s="441">
        <f t="shared" si="4"/>
        <v>2075</v>
      </c>
      <c r="C87" s="290">
        <v>0</v>
      </c>
      <c r="D87" s="308"/>
      <c r="E87" s="438">
        <f>IF(Results!L92&lt;=0,0,C87/Results!L92)</f>
        <v>0</v>
      </c>
      <c r="F87" s="439">
        <f t="shared" si="3"/>
        <v>0</v>
      </c>
      <c r="G87" s="442"/>
    </row>
    <row r="88" spans="2:7">
      <c r="B88" s="441">
        <f t="shared" si="4"/>
        <v>2076</v>
      </c>
      <c r="C88" s="290">
        <v>0</v>
      </c>
      <c r="D88" s="308"/>
      <c r="E88" s="438">
        <f>IF(Results!L93&lt;=0,0,C88/Results!L93)</f>
        <v>0</v>
      </c>
      <c r="F88" s="439">
        <f t="shared" si="3"/>
        <v>0</v>
      </c>
      <c r="G88" s="442"/>
    </row>
    <row r="89" spans="2:7">
      <c r="B89" s="441">
        <f t="shared" si="4"/>
        <v>2077</v>
      </c>
      <c r="C89" s="290">
        <v>0</v>
      </c>
      <c r="D89" s="308"/>
      <c r="E89" s="438">
        <f>IF(Results!L94&lt;=0,0,C89/Results!L94)</f>
        <v>0</v>
      </c>
      <c r="F89" s="439">
        <f t="shared" si="3"/>
        <v>0</v>
      </c>
      <c r="G89" s="442"/>
    </row>
    <row r="90" spans="2:7">
      <c r="B90" s="441">
        <f t="shared" si="4"/>
        <v>2078</v>
      </c>
      <c r="C90" s="290">
        <v>0</v>
      </c>
      <c r="D90" s="308"/>
      <c r="E90" s="438">
        <f>IF(Results!L95&lt;=0,0,C90/Results!L95)</f>
        <v>0</v>
      </c>
      <c r="F90" s="439">
        <f t="shared" si="3"/>
        <v>0</v>
      </c>
      <c r="G90" s="442"/>
    </row>
    <row r="91" spans="2:7">
      <c r="B91" s="441">
        <f t="shared" si="4"/>
        <v>2079</v>
      </c>
      <c r="C91" s="290">
        <v>0</v>
      </c>
      <c r="D91" s="308"/>
      <c r="E91" s="438">
        <f>IF(Results!L96&lt;=0,0,C91/Results!L96)</f>
        <v>0</v>
      </c>
      <c r="F91" s="439">
        <f t="shared" si="3"/>
        <v>0</v>
      </c>
      <c r="G91" s="442"/>
    </row>
    <row r="92" spans="2:7" ht="13.5" thickBot="1">
      <c r="B92" s="443">
        <f t="shared" si="4"/>
        <v>2080</v>
      </c>
      <c r="C92" s="384">
        <v>0</v>
      </c>
      <c r="D92" s="309"/>
      <c r="E92" s="444">
        <f>IF(Results!L97&lt;=0,0,C92/Results!L97)</f>
        <v>0</v>
      </c>
      <c r="F92" s="445">
        <f t="shared" si="3"/>
        <v>0</v>
      </c>
      <c r="G92" s="446"/>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F97"/>
  <sheetViews>
    <sheetView topLeftCell="A13" zoomScale="70" zoomScaleNormal="70" workbookViewId="0">
      <selection activeCell="O27" sqref="O27:O47"/>
    </sheetView>
  </sheetViews>
  <sheetFormatPr defaultColWidth="8.85546875" defaultRowHeight="12.75"/>
  <cols>
    <col min="1" max="1" width="8.85546875" style="175"/>
    <col min="2" max="2" width="7" style="316" customWidth="1"/>
    <col min="3" max="3" width="8.85546875" style="316"/>
    <col min="4" max="4" width="10.85546875" style="316" customWidth="1"/>
    <col min="5" max="13" width="8.85546875" style="316"/>
    <col min="14" max="14" width="3" style="316" customWidth="1"/>
    <col min="15" max="15" width="10.42578125" style="738" customWidth="1"/>
    <col min="16" max="16" width="4.7109375" style="316" customWidth="1"/>
    <col min="17" max="17" width="2" style="505" customWidth="1"/>
    <col min="18" max="20" width="8.85546875" style="175"/>
    <col min="21" max="21" width="10.7109375" style="175" customWidth="1"/>
    <col min="22" max="27" width="8.85546875" style="175"/>
    <col min="28" max="28" width="8.85546875" style="316"/>
    <col min="29" max="30" width="8.85546875" style="175"/>
    <col min="31" max="31" width="2.7109375" style="175" customWidth="1"/>
    <col min="32" max="32" width="11.7109375" style="175" bestFit="1" customWidth="1"/>
    <col min="33" max="16384" width="8.85546875" style="175"/>
  </cols>
  <sheetData>
    <row r="1" spans="1:32">
      <c r="A1" s="174"/>
      <c r="P1" s="317"/>
    </row>
    <row r="2" spans="1:32" ht="15.75">
      <c r="A2" s="174"/>
      <c r="B2" s="318" t="s">
        <v>94</v>
      </c>
      <c r="D2" s="318"/>
      <c r="E2" s="318"/>
    </row>
    <row r="3" spans="1:32" ht="15.75">
      <c r="A3" s="174"/>
      <c r="B3" s="318"/>
      <c r="D3" s="318"/>
      <c r="E3" s="318"/>
      <c r="I3" s="319"/>
      <c r="J3" s="320"/>
      <c r="K3" s="320"/>
      <c r="L3" s="320"/>
      <c r="M3" s="320"/>
      <c r="N3" s="320"/>
      <c r="O3" s="739"/>
      <c r="AB3" s="320"/>
    </row>
    <row r="4" spans="1:32" ht="16.5" thickBot="1">
      <c r="A4" s="174"/>
      <c r="B4" s="319" t="s">
        <v>265</v>
      </c>
      <c r="D4" s="318"/>
      <c r="E4" s="319" t="s">
        <v>276</v>
      </c>
      <c r="H4" s="319" t="s">
        <v>30</v>
      </c>
      <c r="I4" s="319"/>
      <c r="J4" s="320"/>
      <c r="K4" s="320"/>
      <c r="L4" s="320"/>
      <c r="M4" s="320"/>
      <c r="N4" s="320"/>
      <c r="O4" s="739"/>
      <c r="AB4" s="320"/>
    </row>
    <row r="5" spans="1:32" ht="13.5" thickBot="1">
      <c r="A5" s="174"/>
      <c r="B5" s="549" t="str">
        <f>city</f>
        <v>SAMARINDA</v>
      </c>
      <c r="C5" s="550"/>
      <c r="D5" s="550"/>
      <c r="E5" s="549" t="str">
        <f>province</f>
        <v>Kalimantan Timur</v>
      </c>
      <c r="F5" s="550"/>
      <c r="G5" s="550"/>
      <c r="H5" s="549" t="str">
        <f>country</f>
        <v>Indonesia</v>
      </c>
      <c r="I5" s="550"/>
      <c r="J5" s="551"/>
      <c r="K5" s="320"/>
      <c r="L5" s="320"/>
      <c r="M5" s="320"/>
      <c r="N5" s="320"/>
      <c r="O5" s="739"/>
      <c r="AB5" s="320"/>
    </row>
    <row r="6" spans="1:32">
      <c r="A6" s="174"/>
      <c r="C6" s="319"/>
      <c r="D6" s="319"/>
      <c r="E6" s="319"/>
    </row>
    <row r="7" spans="1:32">
      <c r="A7" s="174"/>
      <c r="B7" s="316" t="s">
        <v>35</v>
      </c>
      <c r="P7" s="317"/>
    </row>
    <row r="8" spans="1:32">
      <c r="A8" s="174"/>
      <c r="B8" s="316" t="s">
        <v>37</v>
      </c>
      <c r="P8" s="317"/>
    </row>
    <row r="9" spans="1:32">
      <c r="B9" s="321"/>
      <c r="P9" s="317"/>
    </row>
    <row r="10" spans="1:32">
      <c r="P10" s="470"/>
    </row>
    <row r="11" spans="1:32" ht="13.5" thickBot="1">
      <c r="A11" s="176"/>
      <c r="P11" s="176"/>
      <c r="Q11" s="506"/>
    </row>
    <row r="12" spans="1:32" ht="13.5" thickBot="1">
      <c r="A12" s="177"/>
      <c r="B12" s="315"/>
      <c r="C12" s="804" t="s">
        <v>91</v>
      </c>
      <c r="D12" s="805"/>
      <c r="E12" s="805"/>
      <c r="F12" s="805"/>
      <c r="G12" s="805"/>
      <c r="H12" s="805"/>
      <c r="I12" s="805"/>
      <c r="J12" s="805"/>
      <c r="K12" s="805"/>
      <c r="L12" s="805"/>
      <c r="M12" s="806"/>
      <c r="N12" s="468"/>
      <c r="O12" s="740"/>
      <c r="P12" s="177"/>
      <c r="Q12" s="506"/>
      <c r="S12" s="315"/>
      <c r="T12" s="804" t="s">
        <v>91</v>
      </c>
      <c r="U12" s="805"/>
      <c r="V12" s="805"/>
      <c r="W12" s="805"/>
      <c r="X12" s="805"/>
      <c r="Y12" s="805"/>
      <c r="Z12" s="805"/>
      <c r="AA12" s="805"/>
      <c r="AB12" s="805"/>
      <c r="AC12" s="805"/>
      <c r="AD12" s="806"/>
      <c r="AE12" s="468"/>
      <c r="AF12" s="469"/>
    </row>
    <row r="13" spans="1:32" ht="39" thickBot="1">
      <c r="A13" s="178"/>
      <c r="B13" s="474" t="s">
        <v>1</v>
      </c>
      <c r="C13" s="475" t="s">
        <v>228</v>
      </c>
      <c r="D13" s="476" t="s">
        <v>268</v>
      </c>
      <c r="E13" s="476" t="s">
        <v>267</v>
      </c>
      <c r="F13" s="476" t="s">
        <v>272</v>
      </c>
      <c r="G13" s="476" t="s">
        <v>2</v>
      </c>
      <c r="H13" s="476" t="s">
        <v>3</v>
      </c>
      <c r="I13" s="477" t="s">
        <v>146</v>
      </c>
      <c r="J13" s="477" t="s">
        <v>95</v>
      </c>
      <c r="K13" s="477" t="s">
        <v>308</v>
      </c>
      <c r="L13" s="478" t="s">
        <v>27</v>
      </c>
      <c r="M13" s="477" t="s">
        <v>5</v>
      </c>
      <c r="N13" s="479"/>
      <c r="O13" s="741" t="s">
        <v>4</v>
      </c>
      <c r="P13" s="178"/>
      <c r="Q13" s="506"/>
      <c r="S13" s="474" t="s">
        <v>1</v>
      </c>
      <c r="T13" s="475" t="s">
        <v>228</v>
      </c>
      <c r="U13" s="476" t="s">
        <v>268</v>
      </c>
      <c r="V13" s="476" t="s">
        <v>267</v>
      </c>
      <c r="W13" s="476" t="s">
        <v>272</v>
      </c>
      <c r="X13" s="476" t="s">
        <v>2</v>
      </c>
      <c r="Y13" s="476" t="s">
        <v>3</v>
      </c>
      <c r="Z13" s="477" t="s">
        <v>146</v>
      </c>
      <c r="AA13" s="477" t="s">
        <v>95</v>
      </c>
      <c r="AB13" s="477" t="s">
        <v>308</v>
      </c>
      <c r="AC13" s="478" t="s">
        <v>27</v>
      </c>
      <c r="AD13" s="477" t="s">
        <v>5</v>
      </c>
      <c r="AE13" s="479"/>
      <c r="AF13" s="480" t="s">
        <v>4</v>
      </c>
    </row>
    <row r="14" spans="1:32" ht="23.25" thickBot="1">
      <c r="A14" s="178"/>
      <c r="B14" s="322"/>
      <c r="C14" s="323" t="s">
        <v>81</v>
      </c>
      <c r="D14" s="324" t="s">
        <v>87</v>
      </c>
      <c r="E14" s="324" t="s">
        <v>88</v>
      </c>
      <c r="F14" s="324" t="s">
        <v>275</v>
      </c>
      <c r="G14" s="324" t="s">
        <v>89</v>
      </c>
      <c r="H14" s="324" t="s">
        <v>82</v>
      </c>
      <c r="I14" s="374" t="s">
        <v>92</v>
      </c>
      <c r="J14" s="325" t="s">
        <v>93</v>
      </c>
      <c r="K14" s="325" t="s">
        <v>316</v>
      </c>
      <c r="L14" s="375" t="s">
        <v>194</v>
      </c>
      <c r="M14" s="325" t="s">
        <v>162</v>
      </c>
      <c r="N14" s="471"/>
      <c r="O14" s="742" t="s">
        <v>163</v>
      </c>
      <c r="P14" s="178"/>
      <c r="Q14" s="506"/>
      <c r="S14" s="322"/>
      <c r="T14" s="323" t="s">
        <v>81</v>
      </c>
      <c r="U14" s="324" t="s">
        <v>87</v>
      </c>
      <c r="V14" s="324" t="s">
        <v>88</v>
      </c>
      <c r="W14" s="324" t="s">
        <v>275</v>
      </c>
      <c r="X14" s="324" t="s">
        <v>89</v>
      </c>
      <c r="Y14" s="324" t="s">
        <v>82</v>
      </c>
      <c r="Z14" s="374" t="s">
        <v>92</v>
      </c>
      <c r="AA14" s="325" t="s">
        <v>93</v>
      </c>
      <c r="AB14" s="325" t="s">
        <v>316</v>
      </c>
      <c r="AC14" s="375" t="s">
        <v>194</v>
      </c>
      <c r="AD14" s="325" t="s">
        <v>162</v>
      </c>
      <c r="AE14" s="471"/>
      <c r="AF14" s="326" t="s">
        <v>163</v>
      </c>
    </row>
    <row r="15" spans="1:32" ht="13.5" thickBot="1">
      <c r="B15" s="327"/>
      <c r="C15" s="328" t="s">
        <v>15</v>
      </c>
      <c r="D15" s="329" t="s">
        <v>15</v>
      </c>
      <c r="E15" s="329" t="s">
        <v>15</v>
      </c>
      <c r="F15" s="329" t="s">
        <v>15</v>
      </c>
      <c r="G15" s="329" t="s">
        <v>15</v>
      </c>
      <c r="H15" s="329" t="s">
        <v>15</v>
      </c>
      <c r="I15" s="330" t="s">
        <v>15</v>
      </c>
      <c r="J15" s="330" t="s">
        <v>15</v>
      </c>
      <c r="K15" s="330" t="s">
        <v>15</v>
      </c>
      <c r="L15" s="376" t="s">
        <v>15</v>
      </c>
      <c r="M15" s="330" t="s">
        <v>15</v>
      </c>
      <c r="N15" s="472"/>
      <c r="O15" s="743" t="s">
        <v>15</v>
      </c>
      <c r="P15" s="175"/>
      <c r="Q15" s="506"/>
      <c r="S15" s="327"/>
      <c r="T15" s="328" t="s">
        <v>15</v>
      </c>
      <c r="U15" s="329" t="s">
        <v>15</v>
      </c>
      <c r="V15" s="329" t="s">
        <v>15</v>
      </c>
      <c r="W15" s="329" t="s">
        <v>15</v>
      </c>
      <c r="X15" s="329" t="s">
        <v>15</v>
      </c>
      <c r="Y15" s="329" t="s">
        <v>15</v>
      </c>
      <c r="Z15" s="330" t="s">
        <v>15</v>
      </c>
      <c r="AA15" s="330" t="s">
        <v>15</v>
      </c>
      <c r="AB15" s="330" t="s">
        <v>15</v>
      </c>
      <c r="AC15" s="376" t="s">
        <v>15</v>
      </c>
      <c r="AD15" s="330" t="s">
        <v>15</v>
      </c>
      <c r="AE15" s="472"/>
      <c r="AF15" s="331" t="s">
        <v>15</v>
      </c>
    </row>
    <row r="16" spans="1:32" ht="13.5" thickBot="1">
      <c r="B16" s="332"/>
      <c r="C16" s="333"/>
      <c r="D16" s="334"/>
      <c r="E16" s="334"/>
      <c r="F16" s="334"/>
      <c r="G16" s="334"/>
      <c r="H16" s="334"/>
      <c r="I16" s="335"/>
      <c r="J16" s="335"/>
      <c r="K16" s="336"/>
      <c r="L16" s="377"/>
      <c r="M16" s="336"/>
      <c r="N16" s="473"/>
      <c r="O16" s="744"/>
      <c r="P16" s="175"/>
      <c r="Q16" s="506"/>
      <c r="S16" s="332"/>
      <c r="T16" s="333"/>
      <c r="U16" s="334"/>
      <c r="V16" s="334"/>
      <c r="W16" s="334"/>
      <c r="X16" s="334"/>
      <c r="Y16" s="334"/>
      <c r="Z16" s="335"/>
      <c r="AA16" s="335"/>
      <c r="AB16" s="336"/>
      <c r="AC16" s="377"/>
      <c r="AD16" s="336"/>
      <c r="AE16" s="473"/>
      <c r="AF16" s="337"/>
    </row>
    <row r="17" spans="2:32">
      <c r="B17" s="356">
        <f>year</f>
        <v>2000</v>
      </c>
      <c r="C17" s="353">
        <f>IF(Select2=1,Food!$K19,"")</f>
        <v>0</v>
      </c>
      <c r="D17" s="338">
        <f>IF(Select2=1,Paper!$K19,"")</f>
        <v>0</v>
      </c>
      <c r="E17" s="338">
        <f>IF(Select2=1,Nappies!$K19,"")</f>
        <v>0</v>
      </c>
      <c r="F17" s="338">
        <f>IF(Select2=1,Garden!$K19,"")</f>
        <v>0</v>
      </c>
      <c r="G17" s="338">
        <f>IF(Select2=1,Wood!$K19,"")</f>
        <v>0</v>
      </c>
      <c r="H17" s="338">
        <f>IF(Select2=1,Textiles!$K19,"")</f>
        <v>0</v>
      </c>
      <c r="I17" s="339">
        <f>Sludge!K19</f>
        <v>0</v>
      </c>
      <c r="J17" s="340" t="str">
        <f>IF(Select2=2,MSW!$K19,"")</f>
        <v/>
      </c>
      <c r="K17" s="339">
        <f>Industry!$K19</f>
        <v>0</v>
      </c>
      <c r="L17" s="378">
        <f>SUM(C17:K17)</f>
        <v>0</v>
      </c>
      <c r="M17" s="341">
        <f>Recovery_OX!C12</f>
        <v>0</v>
      </c>
      <c r="N17" s="470"/>
      <c r="O17" s="745">
        <f>(L17-M17)*(1-Recovery_OX!F12)</f>
        <v>0</v>
      </c>
      <c r="P17" s="175"/>
      <c r="Q17" s="506"/>
      <c r="S17" s="356">
        <f>year</f>
        <v>2000</v>
      </c>
      <c r="T17" s="353">
        <f>IF(Select2=1,Food!$W19,"")</f>
        <v>0</v>
      </c>
      <c r="U17" s="338">
        <f>IF(Select2=1,Paper!$W19,"")</f>
        <v>0</v>
      </c>
      <c r="V17" s="338">
        <f>IF(Select2=1,Nappies!$W19,"")</f>
        <v>0</v>
      </c>
      <c r="W17" s="338">
        <f>IF(Select2=1,Garden!$W19,"")</f>
        <v>0</v>
      </c>
      <c r="X17" s="338">
        <f>IF(Select2=1,Wood!$W19,"")</f>
        <v>0</v>
      </c>
      <c r="Y17" s="338">
        <f>IF(Select2=1,Textiles!$W19,"")</f>
        <v>0</v>
      </c>
      <c r="Z17" s="339">
        <f>Sludge!W19</f>
        <v>0</v>
      </c>
      <c r="AA17" s="340" t="str">
        <f>IF(Select2=2,MSW!$W19,"")</f>
        <v/>
      </c>
      <c r="AB17" s="339">
        <f>Industry!$W19</f>
        <v>0</v>
      </c>
      <c r="AC17" s="378">
        <f t="shared" ref="AC17:AC48" si="0">SUM(T17:AA17)</f>
        <v>0</v>
      </c>
      <c r="AD17" s="341">
        <f>Recovery_OX!R12</f>
        <v>0</v>
      </c>
      <c r="AE17" s="470"/>
      <c r="AF17" s="275">
        <f>(AC17-AD17)*(1-Recovery_OX!U12)</f>
        <v>0</v>
      </c>
    </row>
    <row r="18" spans="2:32">
      <c r="B18" s="357">
        <f t="shared" ref="B18:B81" si="1">B17+1</f>
        <v>2001</v>
      </c>
      <c r="C18" s="354">
        <f>IF(Select2=1,Food!$K20,"")</f>
        <v>0</v>
      </c>
      <c r="D18" s="342">
        <f>IF(Select2=1,Paper!$K20,"")</f>
        <v>0</v>
      </c>
      <c r="E18" s="338">
        <f>IF(Select2=1,Nappies!$K20,"")</f>
        <v>0</v>
      </c>
      <c r="F18" s="342">
        <f>IF(Select2=1,Garden!$K20,"")</f>
        <v>0</v>
      </c>
      <c r="G18" s="338">
        <f>IF(Select2=1,Wood!$K20,"")</f>
        <v>0</v>
      </c>
      <c r="H18" s="342">
        <f>IF(Select2=1,Textiles!$K20,"")</f>
        <v>0</v>
      </c>
      <c r="I18" s="343">
        <f>Sludge!K20</f>
        <v>0</v>
      </c>
      <c r="J18" s="343" t="str">
        <f>IF(Select2=2,MSW!$K20,"")</f>
        <v/>
      </c>
      <c r="K18" s="343">
        <f>Industry!$K20</f>
        <v>0</v>
      </c>
      <c r="L18" s="379">
        <f>SUM(C18:K18)</f>
        <v>0</v>
      </c>
      <c r="M18" s="344">
        <f>Recovery_OX!C13</f>
        <v>0</v>
      </c>
      <c r="N18" s="470"/>
      <c r="O18" s="746">
        <f>(L18-M18)*(1-Recovery_OX!F13)</f>
        <v>0</v>
      </c>
      <c r="P18" s="175"/>
      <c r="Q18" s="506"/>
      <c r="S18" s="357">
        <f t="shared" ref="S18:S81" si="2">S17+1</f>
        <v>2001</v>
      </c>
      <c r="T18" s="354">
        <f>IF(Select2=1,Food!$W20,"")</f>
        <v>0</v>
      </c>
      <c r="U18" s="342">
        <f>IF(Select2=1,Paper!$W20,"")</f>
        <v>0</v>
      </c>
      <c r="V18" s="338">
        <f>IF(Select2=1,Nappies!$W20,"")</f>
        <v>0</v>
      </c>
      <c r="W18" s="342">
        <f>IF(Select2=1,Garden!$W20,"")</f>
        <v>0</v>
      </c>
      <c r="X18" s="338">
        <f>IF(Select2=1,Wood!$W20,"")</f>
        <v>0</v>
      </c>
      <c r="Y18" s="342">
        <f>IF(Select2=1,Textiles!$W20,"")</f>
        <v>0</v>
      </c>
      <c r="Z18" s="340">
        <f>Sludge!W20</f>
        <v>0</v>
      </c>
      <c r="AA18" s="340" t="str">
        <f>IF(Select2=2,MSW!$W20,"")</f>
        <v/>
      </c>
      <c r="AB18" s="343">
        <f>Industry!$W20</f>
        <v>0</v>
      </c>
      <c r="AC18" s="379">
        <f t="shared" si="0"/>
        <v>0</v>
      </c>
      <c r="AD18" s="344">
        <f>Recovery_OX!R13</f>
        <v>0</v>
      </c>
      <c r="AE18" s="470"/>
      <c r="AF18" s="276">
        <f>(AC18-AD18)*(1-Recovery_OX!U13)</f>
        <v>0</v>
      </c>
    </row>
    <row r="19" spans="2:32">
      <c r="B19" s="357">
        <f t="shared" si="1"/>
        <v>2002</v>
      </c>
      <c r="C19" s="354">
        <f>IF(Select2=1,Food!$K21,"")</f>
        <v>0</v>
      </c>
      <c r="D19" s="342">
        <f>IF(Select2=1,Paper!$K21,"")</f>
        <v>0</v>
      </c>
      <c r="E19" s="338">
        <f>IF(Select2=1,Nappies!$K21,"")</f>
        <v>0</v>
      </c>
      <c r="F19" s="342">
        <f>IF(Select2=1,Garden!$K21,"")</f>
        <v>0</v>
      </c>
      <c r="G19" s="338">
        <f>IF(Select2=1,Wood!$K21,"")</f>
        <v>0</v>
      </c>
      <c r="H19" s="342">
        <f>IF(Select2=1,Textiles!$K21,"")</f>
        <v>0</v>
      </c>
      <c r="I19" s="343">
        <f>Sludge!K21</f>
        <v>0</v>
      </c>
      <c r="J19" s="343" t="str">
        <f>IF(Select2=2,MSW!$K21,"")</f>
        <v/>
      </c>
      <c r="K19" s="343">
        <f>Industry!$K21</f>
        <v>0</v>
      </c>
      <c r="L19" s="379">
        <f t="shared" ref="L19:L82" si="3">SUM(C19:K19)</f>
        <v>0</v>
      </c>
      <c r="M19" s="344">
        <f>Recovery_OX!C14</f>
        <v>0</v>
      </c>
      <c r="N19" s="470"/>
      <c r="O19" s="746">
        <f>(L19-M19)*(1-Recovery_OX!F14)</f>
        <v>0</v>
      </c>
      <c r="P19" s="175"/>
      <c r="Q19" s="506"/>
      <c r="S19" s="357">
        <f t="shared" si="2"/>
        <v>2002</v>
      </c>
      <c r="T19" s="354">
        <f>IF(Select2=1,Food!$W21,"")</f>
        <v>0</v>
      </c>
      <c r="U19" s="342">
        <f>IF(Select2=1,Paper!$W21,"")</f>
        <v>0</v>
      </c>
      <c r="V19" s="338">
        <f>IF(Select2=1,Nappies!$W21,"")</f>
        <v>0</v>
      </c>
      <c r="W19" s="342">
        <f>IF(Select2=1,Garden!$W21,"")</f>
        <v>0</v>
      </c>
      <c r="X19" s="338">
        <f>IF(Select2=1,Wood!$W21,"")</f>
        <v>0</v>
      </c>
      <c r="Y19" s="342">
        <f>IF(Select2=1,Textiles!$W21,"")</f>
        <v>0</v>
      </c>
      <c r="Z19" s="340">
        <f>Sludge!W21</f>
        <v>0</v>
      </c>
      <c r="AA19" s="340" t="str">
        <f>IF(Select2=2,MSW!$W21,"")</f>
        <v/>
      </c>
      <c r="AB19" s="343">
        <f>Industry!$W21</f>
        <v>0</v>
      </c>
      <c r="AC19" s="379">
        <f t="shared" si="0"/>
        <v>0</v>
      </c>
      <c r="AD19" s="344">
        <f>Recovery_OX!R14</f>
        <v>0</v>
      </c>
      <c r="AE19" s="470"/>
      <c r="AF19" s="276">
        <f>(AC19-AD19)*(1-Recovery_OX!U14)</f>
        <v>0</v>
      </c>
    </row>
    <row r="20" spans="2:32">
      <c r="B20" s="357">
        <f t="shared" si="1"/>
        <v>2003</v>
      </c>
      <c r="C20" s="354">
        <f>IF(Select2=1,Food!$K22,"")</f>
        <v>0</v>
      </c>
      <c r="D20" s="342">
        <f>IF(Select2=1,Paper!$K22,"")</f>
        <v>0</v>
      </c>
      <c r="E20" s="338">
        <f>IF(Select2=1,Nappies!$K22,"")</f>
        <v>0</v>
      </c>
      <c r="F20" s="342">
        <f>IF(Select2=1,Garden!$K22,"")</f>
        <v>0</v>
      </c>
      <c r="G20" s="338">
        <f>IF(Select2=1,Wood!$K22,"")</f>
        <v>0</v>
      </c>
      <c r="H20" s="342">
        <f>IF(Select2=1,Textiles!$K22,"")</f>
        <v>0</v>
      </c>
      <c r="I20" s="343">
        <f>Sludge!K22</f>
        <v>0</v>
      </c>
      <c r="J20" s="343" t="str">
        <f>IF(Select2=2,MSW!$K22,"")</f>
        <v/>
      </c>
      <c r="K20" s="343">
        <f>Industry!$K22</f>
        <v>0</v>
      </c>
      <c r="L20" s="379">
        <f t="shared" si="3"/>
        <v>0</v>
      </c>
      <c r="M20" s="344">
        <f>Recovery_OX!C15</f>
        <v>0</v>
      </c>
      <c r="N20" s="470"/>
      <c r="O20" s="746">
        <f>(L20-M20)*(1-Recovery_OX!F15)</f>
        <v>0</v>
      </c>
      <c r="P20" s="175"/>
      <c r="Q20" s="506"/>
      <c r="S20" s="357">
        <f t="shared" si="2"/>
        <v>2003</v>
      </c>
      <c r="T20" s="354">
        <f>IF(Select2=1,Food!$W22,"")</f>
        <v>0</v>
      </c>
      <c r="U20" s="342">
        <f>IF(Select2=1,Paper!$W22,"")</f>
        <v>0</v>
      </c>
      <c r="V20" s="338">
        <f>IF(Select2=1,Nappies!$W22,"")</f>
        <v>0</v>
      </c>
      <c r="W20" s="342">
        <f>IF(Select2=1,Garden!$W22,"")</f>
        <v>0</v>
      </c>
      <c r="X20" s="338">
        <f>IF(Select2=1,Wood!$W22,"")</f>
        <v>0</v>
      </c>
      <c r="Y20" s="342">
        <f>IF(Select2=1,Textiles!$W22,"")</f>
        <v>0</v>
      </c>
      <c r="Z20" s="340">
        <f>Sludge!W22</f>
        <v>0</v>
      </c>
      <c r="AA20" s="340" t="str">
        <f>IF(Select2=2,MSW!$W22,"")</f>
        <v/>
      </c>
      <c r="AB20" s="343">
        <f>Industry!$W22</f>
        <v>0</v>
      </c>
      <c r="AC20" s="379">
        <f t="shared" si="0"/>
        <v>0</v>
      </c>
      <c r="AD20" s="344">
        <f>Recovery_OX!R15</f>
        <v>0</v>
      </c>
      <c r="AE20" s="470"/>
      <c r="AF20" s="276">
        <f>(AC20-AD20)*(1-Recovery_OX!U15)</f>
        <v>0</v>
      </c>
    </row>
    <row r="21" spans="2:32">
      <c r="B21" s="357">
        <f t="shared" si="1"/>
        <v>2004</v>
      </c>
      <c r="C21" s="354">
        <f>IF(Select2=1,Food!$K23,"")</f>
        <v>0</v>
      </c>
      <c r="D21" s="342">
        <f>IF(Select2=1,Paper!$K23,"")</f>
        <v>0</v>
      </c>
      <c r="E21" s="338">
        <f>IF(Select2=1,Nappies!$K23,"")</f>
        <v>0</v>
      </c>
      <c r="F21" s="342">
        <f>IF(Select2=1,Garden!$K23,"")</f>
        <v>0</v>
      </c>
      <c r="G21" s="338">
        <f>IF(Select2=1,Wood!$K23,"")</f>
        <v>0</v>
      </c>
      <c r="H21" s="342">
        <f>IF(Select2=1,Textiles!$K23,"")</f>
        <v>0</v>
      </c>
      <c r="I21" s="343">
        <f>Sludge!K23</f>
        <v>0</v>
      </c>
      <c r="J21" s="343" t="str">
        <f>IF(Select2=2,MSW!$K23,"")</f>
        <v/>
      </c>
      <c r="K21" s="343">
        <f>Industry!$K23</f>
        <v>0</v>
      </c>
      <c r="L21" s="379">
        <f t="shared" si="3"/>
        <v>0</v>
      </c>
      <c r="M21" s="344">
        <f>Recovery_OX!C16</f>
        <v>0</v>
      </c>
      <c r="N21" s="470"/>
      <c r="O21" s="746">
        <f>(L21-M21)*(1-Recovery_OX!F16)</f>
        <v>0</v>
      </c>
      <c r="P21" s="175"/>
      <c r="Q21" s="506"/>
      <c r="S21" s="357">
        <f t="shared" si="2"/>
        <v>2004</v>
      </c>
      <c r="T21" s="354">
        <f>IF(Select2=1,Food!$W23,"")</f>
        <v>0</v>
      </c>
      <c r="U21" s="342">
        <f>IF(Select2=1,Paper!$W23,"")</f>
        <v>0</v>
      </c>
      <c r="V21" s="338">
        <f>IF(Select2=1,Nappies!$W23,"")</f>
        <v>0</v>
      </c>
      <c r="W21" s="342">
        <f>IF(Select2=1,Garden!$W23,"")</f>
        <v>0</v>
      </c>
      <c r="X21" s="338">
        <f>IF(Select2=1,Wood!$W23,"")</f>
        <v>0</v>
      </c>
      <c r="Y21" s="342">
        <f>IF(Select2=1,Textiles!$W23,"")</f>
        <v>0</v>
      </c>
      <c r="Z21" s="340">
        <f>Sludge!W23</f>
        <v>0</v>
      </c>
      <c r="AA21" s="340" t="str">
        <f>IF(Select2=2,MSW!$W23,"")</f>
        <v/>
      </c>
      <c r="AB21" s="343">
        <f>Industry!$W23</f>
        <v>0</v>
      </c>
      <c r="AC21" s="379">
        <f t="shared" si="0"/>
        <v>0</v>
      </c>
      <c r="AD21" s="344">
        <f>Recovery_OX!R16</f>
        <v>0</v>
      </c>
      <c r="AE21" s="470"/>
      <c r="AF21" s="276">
        <f>(AC21-AD21)*(1-Recovery_OX!U16)</f>
        <v>0</v>
      </c>
    </row>
    <row r="22" spans="2:32">
      <c r="B22" s="357">
        <f t="shared" si="1"/>
        <v>2005</v>
      </c>
      <c r="C22" s="354">
        <f>IF(Select2=1,Food!$K24,"")</f>
        <v>0</v>
      </c>
      <c r="D22" s="342">
        <f>IF(Select2=1,Paper!$K24,"")</f>
        <v>0</v>
      </c>
      <c r="E22" s="338">
        <f>IF(Select2=1,Nappies!$K24,"")</f>
        <v>0</v>
      </c>
      <c r="F22" s="342">
        <f>IF(Select2=1,Garden!$K24,"")</f>
        <v>0</v>
      </c>
      <c r="G22" s="338">
        <f>IF(Select2=1,Wood!$K24,"")</f>
        <v>0</v>
      </c>
      <c r="H22" s="342">
        <f>IF(Select2=1,Textiles!$K24,"")</f>
        <v>0</v>
      </c>
      <c r="I22" s="343">
        <f>Sludge!K24</f>
        <v>0</v>
      </c>
      <c r="J22" s="343" t="str">
        <f>IF(Select2=2,MSW!$K24,"")</f>
        <v/>
      </c>
      <c r="K22" s="343">
        <f>Industry!$K24</f>
        <v>0</v>
      </c>
      <c r="L22" s="379">
        <f t="shared" si="3"/>
        <v>0</v>
      </c>
      <c r="M22" s="344">
        <f>Recovery_OX!C17</f>
        <v>0</v>
      </c>
      <c r="N22" s="470"/>
      <c r="O22" s="746">
        <f>(L22-M22)*(1-Recovery_OX!F17)</f>
        <v>0</v>
      </c>
      <c r="P22" s="175"/>
      <c r="Q22" s="506"/>
      <c r="S22" s="357">
        <f t="shared" si="2"/>
        <v>2005</v>
      </c>
      <c r="T22" s="354">
        <f>IF(Select2=1,Food!$W24,"")</f>
        <v>0</v>
      </c>
      <c r="U22" s="342">
        <f>IF(Select2=1,Paper!$W24,"")</f>
        <v>0</v>
      </c>
      <c r="V22" s="338">
        <f>IF(Select2=1,Nappies!$W24,"")</f>
        <v>0</v>
      </c>
      <c r="W22" s="342">
        <f>IF(Select2=1,Garden!$W24,"")</f>
        <v>0</v>
      </c>
      <c r="X22" s="338">
        <f>IF(Select2=1,Wood!$W24,"")</f>
        <v>0</v>
      </c>
      <c r="Y22" s="342">
        <f>IF(Select2=1,Textiles!$W24,"")</f>
        <v>0</v>
      </c>
      <c r="Z22" s="340">
        <f>Sludge!W24</f>
        <v>0</v>
      </c>
      <c r="AA22" s="340" t="str">
        <f>IF(Select2=2,MSW!$W24,"")</f>
        <v/>
      </c>
      <c r="AB22" s="343">
        <f>Industry!$W24</f>
        <v>0</v>
      </c>
      <c r="AC22" s="379">
        <f t="shared" si="0"/>
        <v>0</v>
      </c>
      <c r="AD22" s="344">
        <f>Recovery_OX!R17</f>
        <v>0</v>
      </c>
      <c r="AE22" s="470"/>
      <c r="AF22" s="276">
        <f>(AC22-AD22)*(1-Recovery_OX!U17)</f>
        <v>0</v>
      </c>
    </row>
    <row r="23" spans="2:32">
      <c r="B23" s="357">
        <f t="shared" si="1"/>
        <v>2006</v>
      </c>
      <c r="C23" s="354">
        <f>IF(Select2=1,Food!$K25,"")</f>
        <v>0</v>
      </c>
      <c r="D23" s="342">
        <f>IF(Select2=1,Paper!$K25,"")</f>
        <v>0</v>
      </c>
      <c r="E23" s="338">
        <f>IF(Select2=1,Nappies!$K25,"")</f>
        <v>0</v>
      </c>
      <c r="F23" s="342">
        <f>IF(Select2=1,Garden!$K25,"")</f>
        <v>0</v>
      </c>
      <c r="G23" s="338">
        <f>IF(Select2=1,Wood!$K25,"")</f>
        <v>0</v>
      </c>
      <c r="H23" s="342">
        <f>IF(Select2=1,Textiles!$K25,"")</f>
        <v>0</v>
      </c>
      <c r="I23" s="343">
        <f>Sludge!K25</f>
        <v>0</v>
      </c>
      <c r="J23" s="343" t="str">
        <f>IF(Select2=2,MSW!$K25,"")</f>
        <v/>
      </c>
      <c r="K23" s="343">
        <f>Industry!$K25</f>
        <v>0</v>
      </c>
      <c r="L23" s="379">
        <f t="shared" si="3"/>
        <v>0</v>
      </c>
      <c r="M23" s="344">
        <f>Recovery_OX!C18</f>
        <v>0</v>
      </c>
      <c r="N23" s="470"/>
      <c r="O23" s="746">
        <f>(L23-M23)*(1-Recovery_OX!F18)</f>
        <v>0</v>
      </c>
      <c r="P23" s="175"/>
      <c r="Q23" s="506"/>
      <c r="S23" s="357">
        <f t="shared" si="2"/>
        <v>2006</v>
      </c>
      <c r="T23" s="354">
        <f>IF(Select2=1,Food!$W25,"")</f>
        <v>0</v>
      </c>
      <c r="U23" s="342">
        <f>IF(Select2=1,Paper!$W25,"")</f>
        <v>0</v>
      </c>
      <c r="V23" s="338">
        <f>IF(Select2=1,Nappies!$W25,"")</f>
        <v>0</v>
      </c>
      <c r="W23" s="342">
        <f>IF(Select2=1,Garden!$W25,"")</f>
        <v>0</v>
      </c>
      <c r="X23" s="338">
        <f>IF(Select2=1,Wood!$W25,"")</f>
        <v>0</v>
      </c>
      <c r="Y23" s="342">
        <f>IF(Select2=1,Textiles!$W25,"")</f>
        <v>0</v>
      </c>
      <c r="Z23" s="340">
        <f>Sludge!W25</f>
        <v>0</v>
      </c>
      <c r="AA23" s="340" t="str">
        <f>IF(Select2=2,MSW!$W25,"")</f>
        <v/>
      </c>
      <c r="AB23" s="343">
        <f>Industry!$W25</f>
        <v>0</v>
      </c>
      <c r="AC23" s="379">
        <f t="shared" si="0"/>
        <v>0</v>
      </c>
      <c r="AD23" s="344">
        <f>Recovery_OX!R18</f>
        <v>0</v>
      </c>
      <c r="AE23" s="470"/>
      <c r="AF23" s="276">
        <f>(AC23-AD23)*(1-Recovery_OX!U18)</f>
        <v>0</v>
      </c>
    </row>
    <row r="24" spans="2:32">
      <c r="B24" s="357">
        <f t="shared" si="1"/>
        <v>2007</v>
      </c>
      <c r="C24" s="354">
        <f>IF(Select2=1,Food!$K26,"")</f>
        <v>0</v>
      </c>
      <c r="D24" s="342">
        <f>IF(Select2=1,Paper!$K26,"")</f>
        <v>0</v>
      </c>
      <c r="E24" s="338">
        <f>IF(Select2=1,Nappies!$K26,"")</f>
        <v>0</v>
      </c>
      <c r="F24" s="342">
        <f>IF(Select2=1,Garden!$K26,"")</f>
        <v>0</v>
      </c>
      <c r="G24" s="338">
        <f>IF(Select2=1,Wood!$K26,"")</f>
        <v>0</v>
      </c>
      <c r="H24" s="342">
        <f>IF(Select2=1,Textiles!$K26,"")</f>
        <v>0</v>
      </c>
      <c r="I24" s="343">
        <f>Sludge!K26</f>
        <v>0</v>
      </c>
      <c r="J24" s="343" t="str">
        <f>IF(Select2=2,MSW!$K26,"")</f>
        <v/>
      </c>
      <c r="K24" s="343">
        <f>Industry!$K26</f>
        <v>0</v>
      </c>
      <c r="L24" s="379">
        <f t="shared" si="3"/>
        <v>0</v>
      </c>
      <c r="M24" s="344">
        <f>Recovery_OX!C19</f>
        <v>0</v>
      </c>
      <c r="N24" s="470"/>
      <c r="O24" s="746">
        <f>(L24-M24)*(1-Recovery_OX!F19)</f>
        <v>0</v>
      </c>
      <c r="P24" s="175"/>
      <c r="Q24" s="506"/>
      <c r="S24" s="357">
        <f t="shared" si="2"/>
        <v>2007</v>
      </c>
      <c r="T24" s="354">
        <f>IF(Select2=1,Food!$W26,"")</f>
        <v>0</v>
      </c>
      <c r="U24" s="342">
        <f>IF(Select2=1,Paper!$W26,"")</f>
        <v>0</v>
      </c>
      <c r="V24" s="338">
        <f>IF(Select2=1,Nappies!$W26,"")</f>
        <v>0</v>
      </c>
      <c r="W24" s="342">
        <f>IF(Select2=1,Garden!$W26,"")</f>
        <v>0</v>
      </c>
      <c r="X24" s="338">
        <f>IF(Select2=1,Wood!$W26,"")</f>
        <v>0</v>
      </c>
      <c r="Y24" s="342">
        <f>IF(Select2=1,Textiles!$W26,"")</f>
        <v>0</v>
      </c>
      <c r="Z24" s="340">
        <f>Sludge!W26</f>
        <v>0</v>
      </c>
      <c r="AA24" s="340" t="str">
        <f>IF(Select2=2,MSW!$W26,"")</f>
        <v/>
      </c>
      <c r="AB24" s="343">
        <f>Industry!$W26</f>
        <v>0</v>
      </c>
      <c r="AC24" s="379">
        <f t="shared" si="0"/>
        <v>0</v>
      </c>
      <c r="AD24" s="344">
        <f>Recovery_OX!R19</f>
        <v>0</v>
      </c>
      <c r="AE24" s="470"/>
      <c r="AF24" s="276">
        <f>(AC24-AD24)*(1-Recovery_OX!U19)</f>
        <v>0</v>
      </c>
    </row>
    <row r="25" spans="2:32">
      <c r="B25" s="357">
        <f t="shared" si="1"/>
        <v>2008</v>
      </c>
      <c r="C25" s="354">
        <f>IF(Select2=1,Food!$K27,"")</f>
        <v>0</v>
      </c>
      <c r="D25" s="342">
        <f>IF(Select2=1,Paper!$K27,"")</f>
        <v>0</v>
      </c>
      <c r="E25" s="338">
        <f>IF(Select2=1,Nappies!$K27,"")</f>
        <v>0</v>
      </c>
      <c r="F25" s="342">
        <f>IF(Select2=1,Garden!$K27,"")</f>
        <v>0</v>
      </c>
      <c r="G25" s="338">
        <f>IF(Select2=1,Wood!$K27,"")</f>
        <v>0</v>
      </c>
      <c r="H25" s="342">
        <f>IF(Select2=1,Textiles!$K27,"")</f>
        <v>0</v>
      </c>
      <c r="I25" s="343">
        <f>Sludge!K27</f>
        <v>0</v>
      </c>
      <c r="J25" s="343" t="str">
        <f>IF(Select2=2,MSW!$K27,"")</f>
        <v/>
      </c>
      <c r="K25" s="343">
        <f>Industry!$K27</f>
        <v>0</v>
      </c>
      <c r="L25" s="379">
        <f t="shared" si="3"/>
        <v>0</v>
      </c>
      <c r="M25" s="344">
        <f>Recovery_OX!C20</f>
        <v>0</v>
      </c>
      <c r="N25" s="470"/>
      <c r="O25" s="746">
        <f>(L25-M25)*(1-Recovery_OX!F20)</f>
        <v>0</v>
      </c>
      <c r="P25" s="175"/>
      <c r="Q25" s="506"/>
      <c r="S25" s="357">
        <f t="shared" si="2"/>
        <v>2008</v>
      </c>
      <c r="T25" s="354">
        <f>IF(Select2=1,Food!$W27,"")</f>
        <v>0</v>
      </c>
      <c r="U25" s="342">
        <f>IF(Select2=1,Paper!$W27,"")</f>
        <v>0</v>
      </c>
      <c r="V25" s="338">
        <f>IF(Select2=1,Nappies!$W27,"")</f>
        <v>0</v>
      </c>
      <c r="W25" s="342">
        <f>IF(Select2=1,Garden!$W27,"")</f>
        <v>0</v>
      </c>
      <c r="X25" s="338">
        <f>IF(Select2=1,Wood!$W27,"")</f>
        <v>0</v>
      </c>
      <c r="Y25" s="342">
        <f>IF(Select2=1,Textiles!$W27,"")</f>
        <v>0</v>
      </c>
      <c r="Z25" s="340">
        <f>Sludge!W27</f>
        <v>0</v>
      </c>
      <c r="AA25" s="340" t="str">
        <f>IF(Select2=2,MSW!$W27,"")</f>
        <v/>
      </c>
      <c r="AB25" s="343">
        <f>Industry!$W27</f>
        <v>0</v>
      </c>
      <c r="AC25" s="379">
        <f t="shared" si="0"/>
        <v>0</v>
      </c>
      <c r="AD25" s="344">
        <f>Recovery_OX!R20</f>
        <v>0</v>
      </c>
      <c r="AE25" s="470"/>
      <c r="AF25" s="276">
        <f>(AC25-AD25)*(1-Recovery_OX!U20)</f>
        <v>0</v>
      </c>
    </row>
    <row r="26" spans="2:32">
      <c r="B26" s="357">
        <f t="shared" si="1"/>
        <v>2009</v>
      </c>
      <c r="C26" s="354">
        <f>IF(Select2=1,Food!$K28,"")</f>
        <v>0</v>
      </c>
      <c r="D26" s="342">
        <f>IF(Select2=1,Paper!$K28,"")</f>
        <v>0</v>
      </c>
      <c r="E26" s="338">
        <f>IF(Select2=1,Nappies!$K28,"")</f>
        <v>0</v>
      </c>
      <c r="F26" s="342">
        <f>IF(Select2=1,Garden!$K28,"")</f>
        <v>0</v>
      </c>
      <c r="G26" s="338">
        <f>IF(Select2=1,Wood!$K28,"")</f>
        <v>0</v>
      </c>
      <c r="H26" s="342">
        <f>IF(Select2=1,Textiles!$K28,"")</f>
        <v>0</v>
      </c>
      <c r="I26" s="343">
        <f>Sludge!K28</f>
        <v>0</v>
      </c>
      <c r="J26" s="343" t="str">
        <f>IF(Select2=2,MSW!$K28,"")</f>
        <v/>
      </c>
      <c r="K26" s="343">
        <f>Industry!$K28</f>
        <v>0</v>
      </c>
      <c r="L26" s="379">
        <f t="shared" si="3"/>
        <v>0</v>
      </c>
      <c r="M26" s="344">
        <f>Recovery_OX!C21</f>
        <v>0</v>
      </c>
      <c r="N26" s="470"/>
      <c r="O26" s="746">
        <f>(L26-M26)*(1-Recovery_OX!F21)</f>
        <v>0</v>
      </c>
      <c r="P26" s="175"/>
      <c r="Q26" s="506"/>
      <c r="S26" s="357">
        <f t="shared" si="2"/>
        <v>2009</v>
      </c>
      <c r="T26" s="354">
        <f>IF(Select2=1,Food!$W28,"")</f>
        <v>0</v>
      </c>
      <c r="U26" s="342">
        <f>IF(Select2=1,Paper!$W28,"")</f>
        <v>0</v>
      </c>
      <c r="V26" s="338">
        <f>IF(Select2=1,Nappies!$W28,"")</f>
        <v>0</v>
      </c>
      <c r="W26" s="342">
        <f>IF(Select2=1,Garden!$W28,"")</f>
        <v>0</v>
      </c>
      <c r="X26" s="338">
        <f>IF(Select2=1,Wood!$W28,"")</f>
        <v>0</v>
      </c>
      <c r="Y26" s="342">
        <f>IF(Select2=1,Textiles!$W28,"")</f>
        <v>0</v>
      </c>
      <c r="Z26" s="340">
        <f>Sludge!W28</f>
        <v>0</v>
      </c>
      <c r="AA26" s="340" t="str">
        <f>IF(Select2=2,MSW!$W28,"")</f>
        <v/>
      </c>
      <c r="AB26" s="343">
        <f>Industry!$W28</f>
        <v>0</v>
      </c>
      <c r="AC26" s="379">
        <f t="shared" si="0"/>
        <v>0</v>
      </c>
      <c r="AD26" s="344">
        <f>Recovery_OX!R21</f>
        <v>0</v>
      </c>
      <c r="AE26" s="470"/>
      <c r="AF26" s="276">
        <f>(AC26-AD26)*(1-Recovery_OX!U21)</f>
        <v>0</v>
      </c>
    </row>
    <row r="27" spans="2:32">
      <c r="B27" s="357">
        <f t="shared" si="1"/>
        <v>2010</v>
      </c>
      <c r="C27" s="354">
        <f>IF(Select2=1,Food!$K29,"")</f>
        <v>0</v>
      </c>
      <c r="D27" s="342">
        <f>IF(Select2=1,Paper!$K29,"")</f>
        <v>0</v>
      </c>
      <c r="E27" s="338">
        <f>IF(Select2=1,Nappies!$K29,"")</f>
        <v>0</v>
      </c>
      <c r="F27" s="342">
        <f>IF(Select2=1,Garden!$K29,"")</f>
        <v>0</v>
      </c>
      <c r="G27" s="338">
        <f>IF(Select2=1,Wood!$K29,"")</f>
        <v>0</v>
      </c>
      <c r="H27" s="342">
        <f>IF(Select2=1,Textiles!$K29,"")</f>
        <v>0</v>
      </c>
      <c r="I27" s="343">
        <f>Sludge!K29</f>
        <v>0</v>
      </c>
      <c r="J27" s="343" t="str">
        <f>IF(Select2=2,MSW!$K29,"")</f>
        <v/>
      </c>
      <c r="K27" s="343">
        <f>Industry!$K29</f>
        <v>0</v>
      </c>
      <c r="L27" s="379">
        <f t="shared" si="3"/>
        <v>0</v>
      </c>
      <c r="M27" s="344">
        <f>Recovery_OX!C22</f>
        <v>0</v>
      </c>
      <c r="N27" s="470"/>
      <c r="O27" s="746">
        <f>(L27-M27)*(1-Recovery_OX!F22)</f>
        <v>0</v>
      </c>
      <c r="P27" s="175"/>
      <c r="Q27" s="506"/>
      <c r="S27" s="357">
        <f t="shared" si="2"/>
        <v>2010</v>
      </c>
      <c r="T27" s="354">
        <f>IF(Select2=1,Food!$W29,"")</f>
        <v>0</v>
      </c>
      <c r="U27" s="342">
        <f>IF(Select2=1,Paper!$W29,"")</f>
        <v>0</v>
      </c>
      <c r="V27" s="338">
        <f>IF(Select2=1,Nappies!$W29,"")</f>
        <v>0</v>
      </c>
      <c r="W27" s="342">
        <f>IF(Select2=1,Garden!$W29,"")</f>
        <v>0</v>
      </c>
      <c r="X27" s="338">
        <f>IF(Select2=1,Wood!$W29,"")</f>
        <v>0</v>
      </c>
      <c r="Y27" s="342">
        <f>IF(Select2=1,Textiles!$W29,"")</f>
        <v>0</v>
      </c>
      <c r="Z27" s="340">
        <f>Sludge!W29</f>
        <v>0</v>
      </c>
      <c r="AA27" s="340" t="str">
        <f>IF(Select2=2,MSW!$W29,"")</f>
        <v/>
      </c>
      <c r="AB27" s="343">
        <f>Industry!$W29</f>
        <v>0</v>
      </c>
      <c r="AC27" s="379">
        <f t="shared" si="0"/>
        <v>0</v>
      </c>
      <c r="AD27" s="344">
        <f>Recovery_OX!R22</f>
        <v>0</v>
      </c>
      <c r="AE27" s="470"/>
      <c r="AF27" s="276">
        <f>(AC27-AD27)*(1-Recovery_OX!U22)</f>
        <v>0</v>
      </c>
    </row>
    <row r="28" spans="2:32">
      <c r="B28" s="357">
        <f t="shared" si="1"/>
        <v>2011</v>
      </c>
      <c r="C28" s="354">
        <f>IF(Select2=1,Food!$K30,"")</f>
        <v>0</v>
      </c>
      <c r="D28" s="342">
        <f>IF(Select2=1,Paper!$K30,"")</f>
        <v>0</v>
      </c>
      <c r="E28" s="338">
        <f>IF(Select2=1,Nappies!$K30,"")</f>
        <v>0</v>
      </c>
      <c r="F28" s="342">
        <f>IF(Select2=1,Garden!$K30,"")</f>
        <v>0</v>
      </c>
      <c r="G28" s="338">
        <f>IF(Select2=1,Wood!$K30,"")</f>
        <v>0</v>
      </c>
      <c r="H28" s="342">
        <f>IF(Select2=1,Textiles!$K30,"")</f>
        <v>0</v>
      </c>
      <c r="I28" s="343">
        <f>Sludge!K30</f>
        <v>0</v>
      </c>
      <c r="J28" s="343" t="str">
        <f>IF(Select2=2,MSW!$K30,"")</f>
        <v/>
      </c>
      <c r="K28" s="343">
        <f>Industry!$K30</f>
        <v>0</v>
      </c>
      <c r="L28" s="379">
        <f t="shared" si="3"/>
        <v>0</v>
      </c>
      <c r="M28" s="344">
        <f>Recovery_OX!C23</f>
        <v>0</v>
      </c>
      <c r="N28" s="470"/>
      <c r="O28" s="746">
        <f>(L28-M28)*(1-Recovery_OX!F23)</f>
        <v>0</v>
      </c>
      <c r="P28" s="175"/>
      <c r="Q28" s="506"/>
      <c r="S28" s="357">
        <f t="shared" si="2"/>
        <v>2011</v>
      </c>
      <c r="T28" s="354">
        <f>IF(Select2=1,Food!$W30,"")</f>
        <v>0</v>
      </c>
      <c r="U28" s="342">
        <f>IF(Select2=1,Paper!$W30,"")</f>
        <v>0</v>
      </c>
      <c r="V28" s="338">
        <f>IF(Select2=1,Nappies!$W30,"")</f>
        <v>0</v>
      </c>
      <c r="W28" s="342">
        <f>IF(Select2=1,Garden!$W30,"")</f>
        <v>0</v>
      </c>
      <c r="X28" s="338">
        <f>IF(Select2=1,Wood!$W30,"")</f>
        <v>0</v>
      </c>
      <c r="Y28" s="342">
        <f>IF(Select2=1,Textiles!$W30,"")</f>
        <v>0</v>
      </c>
      <c r="Z28" s="340">
        <f>Sludge!W30</f>
        <v>0</v>
      </c>
      <c r="AA28" s="340" t="str">
        <f>IF(Select2=2,MSW!$W30,"")</f>
        <v/>
      </c>
      <c r="AB28" s="343">
        <f>Industry!$W30</f>
        <v>0</v>
      </c>
      <c r="AC28" s="379">
        <f t="shared" si="0"/>
        <v>0</v>
      </c>
      <c r="AD28" s="344">
        <f>Recovery_OX!R23</f>
        <v>0</v>
      </c>
      <c r="AE28" s="470"/>
      <c r="AF28" s="276">
        <f>(AC28-AD28)*(1-Recovery_OX!U23)</f>
        <v>0</v>
      </c>
    </row>
    <row r="29" spans="2:32">
      <c r="B29" s="357">
        <f t="shared" si="1"/>
        <v>2012</v>
      </c>
      <c r="C29" s="354">
        <f>IF(Select2=1,Food!$K31,"")</f>
        <v>0</v>
      </c>
      <c r="D29" s="342">
        <f>IF(Select2=1,Paper!$K31,"")</f>
        <v>0</v>
      </c>
      <c r="E29" s="338">
        <f>IF(Select2=1,Nappies!$K31,"")</f>
        <v>0</v>
      </c>
      <c r="F29" s="342">
        <f>IF(Select2=1,Garden!$K31,"")</f>
        <v>0</v>
      </c>
      <c r="G29" s="338">
        <f>IF(Select2=1,Wood!$K31,"")</f>
        <v>0</v>
      </c>
      <c r="H29" s="342">
        <f>IF(Select2=1,Textiles!$K31,"")</f>
        <v>0</v>
      </c>
      <c r="I29" s="343">
        <f>Sludge!K31</f>
        <v>0</v>
      </c>
      <c r="J29" s="343" t="str">
        <f>IF(Select2=2,MSW!$K31,"")</f>
        <v/>
      </c>
      <c r="K29" s="343">
        <f>Industry!$K31</f>
        <v>0</v>
      </c>
      <c r="L29" s="379">
        <f>SUM(C29:K29)</f>
        <v>0</v>
      </c>
      <c r="M29" s="344">
        <f>Recovery_OX!C24</f>
        <v>0</v>
      </c>
      <c r="N29" s="470"/>
      <c r="O29" s="746">
        <f>(L29-M29)*(1-Recovery_OX!F24)</f>
        <v>0</v>
      </c>
      <c r="P29" s="175"/>
      <c r="Q29" s="506"/>
      <c r="S29" s="357">
        <f t="shared" si="2"/>
        <v>2012</v>
      </c>
      <c r="T29" s="354">
        <f>IF(Select2=1,Food!$W31,"")</f>
        <v>0</v>
      </c>
      <c r="U29" s="342">
        <f>IF(Select2=1,Paper!$W31,"")</f>
        <v>0</v>
      </c>
      <c r="V29" s="338">
        <f>IF(Select2=1,Nappies!$W31,"")</f>
        <v>0</v>
      </c>
      <c r="W29" s="342">
        <f>IF(Select2=1,Garden!$W31,"")</f>
        <v>0</v>
      </c>
      <c r="X29" s="338">
        <f>IF(Select2=1,Wood!$W31,"")</f>
        <v>0</v>
      </c>
      <c r="Y29" s="342">
        <f>IF(Select2=1,Textiles!$W31,"")</f>
        <v>0</v>
      </c>
      <c r="Z29" s="340">
        <f>Sludge!W31</f>
        <v>0</v>
      </c>
      <c r="AA29" s="340" t="str">
        <f>IF(Select2=2,MSW!$W31,"")</f>
        <v/>
      </c>
      <c r="AB29" s="343">
        <f>Industry!$W31</f>
        <v>0</v>
      </c>
      <c r="AC29" s="379">
        <f t="shared" si="0"/>
        <v>0</v>
      </c>
      <c r="AD29" s="344">
        <f>Recovery_OX!R24</f>
        <v>0</v>
      </c>
      <c r="AE29" s="470"/>
      <c r="AF29" s="276">
        <f>(AC29-AD29)*(1-Recovery_OX!U24)</f>
        <v>0</v>
      </c>
    </row>
    <row r="30" spans="2:32">
      <c r="B30" s="357">
        <f t="shared" si="1"/>
        <v>2013</v>
      </c>
      <c r="C30" s="354">
        <f>IF(Select2=1,Food!$K32,"")</f>
        <v>0</v>
      </c>
      <c r="D30" s="342">
        <f>IF(Select2=1,Paper!$K32,"")</f>
        <v>0</v>
      </c>
      <c r="E30" s="338">
        <f>IF(Select2=1,Nappies!$K32,"")</f>
        <v>0</v>
      </c>
      <c r="F30" s="342">
        <f>IF(Select2=1,Garden!$K32,"")</f>
        <v>0</v>
      </c>
      <c r="G30" s="338">
        <f>IF(Select2=1,Wood!$K32,"")</f>
        <v>0</v>
      </c>
      <c r="H30" s="342">
        <f>IF(Select2=1,Textiles!$K32,"")</f>
        <v>0</v>
      </c>
      <c r="I30" s="343">
        <f>Sludge!K32</f>
        <v>0</v>
      </c>
      <c r="J30" s="343" t="str">
        <f>IF(Select2=2,MSW!$K32,"")</f>
        <v/>
      </c>
      <c r="K30" s="343">
        <f>Industry!$K32</f>
        <v>0</v>
      </c>
      <c r="L30" s="379">
        <f t="shared" si="3"/>
        <v>0</v>
      </c>
      <c r="M30" s="344">
        <f>Recovery_OX!C25</f>
        <v>0</v>
      </c>
      <c r="N30" s="470"/>
      <c r="O30" s="746">
        <f>(L30-M30)*(1-Recovery_OX!F25)</f>
        <v>0</v>
      </c>
      <c r="P30" s="175"/>
      <c r="Q30" s="506"/>
      <c r="S30" s="357">
        <f t="shared" si="2"/>
        <v>2013</v>
      </c>
      <c r="T30" s="354">
        <f>IF(Select2=1,Food!$W32,"")</f>
        <v>0</v>
      </c>
      <c r="U30" s="342">
        <f>IF(Select2=1,Paper!$W32,"")</f>
        <v>0</v>
      </c>
      <c r="V30" s="338">
        <f>IF(Select2=1,Nappies!$W32,"")</f>
        <v>0</v>
      </c>
      <c r="W30" s="342">
        <f>IF(Select2=1,Garden!$W32,"")</f>
        <v>0</v>
      </c>
      <c r="X30" s="338">
        <f>IF(Select2=1,Wood!$W32,"")</f>
        <v>0</v>
      </c>
      <c r="Y30" s="342">
        <f>IF(Select2=1,Textiles!$W32,"")</f>
        <v>0</v>
      </c>
      <c r="Z30" s="340">
        <f>Sludge!W32</f>
        <v>0</v>
      </c>
      <c r="AA30" s="340" t="str">
        <f>IF(Select2=2,MSW!$W32,"")</f>
        <v/>
      </c>
      <c r="AB30" s="343">
        <f>Industry!$W32</f>
        <v>0</v>
      </c>
      <c r="AC30" s="379">
        <f t="shared" si="0"/>
        <v>0</v>
      </c>
      <c r="AD30" s="344">
        <f>Recovery_OX!R25</f>
        <v>0</v>
      </c>
      <c r="AE30" s="470"/>
      <c r="AF30" s="276">
        <f>(AC30-AD30)*(1-Recovery_OX!U25)</f>
        <v>0</v>
      </c>
    </row>
    <row r="31" spans="2:32">
      <c r="B31" s="357">
        <f t="shared" si="1"/>
        <v>2014</v>
      </c>
      <c r="C31" s="354">
        <f>IF(Select2=1,Food!$K33,"")</f>
        <v>0</v>
      </c>
      <c r="D31" s="342">
        <f>IF(Select2=1,Paper!$K33,"")</f>
        <v>0</v>
      </c>
      <c r="E31" s="338">
        <f>IF(Select2=1,Nappies!$K33,"")</f>
        <v>0</v>
      </c>
      <c r="F31" s="342">
        <f>IF(Select2=1,Garden!$K33,"")</f>
        <v>0</v>
      </c>
      <c r="G31" s="338">
        <f>IF(Select2=1,Wood!$K33,"")</f>
        <v>0</v>
      </c>
      <c r="H31" s="342">
        <f>IF(Select2=1,Textiles!$K33,"")</f>
        <v>0</v>
      </c>
      <c r="I31" s="343">
        <f>Sludge!K33</f>
        <v>0</v>
      </c>
      <c r="J31" s="343" t="str">
        <f>IF(Select2=2,MSW!$K33,"")</f>
        <v/>
      </c>
      <c r="K31" s="343">
        <f>Industry!$K33</f>
        <v>0</v>
      </c>
      <c r="L31" s="379">
        <f t="shared" si="3"/>
        <v>0</v>
      </c>
      <c r="M31" s="344">
        <f>Recovery_OX!C26</f>
        <v>0</v>
      </c>
      <c r="N31" s="470"/>
      <c r="O31" s="746">
        <f>(L31-M31)*(1-Recovery_OX!F26)</f>
        <v>0</v>
      </c>
      <c r="P31" s="175"/>
      <c r="Q31" s="506"/>
      <c r="S31" s="357">
        <f t="shared" si="2"/>
        <v>2014</v>
      </c>
      <c r="T31" s="354">
        <f>IF(Select2=1,Food!$W33,"")</f>
        <v>0</v>
      </c>
      <c r="U31" s="342">
        <f>IF(Select2=1,Paper!$W33,"")</f>
        <v>0</v>
      </c>
      <c r="V31" s="338">
        <f>IF(Select2=1,Nappies!$W33,"")</f>
        <v>0</v>
      </c>
      <c r="W31" s="342">
        <f>IF(Select2=1,Garden!$W33,"")</f>
        <v>0</v>
      </c>
      <c r="X31" s="338">
        <f>IF(Select2=1,Wood!$W33,"")</f>
        <v>0</v>
      </c>
      <c r="Y31" s="342">
        <f>IF(Select2=1,Textiles!$W33,"")</f>
        <v>0</v>
      </c>
      <c r="Z31" s="340">
        <f>Sludge!W33</f>
        <v>0</v>
      </c>
      <c r="AA31" s="340" t="str">
        <f>IF(Select2=2,MSW!$W33,"")</f>
        <v/>
      </c>
      <c r="AB31" s="343">
        <f>Industry!$W33</f>
        <v>0</v>
      </c>
      <c r="AC31" s="379">
        <f t="shared" si="0"/>
        <v>0</v>
      </c>
      <c r="AD31" s="344">
        <f>Recovery_OX!R26</f>
        <v>0</v>
      </c>
      <c r="AE31" s="470"/>
      <c r="AF31" s="276">
        <f>(AC31-AD31)*(1-Recovery_OX!U26)</f>
        <v>0</v>
      </c>
    </row>
    <row r="32" spans="2:32">
      <c r="B32" s="357">
        <f t="shared" si="1"/>
        <v>2015</v>
      </c>
      <c r="C32" s="354">
        <f>IF(Select2=1,Food!$K34,"")</f>
        <v>0</v>
      </c>
      <c r="D32" s="342">
        <f>IF(Select2=1,Paper!$K34,"")</f>
        <v>0</v>
      </c>
      <c r="E32" s="338">
        <f>IF(Select2=1,Nappies!$K34,"")</f>
        <v>0</v>
      </c>
      <c r="F32" s="342">
        <f>IF(Select2=1,Garden!$K34,"")</f>
        <v>0</v>
      </c>
      <c r="G32" s="338">
        <f>IF(Select2=1,Wood!$K34,"")</f>
        <v>0</v>
      </c>
      <c r="H32" s="342">
        <f>IF(Select2=1,Textiles!$K34,"")</f>
        <v>0</v>
      </c>
      <c r="I32" s="343">
        <f>Sludge!K34</f>
        <v>0</v>
      </c>
      <c r="J32" s="343" t="str">
        <f>IF(Select2=2,MSW!$K34,"")</f>
        <v/>
      </c>
      <c r="K32" s="343">
        <f>Industry!$K34</f>
        <v>0</v>
      </c>
      <c r="L32" s="379">
        <f t="shared" si="3"/>
        <v>0</v>
      </c>
      <c r="M32" s="344">
        <f>Recovery_OX!C27</f>
        <v>0</v>
      </c>
      <c r="N32" s="470"/>
      <c r="O32" s="746">
        <f>(L32-M32)*(1-Recovery_OX!F27)</f>
        <v>0</v>
      </c>
      <c r="P32" s="175"/>
      <c r="Q32" s="506"/>
      <c r="S32" s="357">
        <f t="shared" si="2"/>
        <v>2015</v>
      </c>
      <c r="T32" s="354">
        <f>IF(Select2=1,Food!$W34,"")</f>
        <v>0</v>
      </c>
      <c r="U32" s="342">
        <f>IF(Select2=1,Paper!$W34,"")</f>
        <v>0</v>
      </c>
      <c r="V32" s="338">
        <f>IF(Select2=1,Nappies!$W34,"")</f>
        <v>0</v>
      </c>
      <c r="W32" s="342">
        <f>IF(Select2=1,Garden!$W34,"")</f>
        <v>0</v>
      </c>
      <c r="X32" s="338">
        <f>IF(Select2=1,Wood!$W34,"")</f>
        <v>0</v>
      </c>
      <c r="Y32" s="342">
        <f>IF(Select2=1,Textiles!$W34,"")</f>
        <v>0</v>
      </c>
      <c r="Z32" s="340">
        <f>Sludge!W34</f>
        <v>0</v>
      </c>
      <c r="AA32" s="340" t="str">
        <f>IF(Select2=2,MSW!$W34,"")</f>
        <v/>
      </c>
      <c r="AB32" s="343">
        <f>Industry!$W34</f>
        <v>0</v>
      </c>
      <c r="AC32" s="379">
        <f t="shared" si="0"/>
        <v>0</v>
      </c>
      <c r="AD32" s="344">
        <f>Recovery_OX!R27</f>
        <v>0</v>
      </c>
      <c r="AE32" s="470"/>
      <c r="AF32" s="276">
        <f>(AC32-AD32)*(1-Recovery_OX!U27)</f>
        <v>0</v>
      </c>
    </row>
    <row r="33" spans="2:32">
      <c r="B33" s="357">
        <f t="shared" si="1"/>
        <v>2016</v>
      </c>
      <c r="C33" s="354">
        <f>IF(Select2=1,Food!$K35,"")</f>
        <v>0</v>
      </c>
      <c r="D33" s="342">
        <f>IF(Select2=1,Paper!$K35,"")</f>
        <v>0</v>
      </c>
      <c r="E33" s="338">
        <f>IF(Select2=1,Nappies!$K35,"")</f>
        <v>0</v>
      </c>
      <c r="F33" s="342">
        <f>IF(Select2=1,Garden!$K35,"")</f>
        <v>0</v>
      </c>
      <c r="G33" s="338">
        <f>IF(Select2=1,Wood!$K35,"")</f>
        <v>0</v>
      </c>
      <c r="H33" s="342">
        <f>IF(Select2=1,Textiles!$K35,"")</f>
        <v>0</v>
      </c>
      <c r="I33" s="343">
        <f>Sludge!K35</f>
        <v>0</v>
      </c>
      <c r="J33" s="343" t="str">
        <f>IF(Select2=2,MSW!$K35,"")</f>
        <v/>
      </c>
      <c r="K33" s="343">
        <f>Industry!$K35</f>
        <v>0</v>
      </c>
      <c r="L33" s="379">
        <f t="shared" si="3"/>
        <v>0</v>
      </c>
      <c r="M33" s="344">
        <f>Recovery_OX!C28</f>
        <v>0</v>
      </c>
      <c r="N33" s="470"/>
      <c r="O33" s="746">
        <f>(L33-M33)*(1-Recovery_OX!F28)</f>
        <v>0</v>
      </c>
      <c r="P33" s="175"/>
      <c r="Q33" s="506"/>
      <c r="S33" s="357">
        <f t="shared" si="2"/>
        <v>2016</v>
      </c>
      <c r="T33" s="354">
        <f>IF(Select2=1,Food!$W35,"")</f>
        <v>0</v>
      </c>
      <c r="U33" s="342">
        <f>IF(Select2=1,Paper!$W35,"")</f>
        <v>0</v>
      </c>
      <c r="V33" s="338">
        <f>IF(Select2=1,Nappies!$W35,"")</f>
        <v>0</v>
      </c>
      <c r="W33" s="342">
        <f>IF(Select2=1,Garden!$W35,"")</f>
        <v>0</v>
      </c>
      <c r="X33" s="338">
        <f>IF(Select2=1,Wood!$W35,"")</f>
        <v>0</v>
      </c>
      <c r="Y33" s="342">
        <f>IF(Select2=1,Textiles!$W35,"")</f>
        <v>0</v>
      </c>
      <c r="Z33" s="340">
        <f>Sludge!W35</f>
        <v>0</v>
      </c>
      <c r="AA33" s="340" t="str">
        <f>IF(Select2=2,MSW!$W35,"")</f>
        <v/>
      </c>
      <c r="AB33" s="343">
        <f>Industry!$W35</f>
        <v>0</v>
      </c>
      <c r="AC33" s="379">
        <f t="shared" si="0"/>
        <v>0</v>
      </c>
      <c r="AD33" s="344">
        <f>Recovery_OX!R28</f>
        <v>0</v>
      </c>
      <c r="AE33" s="470"/>
      <c r="AF33" s="276">
        <f>(AC33-AD33)*(1-Recovery_OX!U28)</f>
        <v>0</v>
      </c>
    </row>
    <row r="34" spans="2:32">
      <c r="B34" s="357">
        <f t="shared" si="1"/>
        <v>2017</v>
      </c>
      <c r="C34" s="354">
        <f>IF(Select2=1,Food!$K36,"")</f>
        <v>0</v>
      </c>
      <c r="D34" s="342">
        <f>IF(Select2=1,Paper!$K36,"")</f>
        <v>0</v>
      </c>
      <c r="E34" s="338">
        <f>IF(Select2=1,Nappies!$K36,"")</f>
        <v>0</v>
      </c>
      <c r="F34" s="342">
        <f>IF(Select2=1,Garden!$K36,"")</f>
        <v>0</v>
      </c>
      <c r="G34" s="338">
        <f>IF(Select2=1,Wood!$K36,"")</f>
        <v>0</v>
      </c>
      <c r="H34" s="342">
        <f>IF(Select2=1,Textiles!$K36,"")</f>
        <v>0</v>
      </c>
      <c r="I34" s="343">
        <f>Sludge!K36</f>
        <v>0</v>
      </c>
      <c r="J34" s="343" t="str">
        <f>IF(Select2=2,MSW!$K36,"")</f>
        <v/>
      </c>
      <c r="K34" s="343">
        <f>Industry!$K36</f>
        <v>0</v>
      </c>
      <c r="L34" s="379">
        <f t="shared" si="3"/>
        <v>0</v>
      </c>
      <c r="M34" s="344">
        <f>Recovery_OX!C29</f>
        <v>0</v>
      </c>
      <c r="N34" s="470"/>
      <c r="O34" s="746">
        <f>(L34-M34)*(1-Recovery_OX!F29)</f>
        <v>0</v>
      </c>
      <c r="P34" s="175"/>
      <c r="Q34" s="506"/>
      <c r="S34" s="357">
        <f t="shared" si="2"/>
        <v>2017</v>
      </c>
      <c r="T34" s="354">
        <f>IF(Select2=1,Food!$W36,"")</f>
        <v>0</v>
      </c>
      <c r="U34" s="342">
        <f>IF(Select2=1,Paper!$W36,"")</f>
        <v>0</v>
      </c>
      <c r="V34" s="338">
        <f>IF(Select2=1,Nappies!$W36,"")</f>
        <v>0</v>
      </c>
      <c r="W34" s="342">
        <f>IF(Select2=1,Garden!$W36,"")</f>
        <v>0</v>
      </c>
      <c r="X34" s="338">
        <f>IF(Select2=1,Wood!$W36,"")</f>
        <v>0</v>
      </c>
      <c r="Y34" s="342">
        <f>IF(Select2=1,Textiles!$W36,"")</f>
        <v>0</v>
      </c>
      <c r="Z34" s="340">
        <f>Sludge!W36</f>
        <v>0</v>
      </c>
      <c r="AA34" s="340" t="str">
        <f>IF(Select2=2,MSW!$W36,"")</f>
        <v/>
      </c>
      <c r="AB34" s="343">
        <f>Industry!$W36</f>
        <v>0</v>
      </c>
      <c r="AC34" s="379">
        <f t="shared" si="0"/>
        <v>0</v>
      </c>
      <c r="AD34" s="344">
        <f>Recovery_OX!R29</f>
        <v>0</v>
      </c>
      <c r="AE34" s="470"/>
      <c r="AF34" s="276">
        <f>(AC34-AD34)*(1-Recovery_OX!U29)</f>
        <v>0</v>
      </c>
    </row>
    <row r="35" spans="2:32">
      <c r="B35" s="357">
        <f t="shared" si="1"/>
        <v>2018</v>
      </c>
      <c r="C35" s="354">
        <f>IF(Select2=1,Food!$K37,"")</f>
        <v>0</v>
      </c>
      <c r="D35" s="342">
        <f>IF(Select2=1,Paper!$K37,"")</f>
        <v>0</v>
      </c>
      <c r="E35" s="338">
        <f>IF(Select2=1,Nappies!$K37,"")</f>
        <v>0</v>
      </c>
      <c r="F35" s="342">
        <f>IF(Select2=1,Garden!$K37,"")</f>
        <v>0</v>
      </c>
      <c r="G35" s="338">
        <f>IF(Select2=1,Wood!$K37,"")</f>
        <v>0</v>
      </c>
      <c r="H35" s="342">
        <f>IF(Select2=1,Textiles!$K37,"")</f>
        <v>0</v>
      </c>
      <c r="I35" s="343">
        <f>Sludge!K37</f>
        <v>0</v>
      </c>
      <c r="J35" s="343" t="str">
        <f>IF(Select2=2,MSW!$K37,"")</f>
        <v/>
      </c>
      <c r="K35" s="343">
        <f>Industry!$K37</f>
        <v>0</v>
      </c>
      <c r="L35" s="379">
        <f t="shared" si="3"/>
        <v>0</v>
      </c>
      <c r="M35" s="344">
        <f>Recovery_OX!C30</f>
        <v>0</v>
      </c>
      <c r="N35" s="470"/>
      <c r="O35" s="746">
        <f>(L35-M35)*(1-Recovery_OX!F30)</f>
        <v>0</v>
      </c>
      <c r="P35" s="175"/>
      <c r="Q35" s="506"/>
      <c r="S35" s="357">
        <f t="shared" si="2"/>
        <v>2018</v>
      </c>
      <c r="T35" s="354">
        <f>IF(Select2=1,Food!$W37,"")</f>
        <v>0</v>
      </c>
      <c r="U35" s="342">
        <f>IF(Select2=1,Paper!$W37,"")</f>
        <v>0</v>
      </c>
      <c r="V35" s="338">
        <f>IF(Select2=1,Nappies!$W37,"")</f>
        <v>0</v>
      </c>
      <c r="W35" s="342">
        <f>IF(Select2=1,Garden!$W37,"")</f>
        <v>0</v>
      </c>
      <c r="X35" s="338">
        <f>IF(Select2=1,Wood!$W37,"")</f>
        <v>0</v>
      </c>
      <c r="Y35" s="342">
        <f>IF(Select2=1,Textiles!$W37,"")</f>
        <v>0</v>
      </c>
      <c r="Z35" s="340">
        <f>Sludge!W37</f>
        <v>0</v>
      </c>
      <c r="AA35" s="340" t="str">
        <f>IF(Select2=2,MSW!$W37,"")</f>
        <v/>
      </c>
      <c r="AB35" s="343">
        <f>Industry!$W37</f>
        <v>0</v>
      </c>
      <c r="AC35" s="379">
        <f t="shared" si="0"/>
        <v>0</v>
      </c>
      <c r="AD35" s="344">
        <f>Recovery_OX!R30</f>
        <v>0</v>
      </c>
      <c r="AE35" s="470"/>
      <c r="AF35" s="276">
        <f>(AC35-AD35)*(1-Recovery_OX!U30)</f>
        <v>0</v>
      </c>
    </row>
    <row r="36" spans="2:32">
      <c r="B36" s="357">
        <f t="shared" si="1"/>
        <v>2019</v>
      </c>
      <c r="C36" s="354">
        <f>IF(Select2=1,Food!$K38,"")</f>
        <v>0</v>
      </c>
      <c r="D36" s="342">
        <f>IF(Select2=1,Paper!$K38,"")</f>
        <v>0</v>
      </c>
      <c r="E36" s="338">
        <f>IF(Select2=1,Nappies!$K38,"")</f>
        <v>0</v>
      </c>
      <c r="F36" s="342">
        <f>IF(Select2=1,Garden!$K38,"")</f>
        <v>0</v>
      </c>
      <c r="G36" s="338">
        <f>IF(Select2=1,Wood!$K38,"")</f>
        <v>0</v>
      </c>
      <c r="H36" s="342">
        <f>IF(Select2=1,Textiles!$K38,"")</f>
        <v>0</v>
      </c>
      <c r="I36" s="343">
        <f>Sludge!K38</f>
        <v>0</v>
      </c>
      <c r="J36" s="343" t="str">
        <f>IF(Select2=2,MSW!$K38,"")</f>
        <v/>
      </c>
      <c r="K36" s="343">
        <f>Industry!$K38</f>
        <v>0</v>
      </c>
      <c r="L36" s="379">
        <f t="shared" si="3"/>
        <v>0</v>
      </c>
      <c r="M36" s="344">
        <f>Recovery_OX!C31</f>
        <v>0</v>
      </c>
      <c r="N36" s="470"/>
      <c r="O36" s="746">
        <f>(L36-M36)*(1-Recovery_OX!F31)</f>
        <v>0</v>
      </c>
      <c r="P36" s="175"/>
      <c r="Q36" s="506"/>
      <c r="S36" s="357">
        <f t="shared" si="2"/>
        <v>2019</v>
      </c>
      <c r="T36" s="354">
        <f>IF(Select2=1,Food!$W38,"")</f>
        <v>0</v>
      </c>
      <c r="U36" s="342">
        <f>IF(Select2=1,Paper!$W38,"")</f>
        <v>0</v>
      </c>
      <c r="V36" s="338">
        <f>IF(Select2=1,Nappies!$W38,"")</f>
        <v>0</v>
      </c>
      <c r="W36" s="342">
        <f>IF(Select2=1,Garden!$W38,"")</f>
        <v>0</v>
      </c>
      <c r="X36" s="338">
        <f>IF(Select2=1,Wood!$W38,"")</f>
        <v>0</v>
      </c>
      <c r="Y36" s="342">
        <f>IF(Select2=1,Textiles!$W38,"")</f>
        <v>0</v>
      </c>
      <c r="Z36" s="340">
        <f>Sludge!W38</f>
        <v>0</v>
      </c>
      <c r="AA36" s="340" t="str">
        <f>IF(Select2=2,MSW!$W38,"")</f>
        <v/>
      </c>
      <c r="AB36" s="343">
        <f>Industry!$W38</f>
        <v>0</v>
      </c>
      <c r="AC36" s="379">
        <f t="shared" si="0"/>
        <v>0</v>
      </c>
      <c r="AD36" s="344">
        <f>Recovery_OX!R31</f>
        <v>0</v>
      </c>
      <c r="AE36" s="470"/>
      <c r="AF36" s="276">
        <f>(AC36-AD36)*(1-Recovery_OX!U31)</f>
        <v>0</v>
      </c>
    </row>
    <row r="37" spans="2:32">
      <c r="B37" s="357">
        <f t="shared" si="1"/>
        <v>2020</v>
      </c>
      <c r="C37" s="354">
        <f>IF(Select2=1,Food!$K39,"")</f>
        <v>0</v>
      </c>
      <c r="D37" s="342">
        <f>IF(Select2=1,Paper!$K39,"")</f>
        <v>0</v>
      </c>
      <c r="E37" s="338">
        <f>IF(Select2=1,Nappies!$K39,"")</f>
        <v>0</v>
      </c>
      <c r="F37" s="342">
        <f>IF(Select2=1,Garden!$K39,"")</f>
        <v>0</v>
      </c>
      <c r="G37" s="338">
        <f>IF(Select2=1,Wood!$K39,"")</f>
        <v>0</v>
      </c>
      <c r="H37" s="342">
        <f>IF(Select2=1,Textiles!$K39,"")</f>
        <v>0</v>
      </c>
      <c r="I37" s="343">
        <f>Sludge!K39</f>
        <v>0</v>
      </c>
      <c r="J37" s="343" t="str">
        <f>IF(Select2=2,MSW!$K39,"")</f>
        <v/>
      </c>
      <c r="K37" s="343">
        <f>Industry!$K39</f>
        <v>0</v>
      </c>
      <c r="L37" s="379">
        <f t="shared" si="3"/>
        <v>0</v>
      </c>
      <c r="M37" s="344">
        <f>Recovery_OX!C32</f>
        <v>0</v>
      </c>
      <c r="N37" s="470"/>
      <c r="O37" s="746">
        <f>(L37-M37)*(1-Recovery_OX!F32)</f>
        <v>0</v>
      </c>
      <c r="P37" s="175"/>
      <c r="Q37" s="506"/>
      <c r="S37" s="357">
        <f t="shared" si="2"/>
        <v>2020</v>
      </c>
      <c r="T37" s="354">
        <f>IF(Select2=1,Food!$W39,"")</f>
        <v>0</v>
      </c>
      <c r="U37" s="342">
        <f>IF(Select2=1,Paper!$W39,"")</f>
        <v>0</v>
      </c>
      <c r="V37" s="338">
        <f>IF(Select2=1,Nappies!$W39,"")</f>
        <v>0</v>
      </c>
      <c r="W37" s="342">
        <f>IF(Select2=1,Garden!$W39,"")</f>
        <v>0</v>
      </c>
      <c r="X37" s="338">
        <f>IF(Select2=1,Wood!$W39,"")</f>
        <v>0</v>
      </c>
      <c r="Y37" s="342">
        <f>IF(Select2=1,Textiles!$W39,"")</f>
        <v>0</v>
      </c>
      <c r="Z37" s="340">
        <f>Sludge!W39</f>
        <v>0</v>
      </c>
      <c r="AA37" s="340" t="str">
        <f>IF(Select2=2,MSW!$W39,"")</f>
        <v/>
      </c>
      <c r="AB37" s="343">
        <f>Industry!$W39</f>
        <v>0</v>
      </c>
      <c r="AC37" s="379">
        <f t="shared" si="0"/>
        <v>0</v>
      </c>
      <c r="AD37" s="344">
        <f>Recovery_OX!R32</f>
        <v>0</v>
      </c>
      <c r="AE37" s="470"/>
      <c r="AF37" s="276">
        <f>(AC37-AD37)*(1-Recovery_OX!U32)</f>
        <v>0</v>
      </c>
    </row>
    <row r="38" spans="2:32">
      <c r="B38" s="357">
        <f t="shared" si="1"/>
        <v>2021</v>
      </c>
      <c r="C38" s="354">
        <f>IF(Select2=1,Food!$K40,"")</f>
        <v>0</v>
      </c>
      <c r="D38" s="342">
        <f>IF(Select2=1,Paper!$K40,"")</f>
        <v>0</v>
      </c>
      <c r="E38" s="338">
        <f>IF(Select2=1,Nappies!$K40,"")</f>
        <v>0</v>
      </c>
      <c r="F38" s="342">
        <f>IF(Select2=1,Garden!$K40,"")</f>
        <v>0</v>
      </c>
      <c r="G38" s="338">
        <f>IF(Select2=1,Wood!$K40,"")</f>
        <v>0</v>
      </c>
      <c r="H38" s="342">
        <f>IF(Select2=1,Textiles!$K40,"")</f>
        <v>0</v>
      </c>
      <c r="I38" s="343">
        <f>Sludge!K40</f>
        <v>0</v>
      </c>
      <c r="J38" s="343" t="str">
        <f>IF(Select2=2,MSW!$K40,"")</f>
        <v/>
      </c>
      <c r="K38" s="343">
        <f>Industry!$K40</f>
        <v>0</v>
      </c>
      <c r="L38" s="379">
        <f t="shared" si="3"/>
        <v>0</v>
      </c>
      <c r="M38" s="344">
        <f>Recovery_OX!C33</f>
        <v>0</v>
      </c>
      <c r="N38" s="470"/>
      <c r="O38" s="746">
        <f>(L38-M38)*(1-Recovery_OX!F33)</f>
        <v>0</v>
      </c>
      <c r="P38" s="175"/>
      <c r="Q38" s="506"/>
      <c r="S38" s="357">
        <f t="shared" si="2"/>
        <v>2021</v>
      </c>
      <c r="T38" s="354">
        <f>IF(Select2=1,Food!$W40,"")</f>
        <v>0</v>
      </c>
      <c r="U38" s="342">
        <f>IF(Select2=1,Paper!$W40,"")</f>
        <v>0</v>
      </c>
      <c r="V38" s="338">
        <f>IF(Select2=1,Nappies!$W40,"")</f>
        <v>0</v>
      </c>
      <c r="W38" s="342">
        <f>IF(Select2=1,Garden!$W40,"")</f>
        <v>0</v>
      </c>
      <c r="X38" s="338">
        <f>IF(Select2=1,Wood!$W40,"")</f>
        <v>0</v>
      </c>
      <c r="Y38" s="342">
        <f>IF(Select2=1,Textiles!$W40,"")</f>
        <v>0</v>
      </c>
      <c r="Z38" s="340">
        <f>Sludge!W40</f>
        <v>0</v>
      </c>
      <c r="AA38" s="340" t="str">
        <f>IF(Select2=2,MSW!$W40,"")</f>
        <v/>
      </c>
      <c r="AB38" s="343">
        <f>Industry!$W40</f>
        <v>0</v>
      </c>
      <c r="AC38" s="379">
        <f t="shared" si="0"/>
        <v>0</v>
      </c>
      <c r="AD38" s="344">
        <f>Recovery_OX!R33</f>
        <v>0</v>
      </c>
      <c r="AE38" s="470"/>
      <c r="AF38" s="276">
        <f>(AC38-AD38)*(1-Recovery_OX!U33)</f>
        <v>0</v>
      </c>
    </row>
    <row r="39" spans="2:32">
      <c r="B39" s="357">
        <f t="shared" si="1"/>
        <v>2022</v>
      </c>
      <c r="C39" s="354">
        <f>IF(Select2=1,Food!$K41,"")</f>
        <v>0</v>
      </c>
      <c r="D39" s="342">
        <f>IF(Select2=1,Paper!$K41,"")</f>
        <v>0</v>
      </c>
      <c r="E39" s="338">
        <f>IF(Select2=1,Nappies!$K41,"")</f>
        <v>0</v>
      </c>
      <c r="F39" s="342">
        <f>IF(Select2=1,Garden!$K41,"")</f>
        <v>0</v>
      </c>
      <c r="G39" s="338">
        <f>IF(Select2=1,Wood!$K41,"")</f>
        <v>0</v>
      </c>
      <c r="H39" s="342">
        <f>IF(Select2=1,Textiles!$K41,"")</f>
        <v>0</v>
      </c>
      <c r="I39" s="343">
        <f>Sludge!K41</f>
        <v>0</v>
      </c>
      <c r="J39" s="343" t="str">
        <f>IF(Select2=2,MSW!$K41,"")</f>
        <v/>
      </c>
      <c r="K39" s="343">
        <f>Industry!$K41</f>
        <v>0</v>
      </c>
      <c r="L39" s="379">
        <f t="shared" si="3"/>
        <v>0</v>
      </c>
      <c r="M39" s="344">
        <f>Recovery_OX!C34</f>
        <v>0</v>
      </c>
      <c r="N39" s="470"/>
      <c r="O39" s="746">
        <f>(L39-M39)*(1-Recovery_OX!F34)</f>
        <v>0</v>
      </c>
      <c r="P39" s="175"/>
      <c r="Q39" s="506"/>
      <c r="S39" s="357">
        <f t="shared" si="2"/>
        <v>2022</v>
      </c>
      <c r="T39" s="354">
        <f>IF(Select2=1,Food!$W41,"")</f>
        <v>0</v>
      </c>
      <c r="U39" s="342">
        <f>IF(Select2=1,Paper!$W41,"")</f>
        <v>0</v>
      </c>
      <c r="V39" s="338">
        <f>IF(Select2=1,Nappies!$W41,"")</f>
        <v>0</v>
      </c>
      <c r="W39" s="342">
        <f>IF(Select2=1,Garden!$W41,"")</f>
        <v>0</v>
      </c>
      <c r="X39" s="338">
        <f>IF(Select2=1,Wood!$W41,"")</f>
        <v>0</v>
      </c>
      <c r="Y39" s="342">
        <f>IF(Select2=1,Textiles!$W41,"")</f>
        <v>0</v>
      </c>
      <c r="Z39" s="340">
        <f>Sludge!W41</f>
        <v>0</v>
      </c>
      <c r="AA39" s="340" t="str">
        <f>IF(Select2=2,MSW!$W41,"")</f>
        <v/>
      </c>
      <c r="AB39" s="343">
        <f>Industry!$W41</f>
        <v>0</v>
      </c>
      <c r="AC39" s="379">
        <f t="shared" si="0"/>
        <v>0</v>
      </c>
      <c r="AD39" s="344">
        <f>Recovery_OX!R34</f>
        <v>0</v>
      </c>
      <c r="AE39" s="470"/>
      <c r="AF39" s="276">
        <f>(AC39-AD39)*(1-Recovery_OX!U34)</f>
        <v>0</v>
      </c>
    </row>
    <row r="40" spans="2:32">
      <c r="B40" s="357">
        <f t="shared" si="1"/>
        <v>2023</v>
      </c>
      <c r="C40" s="354">
        <f>IF(Select2=1,Food!$K42,"")</f>
        <v>0</v>
      </c>
      <c r="D40" s="342">
        <f>IF(Select2=1,Paper!$K42,"")</f>
        <v>0</v>
      </c>
      <c r="E40" s="338">
        <f>IF(Select2=1,Nappies!$K42,"")</f>
        <v>0</v>
      </c>
      <c r="F40" s="342">
        <f>IF(Select2=1,Garden!$K42,"")</f>
        <v>0</v>
      </c>
      <c r="G40" s="338">
        <f>IF(Select2=1,Wood!$K42,"")</f>
        <v>0</v>
      </c>
      <c r="H40" s="342">
        <f>IF(Select2=1,Textiles!$K42,"")</f>
        <v>0</v>
      </c>
      <c r="I40" s="343">
        <f>Sludge!K42</f>
        <v>0</v>
      </c>
      <c r="J40" s="343" t="str">
        <f>IF(Select2=2,MSW!$K42,"")</f>
        <v/>
      </c>
      <c r="K40" s="343">
        <f>Industry!$K42</f>
        <v>0</v>
      </c>
      <c r="L40" s="379">
        <f t="shared" si="3"/>
        <v>0</v>
      </c>
      <c r="M40" s="344">
        <f>Recovery_OX!C35</f>
        <v>0</v>
      </c>
      <c r="N40" s="470"/>
      <c r="O40" s="746">
        <f>(L40-M40)*(1-Recovery_OX!F35)</f>
        <v>0</v>
      </c>
      <c r="P40" s="175"/>
      <c r="Q40" s="506"/>
      <c r="S40" s="357">
        <f t="shared" si="2"/>
        <v>2023</v>
      </c>
      <c r="T40" s="354">
        <f>IF(Select2=1,Food!$W42,"")</f>
        <v>0</v>
      </c>
      <c r="U40" s="342">
        <f>IF(Select2=1,Paper!$W42,"")</f>
        <v>0</v>
      </c>
      <c r="V40" s="338">
        <f>IF(Select2=1,Nappies!$W42,"")</f>
        <v>0</v>
      </c>
      <c r="W40" s="342">
        <f>IF(Select2=1,Garden!$W42,"")</f>
        <v>0</v>
      </c>
      <c r="X40" s="338">
        <f>IF(Select2=1,Wood!$W42,"")</f>
        <v>0</v>
      </c>
      <c r="Y40" s="342">
        <f>IF(Select2=1,Textiles!$W42,"")</f>
        <v>0</v>
      </c>
      <c r="Z40" s="340">
        <f>Sludge!W42</f>
        <v>0</v>
      </c>
      <c r="AA40" s="340" t="str">
        <f>IF(Select2=2,MSW!$W42,"")</f>
        <v/>
      </c>
      <c r="AB40" s="343">
        <f>Industry!$W42</f>
        <v>0</v>
      </c>
      <c r="AC40" s="379">
        <f t="shared" si="0"/>
        <v>0</v>
      </c>
      <c r="AD40" s="344">
        <f>Recovery_OX!R35</f>
        <v>0</v>
      </c>
      <c r="AE40" s="470"/>
      <c r="AF40" s="276">
        <f>(AC40-AD40)*(1-Recovery_OX!U35)</f>
        <v>0</v>
      </c>
    </row>
    <row r="41" spans="2:32">
      <c r="B41" s="357">
        <f t="shared" si="1"/>
        <v>2024</v>
      </c>
      <c r="C41" s="354">
        <f>IF(Select2=1,Food!$K43,"")</f>
        <v>0</v>
      </c>
      <c r="D41" s="342">
        <f>IF(Select2=1,Paper!$K43,"")</f>
        <v>0</v>
      </c>
      <c r="E41" s="338">
        <f>IF(Select2=1,Nappies!$K43,"")</f>
        <v>0</v>
      </c>
      <c r="F41" s="342">
        <f>IF(Select2=1,Garden!$K43,"")</f>
        <v>0</v>
      </c>
      <c r="G41" s="338">
        <f>IF(Select2=1,Wood!$K43,"")</f>
        <v>0</v>
      </c>
      <c r="H41" s="342">
        <f>IF(Select2=1,Textiles!$K43,"")</f>
        <v>0</v>
      </c>
      <c r="I41" s="343">
        <f>Sludge!K43</f>
        <v>0</v>
      </c>
      <c r="J41" s="343" t="str">
        <f>IF(Select2=2,MSW!$K43,"")</f>
        <v/>
      </c>
      <c r="K41" s="343">
        <f>Industry!$K43</f>
        <v>0</v>
      </c>
      <c r="L41" s="379">
        <f t="shared" si="3"/>
        <v>0</v>
      </c>
      <c r="M41" s="344">
        <f>Recovery_OX!C36</f>
        <v>0</v>
      </c>
      <c r="N41" s="470"/>
      <c r="O41" s="746">
        <f>(L41-M41)*(1-Recovery_OX!F36)</f>
        <v>0</v>
      </c>
      <c r="P41" s="175"/>
      <c r="Q41" s="506"/>
      <c r="S41" s="357">
        <f t="shared" si="2"/>
        <v>2024</v>
      </c>
      <c r="T41" s="354">
        <f>IF(Select2=1,Food!$W43,"")</f>
        <v>0</v>
      </c>
      <c r="U41" s="342">
        <f>IF(Select2=1,Paper!$W43,"")</f>
        <v>0</v>
      </c>
      <c r="V41" s="338">
        <f>IF(Select2=1,Nappies!$W43,"")</f>
        <v>0</v>
      </c>
      <c r="W41" s="342">
        <f>IF(Select2=1,Garden!$W43,"")</f>
        <v>0</v>
      </c>
      <c r="X41" s="338">
        <f>IF(Select2=1,Wood!$W43,"")</f>
        <v>0</v>
      </c>
      <c r="Y41" s="342">
        <f>IF(Select2=1,Textiles!$W43,"")</f>
        <v>0</v>
      </c>
      <c r="Z41" s="340">
        <f>Sludge!W43</f>
        <v>0</v>
      </c>
      <c r="AA41" s="340" t="str">
        <f>IF(Select2=2,MSW!$W43,"")</f>
        <v/>
      </c>
      <c r="AB41" s="343">
        <f>Industry!$W43</f>
        <v>0</v>
      </c>
      <c r="AC41" s="379">
        <f t="shared" si="0"/>
        <v>0</v>
      </c>
      <c r="AD41" s="344">
        <f>Recovery_OX!R36</f>
        <v>0</v>
      </c>
      <c r="AE41" s="470"/>
      <c r="AF41" s="276">
        <f>(AC41-AD41)*(1-Recovery_OX!U36)</f>
        <v>0</v>
      </c>
    </row>
    <row r="42" spans="2:32">
      <c r="B42" s="357">
        <f t="shared" si="1"/>
        <v>2025</v>
      </c>
      <c r="C42" s="354">
        <f>IF(Select2=1,Food!$K44,"")</f>
        <v>0</v>
      </c>
      <c r="D42" s="342">
        <f>IF(Select2=1,Paper!$K44,"")</f>
        <v>0</v>
      </c>
      <c r="E42" s="338">
        <f>IF(Select2=1,Nappies!$K44,"")</f>
        <v>0</v>
      </c>
      <c r="F42" s="342">
        <f>IF(Select2=1,Garden!$K44,"")</f>
        <v>0</v>
      </c>
      <c r="G42" s="338">
        <f>IF(Select2=1,Wood!$K44,"")</f>
        <v>0</v>
      </c>
      <c r="H42" s="342">
        <f>IF(Select2=1,Textiles!$K44,"")</f>
        <v>0</v>
      </c>
      <c r="I42" s="343">
        <f>Sludge!K44</f>
        <v>0</v>
      </c>
      <c r="J42" s="343" t="str">
        <f>IF(Select2=2,MSW!$K44,"")</f>
        <v/>
      </c>
      <c r="K42" s="343">
        <f>Industry!$K44</f>
        <v>0</v>
      </c>
      <c r="L42" s="379">
        <f t="shared" si="3"/>
        <v>0</v>
      </c>
      <c r="M42" s="344">
        <f>Recovery_OX!C37</f>
        <v>0</v>
      </c>
      <c r="N42" s="470"/>
      <c r="O42" s="746">
        <f>(L42-M42)*(1-Recovery_OX!F37)</f>
        <v>0</v>
      </c>
      <c r="P42" s="175"/>
      <c r="Q42" s="506"/>
      <c r="S42" s="357">
        <f t="shared" si="2"/>
        <v>2025</v>
      </c>
      <c r="T42" s="354">
        <f>IF(Select2=1,Food!$W44,"")</f>
        <v>0</v>
      </c>
      <c r="U42" s="342">
        <f>IF(Select2=1,Paper!$W44,"")</f>
        <v>0</v>
      </c>
      <c r="V42" s="338">
        <f>IF(Select2=1,Nappies!$W44,"")</f>
        <v>0</v>
      </c>
      <c r="W42" s="342">
        <f>IF(Select2=1,Garden!$W44,"")</f>
        <v>0</v>
      </c>
      <c r="X42" s="338">
        <f>IF(Select2=1,Wood!$W44,"")</f>
        <v>0</v>
      </c>
      <c r="Y42" s="342">
        <f>IF(Select2=1,Textiles!$W44,"")</f>
        <v>0</v>
      </c>
      <c r="Z42" s="340">
        <f>Sludge!W44</f>
        <v>0</v>
      </c>
      <c r="AA42" s="340" t="str">
        <f>IF(Select2=2,MSW!$W44,"")</f>
        <v/>
      </c>
      <c r="AB42" s="343">
        <f>Industry!$W44</f>
        <v>0</v>
      </c>
      <c r="AC42" s="379">
        <f t="shared" si="0"/>
        <v>0</v>
      </c>
      <c r="AD42" s="344">
        <f>Recovery_OX!R37</f>
        <v>0</v>
      </c>
      <c r="AE42" s="470"/>
      <c r="AF42" s="276">
        <f>(AC42-AD42)*(1-Recovery_OX!U37)</f>
        <v>0</v>
      </c>
    </row>
    <row r="43" spans="2:32">
      <c r="B43" s="357">
        <f t="shared" si="1"/>
        <v>2026</v>
      </c>
      <c r="C43" s="354">
        <f>IF(Select2=1,Food!$K45,"")</f>
        <v>0</v>
      </c>
      <c r="D43" s="342">
        <f>IF(Select2=1,Paper!$K45,"")</f>
        <v>0</v>
      </c>
      <c r="E43" s="338">
        <f>IF(Select2=1,Nappies!$K45,"")</f>
        <v>0</v>
      </c>
      <c r="F43" s="342">
        <f>IF(Select2=1,Garden!$K45,"")</f>
        <v>0</v>
      </c>
      <c r="G43" s="338">
        <f>IF(Select2=1,Wood!$K45,"")</f>
        <v>0</v>
      </c>
      <c r="H43" s="342">
        <f>IF(Select2=1,Textiles!$K45,"")</f>
        <v>0</v>
      </c>
      <c r="I43" s="343">
        <f>Sludge!K45</f>
        <v>0</v>
      </c>
      <c r="J43" s="343" t="str">
        <f>IF(Select2=2,MSW!$K45,"")</f>
        <v/>
      </c>
      <c r="K43" s="343">
        <f>Industry!$K45</f>
        <v>0</v>
      </c>
      <c r="L43" s="379">
        <f t="shared" si="3"/>
        <v>0</v>
      </c>
      <c r="M43" s="344">
        <f>Recovery_OX!C38</f>
        <v>0</v>
      </c>
      <c r="N43" s="470"/>
      <c r="O43" s="746">
        <f>(L43-M43)*(1-Recovery_OX!F38)</f>
        <v>0</v>
      </c>
      <c r="P43" s="175"/>
      <c r="Q43" s="506"/>
      <c r="S43" s="357">
        <f t="shared" si="2"/>
        <v>2026</v>
      </c>
      <c r="T43" s="354">
        <f>IF(Select2=1,Food!$W45,"")</f>
        <v>0</v>
      </c>
      <c r="U43" s="342">
        <f>IF(Select2=1,Paper!$W45,"")</f>
        <v>0</v>
      </c>
      <c r="V43" s="338">
        <f>IF(Select2=1,Nappies!$W45,"")</f>
        <v>0</v>
      </c>
      <c r="W43" s="342">
        <f>IF(Select2=1,Garden!$W45,"")</f>
        <v>0</v>
      </c>
      <c r="X43" s="338">
        <f>IF(Select2=1,Wood!$W45,"")</f>
        <v>0</v>
      </c>
      <c r="Y43" s="342">
        <f>IF(Select2=1,Textiles!$W45,"")</f>
        <v>0</v>
      </c>
      <c r="Z43" s="340">
        <f>Sludge!W45</f>
        <v>0</v>
      </c>
      <c r="AA43" s="340" t="str">
        <f>IF(Select2=2,MSW!$W45,"")</f>
        <v/>
      </c>
      <c r="AB43" s="343">
        <f>Industry!$W45</f>
        <v>0</v>
      </c>
      <c r="AC43" s="379">
        <f t="shared" si="0"/>
        <v>0</v>
      </c>
      <c r="AD43" s="344">
        <f>Recovery_OX!R38</f>
        <v>0</v>
      </c>
      <c r="AE43" s="470"/>
      <c r="AF43" s="276">
        <f>(AC43-AD43)*(1-Recovery_OX!U38)</f>
        <v>0</v>
      </c>
    </row>
    <row r="44" spans="2:32">
      <c r="B44" s="357">
        <f t="shared" si="1"/>
        <v>2027</v>
      </c>
      <c r="C44" s="354">
        <f>IF(Select2=1,Food!$K46,"")</f>
        <v>0</v>
      </c>
      <c r="D44" s="342">
        <f>IF(Select2=1,Paper!$K46,"")</f>
        <v>0</v>
      </c>
      <c r="E44" s="338">
        <f>IF(Select2=1,Nappies!$K46,"")</f>
        <v>0</v>
      </c>
      <c r="F44" s="342">
        <f>IF(Select2=1,Garden!$K46,"")</f>
        <v>0</v>
      </c>
      <c r="G44" s="338">
        <f>IF(Select2=1,Wood!$K46,"")</f>
        <v>0</v>
      </c>
      <c r="H44" s="342">
        <f>IF(Select2=1,Textiles!$K46,"")</f>
        <v>0</v>
      </c>
      <c r="I44" s="343">
        <f>Sludge!K46</f>
        <v>0</v>
      </c>
      <c r="J44" s="343" t="str">
        <f>IF(Select2=2,MSW!$K46,"")</f>
        <v/>
      </c>
      <c r="K44" s="343">
        <f>Industry!$K46</f>
        <v>0</v>
      </c>
      <c r="L44" s="379">
        <f t="shared" si="3"/>
        <v>0</v>
      </c>
      <c r="M44" s="344">
        <f>Recovery_OX!C39</f>
        <v>0</v>
      </c>
      <c r="N44" s="470"/>
      <c r="O44" s="746">
        <f>(L44-M44)*(1-Recovery_OX!F39)</f>
        <v>0</v>
      </c>
      <c r="P44" s="175"/>
      <c r="Q44" s="506"/>
      <c r="S44" s="357">
        <f t="shared" si="2"/>
        <v>2027</v>
      </c>
      <c r="T44" s="354">
        <f>IF(Select2=1,Food!$W46,"")</f>
        <v>0</v>
      </c>
      <c r="U44" s="342">
        <f>IF(Select2=1,Paper!$W46,"")</f>
        <v>0</v>
      </c>
      <c r="V44" s="338">
        <f>IF(Select2=1,Nappies!$W46,"")</f>
        <v>0</v>
      </c>
      <c r="W44" s="342">
        <f>IF(Select2=1,Garden!$W46,"")</f>
        <v>0</v>
      </c>
      <c r="X44" s="338">
        <f>IF(Select2=1,Wood!$W46,"")</f>
        <v>0</v>
      </c>
      <c r="Y44" s="342">
        <f>IF(Select2=1,Textiles!$W46,"")</f>
        <v>0</v>
      </c>
      <c r="Z44" s="340">
        <f>Sludge!W46</f>
        <v>0</v>
      </c>
      <c r="AA44" s="340" t="str">
        <f>IF(Select2=2,MSW!$W46,"")</f>
        <v/>
      </c>
      <c r="AB44" s="343">
        <f>Industry!$W46</f>
        <v>0</v>
      </c>
      <c r="AC44" s="379">
        <f t="shared" si="0"/>
        <v>0</v>
      </c>
      <c r="AD44" s="344">
        <f>Recovery_OX!R39</f>
        <v>0</v>
      </c>
      <c r="AE44" s="470"/>
      <c r="AF44" s="276">
        <f>(AC44-AD44)*(1-Recovery_OX!U39)</f>
        <v>0</v>
      </c>
    </row>
    <row r="45" spans="2:32">
      <c r="B45" s="357">
        <f t="shared" si="1"/>
        <v>2028</v>
      </c>
      <c r="C45" s="354">
        <f>IF(Select2=1,Food!$K47,"")</f>
        <v>0</v>
      </c>
      <c r="D45" s="342">
        <f>IF(Select2=1,Paper!$K47,"")</f>
        <v>0</v>
      </c>
      <c r="E45" s="338">
        <f>IF(Select2=1,Nappies!$K47,"")</f>
        <v>0</v>
      </c>
      <c r="F45" s="342">
        <f>IF(Select2=1,Garden!$K47,"")</f>
        <v>0</v>
      </c>
      <c r="G45" s="338">
        <f>IF(Select2=1,Wood!$K47,"")</f>
        <v>0</v>
      </c>
      <c r="H45" s="342">
        <f>IF(Select2=1,Textiles!$K47,"")</f>
        <v>0</v>
      </c>
      <c r="I45" s="343">
        <f>Sludge!K47</f>
        <v>0</v>
      </c>
      <c r="J45" s="343" t="str">
        <f>IF(Select2=2,MSW!$K47,"")</f>
        <v/>
      </c>
      <c r="K45" s="343">
        <f>Industry!$K47</f>
        <v>0</v>
      </c>
      <c r="L45" s="379">
        <f t="shared" si="3"/>
        <v>0</v>
      </c>
      <c r="M45" s="344">
        <f>Recovery_OX!C40</f>
        <v>0</v>
      </c>
      <c r="N45" s="470"/>
      <c r="O45" s="746">
        <f>(L45-M45)*(1-Recovery_OX!F40)</f>
        <v>0</v>
      </c>
      <c r="P45" s="175"/>
      <c r="Q45" s="506"/>
      <c r="S45" s="357">
        <f t="shared" si="2"/>
        <v>2028</v>
      </c>
      <c r="T45" s="354">
        <f>IF(Select2=1,Food!$W47,"")</f>
        <v>0</v>
      </c>
      <c r="U45" s="342">
        <f>IF(Select2=1,Paper!$W47,"")</f>
        <v>0</v>
      </c>
      <c r="V45" s="338">
        <f>IF(Select2=1,Nappies!$W47,"")</f>
        <v>0</v>
      </c>
      <c r="W45" s="342">
        <f>IF(Select2=1,Garden!$W47,"")</f>
        <v>0</v>
      </c>
      <c r="X45" s="338">
        <f>IF(Select2=1,Wood!$W47,"")</f>
        <v>0</v>
      </c>
      <c r="Y45" s="342">
        <f>IF(Select2=1,Textiles!$W47,"")</f>
        <v>0</v>
      </c>
      <c r="Z45" s="340">
        <f>Sludge!W47</f>
        <v>0</v>
      </c>
      <c r="AA45" s="340" t="str">
        <f>IF(Select2=2,MSW!$W47,"")</f>
        <v/>
      </c>
      <c r="AB45" s="343">
        <f>Industry!$W47</f>
        <v>0</v>
      </c>
      <c r="AC45" s="379">
        <f t="shared" si="0"/>
        <v>0</v>
      </c>
      <c r="AD45" s="344">
        <f>Recovery_OX!R40</f>
        <v>0</v>
      </c>
      <c r="AE45" s="470"/>
      <c r="AF45" s="276">
        <f>(AC45-AD45)*(1-Recovery_OX!U40)</f>
        <v>0</v>
      </c>
    </row>
    <row r="46" spans="2:32">
      <c r="B46" s="357">
        <f t="shared" si="1"/>
        <v>2029</v>
      </c>
      <c r="C46" s="354">
        <f>IF(Select2=1,Food!$K48,"")</f>
        <v>0</v>
      </c>
      <c r="D46" s="342">
        <f>IF(Select2=1,Paper!$K48,"")</f>
        <v>0</v>
      </c>
      <c r="E46" s="338">
        <f>IF(Select2=1,Nappies!$K48,"")</f>
        <v>0</v>
      </c>
      <c r="F46" s="342">
        <f>IF(Select2=1,Garden!$K48,"")</f>
        <v>0</v>
      </c>
      <c r="G46" s="338">
        <f>IF(Select2=1,Wood!$K48,"")</f>
        <v>0</v>
      </c>
      <c r="H46" s="342">
        <f>IF(Select2=1,Textiles!$K48,"")</f>
        <v>0</v>
      </c>
      <c r="I46" s="343">
        <f>Sludge!K48</f>
        <v>0</v>
      </c>
      <c r="J46" s="343" t="str">
        <f>IF(Select2=2,MSW!$K48,"")</f>
        <v/>
      </c>
      <c r="K46" s="343">
        <f>Industry!$K48</f>
        <v>0</v>
      </c>
      <c r="L46" s="379">
        <f t="shared" si="3"/>
        <v>0</v>
      </c>
      <c r="M46" s="344">
        <f>Recovery_OX!C41</f>
        <v>0</v>
      </c>
      <c r="N46" s="470"/>
      <c r="O46" s="746">
        <f>(L46-M46)*(1-Recovery_OX!F41)</f>
        <v>0</v>
      </c>
      <c r="P46" s="175"/>
      <c r="Q46" s="506"/>
      <c r="S46" s="357">
        <f t="shared" si="2"/>
        <v>2029</v>
      </c>
      <c r="T46" s="354">
        <f>IF(Select2=1,Food!$W48,"")</f>
        <v>0</v>
      </c>
      <c r="U46" s="342">
        <f>IF(Select2=1,Paper!$W48,"")</f>
        <v>0</v>
      </c>
      <c r="V46" s="338">
        <f>IF(Select2=1,Nappies!$W48,"")</f>
        <v>0</v>
      </c>
      <c r="W46" s="342">
        <f>IF(Select2=1,Garden!$W48,"")</f>
        <v>0</v>
      </c>
      <c r="X46" s="338">
        <f>IF(Select2=1,Wood!$W48,"")</f>
        <v>0</v>
      </c>
      <c r="Y46" s="342">
        <f>IF(Select2=1,Textiles!$W48,"")</f>
        <v>0</v>
      </c>
      <c r="Z46" s="340">
        <f>Sludge!W48</f>
        <v>0</v>
      </c>
      <c r="AA46" s="340" t="str">
        <f>IF(Select2=2,MSW!$W48,"")</f>
        <v/>
      </c>
      <c r="AB46" s="343">
        <f>Industry!$W48</f>
        <v>0</v>
      </c>
      <c r="AC46" s="379">
        <f t="shared" si="0"/>
        <v>0</v>
      </c>
      <c r="AD46" s="344">
        <f>Recovery_OX!R41</f>
        <v>0</v>
      </c>
      <c r="AE46" s="470"/>
      <c r="AF46" s="276">
        <f>(AC46-AD46)*(1-Recovery_OX!U41)</f>
        <v>0</v>
      </c>
    </row>
    <row r="47" spans="2:32">
      <c r="B47" s="357">
        <f t="shared" si="1"/>
        <v>2030</v>
      </c>
      <c r="C47" s="354">
        <f>IF(Select2=1,Food!$K49,"")</f>
        <v>0</v>
      </c>
      <c r="D47" s="342">
        <f>IF(Select2=1,Paper!$K49,"")</f>
        <v>0</v>
      </c>
      <c r="E47" s="338">
        <f>IF(Select2=1,Nappies!$K49,"")</f>
        <v>0</v>
      </c>
      <c r="F47" s="342">
        <f>IF(Select2=1,Garden!$K49,"")</f>
        <v>0</v>
      </c>
      <c r="G47" s="338">
        <f>IF(Select2=1,Wood!$K49,"")</f>
        <v>0</v>
      </c>
      <c r="H47" s="342">
        <f>IF(Select2=1,Textiles!$K49,"")</f>
        <v>0</v>
      </c>
      <c r="I47" s="343">
        <f>Sludge!K49</f>
        <v>0</v>
      </c>
      <c r="J47" s="343" t="str">
        <f>IF(Select2=2,MSW!$K49,"")</f>
        <v/>
      </c>
      <c r="K47" s="343">
        <f>Industry!$K49</f>
        <v>0</v>
      </c>
      <c r="L47" s="379">
        <f t="shared" si="3"/>
        <v>0</v>
      </c>
      <c r="M47" s="344">
        <f>Recovery_OX!C42</f>
        <v>0</v>
      </c>
      <c r="N47" s="470"/>
      <c r="O47" s="746">
        <f>(L47-M47)*(1-Recovery_OX!F42)</f>
        <v>0</v>
      </c>
      <c r="P47" s="175"/>
      <c r="Q47" s="506"/>
      <c r="S47" s="357">
        <f t="shared" si="2"/>
        <v>2030</v>
      </c>
      <c r="T47" s="354">
        <f>IF(Select2=1,Food!$W49,"")</f>
        <v>0</v>
      </c>
      <c r="U47" s="342">
        <f>IF(Select2=1,Paper!$W49,"")</f>
        <v>0</v>
      </c>
      <c r="V47" s="338">
        <f>IF(Select2=1,Nappies!$W49,"")</f>
        <v>0</v>
      </c>
      <c r="W47" s="342">
        <f>IF(Select2=1,Garden!$W49,"")</f>
        <v>0</v>
      </c>
      <c r="X47" s="338">
        <f>IF(Select2=1,Wood!$W49,"")</f>
        <v>0</v>
      </c>
      <c r="Y47" s="342">
        <f>IF(Select2=1,Textiles!$W49,"")</f>
        <v>0</v>
      </c>
      <c r="Z47" s="340">
        <f>Sludge!W49</f>
        <v>0</v>
      </c>
      <c r="AA47" s="340" t="str">
        <f>IF(Select2=2,MSW!$W49,"")</f>
        <v/>
      </c>
      <c r="AB47" s="343">
        <f>Industry!$W49</f>
        <v>0</v>
      </c>
      <c r="AC47" s="379">
        <f t="shared" si="0"/>
        <v>0</v>
      </c>
      <c r="AD47" s="344">
        <f>Recovery_OX!R42</f>
        <v>0</v>
      </c>
      <c r="AE47" s="470"/>
      <c r="AF47" s="276">
        <f>(AC47-AD47)*(1-Recovery_OX!U42)</f>
        <v>0</v>
      </c>
    </row>
    <row r="48" spans="2:32">
      <c r="B48" s="357">
        <f t="shared" si="1"/>
        <v>2031</v>
      </c>
      <c r="C48" s="354">
        <f>IF(Select2=1,Food!$K50,"")</f>
        <v>0</v>
      </c>
      <c r="D48" s="342">
        <f>IF(Select2=1,Paper!$K50,"")</f>
        <v>0</v>
      </c>
      <c r="E48" s="338">
        <f>IF(Select2=1,Nappies!$K50,"")</f>
        <v>0</v>
      </c>
      <c r="F48" s="342">
        <f>IF(Select2=1,Garden!$K50,"")</f>
        <v>0</v>
      </c>
      <c r="G48" s="338">
        <f>IF(Select2=1,Wood!$K50,"")</f>
        <v>0</v>
      </c>
      <c r="H48" s="342">
        <f>IF(Select2=1,Textiles!$K50,"")</f>
        <v>0</v>
      </c>
      <c r="I48" s="343">
        <f>Sludge!K50</f>
        <v>0</v>
      </c>
      <c r="J48" s="343" t="str">
        <f>IF(Select2=2,MSW!$K50,"")</f>
        <v/>
      </c>
      <c r="K48" s="343">
        <f>Industry!$K50</f>
        <v>0</v>
      </c>
      <c r="L48" s="379">
        <f t="shared" si="3"/>
        <v>0</v>
      </c>
      <c r="M48" s="344">
        <f>Recovery_OX!C43</f>
        <v>0</v>
      </c>
      <c r="N48" s="470"/>
      <c r="O48" s="746">
        <f>(L48-M48)*(1-Recovery_OX!F43)</f>
        <v>0</v>
      </c>
      <c r="P48" s="175"/>
      <c r="Q48" s="506"/>
      <c r="S48" s="357">
        <f t="shared" si="2"/>
        <v>2031</v>
      </c>
      <c r="T48" s="354">
        <f>IF(Select2=1,Food!$W50,"")</f>
        <v>0</v>
      </c>
      <c r="U48" s="342">
        <f>IF(Select2=1,Paper!$W50,"")</f>
        <v>0</v>
      </c>
      <c r="V48" s="338">
        <f>IF(Select2=1,Nappies!$W50,"")</f>
        <v>0</v>
      </c>
      <c r="W48" s="342">
        <f>IF(Select2=1,Garden!$W50,"")</f>
        <v>0</v>
      </c>
      <c r="X48" s="338">
        <f>IF(Select2=1,Wood!$W50,"")</f>
        <v>0</v>
      </c>
      <c r="Y48" s="342">
        <f>IF(Select2=1,Textiles!$W50,"")</f>
        <v>0</v>
      </c>
      <c r="Z48" s="340">
        <f>Sludge!W50</f>
        <v>0</v>
      </c>
      <c r="AA48" s="340" t="str">
        <f>IF(Select2=2,MSW!$W50,"")</f>
        <v/>
      </c>
      <c r="AB48" s="343">
        <f>Industry!$W50</f>
        <v>0</v>
      </c>
      <c r="AC48" s="379">
        <f t="shared" si="0"/>
        <v>0</v>
      </c>
      <c r="AD48" s="344">
        <f>Recovery_OX!R43</f>
        <v>0</v>
      </c>
      <c r="AE48" s="470"/>
      <c r="AF48" s="276">
        <f>(AC48-AD48)*(1-Recovery_OX!U43)</f>
        <v>0</v>
      </c>
    </row>
    <row r="49" spans="2:32">
      <c r="B49" s="357">
        <f t="shared" si="1"/>
        <v>2032</v>
      </c>
      <c r="C49" s="354">
        <f>IF(Select2=1,Food!$K51,"")</f>
        <v>0</v>
      </c>
      <c r="D49" s="342">
        <f>IF(Select2=1,Paper!$K51,"")</f>
        <v>0</v>
      </c>
      <c r="E49" s="338">
        <f>IF(Select2=1,Nappies!$K51,"")</f>
        <v>0</v>
      </c>
      <c r="F49" s="342">
        <f>IF(Select2=1,Garden!$K51,"")</f>
        <v>0</v>
      </c>
      <c r="G49" s="338">
        <f>IF(Select2=1,Wood!$K51,"")</f>
        <v>0</v>
      </c>
      <c r="H49" s="342">
        <f>IF(Select2=1,Textiles!$K51,"")</f>
        <v>0</v>
      </c>
      <c r="I49" s="343">
        <f>Sludge!K51</f>
        <v>0</v>
      </c>
      <c r="J49" s="343" t="str">
        <f>IF(Select2=2,MSW!$K51,"")</f>
        <v/>
      </c>
      <c r="K49" s="343">
        <f>Industry!$K51</f>
        <v>0</v>
      </c>
      <c r="L49" s="379">
        <f t="shared" si="3"/>
        <v>0</v>
      </c>
      <c r="M49" s="344">
        <f>Recovery_OX!C44</f>
        <v>0</v>
      </c>
      <c r="N49" s="470"/>
      <c r="O49" s="746">
        <f>(L49-M49)*(1-Recovery_OX!F44)</f>
        <v>0</v>
      </c>
      <c r="P49" s="175"/>
      <c r="Q49" s="506"/>
      <c r="S49" s="357">
        <f t="shared" si="2"/>
        <v>2032</v>
      </c>
      <c r="T49" s="354">
        <f>IF(Select2=1,Food!$W51,"")</f>
        <v>0</v>
      </c>
      <c r="U49" s="342">
        <f>IF(Select2=1,Paper!$W51,"")</f>
        <v>0</v>
      </c>
      <c r="V49" s="338">
        <f>IF(Select2=1,Nappies!$W51,"")</f>
        <v>0</v>
      </c>
      <c r="W49" s="342">
        <f>IF(Select2=1,Garden!$W51,"")</f>
        <v>0</v>
      </c>
      <c r="X49" s="338">
        <f>IF(Select2=1,Wood!$W51,"")</f>
        <v>0</v>
      </c>
      <c r="Y49" s="342">
        <f>IF(Select2=1,Textiles!$W51,"")</f>
        <v>0</v>
      </c>
      <c r="Z49" s="340">
        <f>Sludge!W51</f>
        <v>0</v>
      </c>
      <c r="AA49" s="340" t="str">
        <f>IF(Select2=2,MSW!$W51,"")</f>
        <v/>
      </c>
      <c r="AB49" s="343">
        <f>Industry!$W51</f>
        <v>0</v>
      </c>
      <c r="AC49" s="379">
        <f t="shared" ref="AC49:AC80" si="4">SUM(T49:AA49)</f>
        <v>0</v>
      </c>
      <c r="AD49" s="344">
        <f>Recovery_OX!R44</f>
        <v>0</v>
      </c>
      <c r="AE49" s="470"/>
      <c r="AF49" s="276">
        <f>(AC49-AD49)*(1-Recovery_OX!U44)</f>
        <v>0</v>
      </c>
    </row>
    <row r="50" spans="2:32">
      <c r="B50" s="357">
        <f t="shared" si="1"/>
        <v>2033</v>
      </c>
      <c r="C50" s="354">
        <f>IF(Select2=1,Food!$K52,"")</f>
        <v>0</v>
      </c>
      <c r="D50" s="342">
        <f>IF(Select2=1,Paper!$K52,"")</f>
        <v>0</v>
      </c>
      <c r="E50" s="338">
        <f>IF(Select2=1,Nappies!$K52,"")</f>
        <v>0</v>
      </c>
      <c r="F50" s="342">
        <f>IF(Select2=1,Garden!$K52,"")</f>
        <v>0</v>
      </c>
      <c r="G50" s="338">
        <f>IF(Select2=1,Wood!$K52,"")</f>
        <v>0</v>
      </c>
      <c r="H50" s="342">
        <f>IF(Select2=1,Textiles!$K52,"")</f>
        <v>0</v>
      </c>
      <c r="I50" s="343">
        <f>Sludge!K52</f>
        <v>0</v>
      </c>
      <c r="J50" s="343" t="str">
        <f>IF(Select2=2,MSW!$K52,"")</f>
        <v/>
      </c>
      <c r="K50" s="343">
        <f>Industry!$K52</f>
        <v>0</v>
      </c>
      <c r="L50" s="379">
        <f t="shared" si="3"/>
        <v>0</v>
      </c>
      <c r="M50" s="344">
        <f>Recovery_OX!C45</f>
        <v>0</v>
      </c>
      <c r="N50" s="470"/>
      <c r="O50" s="746">
        <f>(L50-M50)*(1-Recovery_OX!F45)</f>
        <v>0</v>
      </c>
      <c r="P50" s="175"/>
      <c r="Q50" s="506"/>
      <c r="S50" s="357">
        <f t="shared" si="2"/>
        <v>2033</v>
      </c>
      <c r="T50" s="354">
        <f>IF(Select2=1,Food!$W52,"")</f>
        <v>0</v>
      </c>
      <c r="U50" s="342">
        <f>IF(Select2=1,Paper!$W52,"")</f>
        <v>0</v>
      </c>
      <c r="V50" s="338">
        <f>IF(Select2=1,Nappies!$W52,"")</f>
        <v>0</v>
      </c>
      <c r="W50" s="342">
        <f>IF(Select2=1,Garden!$W52,"")</f>
        <v>0</v>
      </c>
      <c r="X50" s="338">
        <f>IF(Select2=1,Wood!$W52,"")</f>
        <v>0</v>
      </c>
      <c r="Y50" s="342">
        <f>IF(Select2=1,Textiles!$W52,"")</f>
        <v>0</v>
      </c>
      <c r="Z50" s="340">
        <f>Sludge!W52</f>
        <v>0</v>
      </c>
      <c r="AA50" s="340" t="str">
        <f>IF(Select2=2,MSW!$W52,"")</f>
        <v/>
      </c>
      <c r="AB50" s="343">
        <f>Industry!$W52</f>
        <v>0</v>
      </c>
      <c r="AC50" s="379">
        <f t="shared" si="4"/>
        <v>0</v>
      </c>
      <c r="AD50" s="344">
        <f>Recovery_OX!R45</f>
        <v>0</v>
      </c>
      <c r="AE50" s="470"/>
      <c r="AF50" s="276">
        <f>(AC50-AD50)*(1-Recovery_OX!U45)</f>
        <v>0</v>
      </c>
    </row>
    <row r="51" spans="2:32">
      <c r="B51" s="357">
        <f t="shared" si="1"/>
        <v>2034</v>
      </c>
      <c r="C51" s="354">
        <f>IF(Select2=1,Food!$K53,"")</f>
        <v>0</v>
      </c>
      <c r="D51" s="342">
        <f>IF(Select2=1,Paper!$K53,"")</f>
        <v>0</v>
      </c>
      <c r="E51" s="338">
        <f>IF(Select2=1,Nappies!$K53,"")</f>
        <v>0</v>
      </c>
      <c r="F51" s="342">
        <f>IF(Select2=1,Garden!$K53,"")</f>
        <v>0</v>
      </c>
      <c r="G51" s="338">
        <f>IF(Select2=1,Wood!$K53,"")</f>
        <v>0</v>
      </c>
      <c r="H51" s="342">
        <f>IF(Select2=1,Textiles!$K53,"")</f>
        <v>0</v>
      </c>
      <c r="I51" s="343">
        <f>Sludge!K53</f>
        <v>0</v>
      </c>
      <c r="J51" s="343" t="str">
        <f>IF(Select2=2,MSW!$K53,"")</f>
        <v/>
      </c>
      <c r="K51" s="343">
        <f>Industry!$K53</f>
        <v>0</v>
      </c>
      <c r="L51" s="379">
        <f t="shared" si="3"/>
        <v>0</v>
      </c>
      <c r="M51" s="344">
        <f>Recovery_OX!C46</f>
        <v>0</v>
      </c>
      <c r="N51" s="470"/>
      <c r="O51" s="746">
        <f>(L51-M51)*(1-Recovery_OX!F46)</f>
        <v>0</v>
      </c>
      <c r="P51" s="175"/>
      <c r="Q51" s="506"/>
      <c r="S51" s="357">
        <f t="shared" si="2"/>
        <v>2034</v>
      </c>
      <c r="T51" s="354">
        <f>IF(Select2=1,Food!$W53,"")</f>
        <v>0</v>
      </c>
      <c r="U51" s="342">
        <f>IF(Select2=1,Paper!$W53,"")</f>
        <v>0</v>
      </c>
      <c r="V51" s="338">
        <f>IF(Select2=1,Nappies!$W53,"")</f>
        <v>0</v>
      </c>
      <c r="W51" s="342">
        <f>IF(Select2=1,Garden!$W53,"")</f>
        <v>0</v>
      </c>
      <c r="X51" s="338">
        <f>IF(Select2=1,Wood!$W53,"")</f>
        <v>0</v>
      </c>
      <c r="Y51" s="342">
        <f>IF(Select2=1,Textiles!$W53,"")</f>
        <v>0</v>
      </c>
      <c r="Z51" s="340">
        <f>Sludge!W53</f>
        <v>0</v>
      </c>
      <c r="AA51" s="340" t="str">
        <f>IF(Select2=2,MSW!$W53,"")</f>
        <v/>
      </c>
      <c r="AB51" s="343">
        <f>Industry!$W53</f>
        <v>0</v>
      </c>
      <c r="AC51" s="379">
        <f t="shared" si="4"/>
        <v>0</v>
      </c>
      <c r="AD51" s="344">
        <f>Recovery_OX!R46</f>
        <v>0</v>
      </c>
      <c r="AE51" s="470"/>
      <c r="AF51" s="276">
        <f>(AC51-AD51)*(1-Recovery_OX!U46)</f>
        <v>0</v>
      </c>
    </row>
    <row r="52" spans="2:32">
      <c r="B52" s="357">
        <f t="shared" si="1"/>
        <v>2035</v>
      </c>
      <c r="C52" s="354">
        <f>IF(Select2=1,Food!$K54,"")</f>
        <v>0</v>
      </c>
      <c r="D52" s="342">
        <f>IF(Select2=1,Paper!$K54,"")</f>
        <v>0</v>
      </c>
      <c r="E52" s="338">
        <f>IF(Select2=1,Nappies!$K54,"")</f>
        <v>0</v>
      </c>
      <c r="F52" s="342">
        <f>IF(Select2=1,Garden!$K54,"")</f>
        <v>0</v>
      </c>
      <c r="G52" s="338">
        <f>IF(Select2=1,Wood!$K54,"")</f>
        <v>0</v>
      </c>
      <c r="H52" s="342">
        <f>IF(Select2=1,Textiles!$K54,"")</f>
        <v>0</v>
      </c>
      <c r="I52" s="343">
        <f>Sludge!K54</f>
        <v>0</v>
      </c>
      <c r="J52" s="343" t="str">
        <f>IF(Select2=2,MSW!$K54,"")</f>
        <v/>
      </c>
      <c r="K52" s="343">
        <f>Industry!$K54</f>
        <v>0</v>
      </c>
      <c r="L52" s="379">
        <f t="shared" si="3"/>
        <v>0</v>
      </c>
      <c r="M52" s="344">
        <f>Recovery_OX!C47</f>
        <v>0</v>
      </c>
      <c r="N52" s="470"/>
      <c r="O52" s="746">
        <f>(L52-M52)*(1-Recovery_OX!F47)</f>
        <v>0</v>
      </c>
      <c r="P52" s="175"/>
      <c r="Q52" s="506"/>
      <c r="S52" s="357">
        <f t="shared" si="2"/>
        <v>2035</v>
      </c>
      <c r="T52" s="354">
        <f>IF(Select2=1,Food!$W54,"")</f>
        <v>0</v>
      </c>
      <c r="U52" s="342">
        <f>IF(Select2=1,Paper!$W54,"")</f>
        <v>0</v>
      </c>
      <c r="V52" s="338">
        <f>IF(Select2=1,Nappies!$W54,"")</f>
        <v>0</v>
      </c>
      <c r="W52" s="342">
        <f>IF(Select2=1,Garden!$W54,"")</f>
        <v>0</v>
      </c>
      <c r="X52" s="338">
        <f>IF(Select2=1,Wood!$W54,"")</f>
        <v>0</v>
      </c>
      <c r="Y52" s="342">
        <f>IF(Select2=1,Textiles!$W54,"")</f>
        <v>0</v>
      </c>
      <c r="Z52" s="340">
        <f>Sludge!W54</f>
        <v>0</v>
      </c>
      <c r="AA52" s="340" t="str">
        <f>IF(Select2=2,MSW!$W54,"")</f>
        <v/>
      </c>
      <c r="AB52" s="343">
        <f>Industry!$W54</f>
        <v>0</v>
      </c>
      <c r="AC52" s="379">
        <f t="shared" si="4"/>
        <v>0</v>
      </c>
      <c r="AD52" s="344">
        <f>Recovery_OX!R47</f>
        <v>0</v>
      </c>
      <c r="AE52" s="470"/>
      <c r="AF52" s="276">
        <f>(AC52-AD52)*(1-Recovery_OX!U47)</f>
        <v>0</v>
      </c>
    </row>
    <row r="53" spans="2:32">
      <c r="B53" s="357">
        <f t="shared" si="1"/>
        <v>2036</v>
      </c>
      <c r="C53" s="354">
        <f>IF(Select2=1,Food!$K55,"")</f>
        <v>0</v>
      </c>
      <c r="D53" s="342">
        <f>IF(Select2=1,Paper!$K55,"")</f>
        <v>0</v>
      </c>
      <c r="E53" s="338">
        <f>IF(Select2=1,Nappies!$K55,"")</f>
        <v>0</v>
      </c>
      <c r="F53" s="342">
        <f>IF(Select2=1,Garden!$K55,"")</f>
        <v>0</v>
      </c>
      <c r="G53" s="338">
        <f>IF(Select2=1,Wood!$K55,"")</f>
        <v>0</v>
      </c>
      <c r="H53" s="342">
        <f>IF(Select2=1,Textiles!$K55,"")</f>
        <v>0</v>
      </c>
      <c r="I53" s="343">
        <f>Sludge!K55</f>
        <v>0</v>
      </c>
      <c r="J53" s="343" t="str">
        <f>IF(Select2=2,MSW!$K55,"")</f>
        <v/>
      </c>
      <c r="K53" s="343">
        <f>Industry!$K55</f>
        <v>0</v>
      </c>
      <c r="L53" s="379">
        <f t="shared" si="3"/>
        <v>0</v>
      </c>
      <c r="M53" s="344">
        <f>Recovery_OX!C48</f>
        <v>0</v>
      </c>
      <c r="N53" s="470"/>
      <c r="O53" s="746">
        <f>(L53-M53)*(1-Recovery_OX!F48)</f>
        <v>0</v>
      </c>
      <c r="P53" s="175"/>
      <c r="Q53" s="506"/>
      <c r="S53" s="357">
        <f t="shared" si="2"/>
        <v>2036</v>
      </c>
      <c r="T53" s="354">
        <f>IF(Select2=1,Food!$W55,"")</f>
        <v>0</v>
      </c>
      <c r="U53" s="342">
        <f>IF(Select2=1,Paper!$W55,"")</f>
        <v>0</v>
      </c>
      <c r="V53" s="338">
        <f>IF(Select2=1,Nappies!$W55,"")</f>
        <v>0</v>
      </c>
      <c r="W53" s="342">
        <f>IF(Select2=1,Garden!$W55,"")</f>
        <v>0</v>
      </c>
      <c r="X53" s="338">
        <f>IF(Select2=1,Wood!$W55,"")</f>
        <v>0</v>
      </c>
      <c r="Y53" s="342">
        <f>IF(Select2=1,Textiles!$W55,"")</f>
        <v>0</v>
      </c>
      <c r="Z53" s="340">
        <f>Sludge!W55</f>
        <v>0</v>
      </c>
      <c r="AA53" s="340" t="str">
        <f>IF(Select2=2,MSW!$W55,"")</f>
        <v/>
      </c>
      <c r="AB53" s="343">
        <f>Industry!$W55</f>
        <v>0</v>
      </c>
      <c r="AC53" s="379">
        <f t="shared" si="4"/>
        <v>0</v>
      </c>
      <c r="AD53" s="344">
        <f>Recovery_OX!R48</f>
        <v>0</v>
      </c>
      <c r="AE53" s="470"/>
      <c r="AF53" s="276">
        <f>(AC53-AD53)*(1-Recovery_OX!U48)</f>
        <v>0</v>
      </c>
    </row>
    <row r="54" spans="2:32">
      <c r="B54" s="357">
        <f t="shared" si="1"/>
        <v>2037</v>
      </c>
      <c r="C54" s="354">
        <f>IF(Select2=1,Food!$K56,"")</f>
        <v>0</v>
      </c>
      <c r="D54" s="342">
        <f>IF(Select2=1,Paper!$K56,"")</f>
        <v>0</v>
      </c>
      <c r="E54" s="338">
        <f>IF(Select2=1,Nappies!$K56,"")</f>
        <v>0</v>
      </c>
      <c r="F54" s="342">
        <f>IF(Select2=1,Garden!$K56,"")</f>
        <v>0</v>
      </c>
      <c r="G54" s="338">
        <f>IF(Select2=1,Wood!$K56,"")</f>
        <v>0</v>
      </c>
      <c r="H54" s="342">
        <f>IF(Select2=1,Textiles!$K56,"")</f>
        <v>0</v>
      </c>
      <c r="I54" s="343">
        <f>Sludge!K56</f>
        <v>0</v>
      </c>
      <c r="J54" s="343" t="str">
        <f>IF(Select2=2,MSW!$K56,"")</f>
        <v/>
      </c>
      <c r="K54" s="343">
        <f>Industry!$K56</f>
        <v>0</v>
      </c>
      <c r="L54" s="379">
        <f t="shared" si="3"/>
        <v>0</v>
      </c>
      <c r="M54" s="344">
        <f>Recovery_OX!C49</f>
        <v>0</v>
      </c>
      <c r="N54" s="470"/>
      <c r="O54" s="746">
        <f>(L54-M54)*(1-Recovery_OX!F49)</f>
        <v>0</v>
      </c>
      <c r="P54" s="175"/>
      <c r="Q54" s="506"/>
      <c r="S54" s="357">
        <f t="shared" si="2"/>
        <v>2037</v>
      </c>
      <c r="T54" s="354">
        <f>IF(Select2=1,Food!$W56,"")</f>
        <v>0</v>
      </c>
      <c r="U54" s="342">
        <f>IF(Select2=1,Paper!$W56,"")</f>
        <v>0</v>
      </c>
      <c r="V54" s="338">
        <f>IF(Select2=1,Nappies!$W56,"")</f>
        <v>0</v>
      </c>
      <c r="W54" s="342">
        <f>IF(Select2=1,Garden!$W56,"")</f>
        <v>0</v>
      </c>
      <c r="X54" s="338">
        <f>IF(Select2=1,Wood!$W56,"")</f>
        <v>0</v>
      </c>
      <c r="Y54" s="342">
        <f>IF(Select2=1,Textiles!$W56,"")</f>
        <v>0</v>
      </c>
      <c r="Z54" s="340">
        <f>Sludge!W56</f>
        <v>0</v>
      </c>
      <c r="AA54" s="340" t="str">
        <f>IF(Select2=2,MSW!$W56,"")</f>
        <v/>
      </c>
      <c r="AB54" s="343">
        <f>Industry!$W56</f>
        <v>0</v>
      </c>
      <c r="AC54" s="379">
        <f t="shared" si="4"/>
        <v>0</v>
      </c>
      <c r="AD54" s="344">
        <f>Recovery_OX!R49</f>
        <v>0</v>
      </c>
      <c r="AE54" s="470"/>
      <c r="AF54" s="276">
        <f>(AC54-AD54)*(1-Recovery_OX!U49)</f>
        <v>0</v>
      </c>
    </row>
    <row r="55" spans="2:32">
      <c r="B55" s="357">
        <f t="shared" si="1"/>
        <v>2038</v>
      </c>
      <c r="C55" s="354">
        <f>IF(Select2=1,Food!$K57,"")</f>
        <v>0</v>
      </c>
      <c r="D55" s="342">
        <f>IF(Select2=1,Paper!$K57,"")</f>
        <v>0</v>
      </c>
      <c r="E55" s="338">
        <f>IF(Select2=1,Nappies!$K57,"")</f>
        <v>0</v>
      </c>
      <c r="F55" s="342">
        <f>IF(Select2=1,Garden!$K57,"")</f>
        <v>0</v>
      </c>
      <c r="G55" s="338">
        <f>IF(Select2=1,Wood!$K57,"")</f>
        <v>0</v>
      </c>
      <c r="H55" s="342">
        <f>IF(Select2=1,Textiles!$K57,"")</f>
        <v>0</v>
      </c>
      <c r="I55" s="343">
        <f>Sludge!K57</f>
        <v>0</v>
      </c>
      <c r="J55" s="343" t="str">
        <f>IF(Select2=2,MSW!$K57,"")</f>
        <v/>
      </c>
      <c r="K55" s="343">
        <f>Industry!$K57</f>
        <v>0</v>
      </c>
      <c r="L55" s="379">
        <f t="shared" si="3"/>
        <v>0</v>
      </c>
      <c r="M55" s="344">
        <f>Recovery_OX!C50</f>
        <v>0</v>
      </c>
      <c r="N55" s="470"/>
      <c r="O55" s="746">
        <f>(L55-M55)*(1-Recovery_OX!F50)</f>
        <v>0</v>
      </c>
      <c r="P55" s="175"/>
      <c r="Q55" s="506"/>
      <c r="S55" s="357">
        <f t="shared" si="2"/>
        <v>2038</v>
      </c>
      <c r="T55" s="354">
        <f>IF(Select2=1,Food!$W57,"")</f>
        <v>0</v>
      </c>
      <c r="U55" s="342">
        <f>IF(Select2=1,Paper!$W57,"")</f>
        <v>0</v>
      </c>
      <c r="V55" s="338">
        <f>IF(Select2=1,Nappies!$W57,"")</f>
        <v>0</v>
      </c>
      <c r="W55" s="342">
        <f>IF(Select2=1,Garden!$W57,"")</f>
        <v>0</v>
      </c>
      <c r="X55" s="338">
        <f>IF(Select2=1,Wood!$W57,"")</f>
        <v>0</v>
      </c>
      <c r="Y55" s="342">
        <f>IF(Select2=1,Textiles!$W57,"")</f>
        <v>0</v>
      </c>
      <c r="Z55" s="340">
        <f>Sludge!W57</f>
        <v>0</v>
      </c>
      <c r="AA55" s="340" t="str">
        <f>IF(Select2=2,MSW!$W57,"")</f>
        <v/>
      </c>
      <c r="AB55" s="343">
        <f>Industry!$W57</f>
        <v>0</v>
      </c>
      <c r="AC55" s="379">
        <f t="shared" si="4"/>
        <v>0</v>
      </c>
      <c r="AD55" s="344">
        <f>Recovery_OX!R50</f>
        <v>0</v>
      </c>
      <c r="AE55" s="470"/>
      <c r="AF55" s="276">
        <f>(AC55-AD55)*(1-Recovery_OX!U50)</f>
        <v>0</v>
      </c>
    </row>
    <row r="56" spans="2:32">
      <c r="B56" s="357">
        <f t="shared" si="1"/>
        <v>2039</v>
      </c>
      <c r="C56" s="354">
        <f>IF(Select2=1,Food!$K58,"")</f>
        <v>0</v>
      </c>
      <c r="D56" s="342">
        <f>IF(Select2=1,Paper!$K58,"")</f>
        <v>0</v>
      </c>
      <c r="E56" s="338">
        <f>IF(Select2=1,Nappies!$K58,"")</f>
        <v>0</v>
      </c>
      <c r="F56" s="342">
        <f>IF(Select2=1,Garden!$K58,"")</f>
        <v>0</v>
      </c>
      <c r="G56" s="338">
        <f>IF(Select2=1,Wood!$K58,"")</f>
        <v>0</v>
      </c>
      <c r="H56" s="342">
        <f>IF(Select2=1,Textiles!$K58,"")</f>
        <v>0</v>
      </c>
      <c r="I56" s="343">
        <f>Sludge!K58</f>
        <v>0</v>
      </c>
      <c r="J56" s="343" t="str">
        <f>IF(Select2=2,MSW!$K58,"")</f>
        <v/>
      </c>
      <c r="K56" s="343">
        <f>Industry!$K58</f>
        <v>0</v>
      </c>
      <c r="L56" s="379">
        <f t="shared" si="3"/>
        <v>0</v>
      </c>
      <c r="M56" s="344">
        <f>Recovery_OX!C51</f>
        <v>0</v>
      </c>
      <c r="N56" s="470"/>
      <c r="O56" s="746">
        <f>(L56-M56)*(1-Recovery_OX!F51)</f>
        <v>0</v>
      </c>
      <c r="P56" s="175"/>
      <c r="Q56" s="506"/>
      <c r="S56" s="357">
        <f t="shared" si="2"/>
        <v>2039</v>
      </c>
      <c r="T56" s="354">
        <f>IF(Select2=1,Food!$W58,"")</f>
        <v>0</v>
      </c>
      <c r="U56" s="342">
        <f>IF(Select2=1,Paper!$W58,"")</f>
        <v>0</v>
      </c>
      <c r="V56" s="338">
        <f>IF(Select2=1,Nappies!$W58,"")</f>
        <v>0</v>
      </c>
      <c r="W56" s="342">
        <f>IF(Select2=1,Garden!$W58,"")</f>
        <v>0</v>
      </c>
      <c r="X56" s="338">
        <f>IF(Select2=1,Wood!$W58,"")</f>
        <v>0</v>
      </c>
      <c r="Y56" s="342">
        <f>IF(Select2=1,Textiles!$W58,"")</f>
        <v>0</v>
      </c>
      <c r="Z56" s="340">
        <f>Sludge!W58</f>
        <v>0</v>
      </c>
      <c r="AA56" s="340" t="str">
        <f>IF(Select2=2,MSW!$W58,"")</f>
        <v/>
      </c>
      <c r="AB56" s="343">
        <f>Industry!$W58</f>
        <v>0</v>
      </c>
      <c r="AC56" s="379">
        <f t="shared" si="4"/>
        <v>0</v>
      </c>
      <c r="AD56" s="344">
        <f>Recovery_OX!R51</f>
        <v>0</v>
      </c>
      <c r="AE56" s="470"/>
      <c r="AF56" s="276">
        <f>(AC56-AD56)*(1-Recovery_OX!U51)</f>
        <v>0</v>
      </c>
    </row>
    <row r="57" spans="2:32">
      <c r="B57" s="357">
        <f t="shared" si="1"/>
        <v>2040</v>
      </c>
      <c r="C57" s="354">
        <f>IF(Select2=1,Food!$K59,"")</f>
        <v>0</v>
      </c>
      <c r="D57" s="342">
        <f>IF(Select2=1,Paper!$K59,"")</f>
        <v>0</v>
      </c>
      <c r="E57" s="338">
        <f>IF(Select2=1,Nappies!$K59,"")</f>
        <v>0</v>
      </c>
      <c r="F57" s="342">
        <f>IF(Select2=1,Garden!$K59,"")</f>
        <v>0</v>
      </c>
      <c r="G57" s="338">
        <f>IF(Select2=1,Wood!$K59,"")</f>
        <v>0</v>
      </c>
      <c r="H57" s="342">
        <f>IF(Select2=1,Textiles!$K59,"")</f>
        <v>0</v>
      </c>
      <c r="I57" s="343">
        <f>Sludge!K59</f>
        <v>0</v>
      </c>
      <c r="J57" s="343" t="str">
        <f>IF(Select2=2,MSW!$K59,"")</f>
        <v/>
      </c>
      <c r="K57" s="343">
        <f>Industry!$K59</f>
        <v>0</v>
      </c>
      <c r="L57" s="379">
        <f t="shared" si="3"/>
        <v>0</v>
      </c>
      <c r="M57" s="344">
        <f>Recovery_OX!C52</f>
        <v>0</v>
      </c>
      <c r="N57" s="470"/>
      <c r="O57" s="746">
        <f>(L57-M57)*(1-Recovery_OX!F52)</f>
        <v>0</v>
      </c>
      <c r="P57" s="175"/>
      <c r="Q57" s="506"/>
      <c r="S57" s="357">
        <f t="shared" si="2"/>
        <v>2040</v>
      </c>
      <c r="T57" s="354">
        <f>IF(Select2=1,Food!$W59,"")</f>
        <v>0</v>
      </c>
      <c r="U57" s="342">
        <f>IF(Select2=1,Paper!$W59,"")</f>
        <v>0</v>
      </c>
      <c r="V57" s="338">
        <f>IF(Select2=1,Nappies!$W59,"")</f>
        <v>0</v>
      </c>
      <c r="W57" s="342">
        <f>IF(Select2=1,Garden!$W59,"")</f>
        <v>0</v>
      </c>
      <c r="X57" s="338">
        <f>IF(Select2=1,Wood!$W59,"")</f>
        <v>0</v>
      </c>
      <c r="Y57" s="342">
        <f>IF(Select2=1,Textiles!$W59,"")</f>
        <v>0</v>
      </c>
      <c r="Z57" s="340">
        <f>Sludge!W59</f>
        <v>0</v>
      </c>
      <c r="AA57" s="340" t="str">
        <f>IF(Select2=2,MSW!$W59,"")</f>
        <v/>
      </c>
      <c r="AB57" s="343">
        <f>Industry!$W59</f>
        <v>0</v>
      </c>
      <c r="AC57" s="379">
        <f t="shared" si="4"/>
        <v>0</v>
      </c>
      <c r="AD57" s="344">
        <f>Recovery_OX!R52</f>
        <v>0</v>
      </c>
      <c r="AE57" s="470"/>
      <c r="AF57" s="276">
        <f>(AC57-AD57)*(1-Recovery_OX!U52)</f>
        <v>0</v>
      </c>
    </row>
    <row r="58" spans="2:32">
      <c r="B58" s="357">
        <f t="shared" si="1"/>
        <v>2041</v>
      </c>
      <c r="C58" s="354">
        <f>IF(Select2=1,Food!$K60,"")</f>
        <v>0</v>
      </c>
      <c r="D58" s="342">
        <f>IF(Select2=1,Paper!$K60,"")</f>
        <v>0</v>
      </c>
      <c r="E58" s="338">
        <f>IF(Select2=1,Nappies!$K60,"")</f>
        <v>0</v>
      </c>
      <c r="F58" s="342">
        <f>IF(Select2=1,Garden!$K60,"")</f>
        <v>0</v>
      </c>
      <c r="G58" s="338">
        <f>IF(Select2=1,Wood!$K60,"")</f>
        <v>0</v>
      </c>
      <c r="H58" s="342">
        <f>IF(Select2=1,Textiles!$K60,"")</f>
        <v>0</v>
      </c>
      <c r="I58" s="343">
        <f>Sludge!K60</f>
        <v>0</v>
      </c>
      <c r="J58" s="343" t="str">
        <f>IF(Select2=2,MSW!$K60,"")</f>
        <v/>
      </c>
      <c r="K58" s="343">
        <f>Industry!$K60</f>
        <v>0</v>
      </c>
      <c r="L58" s="379">
        <f t="shared" si="3"/>
        <v>0</v>
      </c>
      <c r="M58" s="344">
        <f>Recovery_OX!C53</f>
        <v>0</v>
      </c>
      <c r="N58" s="470"/>
      <c r="O58" s="746">
        <f>(L58-M58)*(1-Recovery_OX!F53)</f>
        <v>0</v>
      </c>
      <c r="P58" s="175"/>
      <c r="Q58" s="506"/>
      <c r="S58" s="357">
        <f t="shared" si="2"/>
        <v>2041</v>
      </c>
      <c r="T58" s="354">
        <f>IF(Select2=1,Food!$W60,"")</f>
        <v>0</v>
      </c>
      <c r="U58" s="342">
        <f>IF(Select2=1,Paper!$W60,"")</f>
        <v>0</v>
      </c>
      <c r="V58" s="338">
        <f>IF(Select2=1,Nappies!$W60,"")</f>
        <v>0</v>
      </c>
      <c r="W58" s="342">
        <f>IF(Select2=1,Garden!$W60,"")</f>
        <v>0</v>
      </c>
      <c r="X58" s="338">
        <f>IF(Select2=1,Wood!$W60,"")</f>
        <v>0</v>
      </c>
      <c r="Y58" s="342">
        <f>IF(Select2=1,Textiles!$W60,"")</f>
        <v>0</v>
      </c>
      <c r="Z58" s="340">
        <f>Sludge!W60</f>
        <v>0</v>
      </c>
      <c r="AA58" s="340" t="str">
        <f>IF(Select2=2,MSW!$W60,"")</f>
        <v/>
      </c>
      <c r="AB58" s="343">
        <f>Industry!$W60</f>
        <v>0</v>
      </c>
      <c r="AC58" s="379">
        <f t="shared" si="4"/>
        <v>0</v>
      </c>
      <c r="AD58" s="344">
        <f>Recovery_OX!R53</f>
        <v>0</v>
      </c>
      <c r="AE58" s="470"/>
      <c r="AF58" s="276">
        <f>(AC58-AD58)*(1-Recovery_OX!U53)</f>
        <v>0</v>
      </c>
    </row>
    <row r="59" spans="2:32">
      <c r="B59" s="357">
        <f t="shared" si="1"/>
        <v>2042</v>
      </c>
      <c r="C59" s="354">
        <f>IF(Select2=1,Food!$K61,"")</f>
        <v>0</v>
      </c>
      <c r="D59" s="342">
        <f>IF(Select2=1,Paper!$K61,"")</f>
        <v>0</v>
      </c>
      <c r="E59" s="338">
        <f>IF(Select2=1,Nappies!$K61,"")</f>
        <v>0</v>
      </c>
      <c r="F59" s="342">
        <f>IF(Select2=1,Garden!$K61,"")</f>
        <v>0</v>
      </c>
      <c r="G59" s="338">
        <f>IF(Select2=1,Wood!$K61,"")</f>
        <v>0</v>
      </c>
      <c r="H59" s="342">
        <f>IF(Select2=1,Textiles!$K61,"")</f>
        <v>0</v>
      </c>
      <c r="I59" s="343">
        <f>Sludge!K61</f>
        <v>0</v>
      </c>
      <c r="J59" s="343" t="str">
        <f>IF(Select2=2,MSW!$K61,"")</f>
        <v/>
      </c>
      <c r="K59" s="343">
        <f>Industry!$K61</f>
        <v>0</v>
      </c>
      <c r="L59" s="379">
        <f t="shared" si="3"/>
        <v>0</v>
      </c>
      <c r="M59" s="344">
        <f>Recovery_OX!C54</f>
        <v>0</v>
      </c>
      <c r="N59" s="470"/>
      <c r="O59" s="746">
        <f>(L59-M59)*(1-Recovery_OX!F54)</f>
        <v>0</v>
      </c>
      <c r="P59" s="175"/>
      <c r="Q59" s="506"/>
      <c r="S59" s="357">
        <f t="shared" si="2"/>
        <v>2042</v>
      </c>
      <c r="T59" s="354">
        <f>IF(Select2=1,Food!$W61,"")</f>
        <v>0</v>
      </c>
      <c r="U59" s="342">
        <f>IF(Select2=1,Paper!$W61,"")</f>
        <v>0</v>
      </c>
      <c r="V59" s="338">
        <f>IF(Select2=1,Nappies!$W61,"")</f>
        <v>0</v>
      </c>
      <c r="W59" s="342">
        <f>IF(Select2=1,Garden!$W61,"")</f>
        <v>0</v>
      </c>
      <c r="X59" s="338">
        <f>IF(Select2=1,Wood!$W61,"")</f>
        <v>0</v>
      </c>
      <c r="Y59" s="342">
        <f>IF(Select2=1,Textiles!$W61,"")</f>
        <v>0</v>
      </c>
      <c r="Z59" s="340">
        <f>Sludge!W61</f>
        <v>0</v>
      </c>
      <c r="AA59" s="340" t="str">
        <f>IF(Select2=2,MSW!$W61,"")</f>
        <v/>
      </c>
      <c r="AB59" s="343">
        <f>Industry!$W61</f>
        <v>0</v>
      </c>
      <c r="AC59" s="379">
        <f t="shared" si="4"/>
        <v>0</v>
      </c>
      <c r="AD59" s="344">
        <f>Recovery_OX!R54</f>
        <v>0</v>
      </c>
      <c r="AE59" s="470"/>
      <c r="AF59" s="276">
        <f>(AC59-AD59)*(1-Recovery_OX!U54)</f>
        <v>0</v>
      </c>
    </row>
    <row r="60" spans="2:32">
      <c r="B60" s="357">
        <f t="shared" si="1"/>
        <v>2043</v>
      </c>
      <c r="C60" s="354">
        <f>IF(Select2=1,Food!$K62,"")</f>
        <v>0</v>
      </c>
      <c r="D60" s="342">
        <f>IF(Select2=1,Paper!$K62,"")</f>
        <v>0</v>
      </c>
      <c r="E60" s="338">
        <f>IF(Select2=1,Nappies!$K62,"")</f>
        <v>0</v>
      </c>
      <c r="F60" s="342">
        <f>IF(Select2=1,Garden!$K62,"")</f>
        <v>0</v>
      </c>
      <c r="G60" s="338">
        <f>IF(Select2=1,Wood!$K62,"")</f>
        <v>0</v>
      </c>
      <c r="H60" s="342">
        <f>IF(Select2=1,Textiles!$K62,"")</f>
        <v>0</v>
      </c>
      <c r="I60" s="343">
        <f>Sludge!K62</f>
        <v>0</v>
      </c>
      <c r="J60" s="343" t="str">
        <f>IF(Select2=2,MSW!$K62,"")</f>
        <v/>
      </c>
      <c r="K60" s="343">
        <f>Industry!$K62</f>
        <v>0</v>
      </c>
      <c r="L60" s="379">
        <f t="shared" si="3"/>
        <v>0</v>
      </c>
      <c r="M60" s="344">
        <f>Recovery_OX!C55</f>
        <v>0</v>
      </c>
      <c r="N60" s="470"/>
      <c r="O60" s="746">
        <f>(L60-M60)*(1-Recovery_OX!F55)</f>
        <v>0</v>
      </c>
      <c r="P60" s="175"/>
      <c r="Q60" s="506"/>
      <c r="S60" s="357">
        <f t="shared" si="2"/>
        <v>2043</v>
      </c>
      <c r="T60" s="354">
        <f>IF(Select2=1,Food!$W62,"")</f>
        <v>0</v>
      </c>
      <c r="U60" s="342">
        <f>IF(Select2=1,Paper!$W62,"")</f>
        <v>0</v>
      </c>
      <c r="V60" s="338">
        <f>IF(Select2=1,Nappies!$W62,"")</f>
        <v>0</v>
      </c>
      <c r="W60" s="342">
        <f>IF(Select2=1,Garden!$W62,"")</f>
        <v>0</v>
      </c>
      <c r="X60" s="338">
        <f>IF(Select2=1,Wood!$W62,"")</f>
        <v>0</v>
      </c>
      <c r="Y60" s="342">
        <f>IF(Select2=1,Textiles!$W62,"")</f>
        <v>0</v>
      </c>
      <c r="Z60" s="340">
        <f>Sludge!W62</f>
        <v>0</v>
      </c>
      <c r="AA60" s="340" t="str">
        <f>IF(Select2=2,MSW!$W62,"")</f>
        <v/>
      </c>
      <c r="AB60" s="343">
        <f>Industry!$W62</f>
        <v>0</v>
      </c>
      <c r="AC60" s="379">
        <f t="shared" si="4"/>
        <v>0</v>
      </c>
      <c r="AD60" s="344">
        <f>Recovery_OX!R55</f>
        <v>0</v>
      </c>
      <c r="AE60" s="470"/>
      <c r="AF60" s="276">
        <f>(AC60-AD60)*(1-Recovery_OX!U55)</f>
        <v>0</v>
      </c>
    </row>
    <row r="61" spans="2:32">
      <c r="B61" s="357">
        <f t="shared" si="1"/>
        <v>2044</v>
      </c>
      <c r="C61" s="354">
        <f>IF(Select2=1,Food!$K63,"")</f>
        <v>0</v>
      </c>
      <c r="D61" s="342">
        <f>IF(Select2=1,Paper!$K63,"")</f>
        <v>0</v>
      </c>
      <c r="E61" s="338">
        <f>IF(Select2=1,Nappies!$K63,"")</f>
        <v>0</v>
      </c>
      <c r="F61" s="342">
        <f>IF(Select2=1,Garden!$K63,"")</f>
        <v>0</v>
      </c>
      <c r="G61" s="338">
        <f>IF(Select2=1,Wood!$K63,"")</f>
        <v>0</v>
      </c>
      <c r="H61" s="342">
        <f>IF(Select2=1,Textiles!$K63,"")</f>
        <v>0</v>
      </c>
      <c r="I61" s="343">
        <f>Sludge!K63</f>
        <v>0</v>
      </c>
      <c r="J61" s="343" t="str">
        <f>IF(Select2=2,MSW!$K63,"")</f>
        <v/>
      </c>
      <c r="K61" s="343">
        <f>Industry!$K63</f>
        <v>0</v>
      </c>
      <c r="L61" s="379">
        <f t="shared" si="3"/>
        <v>0</v>
      </c>
      <c r="M61" s="344">
        <f>Recovery_OX!C56</f>
        <v>0</v>
      </c>
      <c r="N61" s="470"/>
      <c r="O61" s="746">
        <f>(L61-M61)*(1-Recovery_OX!F56)</f>
        <v>0</v>
      </c>
      <c r="P61" s="175"/>
      <c r="Q61" s="506"/>
      <c r="S61" s="357">
        <f t="shared" si="2"/>
        <v>2044</v>
      </c>
      <c r="T61" s="354">
        <f>IF(Select2=1,Food!$W63,"")</f>
        <v>0</v>
      </c>
      <c r="U61" s="342">
        <f>IF(Select2=1,Paper!$W63,"")</f>
        <v>0</v>
      </c>
      <c r="V61" s="338">
        <f>IF(Select2=1,Nappies!$W63,"")</f>
        <v>0</v>
      </c>
      <c r="W61" s="342">
        <f>IF(Select2=1,Garden!$W63,"")</f>
        <v>0</v>
      </c>
      <c r="X61" s="338">
        <f>IF(Select2=1,Wood!$W63,"")</f>
        <v>0</v>
      </c>
      <c r="Y61" s="342">
        <f>IF(Select2=1,Textiles!$W63,"")</f>
        <v>0</v>
      </c>
      <c r="Z61" s="340">
        <f>Sludge!W63</f>
        <v>0</v>
      </c>
      <c r="AA61" s="340" t="str">
        <f>IF(Select2=2,MSW!$W63,"")</f>
        <v/>
      </c>
      <c r="AB61" s="343">
        <f>Industry!$W63</f>
        <v>0</v>
      </c>
      <c r="AC61" s="379">
        <f t="shared" si="4"/>
        <v>0</v>
      </c>
      <c r="AD61" s="344">
        <f>Recovery_OX!R56</f>
        <v>0</v>
      </c>
      <c r="AE61" s="470"/>
      <c r="AF61" s="276">
        <f>(AC61-AD61)*(1-Recovery_OX!U56)</f>
        <v>0</v>
      </c>
    </row>
    <row r="62" spans="2:32">
      <c r="B62" s="357">
        <f t="shared" si="1"/>
        <v>2045</v>
      </c>
      <c r="C62" s="354">
        <f>IF(Select2=1,Food!$K64,"")</f>
        <v>0</v>
      </c>
      <c r="D62" s="342">
        <f>IF(Select2=1,Paper!$K64,"")</f>
        <v>0</v>
      </c>
      <c r="E62" s="338">
        <f>IF(Select2=1,Nappies!$K64,"")</f>
        <v>0</v>
      </c>
      <c r="F62" s="342">
        <f>IF(Select2=1,Garden!$K64,"")</f>
        <v>0</v>
      </c>
      <c r="G62" s="338">
        <f>IF(Select2=1,Wood!$K64,"")</f>
        <v>0</v>
      </c>
      <c r="H62" s="342">
        <f>IF(Select2=1,Textiles!$K64,"")</f>
        <v>0</v>
      </c>
      <c r="I62" s="343">
        <f>Sludge!K64</f>
        <v>0</v>
      </c>
      <c r="J62" s="343" t="str">
        <f>IF(Select2=2,MSW!$K64,"")</f>
        <v/>
      </c>
      <c r="K62" s="343">
        <f>Industry!$K64</f>
        <v>0</v>
      </c>
      <c r="L62" s="379">
        <f t="shared" si="3"/>
        <v>0</v>
      </c>
      <c r="M62" s="344">
        <f>Recovery_OX!C57</f>
        <v>0</v>
      </c>
      <c r="N62" s="470"/>
      <c r="O62" s="746">
        <f>(L62-M62)*(1-Recovery_OX!F57)</f>
        <v>0</v>
      </c>
      <c r="P62" s="175"/>
      <c r="Q62" s="506"/>
      <c r="S62" s="357">
        <f t="shared" si="2"/>
        <v>2045</v>
      </c>
      <c r="T62" s="354">
        <f>IF(Select2=1,Food!$W64,"")</f>
        <v>0</v>
      </c>
      <c r="U62" s="342">
        <f>IF(Select2=1,Paper!$W64,"")</f>
        <v>0</v>
      </c>
      <c r="V62" s="338">
        <f>IF(Select2=1,Nappies!$W64,"")</f>
        <v>0</v>
      </c>
      <c r="W62" s="342">
        <f>IF(Select2=1,Garden!$W64,"")</f>
        <v>0</v>
      </c>
      <c r="X62" s="338">
        <f>IF(Select2=1,Wood!$W64,"")</f>
        <v>0</v>
      </c>
      <c r="Y62" s="342">
        <f>IF(Select2=1,Textiles!$W64,"")</f>
        <v>0</v>
      </c>
      <c r="Z62" s="340">
        <f>Sludge!W64</f>
        <v>0</v>
      </c>
      <c r="AA62" s="340" t="str">
        <f>IF(Select2=2,MSW!$W64,"")</f>
        <v/>
      </c>
      <c r="AB62" s="343">
        <f>Industry!$W64</f>
        <v>0</v>
      </c>
      <c r="AC62" s="379">
        <f t="shared" si="4"/>
        <v>0</v>
      </c>
      <c r="AD62" s="344">
        <f>Recovery_OX!R57</f>
        <v>0</v>
      </c>
      <c r="AE62" s="470"/>
      <c r="AF62" s="276">
        <f>(AC62-AD62)*(1-Recovery_OX!U57)</f>
        <v>0</v>
      </c>
    </row>
    <row r="63" spans="2:32">
      <c r="B63" s="357">
        <f t="shared" si="1"/>
        <v>2046</v>
      </c>
      <c r="C63" s="354">
        <f>IF(Select2=1,Food!$K65,"")</f>
        <v>0</v>
      </c>
      <c r="D63" s="342">
        <f>IF(Select2=1,Paper!$K65,"")</f>
        <v>0</v>
      </c>
      <c r="E63" s="338">
        <f>IF(Select2=1,Nappies!$K65,"")</f>
        <v>0</v>
      </c>
      <c r="F63" s="342">
        <f>IF(Select2=1,Garden!$K65,"")</f>
        <v>0</v>
      </c>
      <c r="G63" s="338">
        <f>IF(Select2=1,Wood!$K65,"")</f>
        <v>0</v>
      </c>
      <c r="H63" s="342">
        <f>IF(Select2=1,Textiles!$K65,"")</f>
        <v>0</v>
      </c>
      <c r="I63" s="343">
        <f>Sludge!K65</f>
        <v>0</v>
      </c>
      <c r="J63" s="343" t="str">
        <f>IF(Select2=2,MSW!$K65,"")</f>
        <v/>
      </c>
      <c r="K63" s="343">
        <f>Industry!$K65</f>
        <v>0</v>
      </c>
      <c r="L63" s="379">
        <f t="shared" si="3"/>
        <v>0</v>
      </c>
      <c r="M63" s="344">
        <f>Recovery_OX!C58</f>
        <v>0</v>
      </c>
      <c r="N63" s="470"/>
      <c r="O63" s="746">
        <f>(L63-M63)*(1-Recovery_OX!F58)</f>
        <v>0</v>
      </c>
      <c r="P63" s="175"/>
      <c r="Q63" s="506"/>
      <c r="S63" s="357">
        <f t="shared" si="2"/>
        <v>2046</v>
      </c>
      <c r="T63" s="354">
        <f>IF(Select2=1,Food!$W65,"")</f>
        <v>0</v>
      </c>
      <c r="U63" s="342">
        <f>IF(Select2=1,Paper!$W65,"")</f>
        <v>0</v>
      </c>
      <c r="V63" s="338">
        <f>IF(Select2=1,Nappies!$W65,"")</f>
        <v>0</v>
      </c>
      <c r="W63" s="342">
        <f>IF(Select2=1,Garden!$W65,"")</f>
        <v>0</v>
      </c>
      <c r="X63" s="338">
        <f>IF(Select2=1,Wood!$W65,"")</f>
        <v>0</v>
      </c>
      <c r="Y63" s="342">
        <f>IF(Select2=1,Textiles!$W65,"")</f>
        <v>0</v>
      </c>
      <c r="Z63" s="340">
        <f>Sludge!W65</f>
        <v>0</v>
      </c>
      <c r="AA63" s="340" t="str">
        <f>IF(Select2=2,MSW!$W65,"")</f>
        <v/>
      </c>
      <c r="AB63" s="343">
        <f>Industry!$W65</f>
        <v>0</v>
      </c>
      <c r="AC63" s="379">
        <f t="shared" si="4"/>
        <v>0</v>
      </c>
      <c r="AD63" s="344">
        <f>Recovery_OX!R58</f>
        <v>0</v>
      </c>
      <c r="AE63" s="470"/>
      <c r="AF63" s="276">
        <f>(AC63-AD63)*(1-Recovery_OX!U58)</f>
        <v>0</v>
      </c>
    </row>
    <row r="64" spans="2:32">
      <c r="B64" s="357">
        <f t="shared" si="1"/>
        <v>2047</v>
      </c>
      <c r="C64" s="354">
        <f>IF(Select2=1,Food!$K66,"")</f>
        <v>0</v>
      </c>
      <c r="D64" s="342">
        <f>IF(Select2=1,Paper!$K66,"")</f>
        <v>0</v>
      </c>
      <c r="E64" s="338">
        <f>IF(Select2=1,Nappies!$K66,"")</f>
        <v>0</v>
      </c>
      <c r="F64" s="342">
        <f>IF(Select2=1,Garden!$K66,"")</f>
        <v>0</v>
      </c>
      <c r="G64" s="338">
        <f>IF(Select2=1,Wood!$K66,"")</f>
        <v>0</v>
      </c>
      <c r="H64" s="342">
        <f>IF(Select2=1,Textiles!$K66,"")</f>
        <v>0</v>
      </c>
      <c r="I64" s="343">
        <f>Sludge!K66</f>
        <v>0</v>
      </c>
      <c r="J64" s="343" t="str">
        <f>IF(Select2=2,MSW!$K66,"")</f>
        <v/>
      </c>
      <c r="K64" s="343">
        <f>Industry!$K66</f>
        <v>0</v>
      </c>
      <c r="L64" s="379">
        <f t="shared" si="3"/>
        <v>0</v>
      </c>
      <c r="M64" s="344">
        <f>Recovery_OX!C59</f>
        <v>0</v>
      </c>
      <c r="N64" s="470"/>
      <c r="O64" s="746">
        <f>(L64-M64)*(1-Recovery_OX!F59)</f>
        <v>0</v>
      </c>
      <c r="P64" s="175"/>
      <c r="Q64" s="506"/>
      <c r="S64" s="357">
        <f t="shared" si="2"/>
        <v>2047</v>
      </c>
      <c r="T64" s="354">
        <f>IF(Select2=1,Food!$W66,"")</f>
        <v>0</v>
      </c>
      <c r="U64" s="342">
        <f>IF(Select2=1,Paper!$W66,"")</f>
        <v>0</v>
      </c>
      <c r="V64" s="338">
        <f>IF(Select2=1,Nappies!$W66,"")</f>
        <v>0</v>
      </c>
      <c r="W64" s="342">
        <f>IF(Select2=1,Garden!$W66,"")</f>
        <v>0</v>
      </c>
      <c r="X64" s="338">
        <f>IF(Select2=1,Wood!$W66,"")</f>
        <v>0</v>
      </c>
      <c r="Y64" s="342">
        <f>IF(Select2=1,Textiles!$W66,"")</f>
        <v>0</v>
      </c>
      <c r="Z64" s="340">
        <f>Sludge!W66</f>
        <v>0</v>
      </c>
      <c r="AA64" s="340" t="str">
        <f>IF(Select2=2,MSW!$W66,"")</f>
        <v/>
      </c>
      <c r="AB64" s="343">
        <f>Industry!$W66</f>
        <v>0</v>
      </c>
      <c r="AC64" s="379">
        <f t="shared" si="4"/>
        <v>0</v>
      </c>
      <c r="AD64" s="344">
        <f>Recovery_OX!R59</f>
        <v>0</v>
      </c>
      <c r="AE64" s="470"/>
      <c r="AF64" s="276">
        <f>(AC64-AD64)*(1-Recovery_OX!U59)</f>
        <v>0</v>
      </c>
    </row>
    <row r="65" spans="2:32">
      <c r="B65" s="357">
        <f t="shared" si="1"/>
        <v>2048</v>
      </c>
      <c r="C65" s="354">
        <f>IF(Select2=1,Food!$K67,"")</f>
        <v>0</v>
      </c>
      <c r="D65" s="342">
        <f>IF(Select2=1,Paper!$K67,"")</f>
        <v>0</v>
      </c>
      <c r="E65" s="338">
        <f>IF(Select2=1,Nappies!$K67,"")</f>
        <v>0</v>
      </c>
      <c r="F65" s="342">
        <f>IF(Select2=1,Garden!$K67,"")</f>
        <v>0</v>
      </c>
      <c r="G65" s="338">
        <f>IF(Select2=1,Wood!$K67,"")</f>
        <v>0</v>
      </c>
      <c r="H65" s="342">
        <f>IF(Select2=1,Textiles!$K67,"")</f>
        <v>0</v>
      </c>
      <c r="I65" s="343">
        <f>Sludge!K67</f>
        <v>0</v>
      </c>
      <c r="J65" s="343" t="str">
        <f>IF(Select2=2,MSW!$K67,"")</f>
        <v/>
      </c>
      <c r="K65" s="343">
        <f>Industry!$K67</f>
        <v>0</v>
      </c>
      <c r="L65" s="379">
        <f t="shared" si="3"/>
        <v>0</v>
      </c>
      <c r="M65" s="344">
        <f>Recovery_OX!C60</f>
        <v>0</v>
      </c>
      <c r="N65" s="470"/>
      <c r="O65" s="746">
        <f>(L65-M65)*(1-Recovery_OX!F60)</f>
        <v>0</v>
      </c>
      <c r="P65" s="175"/>
      <c r="Q65" s="506"/>
      <c r="S65" s="357">
        <f t="shared" si="2"/>
        <v>2048</v>
      </c>
      <c r="T65" s="354">
        <f>IF(Select2=1,Food!$W67,"")</f>
        <v>0</v>
      </c>
      <c r="U65" s="342">
        <f>IF(Select2=1,Paper!$W67,"")</f>
        <v>0</v>
      </c>
      <c r="V65" s="338">
        <f>IF(Select2=1,Nappies!$W67,"")</f>
        <v>0</v>
      </c>
      <c r="W65" s="342">
        <f>IF(Select2=1,Garden!$W67,"")</f>
        <v>0</v>
      </c>
      <c r="X65" s="338">
        <f>IF(Select2=1,Wood!$W67,"")</f>
        <v>0</v>
      </c>
      <c r="Y65" s="342">
        <f>IF(Select2=1,Textiles!$W67,"")</f>
        <v>0</v>
      </c>
      <c r="Z65" s="340">
        <f>Sludge!W67</f>
        <v>0</v>
      </c>
      <c r="AA65" s="340" t="str">
        <f>IF(Select2=2,MSW!$W67,"")</f>
        <v/>
      </c>
      <c r="AB65" s="343">
        <f>Industry!$W67</f>
        <v>0</v>
      </c>
      <c r="AC65" s="379">
        <f t="shared" si="4"/>
        <v>0</v>
      </c>
      <c r="AD65" s="344">
        <f>Recovery_OX!R60</f>
        <v>0</v>
      </c>
      <c r="AE65" s="470"/>
      <c r="AF65" s="276">
        <f>(AC65-AD65)*(1-Recovery_OX!U60)</f>
        <v>0</v>
      </c>
    </row>
    <row r="66" spans="2:32">
      <c r="B66" s="357">
        <f t="shared" si="1"/>
        <v>2049</v>
      </c>
      <c r="C66" s="354">
        <f>IF(Select2=1,Food!$K68,"")</f>
        <v>0</v>
      </c>
      <c r="D66" s="342">
        <f>IF(Select2=1,Paper!$K68,"")</f>
        <v>0</v>
      </c>
      <c r="E66" s="338">
        <f>IF(Select2=1,Nappies!$K68,"")</f>
        <v>0</v>
      </c>
      <c r="F66" s="342">
        <f>IF(Select2=1,Garden!$K68,"")</f>
        <v>0</v>
      </c>
      <c r="G66" s="338">
        <f>IF(Select2=1,Wood!$K68,"")</f>
        <v>0</v>
      </c>
      <c r="H66" s="342">
        <f>IF(Select2=1,Textiles!$K68,"")</f>
        <v>0</v>
      </c>
      <c r="I66" s="343">
        <f>Sludge!K68</f>
        <v>0</v>
      </c>
      <c r="J66" s="343" t="str">
        <f>IF(Select2=2,MSW!$K68,"")</f>
        <v/>
      </c>
      <c r="K66" s="343">
        <f>Industry!$K68</f>
        <v>0</v>
      </c>
      <c r="L66" s="379">
        <f t="shared" si="3"/>
        <v>0</v>
      </c>
      <c r="M66" s="344">
        <f>Recovery_OX!C61</f>
        <v>0</v>
      </c>
      <c r="N66" s="470"/>
      <c r="O66" s="746">
        <f>(L66-M66)*(1-Recovery_OX!F61)</f>
        <v>0</v>
      </c>
      <c r="P66" s="175"/>
      <c r="Q66" s="506"/>
      <c r="S66" s="357">
        <f t="shared" si="2"/>
        <v>2049</v>
      </c>
      <c r="T66" s="354">
        <f>IF(Select2=1,Food!$W68,"")</f>
        <v>0</v>
      </c>
      <c r="U66" s="342">
        <f>IF(Select2=1,Paper!$W68,"")</f>
        <v>0</v>
      </c>
      <c r="V66" s="338">
        <f>IF(Select2=1,Nappies!$W68,"")</f>
        <v>0</v>
      </c>
      <c r="W66" s="342">
        <f>IF(Select2=1,Garden!$W68,"")</f>
        <v>0</v>
      </c>
      <c r="X66" s="338">
        <f>IF(Select2=1,Wood!$W68,"")</f>
        <v>0</v>
      </c>
      <c r="Y66" s="342">
        <f>IF(Select2=1,Textiles!$W68,"")</f>
        <v>0</v>
      </c>
      <c r="Z66" s="340">
        <f>Sludge!W68</f>
        <v>0</v>
      </c>
      <c r="AA66" s="340" t="str">
        <f>IF(Select2=2,MSW!$W68,"")</f>
        <v/>
      </c>
      <c r="AB66" s="343">
        <f>Industry!$W68</f>
        <v>0</v>
      </c>
      <c r="AC66" s="379">
        <f t="shared" si="4"/>
        <v>0</v>
      </c>
      <c r="AD66" s="344">
        <f>Recovery_OX!R61</f>
        <v>0</v>
      </c>
      <c r="AE66" s="470"/>
      <c r="AF66" s="276">
        <f>(AC66-AD66)*(1-Recovery_OX!U61)</f>
        <v>0</v>
      </c>
    </row>
    <row r="67" spans="2:32">
      <c r="B67" s="357">
        <f t="shared" si="1"/>
        <v>2050</v>
      </c>
      <c r="C67" s="354">
        <f>IF(Select2=1,Food!$K69,"")</f>
        <v>0</v>
      </c>
      <c r="D67" s="342">
        <f>IF(Select2=1,Paper!$K69,"")</f>
        <v>0</v>
      </c>
      <c r="E67" s="338">
        <f>IF(Select2=1,Nappies!$K69,"")</f>
        <v>0</v>
      </c>
      <c r="F67" s="342">
        <f>IF(Select2=1,Garden!$K69,"")</f>
        <v>0</v>
      </c>
      <c r="G67" s="338">
        <f>IF(Select2=1,Wood!$K69,"")</f>
        <v>0</v>
      </c>
      <c r="H67" s="342">
        <f>IF(Select2=1,Textiles!$K69,"")</f>
        <v>0</v>
      </c>
      <c r="I67" s="343">
        <f>Sludge!K69</f>
        <v>0</v>
      </c>
      <c r="J67" s="343" t="str">
        <f>IF(Select2=2,MSW!$K69,"")</f>
        <v/>
      </c>
      <c r="K67" s="343">
        <f>Industry!$K69</f>
        <v>0</v>
      </c>
      <c r="L67" s="379">
        <f t="shared" si="3"/>
        <v>0</v>
      </c>
      <c r="M67" s="344">
        <f>Recovery_OX!C62</f>
        <v>0</v>
      </c>
      <c r="N67" s="470"/>
      <c r="O67" s="746">
        <f>(L67-M67)*(1-Recovery_OX!F62)</f>
        <v>0</v>
      </c>
      <c r="P67" s="175"/>
      <c r="Q67" s="506"/>
      <c r="S67" s="357">
        <f t="shared" si="2"/>
        <v>2050</v>
      </c>
      <c r="T67" s="354">
        <f>IF(Select2=1,Food!$W69,"")</f>
        <v>0</v>
      </c>
      <c r="U67" s="342">
        <f>IF(Select2=1,Paper!$W69,"")</f>
        <v>0</v>
      </c>
      <c r="V67" s="338">
        <f>IF(Select2=1,Nappies!$W69,"")</f>
        <v>0</v>
      </c>
      <c r="W67" s="342">
        <f>IF(Select2=1,Garden!$W69,"")</f>
        <v>0</v>
      </c>
      <c r="X67" s="338">
        <f>IF(Select2=1,Wood!$W69,"")</f>
        <v>0</v>
      </c>
      <c r="Y67" s="342">
        <f>IF(Select2=1,Textiles!$W69,"")</f>
        <v>0</v>
      </c>
      <c r="Z67" s="340">
        <f>Sludge!W69</f>
        <v>0</v>
      </c>
      <c r="AA67" s="340" t="str">
        <f>IF(Select2=2,MSW!$W69,"")</f>
        <v/>
      </c>
      <c r="AB67" s="343">
        <f>Industry!$W69</f>
        <v>0</v>
      </c>
      <c r="AC67" s="379">
        <f t="shared" si="4"/>
        <v>0</v>
      </c>
      <c r="AD67" s="344">
        <f>Recovery_OX!R62</f>
        <v>0</v>
      </c>
      <c r="AE67" s="470"/>
      <c r="AF67" s="276">
        <f>(AC67-AD67)*(1-Recovery_OX!U62)</f>
        <v>0</v>
      </c>
    </row>
    <row r="68" spans="2:32">
      <c r="B68" s="357">
        <f t="shared" si="1"/>
        <v>2051</v>
      </c>
      <c r="C68" s="354">
        <f>IF(Select2=1,Food!$K70,"")</f>
        <v>0</v>
      </c>
      <c r="D68" s="342">
        <f>IF(Select2=1,Paper!$K70,"")</f>
        <v>0</v>
      </c>
      <c r="E68" s="338">
        <f>IF(Select2=1,Nappies!$K70,"")</f>
        <v>0</v>
      </c>
      <c r="F68" s="342">
        <f>IF(Select2=1,Garden!$K70,"")</f>
        <v>0</v>
      </c>
      <c r="G68" s="338">
        <f>IF(Select2=1,Wood!$K70,"")</f>
        <v>0</v>
      </c>
      <c r="H68" s="342">
        <f>IF(Select2=1,Textiles!$K70,"")</f>
        <v>0</v>
      </c>
      <c r="I68" s="343">
        <f>Sludge!K70</f>
        <v>0</v>
      </c>
      <c r="J68" s="343" t="str">
        <f>IF(Select2=2,MSW!$K70,"")</f>
        <v/>
      </c>
      <c r="K68" s="343">
        <f>Industry!$K70</f>
        <v>0</v>
      </c>
      <c r="L68" s="379">
        <f t="shared" si="3"/>
        <v>0</v>
      </c>
      <c r="M68" s="344">
        <f>Recovery_OX!C63</f>
        <v>0</v>
      </c>
      <c r="N68" s="470"/>
      <c r="O68" s="746">
        <f>(L68-M68)*(1-Recovery_OX!F63)</f>
        <v>0</v>
      </c>
      <c r="P68" s="175"/>
      <c r="Q68" s="506"/>
      <c r="S68" s="357">
        <f t="shared" si="2"/>
        <v>2051</v>
      </c>
      <c r="T68" s="354">
        <f>IF(Select2=1,Food!$W70,"")</f>
        <v>0</v>
      </c>
      <c r="U68" s="342">
        <f>IF(Select2=1,Paper!$W70,"")</f>
        <v>0</v>
      </c>
      <c r="V68" s="338">
        <f>IF(Select2=1,Nappies!$W70,"")</f>
        <v>0</v>
      </c>
      <c r="W68" s="342">
        <f>IF(Select2=1,Garden!$W70,"")</f>
        <v>0</v>
      </c>
      <c r="X68" s="338">
        <f>IF(Select2=1,Wood!$W70,"")</f>
        <v>0</v>
      </c>
      <c r="Y68" s="342">
        <f>IF(Select2=1,Textiles!$W70,"")</f>
        <v>0</v>
      </c>
      <c r="Z68" s="340">
        <f>Sludge!W70</f>
        <v>0</v>
      </c>
      <c r="AA68" s="340" t="str">
        <f>IF(Select2=2,MSW!$W70,"")</f>
        <v/>
      </c>
      <c r="AB68" s="343">
        <f>Industry!$W70</f>
        <v>0</v>
      </c>
      <c r="AC68" s="379">
        <f t="shared" si="4"/>
        <v>0</v>
      </c>
      <c r="AD68" s="344">
        <f>Recovery_OX!R63</f>
        <v>0</v>
      </c>
      <c r="AE68" s="470"/>
      <c r="AF68" s="276">
        <f>(AC68-AD68)*(1-Recovery_OX!U63)</f>
        <v>0</v>
      </c>
    </row>
    <row r="69" spans="2:32">
      <c r="B69" s="357">
        <f t="shared" si="1"/>
        <v>2052</v>
      </c>
      <c r="C69" s="354">
        <f>IF(Select2=1,Food!$K71,"")</f>
        <v>0</v>
      </c>
      <c r="D69" s="342">
        <f>IF(Select2=1,Paper!$K71,"")</f>
        <v>0</v>
      </c>
      <c r="E69" s="338">
        <f>IF(Select2=1,Nappies!$K71,"")</f>
        <v>0</v>
      </c>
      <c r="F69" s="342">
        <f>IF(Select2=1,Garden!$K71,"")</f>
        <v>0</v>
      </c>
      <c r="G69" s="338">
        <f>IF(Select2=1,Wood!$K71,"")</f>
        <v>0</v>
      </c>
      <c r="H69" s="342">
        <f>IF(Select2=1,Textiles!$K71,"")</f>
        <v>0</v>
      </c>
      <c r="I69" s="343">
        <f>Sludge!K71</f>
        <v>0</v>
      </c>
      <c r="J69" s="343" t="str">
        <f>IF(Select2=2,MSW!$K71,"")</f>
        <v/>
      </c>
      <c r="K69" s="343">
        <f>Industry!$K71</f>
        <v>0</v>
      </c>
      <c r="L69" s="379">
        <f t="shared" si="3"/>
        <v>0</v>
      </c>
      <c r="M69" s="344">
        <f>Recovery_OX!C64</f>
        <v>0</v>
      </c>
      <c r="N69" s="470"/>
      <c r="O69" s="746">
        <f>(L69-M69)*(1-Recovery_OX!F64)</f>
        <v>0</v>
      </c>
      <c r="P69" s="175"/>
      <c r="Q69" s="506"/>
      <c r="S69" s="357">
        <f t="shared" si="2"/>
        <v>2052</v>
      </c>
      <c r="T69" s="354">
        <f>IF(Select2=1,Food!$W71,"")</f>
        <v>0</v>
      </c>
      <c r="U69" s="342">
        <f>IF(Select2=1,Paper!$W71,"")</f>
        <v>0</v>
      </c>
      <c r="V69" s="338">
        <f>IF(Select2=1,Nappies!$W71,"")</f>
        <v>0</v>
      </c>
      <c r="W69" s="342">
        <f>IF(Select2=1,Garden!$W71,"")</f>
        <v>0</v>
      </c>
      <c r="X69" s="338">
        <f>IF(Select2=1,Wood!$W71,"")</f>
        <v>0</v>
      </c>
      <c r="Y69" s="342">
        <f>IF(Select2=1,Textiles!$W71,"")</f>
        <v>0</v>
      </c>
      <c r="Z69" s="340">
        <f>Sludge!W71</f>
        <v>0</v>
      </c>
      <c r="AA69" s="340" t="str">
        <f>IF(Select2=2,MSW!$W71,"")</f>
        <v/>
      </c>
      <c r="AB69" s="343">
        <f>Industry!$W71</f>
        <v>0</v>
      </c>
      <c r="AC69" s="379">
        <f t="shared" si="4"/>
        <v>0</v>
      </c>
      <c r="AD69" s="344">
        <f>Recovery_OX!R64</f>
        <v>0</v>
      </c>
      <c r="AE69" s="470"/>
      <c r="AF69" s="276">
        <f>(AC69-AD69)*(1-Recovery_OX!U64)</f>
        <v>0</v>
      </c>
    </row>
    <row r="70" spans="2:32">
      <c r="B70" s="357">
        <f t="shared" si="1"/>
        <v>2053</v>
      </c>
      <c r="C70" s="354">
        <f>IF(Select2=1,Food!$K72,"")</f>
        <v>0</v>
      </c>
      <c r="D70" s="342">
        <f>IF(Select2=1,Paper!$K72,"")</f>
        <v>0</v>
      </c>
      <c r="E70" s="338">
        <f>IF(Select2=1,Nappies!$K72,"")</f>
        <v>0</v>
      </c>
      <c r="F70" s="342">
        <f>IF(Select2=1,Garden!$K72,"")</f>
        <v>0</v>
      </c>
      <c r="G70" s="338">
        <f>IF(Select2=1,Wood!$K72,"")</f>
        <v>0</v>
      </c>
      <c r="H70" s="342">
        <f>IF(Select2=1,Textiles!$K72,"")</f>
        <v>0</v>
      </c>
      <c r="I70" s="343">
        <f>Sludge!K72</f>
        <v>0</v>
      </c>
      <c r="J70" s="343" t="str">
        <f>IF(Select2=2,MSW!$K72,"")</f>
        <v/>
      </c>
      <c r="K70" s="343">
        <f>Industry!$K72</f>
        <v>0</v>
      </c>
      <c r="L70" s="379">
        <f t="shared" si="3"/>
        <v>0</v>
      </c>
      <c r="M70" s="344">
        <f>Recovery_OX!C65</f>
        <v>0</v>
      </c>
      <c r="N70" s="470"/>
      <c r="O70" s="746">
        <f>(L70-M70)*(1-Recovery_OX!F65)</f>
        <v>0</v>
      </c>
      <c r="P70" s="175"/>
      <c r="Q70" s="506"/>
      <c r="S70" s="357">
        <f t="shared" si="2"/>
        <v>2053</v>
      </c>
      <c r="T70" s="354">
        <f>IF(Select2=1,Food!$W72,"")</f>
        <v>0</v>
      </c>
      <c r="U70" s="342">
        <f>IF(Select2=1,Paper!$W72,"")</f>
        <v>0</v>
      </c>
      <c r="V70" s="338">
        <f>IF(Select2=1,Nappies!$W72,"")</f>
        <v>0</v>
      </c>
      <c r="W70" s="342">
        <f>IF(Select2=1,Garden!$W72,"")</f>
        <v>0</v>
      </c>
      <c r="X70" s="338">
        <f>IF(Select2=1,Wood!$W72,"")</f>
        <v>0</v>
      </c>
      <c r="Y70" s="342">
        <f>IF(Select2=1,Textiles!$W72,"")</f>
        <v>0</v>
      </c>
      <c r="Z70" s="340">
        <f>Sludge!W72</f>
        <v>0</v>
      </c>
      <c r="AA70" s="340" t="str">
        <f>IF(Select2=2,MSW!$W72,"")</f>
        <v/>
      </c>
      <c r="AB70" s="343">
        <f>Industry!$W72</f>
        <v>0</v>
      </c>
      <c r="AC70" s="379">
        <f t="shared" si="4"/>
        <v>0</v>
      </c>
      <c r="AD70" s="344">
        <f>Recovery_OX!R65</f>
        <v>0</v>
      </c>
      <c r="AE70" s="470"/>
      <c r="AF70" s="276">
        <f>(AC70-AD70)*(1-Recovery_OX!U65)</f>
        <v>0</v>
      </c>
    </row>
    <row r="71" spans="2:32">
      <c r="B71" s="357">
        <f t="shared" si="1"/>
        <v>2054</v>
      </c>
      <c r="C71" s="354">
        <f>IF(Select2=1,Food!$K73,"")</f>
        <v>0</v>
      </c>
      <c r="D71" s="342">
        <f>IF(Select2=1,Paper!$K73,"")</f>
        <v>0</v>
      </c>
      <c r="E71" s="338">
        <f>IF(Select2=1,Nappies!$K73,"")</f>
        <v>0</v>
      </c>
      <c r="F71" s="342">
        <f>IF(Select2=1,Garden!$K73,"")</f>
        <v>0</v>
      </c>
      <c r="G71" s="338">
        <f>IF(Select2=1,Wood!$K73,"")</f>
        <v>0</v>
      </c>
      <c r="H71" s="342">
        <f>IF(Select2=1,Textiles!$K73,"")</f>
        <v>0</v>
      </c>
      <c r="I71" s="343">
        <f>Sludge!K73</f>
        <v>0</v>
      </c>
      <c r="J71" s="343" t="str">
        <f>IF(Select2=2,MSW!$K73,"")</f>
        <v/>
      </c>
      <c r="K71" s="343">
        <f>Industry!$K73</f>
        <v>0</v>
      </c>
      <c r="L71" s="379">
        <f t="shared" si="3"/>
        <v>0</v>
      </c>
      <c r="M71" s="344">
        <f>Recovery_OX!C66</f>
        <v>0</v>
      </c>
      <c r="N71" s="470"/>
      <c r="O71" s="746">
        <f>(L71-M71)*(1-Recovery_OX!F66)</f>
        <v>0</v>
      </c>
      <c r="P71" s="175"/>
      <c r="Q71" s="506"/>
      <c r="S71" s="357">
        <f t="shared" si="2"/>
        <v>2054</v>
      </c>
      <c r="T71" s="354">
        <f>IF(Select2=1,Food!$W73,"")</f>
        <v>0</v>
      </c>
      <c r="U71" s="342">
        <f>IF(Select2=1,Paper!$W73,"")</f>
        <v>0</v>
      </c>
      <c r="V71" s="338">
        <f>IF(Select2=1,Nappies!$W73,"")</f>
        <v>0</v>
      </c>
      <c r="W71" s="342">
        <f>IF(Select2=1,Garden!$W73,"")</f>
        <v>0</v>
      </c>
      <c r="X71" s="338">
        <f>IF(Select2=1,Wood!$W73,"")</f>
        <v>0</v>
      </c>
      <c r="Y71" s="342">
        <f>IF(Select2=1,Textiles!$W73,"")</f>
        <v>0</v>
      </c>
      <c r="Z71" s="340">
        <f>Sludge!W73</f>
        <v>0</v>
      </c>
      <c r="AA71" s="340" t="str">
        <f>IF(Select2=2,MSW!$W73,"")</f>
        <v/>
      </c>
      <c r="AB71" s="343">
        <f>Industry!$W73</f>
        <v>0</v>
      </c>
      <c r="AC71" s="379">
        <f t="shared" si="4"/>
        <v>0</v>
      </c>
      <c r="AD71" s="344">
        <f>Recovery_OX!R66</f>
        <v>0</v>
      </c>
      <c r="AE71" s="470"/>
      <c r="AF71" s="276">
        <f>(AC71-AD71)*(1-Recovery_OX!U66)</f>
        <v>0</v>
      </c>
    </row>
    <row r="72" spans="2:32">
      <c r="B72" s="357">
        <f t="shared" si="1"/>
        <v>2055</v>
      </c>
      <c r="C72" s="354">
        <f>IF(Select2=1,Food!$K74,"")</f>
        <v>0</v>
      </c>
      <c r="D72" s="342">
        <f>IF(Select2=1,Paper!$K74,"")</f>
        <v>0</v>
      </c>
      <c r="E72" s="338">
        <f>IF(Select2=1,Nappies!$K74,"")</f>
        <v>0</v>
      </c>
      <c r="F72" s="342">
        <f>IF(Select2=1,Garden!$K74,"")</f>
        <v>0</v>
      </c>
      <c r="G72" s="338">
        <f>IF(Select2=1,Wood!$K74,"")</f>
        <v>0</v>
      </c>
      <c r="H72" s="342">
        <f>IF(Select2=1,Textiles!$K74,"")</f>
        <v>0</v>
      </c>
      <c r="I72" s="343">
        <f>Sludge!K74</f>
        <v>0</v>
      </c>
      <c r="J72" s="343" t="str">
        <f>IF(Select2=2,MSW!$K74,"")</f>
        <v/>
      </c>
      <c r="K72" s="343">
        <f>Industry!$K74</f>
        <v>0</v>
      </c>
      <c r="L72" s="379">
        <f t="shared" si="3"/>
        <v>0</v>
      </c>
      <c r="M72" s="344">
        <f>Recovery_OX!C67</f>
        <v>0</v>
      </c>
      <c r="N72" s="470"/>
      <c r="O72" s="746">
        <f>(L72-M72)*(1-Recovery_OX!F67)</f>
        <v>0</v>
      </c>
      <c r="P72" s="175"/>
      <c r="Q72" s="506"/>
      <c r="S72" s="357">
        <f t="shared" si="2"/>
        <v>2055</v>
      </c>
      <c r="T72" s="354">
        <f>IF(Select2=1,Food!$W74,"")</f>
        <v>0</v>
      </c>
      <c r="U72" s="342">
        <f>IF(Select2=1,Paper!$W74,"")</f>
        <v>0</v>
      </c>
      <c r="V72" s="338">
        <f>IF(Select2=1,Nappies!$W74,"")</f>
        <v>0</v>
      </c>
      <c r="W72" s="342">
        <f>IF(Select2=1,Garden!$W74,"")</f>
        <v>0</v>
      </c>
      <c r="X72" s="338">
        <f>IF(Select2=1,Wood!$W74,"")</f>
        <v>0</v>
      </c>
      <c r="Y72" s="342">
        <f>IF(Select2=1,Textiles!$W74,"")</f>
        <v>0</v>
      </c>
      <c r="Z72" s="340">
        <f>Sludge!W74</f>
        <v>0</v>
      </c>
      <c r="AA72" s="340" t="str">
        <f>IF(Select2=2,MSW!$W74,"")</f>
        <v/>
      </c>
      <c r="AB72" s="343">
        <f>Industry!$W74</f>
        <v>0</v>
      </c>
      <c r="AC72" s="379">
        <f t="shared" si="4"/>
        <v>0</v>
      </c>
      <c r="AD72" s="344">
        <f>Recovery_OX!R67</f>
        <v>0</v>
      </c>
      <c r="AE72" s="470"/>
      <c r="AF72" s="276">
        <f>(AC72-AD72)*(1-Recovery_OX!U67)</f>
        <v>0</v>
      </c>
    </row>
    <row r="73" spans="2:32">
      <c r="B73" s="357">
        <f t="shared" si="1"/>
        <v>2056</v>
      </c>
      <c r="C73" s="354">
        <f>IF(Select2=1,Food!$K75,"")</f>
        <v>0</v>
      </c>
      <c r="D73" s="342">
        <f>IF(Select2=1,Paper!$K75,"")</f>
        <v>0</v>
      </c>
      <c r="E73" s="338">
        <f>IF(Select2=1,Nappies!$K75,"")</f>
        <v>0</v>
      </c>
      <c r="F73" s="342">
        <f>IF(Select2=1,Garden!$K75,"")</f>
        <v>0</v>
      </c>
      <c r="G73" s="338">
        <f>IF(Select2=1,Wood!$K75,"")</f>
        <v>0</v>
      </c>
      <c r="H73" s="342">
        <f>IF(Select2=1,Textiles!$K75,"")</f>
        <v>0</v>
      </c>
      <c r="I73" s="343">
        <f>Sludge!K75</f>
        <v>0</v>
      </c>
      <c r="J73" s="343" t="str">
        <f>IF(Select2=2,MSW!$K75,"")</f>
        <v/>
      </c>
      <c r="K73" s="343">
        <f>Industry!$K75</f>
        <v>0</v>
      </c>
      <c r="L73" s="379">
        <f t="shared" si="3"/>
        <v>0</v>
      </c>
      <c r="M73" s="344">
        <f>Recovery_OX!C68</f>
        <v>0</v>
      </c>
      <c r="N73" s="470"/>
      <c r="O73" s="746">
        <f>(L73-M73)*(1-Recovery_OX!F68)</f>
        <v>0</v>
      </c>
      <c r="P73" s="175"/>
      <c r="Q73" s="506"/>
      <c r="S73" s="357">
        <f t="shared" si="2"/>
        <v>2056</v>
      </c>
      <c r="T73" s="354">
        <f>IF(Select2=1,Food!$W75,"")</f>
        <v>0</v>
      </c>
      <c r="U73" s="342">
        <f>IF(Select2=1,Paper!$W75,"")</f>
        <v>0</v>
      </c>
      <c r="V73" s="338">
        <f>IF(Select2=1,Nappies!$W75,"")</f>
        <v>0</v>
      </c>
      <c r="W73" s="342">
        <f>IF(Select2=1,Garden!$W75,"")</f>
        <v>0</v>
      </c>
      <c r="X73" s="338">
        <f>IF(Select2=1,Wood!$W75,"")</f>
        <v>0</v>
      </c>
      <c r="Y73" s="342">
        <f>IF(Select2=1,Textiles!$W75,"")</f>
        <v>0</v>
      </c>
      <c r="Z73" s="340">
        <f>Sludge!W75</f>
        <v>0</v>
      </c>
      <c r="AA73" s="340" t="str">
        <f>IF(Select2=2,MSW!$W75,"")</f>
        <v/>
      </c>
      <c r="AB73" s="343">
        <f>Industry!$W75</f>
        <v>0</v>
      </c>
      <c r="AC73" s="379">
        <f t="shared" si="4"/>
        <v>0</v>
      </c>
      <c r="AD73" s="344">
        <f>Recovery_OX!R68</f>
        <v>0</v>
      </c>
      <c r="AE73" s="470"/>
      <c r="AF73" s="276">
        <f>(AC73-AD73)*(1-Recovery_OX!U68)</f>
        <v>0</v>
      </c>
    </row>
    <row r="74" spans="2:32">
      <c r="B74" s="357">
        <f t="shared" si="1"/>
        <v>2057</v>
      </c>
      <c r="C74" s="354">
        <f>IF(Select2=1,Food!$K76,"")</f>
        <v>0</v>
      </c>
      <c r="D74" s="342">
        <f>IF(Select2=1,Paper!$K76,"")</f>
        <v>0</v>
      </c>
      <c r="E74" s="338">
        <f>IF(Select2=1,Nappies!$K76,"")</f>
        <v>0</v>
      </c>
      <c r="F74" s="342">
        <f>IF(Select2=1,Garden!$K76,"")</f>
        <v>0</v>
      </c>
      <c r="G74" s="338">
        <f>IF(Select2=1,Wood!$K76,"")</f>
        <v>0</v>
      </c>
      <c r="H74" s="342">
        <f>IF(Select2=1,Textiles!$K76,"")</f>
        <v>0</v>
      </c>
      <c r="I74" s="343">
        <f>Sludge!K76</f>
        <v>0</v>
      </c>
      <c r="J74" s="343" t="str">
        <f>IF(Select2=2,MSW!$K76,"")</f>
        <v/>
      </c>
      <c r="K74" s="343">
        <f>Industry!$K76</f>
        <v>0</v>
      </c>
      <c r="L74" s="379">
        <f t="shared" si="3"/>
        <v>0</v>
      </c>
      <c r="M74" s="344">
        <f>Recovery_OX!C69</f>
        <v>0</v>
      </c>
      <c r="N74" s="470"/>
      <c r="O74" s="746">
        <f>(L74-M74)*(1-Recovery_OX!F69)</f>
        <v>0</v>
      </c>
      <c r="P74" s="175"/>
      <c r="Q74" s="506"/>
      <c r="S74" s="357">
        <f t="shared" si="2"/>
        <v>2057</v>
      </c>
      <c r="T74" s="354">
        <f>IF(Select2=1,Food!$W76,"")</f>
        <v>0</v>
      </c>
      <c r="U74" s="342">
        <f>IF(Select2=1,Paper!$W76,"")</f>
        <v>0</v>
      </c>
      <c r="V74" s="338">
        <f>IF(Select2=1,Nappies!$W76,"")</f>
        <v>0</v>
      </c>
      <c r="W74" s="342">
        <f>IF(Select2=1,Garden!$W76,"")</f>
        <v>0</v>
      </c>
      <c r="X74" s="338">
        <f>IF(Select2=1,Wood!$W76,"")</f>
        <v>0</v>
      </c>
      <c r="Y74" s="342">
        <f>IF(Select2=1,Textiles!$W76,"")</f>
        <v>0</v>
      </c>
      <c r="Z74" s="340">
        <f>Sludge!W76</f>
        <v>0</v>
      </c>
      <c r="AA74" s="340" t="str">
        <f>IF(Select2=2,MSW!$W76,"")</f>
        <v/>
      </c>
      <c r="AB74" s="343">
        <f>Industry!$W76</f>
        <v>0</v>
      </c>
      <c r="AC74" s="379">
        <f t="shared" si="4"/>
        <v>0</v>
      </c>
      <c r="AD74" s="344">
        <f>Recovery_OX!R69</f>
        <v>0</v>
      </c>
      <c r="AE74" s="470"/>
      <c r="AF74" s="276">
        <f>(AC74-AD74)*(1-Recovery_OX!U69)</f>
        <v>0</v>
      </c>
    </row>
    <row r="75" spans="2:32">
      <c r="B75" s="357">
        <f t="shared" si="1"/>
        <v>2058</v>
      </c>
      <c r="C75" s="354">
        <f>IF(Select2=1,Food!$K77,"")</f>
        <v>0</v>
      </c>
      <c r="D75" s="342">
        <f>IF(Select2=1,Paper!$K77,"")</f>
        <v>0</v>
      </c>
      <c r="E75" s="338">
        <f>IF(Select2=1,Nappies!$K77,"")</f>
        <v>0</v>
      </c>
      <c r="F75" s="342">
        <f>IF(Select2=1,Garden!$K77,"")</f>
        <v>0</v>
      </c>
      <c r="G75" s="338">
        <f>IF(Select2=1,Wood!$K77,"")</f>
        <v>0</v>
      </c>
      <c r="H75" s="342">
        <f>IF(Select2=1,Textiles!$K77,"")</f>
        <v>0</v>
      </c>
      <c r="I75" s="343">
        <f>Sludge!K77</f>
        <v>0</v>
      </c>
      <c r="J75" s="343" t="str">
        <f>IF(Select2=2,MSW!$K77,"")</f>
        <v/>
      </c>
      <c r="K75" s="343">
        <f>Industry!$K77</f>
        <v>0</v>
      </c>
      <c r="L75" s="379">
        <f t="shared" si="3"/>
        <v>0</v>
      </c>
      <c r="M75" s="344">
        <f>Recovery_OX!C70</f>
        <v>0</v>
      </c>
      <c r="N75" s="470"/>
      <c r="O75" s="746">
        <f>(L75-M75)*(1-Recovery_OX!F70)</f>
        <v>0</v>
      </c>
      <c r="P75" s="175"/>
      <c r="Q75" s="506"/>
      <c r="S75" s="357">
        <f t="shared" si="2"/>
        <v>2058</v>
      </c>
      <c r="T75" s="354">
        <f>IF(Select2=1,Food!$W77,"")</f>
        <v>0</v>
      </c>
      <c r="U75" s="342">
        <f>IF(Select2=1,Paper!$W77,"")</f>
        <v>0</v>
      </c>
      <c r="V75" s="338">
        <f>IF(Select2=1,Nappies!$W77,"")</f>
        <v>0</v>
      </c>
      <c r="W75" s="342">
        <f>IF(Select2=1,Garden!$W77,"")</f>
        <v>0</v>
      </c>
      <c r="X75" s="338">
        <f>IF(Select2=1,Wood!$W77,"")</f>
        <v>0</v>
      </c>
      <c r="Y75" s="342">
        <f>IF(Select2=1,Textiles!$W77,"")</f>
        <v>0</v>
      </c>
      <c r="Z75" s="340">
        <f>Sludge!W77</f>
        <v>0</v>
      </c>
      <c r="AA75" s="340" t="str">
        <f>IF(Select2=2,MSW!$W77,"")</f>
        <v/>
      </c>
      <c r="AB75" s="343">
        <f>Industry!$W77</f>
        <v>0</v>
      </c>
      <c r="AC75" s="379">
        <f t="shared" si="4"/>
        <v>0</v>
      </c>
      <c r="AD75" s="344">
        <f>Recovery_OX!R70</f>
        <v>0</v>
      </c>
      <c r="AE75" s="470"/>
      <c r="AF75" s="276">
        <f>(AC75-AD75)*(1-Recovery_OX!U70)</f>
        <v>0</v>
      </c>
    </row>
    <row r="76" spans="2:32">
      <c r="B76" s="357">
        <f t="shared" si="1"/>
        <v>2059</v>
      </c>
      <c r="C76" s="354">
        <f>IF(Select2=1,Food!$K78,"")</f>
        <v>0</v>
      </c>
      <c r="D76" s="342">
        <f>IF(Select2=1,Paper!$K78,"")</f>
        <v>0</v>
      </c>
      <c r="E76" s="338">
        <f>IF(Select2=1,Nappies!$K78,"")</f>
        <v>0</v>
      </c>
      <c r="F76" s="342">
        <f>IF(Select2=1,Garden!$K78,"")</f>
        <v>0</v>
      </c>
      <c r="G76" s="338">
        <f>IF(Select2=1,Wood!$K78,"")</f>
        <v>0</v>
      </c>
      <c r="H76" s="342">
        <f>IF(Select2=1,Textiles!$K78,"")</f>
        <v>0</v>
      </c>
      <c r="I76" s="343">
        <f>Sludge!K78</f>
        <v>0</v>
      </c>
      <c r="J76" s="343" t="str">
        <f>IF(Select2=2,MSW!$K78,"")</f>
        <v/>
      </c>
      <c r="K76" s="343">
        <f>Industry!$K78</f>
        <v>0</v>
      </c>
      <c r="L76" s="379">
        <f t="shared" si="3"/>
        <v>0</v>
      </c>
      <c r="M76" s="344">
        <f>Recovery_OX!C71</f>
        <v>0</v>
      </c>
      <c r="N76" s="470"/>
      <c r="O76" s="746">
        <f>(L76-M76)*(1-Recovery_OX!F71)</f>
        <v>0</v>
      </c>
      <c r="P76" s="175"/>
      <c r="Q76" s="506"/>
      <c r="S76" s="357">
        <f t="shared" si="2"/>
        <v>2059</v>
      </c>
      <c r="T76" s="354">
        <f>IF(Select2=1,Food!$W78,"")</f>
        <v>0</v>
      </c>
      <c r="U76" s="342">
        <f>IF(Select2=1,Paper!$W78,"")</f>
        <v>0</v>
      </c>
      <c r="V76" s="338">
        <f>IF(Select2=1,Nappies!$W78,"")</f>
        <v>0</v>
      </c>
      <c r="W76" s="342">
        <f>IF(Select2=1,Garden!$W78,"")</f>
        <v>0</v>
      </c>
      <c r="X76" s="338">
        <f>IF(Select2=1,Wood!$W78,"")</f>
        <v>0</v>
      </c>
      <c r="Y76" s="342">
        <f>IF(Select2=1,Textiles!$W78,"")</f>
        <v>0</v>
      </c>
      <c r="Z76" s="340">
        <f>Sludge!W78</f>
        <v>0</v>
      </c>
      <c r="AA76" s="340" t="str">
        <f>IF(Select2=2,MSW!$W78,"")</f>
        <v/>
      </c>
      <c r="AB76" s="343">
        <f>Industry!$W78</f>
        <v>0</v>
      </c>
      <c r="AC76" s="379">
        <f t="shared" si="4"/>
        <v>0</v>
      </c>
      <c r="AD76" s="344">
        <f>Recovery_OX!R71</f>
        <v>0</v>
      </c>
      <c r="AE76" s="470"/>
      <c r="AF76" s="276">
        <f>(AC76-AD76)*(1-Recovery_OX!U71)</f>
        <v>0</v>
      </c>
    </row>
    <row r="77" spans="2:32">
      <c r="B77" s="357">
        <f t="shared" si="1"/>
        <v>2060</v>
      </c>
      <c r="C77" s="354">
        <f>IF(Select2=1,Food!$K79,"")</f>
        <v>0</v>
      </c>
      <c r="D77" s="342">
        <f>IF(Select2=1,Paper!$K79,"")</f>
        <v>0</v>
      </c>
      <c r="E77" s="338">
        <f>IF(Select2=1,Nappies!$K79,"")</f>
        <v>0</v>
      </c>
      <c r="F77" s="342">
        <f>IF(Select2=1,Garden!$K79,"")</f>
        <v>0</v>
      </c>
      <c r="G77" s="338">
        <f>IF(Select2=1,Wood!$K79,"")</f>
        <v>0</v>
      </c>
      <c r="H77" s="342">
        <f>IF(Select2=1,Textiles!$K79,"")</f>
        <v>0</v>
      </c>
      <c r="I77" s="343">
        <f>Sludge!K79</f>
        <v>0</v>
      </c>
      <c r="J77" s="343" t="str">
        <f>IF(Select2=2,MSW!$K79,"")</f>
        <v/>
      </c>
      <c r="K77" s="343">
        <f>Industry!$K79</f>
        <v>0</v>
      </c>
      <c r="L77" s="379">
        <f t="shared" si="3"/>
        <v>0</v>
      </c>
      <c r="M77" s="344">
        <f>Recovery_OX!C72</f>
        <v>0</v>
      </c>
      <c r="N77" s="470"/>
      <c r="O77" s="746">
        <f>(L77-M77)*(1-Recovery_OX!F72)</f>
        <v>0</v>
      </c>
      <c r="P77" s="175"/>
      <c r="Q77" s="506"/>
      <c r="S77" s="357">
        <f t="shared" si="2"/>
        <v>2060</v>
      </c>
      <c r="T77" s="354">
        <f>IF(Select2=1,Food!$W79,"")</f>
        <v>0</v>
      </c>
      <c r="U77" s="342">
        <f>IF(Select2=1,Paper!$W79,"")</f>
        <v>0</v>
      </c>
      <c r="V77" s="338">
        <f>IF(Select2=1,Nappies!$W79,"")</f>
        <v>0</v>
      </c>
      <c r="W77" s="342">
        <f>IF(Select2=1,Garden!$W79,"")</f>
        <v>0</v>
      </c>
      <c r="X77" s="338">
        <f>IF(Select2=1,Wood!$W79,"")</f>
        <v>0</v>
      </c>
      <c r="Y77" s="342">
        <f>IF(Select2=1,Textiles!$W79,"")</f>
        <v>0</v>
      </c>
      <c r="Z77" s="340">
        <f>Sludge!W79</f>
        <v>0</v>
      </c>
      <c r="AA77" s="340" t="str">
        <f>IF(Select2=2,MSW!$W79,"")</f>
        <v/>
      </c>
      <c r="AB77" s="343">
        <f>Industry!$W79</f>
        <v>0</v>
      </c>
      <c r="AC77" s="379">
        <f t="shared" si="4"/>
        <v>0</v>
      </c>
      <c r="AD77" s="344">
        <f>Recovery_OX!R72</f>
        <v>0</v>
      </c>
      <c r="AE77" s="470"/>
      <c r="AF77" s="276">
        <f>(AC77-AD77)*(1-Recovery_OX!U72)</f>
        <v>0</v>
      </c>
    </row>
    <row r="78" spans="2:32">
      <c r="B78" s="357">
        <f t="shared" si="1"/>
        <v>2061</v>
      </c>
      <c r="C78" s="354">
        <f>IF(Select2=1,Food!$K80,"")</f>
        <v>0</v>
      </c>
      <c r="D78" s="342">
        <f>IF(Select2=1,Paper!$K80,"")</f>
        <v>0</v>
      </c>
      <c r="E78" s="338">
        <f>IF(Select2=1,Nappies!$K80,"")</f>
        <v>0</v>
      </c>
      <c r="F78" s="342">
        <f>IF(Select2=1,Garden!$K80,"")</f>
        <v>0</v>
      </c>
      <c r="G78" s="338">
        <f>IF(Select2=1,Wood!$K80,"")</f>
        <v>0</v>
      </c>
      <c r="H78" s="342">
        <f>IF(Select2=1,Textiles!$K80,"")</f>
        <v>0</v>
      </c>
      <c r="I78" s="343">
        <f>Sludge!K80</f>
        <v>0</v>
      </c>
      <c r="J78" s="343" t="str">
        <f>IF(Select2=2,MSW!$K80,"")</f>
        <v/>
      </c>
      <c r="K78" s="343">
        <f>Industry!$K80</f>
        <v>0</v>
      </c>
      <c r="L78" s="379">
        <f t="shared" si="3"/>
        <v>0</v>
      </c>
      <c r="M78" s="344">
        <f>Recovery_OX!C73</f>
        <v>0</v>
      </c>
      <c r="N78" s="470"/>
      <c r="O78" s="746">
        <f>(L78-M78)*(1-Recovery_OX!F73)</f>
        <v>0</v>
      </c>
      <c r="P78" s="175"/>
      <c r="Q78" s="506"/>
      <c r="S78" s="357">
        <f t="shared" si="2"/>
        <v>2061</v>
      </c>
      <c r="T78" s="354">
        <f>IF(Select2=1,Food!$W80,"")</f>
        <v>0</v>
      </c>
      <c r="U78" s="342">
        <f>IF(Select2=1,Paper!$W80,"")</f>
        <v>0</v>
      </c>
      <c r="V78" s="338">
        <f>IF(Select2=1,Nappies!$W80,"")</f>
        <v>0</v>
      </c>
      <c r="W78" s="342">
        <f>IF(Select2=1,Garden!$W80,"")</f>
        <v>0</v>
      </c>
      <c r="X78" s="338">
        <f>IF(Select2=1,Wood!$W80,"")</f>
        <v>0</v>
      </c>
      <c r="Y78" s="342">
        <f>IF(Select2=1,Textiles!$W80,"")</f>
        <v>0</v>
      </c>
      <c r="Z78" s="340">
        <f>Sludge!W80</f>
        <v>0</v>
      </c>
      <c r="AA78" s="340" t="str">
        <f>IF(Select2=2,MSW!$W80,"")</f>
        <v/>
      </c>
      <c r="AB78" s="343">
        <f>Industry!$W80</f>
        <v>0</v>
      </c>
      <c r="AC78" s="379">
        <f t="shared" si="4"/>
        <v>0</v>
      </c>
      <c r="AD78" s="344">
        <f>Recovery_OX!R73</f>
        <v>0</v>
      </c>
      <c r="AE78" s="470"/>
      <c r="AF78" s="276">
        <f>(AC78-AD78)*(1-Recovery_OX!U73)</f>
        <v>0</v>
      </c>
    </row>
    <row r="79" spans="2:32">
      <c r="B79" s="357">
        <f t="shared" si="1"/>
        <v>2062</v>
      </c>
      <c r="C79" s="354">
        <f>IF(Select2=1,Food!$K81,"")</f>
        <v>0</v>
      </c>
      <c r="D79" s="342">
        <f>IF(Select2=1,Paper!$K81,"")</f>
        <v>0</v>
      </c>
      <c r="E79" s="338">
        <f>IF(Select2=1,Nappies!$K81,"")</f>
        <v>0</v>
      </c>
      <c r="F79" s="342">
        <f>IF(Select2=1,Garden!$K81,"")</f>
        <v>0</v>
      </c>
      <c r="G79" s="338">
        <f>IF(Select2=1,Wood!$K81,"")</f>
        <v>0</v>
      </c>
      <c r="H79" s="342">
        <f>IF(Select2=1,Textiles!$K81,"")</f>
        <v>0</v>
      </c>
      <c r="I79" s="343">
        <f>Sludge!K81</f>
        <v>0</v>
      </c>
      <c r="J79" s="343" t="str">
        <f>IF(Select2=2,MSW!$K81,"")</f>
        <v/>
      </c>
      <c r="K79" s="343">
        <f>Industry!$K81</f>
        <v>0</v>
      </c>
      <c r="L79" s="379">
        <f t="shared" si="3"/>
        <v>0</v>
      </c>
      <c r="M79" s="344">
        <f>Recovery_OX!C74</f>
        <v>0</v>
      </c>
      <c r="N79" s="470"/>
      <c r="O79" s="746">
        <f>(L79-M79)*(1-Recovery_OX!F74)</f>
        <v>0</v>
      </c>
      <c r="P79" s="175"/>
      <c r="Q79" s="506"/>
      <c r="S79" s="357">
        <f t="shared" si="2"/>
        <v>2062</v>
      </c>
      <c r="T79" s="354">
        <f>IF(Select2=1,Food!$W81,"")</f>
        <v>0</v>
      </c>
      <c r="U79" s="342">
        <f>IF(Select2=1,Paper!$W81,"")</f>
        <v>0</v>
      </c>
      <c r="V79" s="338">
        <f>IF(Select2=1,Nappies!$W81,"")</f>
        <v>0</v>
      </c>
      <c r="W79" s="342">
        <f>IF(Select2=1,Garden!$W81,"")</f>
        <v>0</v>
      </c>
      <c r="X79" s="338">
        <f>IF(Select2=1,Wood!$W81,"")</f>
        <v>0</v>
      </c>
      <c r="Y79" s="342">
        <f>IF(Select2=1,Textiles!$W81,"")</f>
        <v>0</v>
      </c>
      <c r="Z79" s="340">
        <f>Sludge!W81</f>
        <v>0</v>
      </c>
      <c r="AA79" s="340" t="str">
        <f>IF(Select2=2,MSW!$W81,"")</f>
        <v/>
      </c>
      <c r="AB79" s="343">
        <f>Industry!$W81</f>
        <v>0</v>
      </c>
      <c r="AC79" s="379">
        <f t="shared" si="4"/>
        <v>0</v>
      </c>
      <c r="AD79" s="344">
        <f>Recovery_OX!R74</f>
        <v>0</v>
      </c>
      <c r="AE79" s="470"/>
      <c r="AF79" s="276">
        <f>(AC79-AD79)*(1-Recovery_OX!U74)</f>
        <v>0</v>
      </c>
    </row>
    <row r="80" spans="2:32">
      <c r="B80" s="357">
        <f t="shared" si="1"/>
        <v>2063</v>
      </c>
      <c r="C80" s="354">
        <f>IF(Select2=1,Food!$K82,"")</f>
        <v>0</v>
      </c>
      <c r="D80" s="342">
        <f>IF(Select2=1,Paper!$K82,"")</f>
        <v>0</v>
      </c>
      <c r="E80" s="338">
        <f>IF(Select2=1,Nappies!$K82,"")</f>
        <v>0</v>
      </c>
      <c r="F80" s="342">
        <f>IF(Select2=1,Garden!$K82,"")</f>
        <v>0</v>
      </c>
      <c r="G80" s="338">
        <f>IF(Select2=1,Wood!$K82,"")</f>
        <v>0</v>
      </c>
      <c r="H80" s="342">
        <f>IF(Select2=1,Textiles!$K82,"")</f>
        <v>0</v>
      </c>
      <c r="I80" s="343">
        <f>Sludge!K82</f>
        <v>0</v>
      </c>
      <c r="J80" s="343" t="str">
        <f>IF(Select2=2,MSW!$K82,"")</f>
        <v/>
      </c>
      <c r="K80" s="343">
        <f>Industry!$K82</f>
        <v>0</v>
      </c>
      <c r="L80" s="379">
        <f t="shared" si="3"/>
        <v>0</v>
      </c>
      <c r="M80" s="344">
        <f>Recovery_OX!C75</f>
        <v>0</v>
      </c>
      <c r="N80" s="470"/>
      <c r="O80" s="746">
        <f>(L80-M80)*(1-Recovery_OX!F75)</f>
        <v>0</v>
      </c>
      <c r="P80" s="175"/>
      <c r="Q80" s="506"/>
      <c r="S80" s="357">
        <f t="shared" si="2"/>
        <v>2063</v>
      </c>
      <c r="T80" s="354">
        <f>IF(Select2=1,Food!$W82,"")</f>
        <v>0</v>
      </c>
      <c r="U80" s="342">
        <f>IF(Select2=1,Paper!$W82,"")</f>
        <v>0</v>
      </c>
      <c r="V80" s="338">
        <f>IF(Select2=1,Nappies!$W82,"")</f>
        <v>0</v>
      </c>
      <c r="W80" s="342">
        <f>IF(Select2=1,Garden!$W82,"")</f>
        <v>0</v>
      </c>
      <c r="X80" s="338">
        <f>IF(Select2=1,Wood!$W82,"")</f>
        <v>0</v>
      </c>
      <c r="Y80" s="342">
        <f>IF(Select2=1,Textiles!$W82,"")</f>
        <v>0</v>
      </c>
      <c r="Z80" s="340">
        <f>Sludge!W82</f>
        <v>0</v>
      </c>
      <c r="AA80" s="340" t="str">
        <f>IF(Select2=2,MSW!$W82,"")</f>
        <v/>
      </c>
      <c r="AB80" s="343">
        <f>Industry!$W82</f>
        <v>0</v>
      </c>
      <c r="AC80" s="379">
        <f t="shared" si="4"/>
        <v>0</v>
      </c>
      <c r="AD80" s="344">
        <f>Recovery_OX!R75</f>
        <v>0</v>
      </c>
      <c r="AE80" s="470"/>
      <c r="AF80" s="276">
        <f>(AC80-AD80)*(1-Recovery_OX!U75)</f>
        <v>0</v>
      </c>
    </row>
    <row r="81" spans="2:32">
      <c r="B81" s="357">
        <f t="shared" si="1"/>
        <v>2064</v>
      </c>
      <c r="C81" s="354">
        <f>IF(Select2=1,Food!$K83,"")</f>
        <v>0</v>
      </c>
      <c r="D81" s="342">
        <f>IF(Select2=1,Paper!$K83,"")</f>
        <v>0</v>
      </c>
      <c r="E81" s="338">
        <f>IF(Select2=1,Nappies!$K83,"")</f>
        <v>0</v>
      </c>
      <c r="F81" s="342">
        <f>IF(Select2=1,Garden!$K83,"")</f>
        <v>0</v>
      </c>
      <c r="G81" s="338">
        <f>IF(Select2=1,Wood!$K83,"")</f>
        <v>0</v>
      </c>
      <c r="H81" s="342">
        <f>IF(Select2=1,Textiles!$K83,"")</f>
        <v>0</v>
      </c>
      <c r="I81" s="343">
        <f>Sludge!K83</f>
        <v>0</v>
      </c>
      <c r="J81" s="343" t="str">
        <f>IF(Select2=2,MSW!$K83,"")</f>
        <v/>
      </c>
      <c r="K81" s="343">
        <f>Industry!$K83</f>
        <v>0</v>
      </c>
      <c r="L81" s="379">
        <f t="shared" si="3"/>
        <v>0</v>
      </c>
      <c r="M81" s="344">
        <f>Recovery_OX!C76</f>
        <v>0</v>
      </c>
      <c r="N81" s="470"/>
      <c r="O81" s="746">
        <f>(L81-M81)*(1-Recovery_OX!F76)</f>
        <v>0</v>
      </c>
      <c r="P81" s="175"/>
      <c r="Q81" s="506"/>
      <c r="S81" s="357">
        <f t="shared" si="2"/>
        <v>2064</v>
      </c>
      <c r="T81" s="354">
        <f>IF(Select2=1,Food!$W83,"")</f>
        <v>0</v>
      </c>
      <c r="U81" s="342">
        <f>IF(Select2=1,Paper!$W83,"")</f>
        <v>0</v>
      </c>
      <c r="V81" s="338">
        <f>IF(Select2=1,Nappies!$W83,"")</f>
        <v>0</v>
      </c>
      <c r="W81" s="342">
        <f>IF(Select2=1,Garden!$W83,"")</f>
        <v>0</v>
      </c>
      <c r="X81" s="338">
        <f>IF(Select2=1,Wood!$W83,"")</f>
        <v>0</v>
      </c>
      <c r="Y81" s="342">
        <f>IF(Select2=1,Textiles!$W83,"")</f>
        <v>0</v>
      </c>
      <c r="Z81" s="340">
        <f>Sludge!W83</f>
        <v>0</v>
      </c>
      <c r="AA81" s="340" t="str">
        <f>IF(Select2=2,MSW!$W83,"")</f>
        <v/>
      </c>
      <c r="AB81" s="343">
        <f>Industry!$W83</f>
        <v>0</v>
      </c>
      <c r="AC81" s="379">
        <f t="shared" ref="AC81:AC97" si="5">SUM(T81:AA81)</f>
        <v>0</v>
      </c>
      <c r="AD81" s="344">
        <f>Recovery_OX!R76</f>
        <v>0</v>
      </c>
      <c r="AE81" s="470"/>
      <c r="AF81" s="276">
        <f>(AC81-AD81)*(1-Recovery_OX!U76)</f>
        <v>0</v>
      </c>
    </row>
    <row r="82" spans="2:32">
      <c r="B82" s="357">
        <f t="shared" ref="B82:B97" si="6">B81+1</f>
        <v>2065</v>
      </c>
      <c r="C82" s="354">
        <f>IF(Select2=1,Food!$K84,"")</f>
        <v>0</v>
      </c>
      <c r="D82" s="342">
        <f>IF(Select2=1,Paper!$K84,"")</f>
        <v>0</v>
      </c>
      <c r="E82" s="338">
        <f>IF(Select2=1,Nappies!$K84,"")</f>
        <v>0</v>
      </c>
      <c r="F82" s="342">
        <f>IF(Select2=1,Garden!$K84,"")</f>
        <v>0</v>
      </c>
      <c r="G82" s="338">
        <f>IF(Select2=1,Wood!$K84,"")</f>
        <v>0</v>
      </c>
      <c r="H82" s="342">
        <f>IF(Select2=1,Textiles!$K84,"")</f>
        <v>0</v>
      </c>
      <c r="I82" s="343">
        <f>Sludge!K84</f>
        <v>0</v>
      </c>
      <c r="J82" s="343" t="str">
        <f>IF(Select2=2,MSW!$K84,"")</f>
        <v/>
      </c>
      <c r="K82" s="343">
        <f>Industry!$K84</f>
        <v>0</v>
      </c>
      <c r="L82" s="379">
        <f t="shared" si="3"/>
        <v>0</v>
      </c>
      <c r="M82" s="344">
        <f>Recovery_OX!C77</f>
        <v>0</v>
      </c>
      <c r="N82" s="470"/>
      <c r="O82" s="746">
        <f>(L82-M82)*(1-Recovery_OX!F77)</f>
        <v>0</v>
      </c>
      <c r="P82" s="175"/>
      <c r="Q82" s="506"/>
      <c r="S82" s="357">
        <f t="shared" ref="S82:S97" si="7">S81+1</f>
        <v>2065</v>
      </c>
      <c r="T82" s="354">
        <f>IF(Select2=1,Food!$W84,"")</f>
        <v>0</v>
      </c>
      <c r="U82" s="342">
        <f>IF(Select2=1,Paper!$W84,"")</f>
        <v>0</v>
      </c>
      <c r="V82" s="338">
        <f>IF(Select2=1,Nappies!$W84,"")</f>
        <v>0</v>
      </c>
      <c r="W82" s="342">
        <f>IF(Select2=1,Garden!$W84,"")</f>
        <v>0</v>
      </c>
      <c r="X82" s="338">
        <f>IF(Select2=1,Wood!$W84,"")</f>
        <v>0</v>
      </c>
      <c r="Y82" s="342">
        <f>IF(Select2=1,Textiles!$W84,"")</f>
        <v>0</v>
      </c>
      <c r="Z82" s="340">
        <f>Sludge!W84</f>
        <v>0</v>
      </c>
      <c r="AA82" s="340" t="str">
        <f>IF(Select2=2,MSW!$W84,"")</f>
        <v/>
      </c>
      <c r="AB82" s="343">
        <f>Industry!$W84</f>
        <v>0</v>
      </c>
      <c r="AC82" s="379">
        <f t="shared" si="5"/>
        <v>0</v>
      </c>
      <c r="AD82" s="344">
        <f>Recovery_OX!R77</f>
        <v>0</v>
      </c>
      <c r="AE82" s="470"/>
      <c r="AF82" s="276">
        <f>(AC82-AD82)*(1-Recovery_OX!U77)</f>
        <v>0</v>
      </c>
    </row>
    <row r="83" spans="2:32">
      <c r="B83" s="357">
        <f t="shared" si="6"/>
        <v>2066</v>
      </c>
      <c r="C83" s="354">
        <f>IF(Select2=1,Food!$K85,"")</f>
        <v>0</v>
      </c>
      <c r="D83" s="342">
        <f>IF(Select2=1,Paper!$K85,"")</f>
        <v>0</v>
      </c>
      <c r="E83" s="338">
        <f>IF(Select2=1,Nappies!$K85,"")</f>
        <v>0</v>
      </c>
      <c r="F83" s="342">
        <f>IF(Select2=1,Garden!$K85,"")</f>
        <v>0</v>
      </c>
      <c r="G83" s="338">
        <f>IF(Select2=1,Wood!$K85,"")</f>
        <v>0</v>
      </c>
      <c r="H83" s="342">
        <f>IF(Select2=1,Textiles!$K85,"")</f>
        <v>0</v>
      </c>
      <c r="I83" s="343">
        <f>Sludge!K85</f>
        <v>0</v>
      </c>
      <c r="J83" s="343" t="str">
        <f>IF(Select2=2,MSW!$K85,"")</f>
        <v/>
      </c>
      <c r="K83" s="343">
        <f>Industry!$K85</f>
        <v>0</v>
      </c>
      <c r="L83" s="379">
        <f t="shared" ref="L83:L97" si="8">SUM(C83:K83)</f>
        <v>0</v>
      </c>
      <c r="M83" s="344">
        <f>Recovery_OX!C78</f>
        <v>0</v>
      </c>
      <c r="N83" s="470"/>
      <c r="O83" s="746">
        <f>(L83-M83)*(1-Recovery_OX!F78)</f>
        <v>0</v>
      </c>
      <c r="P83" s="175"/>
      <c r="Q83" s="506"/>
      <c r="S83" s="357">
        <f t="shared" si="7"/>
        <v>2066</v>
      </c>
      <c r="T83" s="354">
        <f>IF(Select2=1,Food!$W85,"")</f>
        <v>0</v>
      </c>
      <c r="U83" s="342">
        <f>IF(Select2=1,Paper!$W85,"")</f>
        <v>0</v>
      </c>
      <c r="V83" s="338">
        <f>IF(Select2=1,Nappies!$W85,"")</f>
        <v>0</v>
      </c>
      <c r="W83" s="342">
        <f>IF(Select2=1,Garden!$W85,"")</f>
        <v>0</v>
      </c>
      <c r="X83" s="338">
        <f>IF(Select2=1,Wood!$W85,"")</f>
        <v>0</v>
      </c>
      <c r="Y83" s="342">
        <f>IF(Select2=1,Textiles!$W85,"")</f>
        <v>0</v>
      </c>
      <c r="Z83" s="340">
        <f>Sludge!W85</f>
        <v>0</v>
      </c>
      <c r="AA83" s="340" t="str">
        <f>IF(Select2=2,MSW!$W85,"")</f>
        <v/>
      </c>
      <c r="AB83" s="343">
        <f>Industry!$W85</f>
        <v>0</v>
      </c>
      <c r="AC83" s="379">
        <f t="shared" si="5"/>
        <v>0</v>
      </c>
      <c r="AD83" s="344">
        <f>Recovery_OX!R78</f>
        <v>0</v>
      </c>
      <c r="AE83" s="470"/>
      <c r="AF83" s="276">
        <f>(AC83-AD83)*(1-Recovery_OX!U78)</f>
        <v>0</v>
      </c>
    </row>
    <row r="84" spans="2:32">
      <c r="B84" s="357">
        <f t="shared" si="6"/>
        <v>2067</v>
      </c>
      <c r="C84" s="354">
        <f>IF(Select2=1,Food!$K86,"")</f>
        <v>0</v>
      </c>
      <c r="D84" s="342">
        <f>IF(Select2=1,Paper!$K86,"")</f>
        <v>0</v>
      </c>
      <c r="E84" s="338">
        <f>IF(Select2=1,Nappies!$K86,"")</f>
        <v>0</v>
      </c>
      <c r="F84" s="342">
        <f>IF(Select2=1,Garden!$K86,"")</f>
        <v>0</v>
      </c>
      <c r="G84" s="338">
        <f>IF(Select2=1,Wood!$K86,"")</f>
        <v>0</v>
      </c>
      <c r="H84" s="342">
        <f>IF(Select2=1,Textiles!$K86,"")</f>
        <v>0</v>
      </c>
      <c r="I84" s="343">
        <f>Sludge!K86</f>
        <v>0</v>
      </c>
      <c r="J84" s="343" t="str">
        <f>IF(Select2=2,MSW!$K86,"")</f>
        <v/>
      </c>
      <c r="K84" s="343">
        <f>Industry!$K86</f>
        <v>0</v>
      </c>
      <c r="L84" s="379">
        <f t="shared" si="8"/>
        <v>0</v>
      </c>
      <c r="M84" s="344">
        <f>Recovery_OX!C79</f>
        <v>0</v>
      </c>
      <c r="N84" s="470"/>
      <c r="O84" s="746">
        <f>(L84-M84)*(1-Recovery_OX!F79)</f>
        <v>0</v>
      </c>
      <c r="P84" s="175"/>
      <c r="Q84" s="506"/>
      <c r="S84" s="357">
        <f t="shared" si="7"/>
        <v>2067</v>
      </c>
      <c r="T84" s="354">
        <f>IF(Select2=1,Food!$W86,"")</f>
        <v>0</v>
      </c>
      <c r="U84" s="342">
        <f>IF(Select2=1,Paper!$W86,"")</f>
        <v>0</v>
      </c>
      <c r="V84" s="338">
        <f>IF(Select2=1,Nappies!$W86,"")</f>
        <v>0</v>
      </c>
      <c r="W84" s="342">
        <f>IF(Select2=1,Garden!$W86,"")</f>
        <v>0</v>
      </c>
      <c r="X84" s="338">
        <f>IF(Select2=1,Wood!$W86,"")</f>
        <v>0</v>
      </c>
      <c r="Y84" s="342">
        <f>IF(Select2=1,Textiles!$W86,"")</f>
        <v>0</v>
      </c>
      <c r="Z84" s="340">
        <f>Sludge!W86</f>
        <v>0</v>
      </c>
      <c r="AA84" s="340" t="str">
        <f>IF(Select2=2,MSW!$W86,"")</f>
        <v/>
      </c>
      <c r="AB84" s="343">
        <f>Industry!$W86</f>
        <v>0</v>
      </c>
      <c r="AC84" s="379">
        <f t="shared" si="5"/>
        <v>0</v>
      </c>
      <c r="AD84" s="344">
        <f>Recovery_OX!R79</f>
        <v>0</v>
      </c>
      <c r="AE84" s="470"/>
      <c r="AF84" s="276">
        <f>(AC84-AD84)*(1-Recovery_OX!U79)</f>
        <v>0</v>
      </c>
    </row>
    <row r="85" spans="2:32">
      <c r="B85" s="357">
        <f t="shared" si="6"/>
        <v>2068</v>
      </c>
      <c r="C85" s="354">
        <f>IF(Select2=1,Food!$K87,"")</f>
        <v>0</v>
      </c>
      <c r="D85" s="342">
        <f>IF(Select2=1,Paper!$K87,"")</f>
        <v>0</v>
      </c>
      <c r="E85" s="338">
        <f>IF(Select2=1,Nappies!$K87,"")</f>
        <v>0</v>
      </c>
      <c r="F85" s="342">
        <f>IF(Select2=1,Garden!$K87,"")</f>
        <v>0</v>
      </c>
      <c r="G85" s="338">
        <f>IF(Select2=1,Wood!$K87,"")</f>
        <v>0</v>
      </c>
      <c r="H85" s="342">
        <f>IF(Select2=1,Textiles!$K87,"")</f>
        <v>0</v>
      </c>
      <c r="I85" s="343">
        <f>Sludge!K87</f>
        <v>0</v>
      </c>
      <c r="J85" s="343" t="str">
        <f>IF(Select2=2,MSW!$K87,"")</f>
        <v/>
      </c>
      <c r="K85" s="343">
        <f>Industry!$K87</f>
        <v>0</v>
      </c>
      <c r="L85" s="379">
        <f t="shared" si="8"/>
        <v>0</v>
      </c>
      <c r="M85" s="344">
        <f>Recovery_OX!C80</f>
        <v>0</v>
      </c>
      <c r="N85" s="470"/>
      <c r="O85" s="746">
        <f>(L85-M85)*(1-Recovery_OX!F80)</f>
        <v>0</v>
      </c>
      <c r="P85" s="175"/>
      <c r="Q85" s="506"/>
      <c r="S85" s="357">
        <f t="shared" si="7"/>
        <v>2068</v>
      </c>
      <c r="T85" s="354">
        <f>IF(Select2=1,Food!$W87,"")</f>
        <v>0</v>
      </c>
      <c r="U85" s="342">
        <f>IF(Select2=1,Paper!$W87,"")</f>
        <v>0</v>
      </c>
      <c r="V85" s="338">
        <f>IF(Select2=1,Nappies!$W87,"")</f>
        <v>0</v>
      </c>
      <c r="W85" s="342">
        <f>IF(Select2=1,Garden!$W87,"")</f>
        <v>0</v>
      </c>
      <c r="X85" s="338">
        <f>IF(Select2=1,Wood!$W87,"")</f>
        <v>0</v>
      </c>
      <c r="Y85" s="342">
        <f>IF(Select2=1,Textiles!$W87,"")</f>
        <v>0</v>
      </c>
      <c r="Z85" s="340">
        <f>Sludge!W87</f>
        <v>0</v>
      </c>
      <c r="AA85" s="340" t="str">
        <f>IF(Select2=2,MSW!$W87,"")</f>
        <v/>
      </c>
      <c r="AB85" s="343">
        <f>Industry!$W87</f>
        <v>0</v>
      </c>
      <c r="AC85" s="379">
        <f t="shared" si="5"/>
        <v>0</v>
      </c>
      <c r="AD85" s="344">
        <f>Recovery_OX!R80</f>
        <v>0</v>
      </c>
      <c r="AE85" s="470"/>
      <c r="AF85" s="276">
        <f>(AC85-AD85)*(1-Recovery_OX!U80)</f>
        <v>0</v>
      </c>
    </row>
    <row r="86" spans="2:32">
      <c r="B86" s="357">
        <f t="shared" si="6"/>
        <v>2069</v>
      </c>
      <c r="C86" s="354">
        <f>IF(Select2=1,Food!$K88,"")</f>
        <v>0</v>
      </c>
      <c r="D86" s="342">
        <f>IF(Select2=1,Paper!$K88,"")</f>
        <v>0</v>
      </c>
      <c r="E86" s="338">
        <f>IF(Select2=1,Nappies!$K88,"")</f>
        <v>0</v>
      </c>
      <c r="F86" s="342">
        <f>IF(Select2=1,Garden!$K88,"")</f>
        <v>0</v>
      </c>
      <c r="G86" s="338">
        <f>IF(Select2=1,Wood!$K88,"")</f>
        <v>0</v>
      </c>
      <c r="H86" s="342">
        <f>IF(Select2=1,Textiles!$K88,"")</f>
        <v>0</v>
      </c>
      <c r="I86" s="343">
        <f>Sludge!K88</f>
        <v>0</v>
      </c>
      <c r="J86" s="343" t="str">
        <f>IF(Select2=2,MSW!$K88,"")</f>
        <v/>
      </c>
      <c r="K86" s="343">
        <f>Industry!$K88</f>
        <v>0</v>
      </c>
      <c r="L86" s="379">
        <f t="shared" si="8"/>
        <v>0</v>
      </c>
      <c r="M86" s="344">
        <f>Recovery_OX!C81</f>
        <v>0</v>
      </c>
      <c r="N86" s="470"/>
      <c r="O86" s="746">
        <f>(L86-M86)*(1-Recovery_OX!F81)</f>
        <v>0</v>
      </c>
      <c r="P86" s="175"/>
      <c r="Q86" s="506"/>
      <c r="S86" s="357">
        <f t="shared" si="7"/>
        <v>2069</v>
      </c>
      <c r="T86" s="354">
        <f>IF(Select2=1,Food!$W88,"")</f>
        <v>0</v>
      </c>
      <c r="U86" s="342">
        <f>IF(Select2=1,Paper!$W88,"")</f>
        <v>0</v>
      </c>
      <c r="V86" s="338">
        <f>IF(Select2=1,Nappies!$W88,"")</f>
        <v>0</v>
      </c>
      <c r="W86" s="342">
        <f>IF(Select2=1,Garden!$W88,"")</f>
        <v>0</v>
      </c>
      <c r="X86" s="338">
        <f>IF(Select2=1,Wood!$W88,"")</f>
        <v>0</v>
      </c>
      <c r="Y86" s="342">
        <f>IF(Select2=1,Textiles!$W88,"")</f>
        <v>0</v>
      </c>
      <c r="Z86" s="340">
        <f>Sludge!W88</f>
        <v>0</v>
      </c>
      <c r="AA86" s="340" t="str">
        <f>IF(Select2=2,MSW!$W88,"")</f>
        <v/>
      </c>
      <c r="AB86" s="343">
        <f>Industry!$W88</f>
        <v>0</v>
      </c>
      <c r="AC86" s="379">
        <f t="shared" si="5"/>
        <v>0</v>
      </c>
      <c r="AD86" s="344">
        <f>Recovery_OX!R81</f>
        <v>0</v>
      </c>
      <c r="AE86" s="470"/>
      <c r="AF86" s="276">
        <f>(AC86-AD86)*(1-Recovery_OX!U81)</f>
        <v>0</v>
      </c>
    </row>
    <row r="87" spans="2:32">
      <c r="B87" s="357">
        <f t="shared" si="6"/>
        <v>2070</v>
      </c>
      <c r="C87" s="354">
        <f>IF(Select2=1,Food!$K89,"")</f>
        <v>0</v>
      </c>
      <c r="D87" s="342">
        <f>IF(Select2=1,Paper!$K89,"")</f>
        <v>0</v>
      </c>
      <c r="E87" s="338">
        <f>IF(Select2=1,Nappies!$K89,"")</f>
        <v>0</v>
      </c>
      <c r="F87" s="342">
        <f>IF(Select2=1,Garden!$K89,"")</f>
        <v>0</v>
      </c>
      <c r="G87" s="338">
        <f>IF(Select2=1,Wood!$K89,"")</f>
        <v>0</v>
      </c>
      <c r="H87" s="342">
        <f>IF(Select2=1,Textiles!$K89,"")</f>
        <v>0</v>
      </c>
      <c r="I87" s="343">
        <f>Sludge!K89</f>
        <v>0</v>
      </c>
      <c r="J87" s="343" t="str">
        <f>IF(Select2=2,MSW!$K89,"")</f>
        <v/>
      </c>
      <c r="K87" s="343">
        <f>Industry!$K89</f>
        <v>0</v>
      </c>
      <c r="L87" s="379">
        <f t="shared" si="8"/>
        <v>0</v>
      </c>
      <c r="M87" s="344">
        <f>Recovery_OX!C82</f>
        <v>0</v>
      </c>
      <c r="N87" s="470"/>
      <c r="O87" s="746">
        <f>(L87-M87)*(1-Recovery_OX!F82)</f>
        <v>0</v>
      </c>
      <c r="P87" s="175"/>
      <c r="Q87" s="506"/>
      <c r="S87" s="357">
        <f t="shared" si="7"/>
        <v>2070</v>
      </c>
      <c r="T87" s="354">
        <f>IF(Select2=1,Food!$W89,"")</f>
        <v>0</v>
      </c>
      <c r="U87" s="342">
        <f>IF(Select2=1,Paper!$W89,"")</f>
        <v>0</v>
      </c>
      <c r="V87" s="338">
        <f>IF(Select2=1,Nappies!$W89,"")</f>
        <v>0</v>
      </c>
      <c r="W87" s="342">
        <f>IF(Select2=1,Garden!$W89,"")</f>
        <v>0</v>
      </c>
      <c r="X87" s="338">
        <f>IF(Select2=1,Wood!$W89,"")</f>
        <v>0</v>
      </c>
      <c r="Y87" s="342">
        <f>IF(Select2=1,Textiles!$W89,"")</f>
        <v>0</v>
      </c>
      <c r="Z87" s="340">
        <f>Sludge!W89</f>
        <v>0</v>
      </c>
      <c r="AA87" s="340" t="str">
        <f>IF(Select2=2,MSW!$W89,"")</f>
        <v/>
      </c>
      <c r="AB87" s="343">
        <f>Industry!$W89</f>
        <v>0</v>
      </c>
      <c r="AC87" s="379">
        <f t="shared" si="5"/>
        <v>0</v>
      </c>
      <c r="AD87" s="344">
        <f>Recovery_OX!R82</f>
        <v>0</v>
      </c>
      <c r="AE87" s="470"/>
      <c r="AF87" s="276">
        <f>(AC87-AD87)*(1-Recovery_OX!U82)</f>
        <v>0</v>
      </c>
    </row>
    <row r="88" spans="2:32">
      <c r="B88" s="357">
        <f t="shared" si="6"/>
        <v>2071</v>
      </c>
      <c r="C88" s="354">
        <f>IF(Select2=1,Food!$K90,"")</f>
        <v>0</v>
      </c>
      <c r="D88" s="342">
        <f>IF(Select2=1,Paper!$K90,"")</f>
        <v>0</v>
      </c>
      <c r="E88" s="338">
        <f>IF(Select2=1,Nappies!$K90,"")</f>
        <v>0</v>
      </c>
      <c r="F88" s="342">
        <f>IF(Select2=1,Garden!$K90,"")</f>
        <v>0</v>
      </c>
      <c r="G88" s="338">
        <f>IF(Select2=1,Wood!$K90,"")</f>
        <v>0</v>
      </c>
      <c r="H88" s="342">
        <f>IF(Select2=1,Textiles!$K90,"")</f>
        <v>0</v>
      </c>
      <c r="I88" s="343">
        <f>Sludge!K90</f>
        <v>0</v>
      </c>
      <c r="J88" s="343" t="str">
        <f>IF(Select2=2,MSW!$K90,"")</f>
        <v/>
      </c>
      <c r="K88" s="343">
        <f>Industry!$K90</f>
        <v>0</v>
      </c>
      <c r="L88" s="379">
        <f t="shared" si="8"/>
        <v>0</v>
      </c>
      <c r="M88" s="344">
        <f>Recovery_OX!C83</f>
        <v>0</v>
      </c>
      <c r="N88" s="470"/>
      <c r="O88" s="746">
        <f>(L88-M88)*(1-Recovery_OX!F83)</f>
        <v>0</v>
      </c>
      <c r="P88" s="175"/>
      <c r="Q88" s="506"/>
      <c r="S88" s="357">
        <f t="shared" si="7"/>
        <v>2071</v>
      </c>
      <c r="T88" s="354">
        <f>IF(Select2=1,Food!$W90,"")</f>
        <v>0</v>
      </c>
      <c r="U88" s="342">
        <f>IF(Select2=1,Paper!$W90,"")</f>
        <v>0</v>
      </c>
      <c r="V88" s="338">
        <f>IF(Select2=1,Nappies!$W90,"")</f>
        <v>0</v>
      </c>
      <c r="W88" s="342">
        <f>IF(Select2=1,Garden!$W90,"")</f>
        <v>0</v>
      </c>
      <c r="X88" s="338">
        <f>IF(Select2=1,Wood!$W90,"")</f>
        <v>0</v>
      </c>
      <c r="Y88" s="342">
        <f>IF(Select2=1,Textiles!$W90,"")</f>
        <v>0</v>
      </c>
      <c r="Z88" s="340">
        <f>Sludge!W90</f>
        <v>0</v>
      </c>
      <c r="AA88" s="340" t="str">
        <f>IF(Select2=2,MSW!$W90,"")</f>
        <v/>
      </c>
      <c r="AB88" s="343">
        <f>Industry!$W90</f>
        <v>0</v>
      </c>
      <c r="AC88" s="379">
        <f t="shared" si="5"/>
        <v>0</v>
      </c>
      <c r="AD88" s="344">
        <f>Recovery_OX!R83</f>
        <v>0</v>
      </c>
      <c r="AE88" s="470"/>
      <c r="AF88" s="276">
        <f>(AC88-AD88)*(1-Recovery_OX!U83)</f>
        <v>0</v>
      </c>
    </row>
    <row r="89" spans="2:32">
      <c r="B89" s="357">
        <f t="shared" si="6"/>
        <v>2072</v>
      </c>
      <c r="C89" s="354">
        <f>IF(Select2=1,Food!$K91,"")</f>
        <v>0</v>
      </c>
      <c r="D89" s="342">
        <f>IF(Select2=1,Paper!$K91,"")</f>
        <v>0</v>
      </c>
      <c r="E89" s="338">
        <f>IF(Select2=1,Nappies!$K91,"")</f>
        <v>0</v>
      </c>
      <c r="F89" s="342">
        <f>IF(Select2=1,Garden!$K91,"")</f>
        <v>0</v>
      </c>
      <c r="G89" s="338">
        <f>IF(Select2=1,Wood!$K91,"")</f>
        <v>0</v>
      </c>
      <c r="H89" s="342">
        <f>IF(Select2=1,Textiles!$K91,"")</f>
        <v>0</v>
      </c>
      <c r="I89" s="343">
        <f>Sludge!K91</f>
        <v>0</v>
      </c>
      <c r="J89" s="343" t="str">
        <f>IF(Select2=2,MSW!$K91,"")</f>
        <v/>
      </c>
      <c r="K89" s="343">
        <f>Industry!$K91</f>
        <v>0</v>
      </c>
      <c r="L89" s="379">
        <f t="shared" si="8"/>
        <v>0</v>
      </c>
      <c r="M89" s="344">
        <f>Recovery_OX!C84</f>
        <v>0</v>
      </c>
      <c r="N89" s="470"/>
      <c r="O89" s="746">
        <f>(L89-M89)*(1-Recovery_OX!F84)</f>
        <v>0</v>
      </c>
      <c r="P89" s="175"/>
      <c r="Q89" s="506"/>
      <c r="S89" s="357">
        <f t="shared" si="7"/>
        <v>2072</v>
      </c>
      <c r="T89" s="354">
        <f>IF(Select2=1,Food!$W91,"")</f>
        <v>0</v>
      </c>
      <c r="U89" s="342">
        <f>IF(Select2=1,Paper!$W91,"")</f>
        <v>0</v>
      </c>
      <c r="V89" s="338">
        <f>IF(Select2=1,Nappies!$W91,"")</f>
        <v>0</v>
      </c>
      <c r="W89" s="342">
        <f>IF(Select2=1,Garden!$W91,"")</f>
        <v>0</v>
      </c>
      <c r="X89" s="338">
        <f>IF(Select2=1,Wood!$W91,"")</f>
        <v>0</v>
      </c>
      <c r="Y89" s="342">
        <f>IF(Select2=1,Textiles!$W91,"")</f>
        <v>0</v>
      </c>
      <c r="Z89" s="340">
        <f>Sludge!W91</f>
        <v>0</v>
      </c>
      <c r="AA89" s="340" t="str">
        <f>IF(Select2=2,MSW!$W91,"")</f>
        <v/>
      </c>
      <c r="AB89" s="343">
        <f>Industry!$W91</f>
        <v>0</v>
      </c>
      <c r="AC89" s="379">
        <f t="shared" si="5"/>
        <v>0</v>
      </c>
      <c r="AD89" s="344">
        <f>Recovery_OX!R84</f>
        <v>0</v>
      </c>
      <c r="AE89" s="470"/>
      <c r="AF89" s="276">
        <f>(AC89-AD89)*(1-Recovery_OX!U84)</f>
        <v>0</v>
      </c>
    </row>
    <row r="90" spans="2:32">
      <c r="B90" s="357">
        <f t="shared" si="6"/>
        <v>2073</v>
      </c>
      <c r="C90" s="354">
        <f>IF(Select2=1,Food!$K92,"")</f>
        <v>0</v>
      </c>
      <c r="D90" s="342">
        <f>IF(Select2=1,Paper!$K92,"")</f>
        <v>0</v>
      </c>
      <c r="E90" s="338">
        <f>IF(Select2=1,Nappies!$K92,"")</f>
        <v>0</v>
      </c>
      <c r="F90" s="342">
        <f>IF(Select2=1,Garden!$K92,"")</f>
        <v>0</v>
      </c>
      <c r="G90" s="338">
        <f>IF(Select2=1,Wood!$K92,"")</f>
        <v>0</v>
      </c>
      <c r="H90" s="342">
        <f>IF(Select2=1,Textiles!$K92,"")</f>
        <v>0</v>
      </c>
      <c r="I90" s="343">
        <f>Sludge!K92</f>
        <v>0</v>
      </c>
      <c r="J90" s="343" t="str">
        <f>IF(Select2=2,MSW!$K92,"")</f>
        <v/>
      </c>
      <c r="K90" s="343">
        <f>Industry!$K92</f>
        <v>0</v>
      </c>
      <c r="L90" s="379">
        <f t="shared" si="8"/>
        <v>0</v>
      </c>
      <c r="M90" s="344">
        <f>Recovery_OX!C85</f>
        <v>0</v>
      </c>
      <c r="N90" s="470"/>
      <c r="O90" s="746">
        <f>(L90-M90)*(1-Recovery_OX!F85)</f>
        <v>0</v>
      </c>
      <c r="P90" s="175"/>
      <c r="Q90" s="506"/>
      <c r="S90" s="357">
        <f t="shared" si="7"/>
        <v>2073</v>
      </c>
      <c r="T90" s="354">
        <f>IF(Select2=1,Food!$W92,"")</f>
        <v>0</v>
      </c>
      <c r="U90" s="342">
        <f>IF(Select2=1,Paper!$W92,"")</f>
        <v>0</v>
      </c>
      <c r="V90" s="338">
        <f>IF(Select2=1,Nappies!$W92,"")</f>
        <v>0</v>
      </c>
      <c r="W90" s="342">
        <f>IF(Select2=1,Garden!$W92,"")</f>
        <v>0</v>
      </c>
      <c r="X90" s="338">
        <f>IF(Select2=1,Wood!$W92,"")</f>
        <v>0</v>
      </c>
      <c r="Y90" s="342">
        <f>IF(Select2=1,Textiles!$W92,"")</f>
        <v>0</v>
      </c>
      <c r="Z90" s="340">
        <f>Sludge!W92</f>
        <v>0</v>
      </c>
      <c r="AA90" s="340" t="str">
        <f>IF(Select2=2,MSW!$W92,"")</f>
        <v/>
      </c>
      <c r="AB90" s="343">
        <f>Industry!$W92</f>
        <v>0</v>
      </c>
      <c r="AC90" s="379">
        <f t="shared" si="5"/>
        <v>0</v>
      </c>
      <c r="AD90" s="344">
        <f>Recovery_OX!R85</f>
        <v>0</v>
      </c>
      <c r="AE90" s="470"/>
      <c r="AF90" s="276">
        <f>(AC90-AD90)*(1-Recovery_OX!U85)</f>
        <v>0</v>
      </c>
    </row>
    <row r="91" spans="2:32">
      <c r="B91" s="357">
        <f t="shared" si="6"/>
        <v>2074</v>
      </c>
      <c r="C91" s="354">
        <f>IF(Select2=1,Food!$K93,"")</f>
        <v>0</v>
      </c>
      <c r="D91" s="342">
        <f>IF(Select2=1,Paper!$K93,"")</f>
        <v>0</v>
      </c>
      <c r="E91" s="338">
        <f>IF(Select2=1,Nappies!$K93,"")</f>
        <v>0</v>
      </c>
      <c r="F91" s="342">
        <f>IF(Select2=1,Garden!$K93,"")</f>
        <v>0</v>
      </c>
      <c r="G91" s="338">
        <f>IF(Select2=1,Wood!$K93,"")</f>
        <v>0</v>
      </c>
      <c r="H91" s="342">
        <f>IF(Select2=1,Textiles!$K93,"")</f>
        <v>0</v>
      </c>
      <c r="I91" s="343">
        <f>Sludge!K93</f>
        <v>0</v>
      </c>
      <c r="J91" s="343" t="str">
        <f>IF(Select2=2,MSW!$K93,"")</f>
        <v/>
      </c>
      <c r="K91" s="343">
        <f>Industry!$K93</f>
        <v>0</v>
      </c>
      <c r="L91" s="379">
        <f t="shared" si="8"/>
        <v>0</v>
      </c>
      <c r="M91" s="344">
        <f>Recovery_OX!C86</f>
        <v>0</v>
      </c>
      <c r="N91" s="470"/>
      <c r="O91" s="746">
        <f>(L91-M91)*(1-Recovery_OX!F86)</f>
        <v>0</v>
      </c>
      <c r="P91" s="175"/>
      <c r="Q91" s="506"/>
      <c r="S91" s="357">
        <f t="shared" si="7"/>
        <v>2074</v>
      </c>
      <c r="T91" s="354">
        <f>IF(Select2=1,Food!$W93,"")</f>
        <v>0</v>
      </c>
      <c r="U91" s="342">
        <f>IF(Select2=1,Paper!$W93,"")</f>
        <v>0</v>
      </c>
      <c r="V91" s="338">
        <f>IF(Select2=1,Nappies!$W93,"")</f>
        <v>0</v>
      </c>
      <c r="W91" s="342">
        <f>IF(Select2=1,Garden!$W93,"")</f>
        <v>0</v>
      </c>
      <c r="X91" s="338">
        <f>IF(Select2=1,Wood!$W93,"")</f>
        <v>0</v>
      </c>
      <c r="Y91" s="342">
        <f>IF(Select2=1,Textiles!$W93,"")</f>
        <v>0</v>
      </c>
      <c r="Z91" s="340">
        <f>Sludge!W93</f>
        <v>0</v>
      </c>
      <c r="AA91" s="340" t="str">
        <f>IF(Select2=2,MSW!$W93,"")</f>
        <v/>
      </c>
      <c r="AB91" s="343">
        <f>Industry!$W93</f>
        <v>0</v>
      </c>
      <c r="AC91" s="379">
        <f t="shared" si="5"/>
        <v>0</v>
      </c>
      <c r="AD91" s="344">
        <f>Recovery_OX!R86</f>
        <v>0</v>
      </c>
      <c r="AE91" s="470"/>
      <c r="AF91" s="276">
        <f>(AC91-AD91)*(1-Recovery_OX!U86)</f>
        <v>0</v>
      </c>
    </row>
    <row r="92" spans="2:32">
      <c r="B92" s="357">
        <f t="shared" si="6"/>
        <v>2075</v>
      </c>
      <c r="C92" s="354">
        <f>IF(Select2=1,Food!$K94,"")</f>
        <v>0</v>
      </c>
      <c r="D92" s="342">
        <f>IF(Select2=1,Paper!$K94,"")</f>
        <v>0</v>
      </c>
      <c r="E92" s="338">
        <f>IF(Select2=1,Nappies!$K94,"")</f>
        <v>0</v>
      </c>
      <c r="F92" s="342">
        <f>IF(Select2=1,Garden!$K94,"")</f>
        <v>0</v>
      </c>
      <c r="G92" s="338">
        <f>IF(Select2=1,Wood!$K94,"")</f>
        <v>0</v>
      </c>
      <c r="H92" s="342">
        <f>IF(Select2=1,Textiles!$K94,"")</f>
        <v>0</v>
      </c>
      <c r="I92" s="343">
        <f>Sludge!K94</f>
        <v>0</v>
      </c>
      <c r="J92" s="343" t="str">
        <f>IF(Select2=2,MSW!$K94,"")</f>
        <v/>
      </c>
      <c r="K92" s="343">
        <f>Industry!$K94</f>
        <v>0</v>
      </c>
      <c r="L92" s="379">
        <f t="shared" si="8"/>
        <v>0</v>
      </c>
      <c r="M92" s="344">
        <f>Recovery_OX!C87</f>
        <v>0</v>
      </c>
      <c r="N92" s="470"/>
      <c r="O92" s="746">
        <f>(L92-M92)*(1-Recovery_OX!F87)</f>
        <v>0</v>
      </c>
      <c r="P92" s="175"/>
      <c r="Q92" s="506"/>
      <c r="S92" s="357">
        <f t="shared" si="7"/>
        <v>2075</v>
      </c>
      <c r="T92" s="354">
        <f>IF(Select2=1,Food!$W94,"")</f>
        <v>0</v>
      </c>
      <c r="U92" s="342">
        <f>IF(Select2=1,Paper!$W94,"")</f>
        <v>0</v>
      </c>
      <c r="V92" s="338">
        <f>IF(Select2=1,Nappies!$W94,"")</f>
        <v>0</v>
      </c>
      <c r="W92" s="342">
        <f>IF(Select2=1,Garden!$W94,"")</f>
        <v>0</v>
      </c>
      <c r="X92" s="338">
        <f>IF(Select2=1,Wood!$W94,"")</f>
        <v>0</v>
      </c>
      <c r="Y92" s="342">
        <f>IF(Select2=1,Textiles!$W94,"")</f>
        <v>0</v>
      </c>
      <c r="Z92" s="340">
        <f>Sludge!W94</f>
        <v>0</v>
      </c>
      <c r="AA92" s="340" t="str">
        <f>IF(Select2=2,MSW!$W94,"")</f>
        <v/>
      </c>
      <c r="AB92" s="343">
        <f>Industry!$W94</f>
        <v>0</v>
      </c>
      <c r="AC92" s="379">
        <f t="shared" si="5"/>
        <v>0</v>
      </c>
      <c r="AD92" s="344">
        <f>Recovery_OX!R87</f>
        <v>0</v>
      </c>
      <c r="AE92" s="470"/>
      <c r="AF92" s="276">
        <f>(AC92-AD92)*(1-Recovery_OX!U87)</f>
        <v>0</v>
      </c>
    </row>
    <row r="93" spans="2:32">
      <c r="B93" s="357">
        <f t="shared" si="6"/>
        <v>2076</v>
      </c>
      <c r="C93" s="354">
        <f>IF(Select2=1,Food!$K95,"")</f>
        <v>0</v>
      </c>
      <c r="D93" s="342">
        <f>IF(Select2=1,Paper!$K95,"")</f>
        <v>0</v>
      </c>
      <c r="E93" s="338">
        <f>IF(Select2=1,Nappies!$K95,"")</f>
        <v>0</v>
      </c>
      <c r="F93" s="342">
        <f>IF(Select2=1,Garden!$K95,"")</f>
        <v>0</v>
      </c>
      <c r="G93" s="338">
        <f>IF(Select2=1,Wood!$K95,"")</f>
        <v>0</v>
      </c>
      <c r="H93" s="342">
        <f>IF(Select2=1,Textiles!$K95,"")</f>
        <v>0</v>
      </c>
      <c r="I93" s="343">
        <f>Sludge!K95</f>
        <v>0</v>
      </c>
      <c r="J93" s="343" t="str">
        <f>IF(Select2=2,MSW!$K95,"")</f>
        <v/>
      </c>
      <c r="K93" s="343">
        <f>Industry!$K95</f>
        <v>0</v>
      </c>
      <c r="L93" s="379">
        <f t="shared" si="8"/>
        <v>0</v>
      </c>
      <c r="M93" s="344">
        <f>Recovery_OX!C88</f>
        <v>0</v>
      </c>
      <c r="N93" s="470"/>
      <c r="O93" s="746">
        <f>(L93-M93)*(1-Recovery_OX!F88)</f>
        <v>0</v>
      </c>
      <c r="P93" s="175"/>
      <c r="Q93" s="506"/>
      <c r="S93" s="357">
        <f t="shared" si="7"/>
        <v>2076</v>
      </c>
      <c r="T93" s="354">
        <f>IF(Select2=1,Food!$W95,"")</f>
        <v>0</v>
      </c>
      <c r="U93" s="342">
        <f>IF(Select2=1,Paper!$W95,"")</f>
        <v>0</v>
      </c>
      <c r="V93" s="338">
        <f>IF(Select2=1,Nappies!$W95,"")</f>
        <v>0</v>
      </c>
      <c r="W93" s="342">
        <f>IF(Select2=1,Garden!$W95,"")</f>
        <v>0</v>
      </c>
      <c r="X93" s="338">
        <f>IF(Select2=1,Wood!$W95,"")</f>
        <v>0</v>
      </c>
      <c r="Y93" s="342">
        <f>IF(Select2=1,Textiles!$W95,"")</f>
        <v>0</v>
      </c>
      <c r="Z93" s="340">
        <f>Sludge!W95</f>
        <v>0</v>
      </c>
      <c r="AA93" s="340" t="str">
        <f>IF(Select2=2,MSW!$W95,"")</f>
        <v/>
      </c>
      <c r="AB93" s="343">
        <f>Industry!$W95</f>
        <v>0</v>
      </c>
      <c r="AC93" s="379">
        <f t="shared" si="5"/>
        <v>0</v>
      </c>
      <c r="AD93" s="344">
        <f>Recovery_OX!R88</f>
        <v>0</v>
      </c>
      <c r="AE93" s="470"/>
      <c r="AF93" s="276">
        <f>(AC93-AD93)*(1-Recovery_OX!U88)</f>
        <v>0</v>
      </c>
    </row>
    <row r="94" spans="2:32">
      <c r="B94" s="357">
        <f t="shared" si="6"/>
        <v>2077</v>
      </c>
      <c r="C94" s="354">
        <f>IF(Select2=1,Food!$K96,"")</f>
        <v>0</v>
      </c>
      <c r="D94" s="342">
        <f>IF(Select2=1,Paper!$K96,"")</f>
        <v>0</v>
      </c>
      <c r="E94" s="338">
        <f>IF(Select2=1,Nappies!$K96,"")</f>
        <v>0</v>
      </c>
      <c r="F94" s="342">
        <f>IF(Select2=1,Garden!$K96,"")</f>
        <v>0</v>
      </c>
      <c r="G94" s="338">
        <f>IF(Select2=1,Wood!$K96,"")</f>
        <v>0</v>
      </c>
      <c r="H94" s="342">
        <f>IF(Select2=1,Textiles!$K96,"")</f>
        <v>0</v>
      </c>
      <c r="I94" s="343">
        <f>Sludge!K96</f>
        <v>0</v>
      </c>
      <c r="J94" s="343" t="str">
        <f>IF(Select2=2,MSW!$K96,"")</f>
        <v/>
      </c>
      <c r="K94" s="343">
        <f>Industry!$K96</f>
        <v>0</v>
      </c>
      <c r="L94" s="379">
        <f t="shared" si="8"/>
        <v>0</v>
      </c>
      <c r="M94" s="344">
        <f>Recovery_OX!C89</f>
        <v>0</v>
      </c>
      <c r="N94" s="470"/>
      <c r="O94" s="746">
        <f>(L94-M94)*(1-Recovery_OX!F89)</f>
        <v>0</v>
      </c>
      <c r="P94" s="175"/>
      <c r="Q94" s="506"/>
      <c r="S94" s="357">
        <f t="shared" si="7"/>
        <v>2077</v>
      </c>
      <c r="T94" s="354">
        <f>IF(Select2=1,Food!$W96,"")</f>
        <v>0</v>
      </c>
      <c r="U94" s="342">
        <f>IF(Select2=1,Paper!$W96,"")</f>
        <v>0</v>
      </c>
      <c r="V94" s="338">
        <f>IF(Select2=1,Nappies!$W96,"")</f>
        <v>0</v>
      </c>
      <c r="W94" s="342">
        <f>IF(Select2=1,Garden!$W96,"")</f>
        <v>0</v>
      </c>
      <c r="X94" s="338">
        <f>IF(Select2=1,Wood!$W96,"")</f>
        <v>0</v>
      </c>
      <c r="Y94" s="342">
        <f>IF(Select2=1,Textiles!$W96,"")</f>
        <v>0</v>
      </c>
      <c r="Z94" s="340">
        <f>Sludge!W96</f>
        <v>0</v>
      </c>
      <c r="AA94" s="340" t="str">
        <f>IF(Select2=2,MSW!$W96,"")</f>
        <v/>
      </c>
      <c r="AB94" s="343">
        <f>Industry!$W96</f>
        <v>0</v>
      </c>
      <c r="AC94" s="379">
        <f t="shared" si="5"/>
        <v>0</v>
      </c>
      <c r="AD94" s="344">
        <f>Recovery_OX!R89</f>
        <v>0</v>
      </c>
      <c r="AE94" s="470"/>
      <c r="AF94" s="276">
        <f>(AC94-AD94)*(1-Recovery_OX!U89)</f>
        <v>0</v>
      </c>
    </row>
    <row r="95" spans="2:32">
      <c r="B95" s="357">
        <f t="shared" si="6"/>
        <v>2078</v>
      </c>
      <c r="C95" s="354">
        <f>IF(Select2=1,Food!$K97,"")</f>
        <v>0</v>
      </c>
      <c r="D95" s="342">
        <f>IF(Select2=1,Paper!$K97,"")</f>
        <v>0</v>
      </c>
      <c r="E95" s="338">
        <f>IF(Select2=1,Nappies!$K97,"")</f>
        <v>0</v>
      </c>
      <c r="F95" s="342">
        <f>IF(Select2=1,Garden!$K97,"")</f>
        <v>0</v>
      </c>
      <c r="G95" s="338">
        <f>IF(Select2=1,Wood!$K97,"")</f>
        <v>0</v>
      </c>
      <c r="H95" s="342">
        <f>IF(Select2=1,Textiles!$K97,"")</f>
        <v>0</v>
      </c>
      <c r="I95" s="343">
        <f>Sludge!K97</f>
        <v>0</v>
      </c>
      <c r="J95" s="343" t="str">
        <f>IF(Select2=2,MSW!$K97,"")</f>
        <v/>
      </c>
      <c r="K95" s="343">
        <f>Industry!$K97</f>
        <v>0</v>
      </c>
      <c r="L95" s="379">
        <f t="shared" si="8"/>
        <v>0</v>
      </c>
      <c r="M95" s="344">
        <f>Recovery_OX!C90</f>
        <v>0</v>
      </c>
      <c r="N95" s="470"/>
      <c r="O95" s="746">
        <f>(L95-M95)*(1-Recovery_OX!F90)</f>
        <v>0</v>
      </c>
      <c r="P95" s="175"/>
      <c r="Q95" s="506"/>
      <c r="S95" s="357">
        <f t="shared" si="7"/>
        <v>2078</v>
      </c>
      <c r="T95" s="354">
        <f>IF(Select2=1,Food!$W97,"")</f>
        <v>0</v>
      </c>
      <c r="U95" s="342">
        <f>IF(Select2=1,Paper!$W97,"")</f>
        <v>0</v>
      </c>
      <c r="V95" s="338">
        <f>IF(Select2=1,Nappies!$W97,"")</f>
        <v>0</v>
      </c>
      <c r="W95" s="342">
        <f>IF(Select2=1,Garden!$W97,"")</f>
        <v>0</v>
      </c>
      <c r="X95" s="338">
        <f>IF(Select2=1,Wood!$W97,"")</f>
        <v>0</v>
      </c>
      <c r="Y95" s="342">
        <f>IF(Select2=1,Textiles!$W97,"")</f>
        <v>0</v>
      </c>
      <c r="Z95" s="340">
        <f>Sludge!W97</f>
        <v>0</v>
      </c>
      <c r="AA95" s="340" t="str">
        <f>IF(Select2=2,MSW!$W97,"")</f>
        <v/>
      </c>
      <c r="AB95" s="343">
        <f>Industry!$W97</f>
        <v>0</v>
      </c>
      <c r="AC95" s="379">
        <f t="shared" si="5"/>
        <v>0</v>
      </c>
      <c r="AD95" s="344">
        <f>Recovery_OX!R90</f>
        <v>0</v>
      </c>
      <c r="AE95" s="470"/>
      <c r="AF95" s="276">
        <f>(AC95-AD95)*(1-Recovery_OX!U90)</f>
        <v>0</v>
      </c>
    </row>
    <row r="96" spans="2:32">
      <c r="B96" s="357">
        <f t="shared" si="6"/>
        <v>2079</v>
      </c>
      <c r="C96" s="354">
        <f>IF(Select2=1,Food!$K98,"")</f>
        <v>0</v>
      </c>
      <c r="D96" s="342">
        <f>IF(Select2=1,Paper!$K98,"")</f>
        <v>0</v>
      </c>
      <c r="E96" s="338">
        <f>IF(Select2=1,Nappies!$K98,"")</f>
        <v>0</v>
      </c>
      <c r="F96" s="342">
        <f>IF(Select2=1,Garden!$K98,"")</f>
        <v>0</v>
      </c>
      <c r="G96" s="338">
        <f>IF(Select2=1,Wood!$K98,"")</f>
        <v>0</v>
      </c>
      <c r="H96" s="342">
        <f>IF(Select2=1,Textiles!$K98,"")</f>
        <v>0</v>
      </c>
      <c r="I96" s="343">
        <f>Sludge!K98</f>
        <v>0</v>
      </c>
      <c r="J96" s="343" t="str">
        <f>IF(Select2=2,MSW!$K98,"")</f>
        <v/>
      </c>
      <c r="K96" s="343">
        <f>Industry!$K98</f>
        <v>0</v>
      </c>
      <c r="L96" s="379">
        <f t="shared" si="8"/>
        <v>0</v>
      </c>
      <c r="M96" s="344">
        <f>Recovery_OX!C91</f>
        <v>0</v>
      </c>
      <c r="N96" s="470"/>
      <c r="O96" s="746">
        <f>(L96-M96)*(1-Recovery_OX!F91)</f>
        <v>0</v>
      </c>
      <c r="P96" s="317"/>
      <c r="S96" s="357">
        <f t="shared" si="7"/>
        <v>2079</v>
      </c>
      <c r="T96" s="354">
        <f>IF(Select2=1,Food!$W98,"")</f>
        <v>0</v>
      </c>
      <c r="U96" s="342">
        <f>IF(Select2=1,Paper!$W98,"")</f>
        <v>0</v>
      </c>
      <c r="V96" s="338">
        <f>IF(Select2=1,Nappies!$W98,"")</f>
        <v>0</v>
      </c>
      <c r="W96" s="342">
        <f>IF(Select2=1,Garden!$W98,"")</f>
        <v>0</v>
      </c>
      <c r="X96" s="338">
        <f>IF(Select2=1,Wood!$W98,"")</f>
        <v>0</v>
      </c>
      <c r="Y96" s="342">
        <f>IF(Select2=1,Textiles!$W98,"")</f>
        <v>0</v>
      </c>
      <c r="Z96" s="340">
        <f>Sludge!W98</f>
        <v>0</v>
      </c>
      <c r="AA96" s="340" t="str">
        <f>IF(Select2=2,MSW!$W98,"")</f>
        <v/>
      </c>
      <c r="AB96" s="343">
        <f>Industry!$W98</f>
        <v>0</v>
      </c>
      <c r="AC96" s="379">
        <f t="shared" si="5"/>
        <v>0</v>
      </c>
      <c r="AD96" s="344">
        <f>Recovery_OX!R91</f>
        <v>0</v>
      </c>
      <c r="AE96" s="470"/>
      <c r="AF96" s="276">
        <f>(AC96-AD96)*(1-Recovery_OX!U91)</f>
        <v>0</v>
      </c>
    </row>
    <row r="97" spans="2:32" ht="13.5" thickBot="1">
      <c r="B97" s="358">
        <f t="shared" si="6"/>
        <v>2080</v>
      </c>
      <c r="C97" s="355">
        <f>IF(Select2=1,Food!$K99,"")</f>
        <v>0</v>
      </c>
      <c r="D97" s="345">
        <f>IF(Select2=1,Paper!$K99,"")</f>
        <v>0</v>
      </c>
      <c r="E97" s="345">
        <f>IF(Select2=1,Nappies!$K99,"")</f>
        <v>0</v>
      </c>
      <c r="F97" s="345">
        <f>IF(Select2=1,Garden!$K99,"")</f>
        <v>0</v>
      </c>
      <c r="G97" s="345">
        <f>IF(Select2=1,Wood!$K99,"")</f>
        <v>0</v>
      </c>
      <c r="H97" s="345">
        <f>IF(Select2=1,Textiles!$K99,"")</f>
        <v>0</v>
      </c>
      <c r="I97" s="346">
        <f>Sludge!K99</f>
        <v>0</v>
      </c>
      <c r="J97" s="346" t="str">
        <f>IF(Select2=2,MSW!$K99,"")</f>
        <v/>
      </c>
      <c r="K97" s="343">
        <f>Industry!$K99</f>
        <v>0</v>
      </c>
      <c r="L97" s="379">
        <f t="shared" si="8"/>
        <v>0</v>
      </c>
      <c r="M97" s="347">
        <f>Recovery_OX!C92</f>
        <v>0</v>
      </c>
      <c r="N97" s="470"/>
      <c r="O97" s="747">
        <f>(L97-M97)*(1-Recovery_OX!F92)</f>
        <v>0</v>
      </c>
      <c r="S97" s="358">
        <f t="shared" si="7"/>
        <v>2080</v>
      </c>
      <c r="T97" s="355">
        <f>IF(Select2=1,Food!$W99,"")</f>
        <v>0</v>
      </c>
      <c r="U97" s="345">
        <f>IF(Select2=1,Paper!$W99,"")</f>
        <v>0</v>
      </c>
      <c r="V97" s="345">
        <f>IF(Select2=1,Nappies!$W99,"")</f>
        <v>0</v>
      </c>
      <c r="W97" s="345">
        <f>IF(Select2=1,Garden!$W99,"")</f>
        <v>0</v>
      </c>
      <c r="X97" s="345">
        <f>IF(Select2=1,Wood!$W99,"")</f>
        <v>0</v>
      </c>
      <c r="Y97" s="345">
        <f>IF(Select2=1,Textiles!$W99,"")</f>
        <v>0</v>
      </c>
      <c r="Z97" s="346">
        <f>Sludge!W99</f>
        <v>0</v>
      </c>
      <c r="AA97" s="346" t="str">
        <f>IF(Select2=2,MSW!$W99,"")</f>
        <v/>
      </c>
      <c r="AB97" s="343">
        <f>Industry!$W99</f>
        <v>0</v>
      </c>
      <c r="AC97" s="380">
        <f t="shared" si="5"/>
        <v>0</v>
      </c>
      <c r="AD97" s="347">
        <f>Recovery_OX!R92</f>
        <v>0</v>
      </c>
      <c r="AE97" s="470"/>
      <c r="AF97" s="277">
        <f>(AC97-AD97)*(1-Recovery_OX!U92)</f>
        <v>0</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61" customWidth="1"/>
    <col min="14" max="14" width="9.85546875" style="561" customWidth="1"/>
    <col min="15" max="15" width="8.7109375" style="561" customWidth="1"/>
    <col min="16" max="16384" width="11.42578125" style="6"/>
  </cols>
  <sheetData>
    <row r="2" spans="2:15" s="559" customFormat="1">
      <c r="B2" s="559" t="s">
        <v>282</v>
      </c>
      <c r="M2" s="560"/>
      <c r="N2" s="560"/>
      <c r="O2" s="560"/>
    </row>
    <row r="4" spans="2:15">
      <c r="B4" s="6" t="s">
        <v>283</v>
      </c>
    </row>
    <row r="7" spans="2:15" ht="13.5" thickBot="1"/>
    <row r="8" spans="2:15" ht="13.5" thickBot="1">
      <c r="B8" s="562"/>
      <c r="C8" s="807" t="s">
        <v>284</v>
      </c>
      <c r="D8" s="808"/>
      <c r="E8" s="809"/>
      <c r="F8" s="807" t="s">
        <v>285</v>
      </c>
      <c r="G8" s="808"/>
      <c r="H8" s="810"/>
      <c r="I8" s="563"/>
      <c r="J8" s="807" t="s">
        <v>286</v>
      </c>
      <c r="K8" s="808"/>
      <c r="L8" s="810"/>
      <c r="M8" s="811" t="s">
        <v>287</v>
      </c>
      <c r="N8" s="812"/>
      <c r="O8" s="813"/>
    </row>
    <row r="9" spans="2:15" ht="26.25" thickBot="1">
      <c r="B9" s="186" t="s">
        <v>1</v>
      </c>
      <c r="C9" s="564" t="s">
        <v>288</v>
      </c>
      <c r="D9" s="565" t="s">
        <v>289</v>
      </c>
      <c r="E9" s="566" t="s">
        <v>290</v>
      </c>
      <c r="F9" s="567" t="s">
        <v>288</v>
      </c>
      <c r="G9" s="568" t="s">
        <v>289</v>
      </c>
      <c r="H9" s="569" t="s">
        <v>290</v>
      </c>
      <c r="I9" s="563"/>
      <c r="J9" s="567" t="s">
        <v>261</v>
      </c>
      <c r="K9" s="568" t="s">
        <v>262</v>
      </c>
      <c r="L9" s="569" t="s">
        <v>2</v>
      </c>
      <c r="M9" s="570" t="s">
        <v>261</v>
      </c>
      <c r="N9" s="571" t="s">
        <v>262</v>
      </c>
      <c r="O9" s="572" t="s">
        <v>2</v>
      </c>
    </row>
    <row r="10" spans="2:15" ht="13.5" thickBot="1">
      <c r="B10" s="150"/>
      <c r="C10" s="573" t="s">
        <v>15</v>
      </c>
      <c r="D10" s="574" t="s">
        <v>15</v>
      </c>
      <c r="E10" s="575" t="s">
        <v>15</v>
      </c>
      <c r="F10" s="576" t="s">
        <v>15</v>
      </c>
      <c r="G10" s="574" t="s">
        <v>15</v>
      </c>
      <c r="H10" s="575" t="s">
        <v>15</v>
      </c>
      <c r="I10" s="577"/>
      <c r="J10" s="576" t="s">
        <v>15</v>
      </c>
      <c r="K10" s="574" t="s">
        <v>15</v>
      </c>
      <c r="L10" s="575" t="s">
        <v>15</v>
      </c>
      <c r="M10" s="576" t="s">
        <v>15</v>
      </c>
      <c r="N10" s="574" t="s">
        <v>15</v>
      </c>
      <c r="O10" s="575" t="s">
        <v>15</v>
      </c>
    </row>
    <row r="11" spans="2:15" ht="13.5" thickBot="1">
      <c r="B11" s="578"/>
      <c r="C11" s="579"/>
      <c r="D11" s="580"/>
      <c r="E11" s="581"/>
      <c r="F11" s="582"/>
      <c r="G11" s="583"/>
      <c r="H11" s="44"/>
      <c r="I11" s="584"/>
      <c r="J11" s="585"/>
      <c r="K11" s="586"/>
      <c r="L11" s="587"/>
      <c r="M11" s="588"/>
      <c r="N11" s="580"/>
      <c r="O11" s="581"/>
    </row>
    <row r="12" spans="2:15">
      <c r="B12" s="589">
        <f>year</f>
        <v>1950</v>
      </c>
      <c r="C12" s="590">
        <f>Stored_C!E18</f>
        <v>0</v>
      </c>
      <c r="D12" s="591">
        <f>Stored_C!F18+Stored_C!L18</f>
        <v>0</v>
      </c>
      <c r="E12" s="592">
        <f>Stored_C!G18+Stored_C!M18</f>
        <v>0</v>
      </c>
      <c r="F12" s="593">
        <f>F11+HWP!C12</f>
        <v>0</v>
      </c>
      <c r="G12" s="591">
        <f>G11+HWP!D12</f>
        <v>0</v>
      </c>
      <c r="H12" s="592">
        <f>H11+HWP!E12</f>
        <v>0</v>
      </c>
      <c r="I12" s="584"/>
      <c r="J12" s="594">
        <f>Garden!J19</f>
        <v>0</v>
      </c>
      <c r="K12" s="595">
        <f>Paper!J19</f>
        <v>0</v>
      </c>
      <c r="L12" s="596">
        <f>Wood!J19</f>
        <v>0</v>
      </c>
      <c r="M12" s="597">
        <f>J12*(1-Recovery_OX!E12)*(1-Recovery_OX!F12)</f>
        <v>0</v>
      </c>
      <c r="N12" s="595">
        <f>K12*(1-Recovery_OX!E12)*(1-Recovery_OX!F12)</f>
        <v>0</v>
      </c>
      <c r="O12" s="596">
        <f>L12*(1-Recovery_OX!E12)*(1-Recovery_OX!F12)</f>
        <v>0</v>
      </c>
    </row>
    <row r="13" spans="2:15">
      <c r="B13" s="598">
        <f>B12+1</f>
        <v>1951</v>
      </c>
      <c r="C13" s="599">
        <f>Stored_C!E19</f>
        <v>0</v>
      </c>
      <c r="D13" s="600">
        <f>Stored_C!F19+Stored_C!L19</f>
        <v>0</v>
      </c>
      <c r="E13" s="601">
        <f>Stored_C!G19+Stored_C!M19</f>
        <v>0</v>
      </c>
      <c r="F13" s="602">
        <f>F12+HWP!C13</f>
        <v>0</v>
      </c>
      <c r="G13" s="600">
        <f>G12+HWP!D13</f>
        <v>0</v>
      </c>
      <c r="H13" s="601">
        <f>H12+HWP!E13</f>
        <v>0</v>
      </c>
      <c r="I13" s="584"/>
      <c r="J13" s="603">
        <f>Garden!J20</f>
        <v>0</v>
      </c>
      <c r="K13" s="604">
        <f>Paper!J20</f>
        <v>0</v>
      </c>
      <c r="L13" s="605">
        <f>Wood!J20</f>
        <v>0</v>
      </c>
      <c r="M13" s="606">
        <f>J13*(1-Recovery_OX!E13)*(1-Recovery_OX!F13)</f>
        <v>0</v>
      </c>
      <c r="N13" s="604">
        <f>K13*(1-Recovery_OX!E13)*(1-Recovery_OX!F13)</f>
        <v>0</v>
      </c>
      <c r="O13" s="605">
        <f>L13*(1-Recovery_OX!E13)*(1-Recovery_OX!F13)</f>
        <v>0</v>
      </c>
    </row>
    <row r="14" spans="2:15">
      <c r="B14" s="598">
        <f t="shared" ref="B14:B77" si="0">B13+1</f>
        <v>1952</v>
      </c>
      <c r="C14" s="599">
        <f>Stored_C!E20</f>
        <v>0</v>
      </c>
      <c r="D14" s="600">
        <f>Stored_C!F20+Stored_C!L20</f>
        <v>0</v>
      </c>
      <c r="E14" s="601">
        <f>Stored_C!G20+Stored_C!M20</f>
        <v>0</v>
      </c>
      <c r="F14" s="602">
        <f>F13+HWP!C14</f>
        <v>0</v>
      </c>
      <c r="G14" s="600">
        <f>G13+HWP!D14</f>
        <v>0</v>
      </c>
      <c r="H14" s="601">
        <f>H13+HWP!E14</f>
        <v>0</v>
      </c>
      <c r="I14" s="584"/>
      <c r="J14" s="603">
        <f>Garden!J21</f>
        <v>0</v>
      </c>
      <c r="K14" s="604">
        <f>Paper!J21</f>
        <v>0</v>
      </c>
      <c r="L14" s="605">
        <f>Wood!J21</f>
        <v>0</v>
      </c>
      <c r="M14" s="606">
        <f>J14*(1-Recovery_OX!E14)*(1-Recovery_OX!F14)</f>
        <v>0</v>
      </c>
      <c r="N14" s="604">
        <f>K14*(1-Recovery_OX!E14)*(1-Recovery_OX!F14)</f>
        <v>0</v>
      </c>
      <c r="O14" s="605">
        <f>L14*(1-Recovery_OX!E14)*(1-Recovery_OX!F14)</f>
        <v>0</v>
      </c>
    </row>
    <row r="15" spans="2:15">
      <c r="B15" s="598">
        <f t="shared" si="0"/>
        <v>1953</v>
      </c>
      <c r="C15" s="599">
        <f>Stored_C!E21</f>
        <v>0</v>
      </c>
      <c r="D15" s="600">
        <f>Stored_C!F21+Stored_C!L21</f>
        <v>0</v>
      </c>
      <c r="E15" s="601">
        <f>Stored_C!G21+Stored_C!M21</f>
        <v>0</v>
      </c>
      <c r="F15" s="602">
        <f>F14+HWP!C15</f>
        <v>0</v>
      </c>
      <c r="G15" s="600">
        <f>G14+HWP!D15</f>
        <v>0</v>
      </c>
      <c r="H15" s="601">
        <f>H14+HWP!E15</f>
        <v>0</v>
      </c>
      <c r="I15" s="584"/>
      <c r="J15" s="603">
        <f>Garden!J22</f>
        <v>0</v>
      </c>
      <c r="K15" s="604">
        <f>Paper!J22</f>
        <v>0</v>
      </c>
      <c r="L15" s="605">
        <f>Wood!J22</f>
        <v>0</v>
      </c>
      <c r="M15" s="606">
        <f>J15*(1-Recovery_OX!E15)*(1-Recovery_OX!F15)</f>
        <v>0</v>
      </c>
      <c r="N15" s="604">
        <f>K15*(1-Recovery_OX!E15)*(1-Recovery_OX!F15)</f>
        <v>0</v>
      </c>
      <c r="O15" s="605">
        <f>L15*(1-Recovery_OX!E15)*(1-Recovery_OX!F15)</f>
        <v>0</v>
      </c>
    </row>
    <row r="16" spans="2:15">
      <c r="B16" s="598">
        <f t="shared" si="0"/>
        <v>1954</v>
      </c>
      <c r="C16" s="599">
        <f>Stored_C!E22</f>
        <v>0</v>
      </c>
      <c r="D16" s="600">
        <f>Stored_C!F22+Stored_C!L22</f>
        <v>0</v>
      </c>
      <c r="E16" s="601">
        <f>Stored_C!G22+Stored_C!M22</f>
        <v>0</v>
      </c>
      <c r="F16" s="602">
        <f>F15+HWP!C16</f>
        <v>0</v>
      </c>
      <c r="G16" s="600">
        <f>G15+HWP!D16</f>
        <v>0</v>
      </c>
      <c r="H16" s="601">
        <f>H15+HWP!E16</f>
        <v>0</v>
      </c>
      <c r="I16" s="584"/>
      <c r="J16" s="603">
        <f>Garden!J23</f>
        <v>0</v>
      </c>
      <c r="K16" s="604">
        <f>Paper!J23</f>
        <v>0</v>
      </c>
      <c r="L16" s="605">
        <f>Wood!J23</f>
        <v>0</v>
      </c>
      <c r="M16" s="606">
        <f>J16*(1-Recovery_OX!E16)*(1-Recovery_OX!F16)</f>
        <v>0</v>
      </c>
      <c r="N16" s="604">
        <f>K16*(1-Recovery_OX!E16)*(1-Recovery_OX!F16)</f>
        <v>0</v>
      </c>
      <c r="O16" s="605">
        <f>L16*(1-Recovery_OX!E16)*(1-Recovery_OX!F16)</f>
        <v>0</v>
      </c>
    </row>
    <row r="17" spans="2:15">
      <c r="B17" s="598">
        <f t="shared" si="0"/>
        <v>1955</v>
      </c>
      <c r="C17" s="599">
        <f>Stored_C!E23</f>
        <v>0</v>
      </c>
      <c r="D17" s="600">
        <f>Stored_C!F23+Stored_C!L23</f>
        <v>0</v>
      </c>
      <c r="E17" s="601">
        <f>Stored_C!G23+Stored_C!M23</f>
        <v>0</v>
      </c>
      <c r="F17" s="602">
        <f>F16+HWP!C17</f>
        <v>0</v>
      </c>
      <c r="G17" s="600">
        <f>G16+HWP!D17</f>
        <v>0</v>
      </c>
      <c r="H17" s="601">
        <f>H16+HWP!E17</f>
        <v>0</v>
      </c>
      <c r="I17" s="584"/>
      <c r="J17" s="603">
        <f>Garden!J24</f>
        <v>0</v>
      </c>
      <c r="K17" s="604">
        <f>Paper!J24</f>
        <v>0</v>
      </c>
      <c r="L17" s="605">
        <f>Wood!J24</f>
        <v>0</v>
      </c>
      <c r="M17" s="606">
        <f>J17*(1-Recovery_OX!E17)*(1-Recovery_OX!F17)</f>
        <v>0</v>
      </c>
      <c r="N17" s="604">
        <f>K17*(1-Recovery_OX!E17)*(1-Recovery_OX!F17)</f>
        <v>0</v>
      </c>
      <c r="O17" s="605">
        <f>L17*(1-Recovery_OX!E17)*(1-Recovery_OX!F17)</f>
        <v>0</v>
      </c>
    </row>
    <row r="18" spans="2:15">
      <c r="B18" s="598">
        <f t="shared" si="0"/>
        <v>1956</v>
      </c>
      <c r="C18" s="599">
        <f>Stored_C!E24</f>
        <v>0</v>
      </c>
      <c r="D18" s="600">
        <f>Stored_C!F24+Stored_C!L24</f>
        <v>0</v>
      </c>
      <c r="E18" s="601">
        <f>Stored_C!G24+Stored_C!M24</f>
        <v>0</v>
      </c>
      <c r="F18" s="602">
        <f>F17+HWP!C18</f>
        <v>0</v>
      </c>
      <c r="G18" s="600">
        <f>G17+HWP!D18</f>
        <v>0</v>
      </c>
      <c r="H18" s="601">
        <f>H17+HWP!E18</f>
        <v>0</v>
      </c>
      <c r="I18" s="584"/>
      <c r="J18" s="603">
        <f>Garden!J25</f>
        <v>0</v>
      </c>
      <c r="K18" s="604">
        <f>Paper!J25</f>
        <v>0</v>
      </c>
      <c r="L18" s="605">
        <f>Wood!J25</f>
        <v>0</v>
      </c>
      <c r="M18" s="606">
        <f>J18*(1-Recovery_OX!E18)*(1-Recovery_OX!F18)</f>
        <v>0</v>
      </c>
      <c r="N18" s="604">
        <f>K18*(1-Recovery_OX!E18)*(1-Recovery_OX!F18)</f>
        <v>0</v>
      </c>
      <c r="O18" s="605">
        <f>L18*(1-Recovery_OX!E18)*(1-Recovery_OX!F18)</f>
        <v>0</v>
      </c>
    </row>
    <row r="19" spans="2:15">
      <c r="B19" s="598">
        <f t="shared" si="0"/>
        <v>1957</v>
      </c>
      <c r="C19" s="599">
        <f>Stored_C!E25</f>
        <v>0</v>
      </c>
      <c r="D19" s="600">
        <f>Stored_C!F25+Stored_C!L25</f>
        <v>0</v>
      </c>
      <c r="E19" s="601">
        <f>Stored_C!G25+Stored_C!M25</f>
        <v>0</v>
      </c>
      <c r="F19" s="602">
        <f>F18+HWP!C19</f>
        <v>0</v>
      </c>
      <c r="G19" s="600">
        <f>G18+HWP!D19</f>
        <v>0</v>
      </c>
      <c r="H19" s="601">
        <f>H18+HWP!E19</f>
        <v>0</v>
      </c>
      <c r="I19" s="584"/>
      <c r="J19" s="603">
        <f>Garden!J26</f>
        <v>0</v>
      </c>
      <c r="K19" s="604">
        <f>Paper!J26</f>
        <v>0</v>
      </c>
      <c r="L19" s="605">
        <f>Wood!J26</f>
        <v>0</v>
      </c>
      <c r="M19" s="606">
        <f>J19*(1-Recovery_OX!E19)*(1-Recovery_OX!F19)</f>
        <v>0</v>
      </c>
      <c r="N19" s="604">
        <f>K19*(1-Recovery_OX!E19)*(1-Recovery_OX!F19)</f>
        <v>0</v>
      </c>
      <c r="O19" s="605">
        <f>L19*(1-Recovery_OX!E19)*(1-Recovery_OX!F19)</f>
        <v>0</v>
      </c>
    </row>
    <row r="20" spans="2:15">
      <c r="B20" s="598">
        <f t="shared" si="0"/>
        <v>1958</v>
      </c>
      <c r="C20" s="599">
        <f>Stored_C!E26</f>
        <v>0</v>
      </c>
      <c r="D20" s="600">
        <f>Stored_C!F26+Stored_C!L26</f>
        <v>0</v>
      </c>
      <c r="E20" s="601">
        <f>Stored_C!G26+Stored_C!M26</f>
        <v>0</v>
      </c>
      <c r="F20" s="602">
        <f>F19+HWP!C20</f>
        <v>0</v>
      </c>
      <c r="G20" s="600">
        <f>G19+HWP!D20</f>
        <v>0</v>
      </c>
      <c r="H20" s="601">
        <f>H19+HWP!E20</f>
        <v>0</v>
      </c>
      <c r="I20" s="584"/>
      <c r="J20" s="603">
        <f>Garden!J27</f>
        <v>0</v>
      </c>
      <c r="K20" s="604">
        <f>Paper!J27</f>
        <v>0</v>
      </c>
      <c r="L20" s="605">
        <f>Wood!J27</f>
        <v>0</v>
      </c>
      <c r="M20" s="606">
        <f>J20*(1-Recovery_OX!E20)*(1-Recovery_OX!F20)</f>
        <v>0</v>
      </c>
      <c r="N20" s="604">
        <f>K20*(1-Recovery_OX!E20)*(1-Recovery_OX!F20)</f>
        <v>0</v>
      </c>
      <c r="O20" s="605">
        <f>L20*(1-Recovery_OX!E20)*(1-Recovery_OX!F20)</f>
        <v>0</v>
      </c>
    </row>
    <row r="21" spans="2:15">
      <c r="B21" s="598">
        <f t="shared" si="0"/>
        <v>1959</v>
      </c>
      <c r="C21" s="599">
        <f>Stored_C!E27</f>
        <v>0</v>
      </c>
      <c r="D21" s="600">
        <f>Stored_C!F27+Stored_C!L27</f>
        <v>0</v>
      </c>
      <c r="E21" s="601">
        <f>Stored_C!G27+Stored_C!M27</f>
        <v>0</v>
      </c>
      <c r="F21" s="602">
        <f>F20+HWP!C21</f>
        <v>0</v>
      </c>
      <c r="G21" s="600">
        <f>G20+HWP!D21</f>
        <v>0</v>
      </c>
      <c r="H21" s="601">
        <f>H20+HWP!E21</f>
        <v>0</v>
      </c>
      <c r="I21" s="584"/>
      <c r="J21" s="603">
        <f>Garden!J28</f>
        <v>0</v>
      </c>
      <c r="K21" s="604">
        <f>Paper!J28</f>
        <v>0</v>
      </c>
      <c r="L21" s="605">
        <f>Wood!J28</f>
        <v>0</v>
      </c>
      <c r="M21" s="606">
        <f>J21*(1-Recovery_OX!E21)*(1-Recovery_OX!F21)</f>
        <v>0</v>
      </c>
      <c r="N21" s="604">
        <f>K21*(1-Recovery_OX!E21)*(1-Recovery_OX!F21)</f>
        <v>0</v>
      </c>
      <c r="O21" s="605">
        <f>L21*(1-Recovery_OX!E21)*(1-Recovery_OX!F21)</f>
        <v>0</v>
      </c>
    </row>
    <row r="22" spans="2:15">
      <c r="B22" s="598">
        <f t="shared" si="0"/>
        <v>1960</v>
      </c>
      <c r="C22" s="599">
        <f>Stored_C!E28</f>
        <v>0</v>
      </c>
      <c r="D22" s="600">
        <f>Stored_C!F28+Stored_C!L28</f>
        <v>0</v>
      </c>
      <c r="E22" s="601">
        <f>Stored_C!G28+Stored_C!M28</f>
        <v>0</v>
      </c>
      <c r="F22" s="602">
        <f>F21+HWP!C22</f>
        <v>0</v>
      </c>
      <c r="G22" s="600">
        <f>G21+HWP!D22</f>
        <v>0</v>
      </c>
      <c r="H22" s="601">
        <f>H21+HWP!E22</f>
        <v>0</v>
      </c>
      <c r="I22" s="584"/>
      <c r="J22" s="603">
        <f>Garden!J29</f>
        <v>0</v>
      </c>
      <c r="K22" s="604">
        <f>Paper!J29</f>
        <v>0</v>
      </c>
      <c r="L22" s="605">
        <f>Wood!J29</f>
        <v>0</v>
      </c>
      <c r="M22" s="606">
        <f>J22*(1-Recovery_OX!E22)*(1-Recovery_OX!F22)</f>
        <v>0</v>
      </c>
      <c r="N22" s="604">
        <f>K22*(1-Recovery_OX!E22)*(1-Recovery_OX!F22)</f>
        <v>0</v>
      </c>
      <c r="O22" s="605">
        <f>L22*(1-Recovery_OX!E22)*(1-Recovery_OX!F22)</f>
        <v>0</v>
      </c>
    </row>
    <row r="23" spans="2:15">
      <c r="B23" s="598">
        <f t="shared" si="0"/>
        <v>1961</v>
      </c>
      <c r="C23" s="599">
        <f>Stored_C!E29</f>
        <v>0</v>
      </c>
      <c r="D23" s="600">
        <f>Stored_C!F29+Stored_C!L29</f>
        <v>0</v>
      </c>
      <c r="E23" s="601">
        <f>Stored_C!G29+Stored_C!M29</f>
        <v>0</v>
      </c>
      <c r="F23" s="602">
        <f>F22+HWP!C23</f>
        <v>0</v>
      </c>
      <c r="G23" s="600">
        <f>G22+HWP!D23</f>
        <v>0</v>
      </c>
      <c r="H23" s="601">
        <f>H22+HWP!E23</f>
        <v>0</v>
      </c>
      <c r="I23" s="584"/>
      <c r="J23" s="603">
        <f>Garden!J30</f>
        <v>0</v>
      </c>
      <c r="K23" s="604">
        <f>Paper!J30</f>
        <v>0</v>
      </c>
      <c r="L23" s="605">
        <f>Wood!J30</f>
        <v>0</v>
      </c>
      <c r="M23" s="606">
        <f>J23*(1-Recovery_OX!E23)*(1-Recovery_OX!F23)</f>
        <v>0</v>
      </c>
      <c r="N23" s="604">
        <f>K23*(1-Recovery_OX!E23)*(1-Recovery_OX!F23)</f>
        <v>0</v>
      </c>
      <c r="O23" s="605">
        <f>L23*(1-Recovery_OX!E23)*(1-Recovery_OX!F23)</f>
        <v>0</v>
      </c>
    </row>
    <row r="24" spans="2:15">
      <c r="B24" s="598">
        <f t="shared" si="0"/>
        <v>1962</v>
      </c>
      <c r="C24" s="599">
        <f>Stored_C!E30</f>
        <v>0</v>
      </c>
      <c r="D24" s="600">
        <f>Stored_C!F30+Stored_C!L30</f>
        <v>0</v>
      </c>
      <c r="E24" s="601">
        <f>Stored_C!G30+Stored_C!M30</f>
        <v>0</v>
      </c>
      <c r="F24" s="602">
        <f>F23+HWP!C24</f>
        <v>0</v>
      </c>
      <c r="G24" s="600">
        <f>G23+HWP!D24</f>
        <v>0</v>
      </c>
      <c r="H24" s="601">
        <f>H23+HWP!E24</f>
        <v>0</v>
      </c>
      <c r="I24" s="584"/>
      <c r="J24" s="603">
        <f>Garden!J31</f>
        <v>0</v>
      </c>
      <c r="K24" s="604">
        <f>Paper!J31</f>
        <v>0</v>
      </c>
      <c r="L24" s="605">
        <f>Wood!J31</f>
        <v>0</v>
      </c>
      <c r="M24" s="606">
        <f>J24*(1-Recovery_OX!E24)*(1-Recovery_OX!F24)</f>
        <v>0</v>
      </c>
      <c r="N24" s="604">
        <f>K24*(1-Recovery_OX!E24)*(1-Recovery_OX!F24)</f>
        <v>0</v>
      </c>
      <c r="O24" s="605">
        <f>L24*(1-Recovery_OX!E24)*(1-Recovery_OX!F24)</f>
        <v>0</v>
      </c>
    </row>
    <row r="25" spans="2:15">
      <c r="B25" s="598">
        <f t="shared" si="0"/>
        <v>1963</v>
      </c>
      <c r="C25" s="599">
        <f>Stored_C!E31</f>
        <v>0</v>
      </c>
      <c r="D25" s="600">
        <f>Stored_C!F31+Stored_C!L31</f>
        <v>0</v>
      </c>
      <c r="E25" s="601">
        <f>Stored_C!G31+Stored_C!M31</f>
        <v>0</v>
      </c>
      <c r="F25" s="602">
        <f>F24+HWP!C25</f>
        <v>0</v>
      </c>
      <c r="G25" s="600">
        <f>G24+HWP!D25</f>
        <v>0</v>
      </c>
      <c r="H25" s="601">
        <f>H24+HWP!E25</f>
        <v>0</v>
      </c>
      <c r="I25" s="584"/>
      <c r="J25" s="603">
        <f>Garden!J32</f>
        <v>0</v>
      </c>
      <c r="K25" s="604">
        <f>Paper!J32</f>
        <v>0</v>
      </c>
      <c r="L25" s="605">
        <f>Wood!J32</f>
        <v>0</v>
      </c>
      <c r="M25" s="606">
        <f>J25*(1-Recovery_OX!E25)*(1-Recovery_OX!F25)</f>
        <v>0</v>
      </c>
      <c r="N25" s="604">
        <f>K25*(1-Recovery_OX!E25)*(1-Recovery_OX!F25)</f>
        <v>0</v>
      </c>
      <c r="O25" s="605">
        <f>L25*(1-Recovery_OX!E25)*(1-Recovery_OX!F25)</f>
        <v>0</v>
      </c>
    </row>
    <row r="26" spans="2:15">
      <c r="B26" s="598">
        <f t="shared" si="0"/>
        <v>1964</v>
      </c>
      <c r="C26" s="599">
        <f>Stored_C!E32</f>
        <v>0</v>
      </c>
      <c r="D26" s="600">
        <f>Stored_C!F32+Stored_C!L32</f>
        <v>0</v>
      </c>
      <c r="E26" s="601">
        <f>Stored_C!G32+Stored_C!M32</f>
        <v>0</v>
      </c>
      <c r="F26" s="602">
        <f>F25+HWP!C26</f>
        <v>0</v>
      </c>
      <c r="G26" s="600">
        <f>G25+HWP!D26</f>
        <v>0</v>
      </c>
      <c r="H26" s="601">
        <f>H25+HWP!E26</f>
        <v>0</v>
      </c>
      <c r="I26" s="584"/>
      <c r="J26" s="603">
        <f>Garden!J33</f>
        <v>0</v>
      </c>
      <c r="K26" s="604">
        <f>Paper!J33</f>
        <v>0</v>
      </c>
      <c r="L26" s="605">
        <f>Wood!J33</f>
        <v>0</v>
      </c>
      <c r="M26" s="606">
        <f>J26*(1-Recovery_OX!E26)*(1-Recovery_OX!F26)</f>
        <v>0</v>
      </c>
      <c r="N26" s="604">
        <f>K26*(1-Recovery_OX!E26)*(1-Recovery_OX!F26)</f>
        <v>0</v>
      </c>
      <c r="O26" s="605">
        <f>L26*(1-Recovery_OX!E26)*(1-Recovery_OX!F26)</f>
        <v>0</v>
      </c>
    </row>
    <row r="27" spans="2:15">
      <c r="B27" s="598">
        <f t="shared" si="0"/>
        <v>1965</v>
      </c>
      <c r="C27" s="599">
        <f>Stored_C!E33</f>
        <v>0</v>
      </c>
      <c r="D27" s="600">
        <f>Stored_C!F33+Stored_C!L33</f>
        <v>0</v>
      </c>
      <c r="E27" s="601">
        <f>Stored_C!G33+Stored_C!M33</f>
        <v>0</v>
      </c>
      <c r="F27" s="602">
        <f>F26+HWP!C27</f>
        <v>0</v>
      </c>
      <c r="G27" s="600">
        <f>G26+HWP!D27</f>
        <v>0</v>
      </c>
      <c r="H27" s="601">
        <f>H26+HWP!E27</f>
        <v>0</v>
      </c>
      <c r="I27" s="584"/>
      <c r="J27" s="603">
        <f>Garden!J34</f>
        <v>0</v>
      </c>
      <c r="K27" s="604">
        <f>Paper!J34</f>
        <v>0</v>
      </c>
      <c r="L27" s="605">
        <f>Wood!J34</f>
        <v>0</v>
      </c>
      <c r="M27" s="606">
        <f>J27*(1-Recovery_OX!E27)*(1-Recovery_OX!F27)</f>
        <v>0</v>
      </c>
      <c r="N27" s="604">
        <f>K27*(1-Recovery_OX!E27)*(1-Recovery_OX!F27)</f>
        <v>0</v>
      </c>
      <c r="O27" s="605">
        <f>L27*(1-Recovery_OX!E27)*(1-Recovery_OX!F27)</f>
        <v>0</v>
      </c>
    </row>
    <row r="28" spans="2:15">
      <c r="B28" s="598">
        <f t="shared" si="0"/>
        <v>1966</v>
      </c>
      <c r="C28" s="599">
        <f>Stored_C!E34</f>
        <v>0</v>
      </c>
      <c r="D28" s="600">
        <f>Stored_C!F34+Stored_C!L34</f>
        <v>0</v>
      </c>
      <c r="E28" s="601">
        <f>Stored_C!G34+Stored_C!M34</f>
        <v>0</v>
      </c>
      <c r="F28" s="602">
        <f>F27+HWP!C28</f>
        <v>0</v>
      </c>
      <c r="G28" s="600">
        <f>G27+HWP!D28</f>
        <v>0</v>
      </c>
      <c r="H28" s="601">
        <f>H27+HWP!E28</f>
        <v>0</v>
      </c>
      <c r="I28" s="584"/>
      <c r="J28" s="603">
        <f>Garden!J35</f>
        <v>0</v>
      </c>
      <c r="K28" s="604">
        <f>Paper!J35</f>
        <v>0</v>
      </c>
      <c r="L28" s="605">
        <f>Wood!J35</f>
        <v>0</v>
      </c>
      <c r="M28" s="606">
        <f>J28*(1-Recovery_OX!E28)*(1-Recovery_OX!F28)</f>
        <v>0</v>
      </c>
      <c r="N28" s="604">
        <f>K28*(1-Recovery_OX!E28)*(1-Recovery_OX!F28)</f>
        <v>0</v>
      </c>
      <c r="O28" s="605">
        <f>L28*(1-Recovery_OX!E28)*(1-Recovery_OX!F28)</f>
        <v>0</v>
      </c>
    </row>
    <row r="29" spans="2:15">
      <c r="B29" s="598">
        <f t="shared" si="0"/>
        <v>1967</v>
      </c>
      <c r="C29" s="599">
        <f>Stored_C!E35</f>
        <v>0</v>
      </c>
      <c r="D29" s="600">
        <f>Stored_C!F35+Stored_C!L35</f>
        <v>0</v>
      </c>
      <c r="E29" s="601">
        <f>Stored_C!G35+Stored_C!M35</f>
        <v>0</v>
      </c>
      <c r="F29" s="602">
        <f>F28+HWP!C29</f>
        <v>0</v>
      </c>
      <c r="G29" s="600">
        <f>G28+HWP!D29</f>
        <v>0</v>
      </c>
      <c r="H29" s="601">
        <f>H28+HWP!E29</f>
        <v>0</v>
      </c>
      <c r="I29" s="584"/>
      <c r="J29" s="603">
        <f>Garden!J36</f>
        <v>0</v>
      </c>
      <c r="K29" s="604">
        <f>Paper!J36</f>
        <v>0</v>
      </c>
      <c r="L29" s="605">
        <f>Wood!J36</f>
        <v>0</v>
      </c>
      <c r="M29" s="606">
        <f>J29*(1-Recovery_OX!E29)*(1-Recovery_OX!F29)</f>
        <v>0</v>
      </c>
      <c r="N29" s="604">
        <f>K29*(1-Recovery_OX!E29)*(1-Recovery_OX!F29)</f>
        <v>0</v>
      </c>
      <c r="O29" s="605">
        <f>L29*(1-Recovery_OX!E29)*(1-Recovery_OX!F29)</f>
        <v>0</v>
      </c>
    </row>
    <row r="30" spans="2:15">
      <c r="B30" s="598">
        <f t="shared" si="0"/>
        <v>1968</v>
      </c>
      <c r="C30" s="599">
        <f>Stored_C!E36</f>
        <v>0</v>
      </c>
      <c r="D30" s="600">
        <f>Stored_C!F36+Stored_C!L36</f>
        <v>0</v>
      </c>
      <c r="E30" s="601">
        <f>Stored_C!G36+Stored_C!M36</f>
        <v>0</v>
      </c>
      <c r="F30" s="602">
        <f>F29+HWP!C30</f>
        <v>0</v>
      </c>
      <c r="G30" s="600">
        <f>G29+HWP!D30</f>
        <v>0</v>
      </c>
      <c r="H30" s="601">
        <f>H29+HWP!E30</f>
        <v>0</v>
      </c>
      <c r="I30" s="584"/>
      <c r="J30" s="603">
        <f>Garden!J37</f>
        <v>0</v>
      </c>
      <c r="K30" s="604">
        <f>Paper!J37</f>
        <v>0</v>
      </c>
      <c r="L30" s="605">
        <f>Wood!J37</f>
        <v>0</v>
      </c>
      <c r="M30" s="606">
        <f>J30*(1-Recovery_OX!E30)*(1-Recovery_OX!F30)</f>
        <v>0</v>
      </c>
      <c r="N30" s="604">
        <f>K30*(1-Recovery_OX!E30)*(1-Recovery_OX!F30)</f>
        <v>0</v>
      </c>
      <c r="O30" s="605">
        <f>L30*(1-Recovery_OX!E30)*(1-Recovery_OX!F30)</f>
        <v>0</v>
      </c>
    </row>
    <row r="31" spans="2:15">
      <c r="B31" s="598">
        <f t="shared" si="0"/>
        <v>1969</v>
      </c>
      <c r="C31" s="599">
        <f>Stored_C!E37</f>
        <v>0</v>
      </c>
      <c r="D31" s="600">
        <f>Stored_C!F37+Stored_C!L37</f>
        <v>0</v>
      </c>
      <c r="E31" s="601">
        <f>Stored_C!G37+Stored_C!M37</f>
        <v>0</v>
      </c>
      <c r="F31" s="602">
        <f>F30+HWP!C31</f>
        <v>0</v>
      </c>
      <c r="G31" s="600">
        <f>G30+HWP!D31</f>
        <v>0</v>
      </c>
      <c r="H31" s="601">
        <f>H30+HWP!E31</f>
        <v>0</v>
      </c>
      <c r="I31" s="584"/>
      <c r="J31" s="603">
        <f>Garden!J38</f>
        <v>0</v>
      </c>
      <c r="K31" s="604">
        <f>Paper!J38</f>
        <v>0</v>
      </c>
      <c r="L31" s="605">
        <f>Wood!J38</f>
        <v>0</v>
      </c>
      <c r="M31" s="606">
        <f>J31*(1-Recovery_OX!E31)*(1-Recovery_OX!F31)</f>
        <v>0</v>
      </c>
      <c r="N31" s="604">
        <f>K31*(1-Recovery_OX!E31)*(1-Recovery_OX!F31)</f>
        <v>0</v>
      </c>
      <c r="O31" s="605">
        <f>L31*(1-Recovery_OX!E31)*(1-Recovery_OX!F31)</f>
        <v>0</v>
      </c>
    </row>
    <row r="32" spans="2:15">
      <c r="B32" s="598">
        <f t="shared" si="0"/>
        <v>1970</v>
      </c>
      <c r="C32" s="599">
        <f>Stored_C!E38</f>
        <v>0</v>
      </c>
      <c r="D32" s="600">
        <f>Stored_C!F38+Stored_C!L38</f>
        <v>0</v>
      </c>
      <c r="E32" s="601">
        <f>Stored_C!G38+Stored_C!M38</f>
        <v>0</v>
      </c>
      <c r="F32" s="602">
        <f>F31+HWP!C32</f>
        <v>0</v>
      </c>
      <c r="G32" s="600">
        <f>G31+HWP!D32</f>
        <v>0</v>
      </c>
      <c r="H32" s="601">
        <f>H31+HWP!E32</f>
        <v>0</v>
      </c>
      <c r="I32" s="584"/>
      <c r="J32" s="603">
        <f>Garden!J39</f>
        <v>0</v>
      </c>
      <c r="K32" s="604">
        <f>Paper!J39</f>
        <v>0</v>
      </c>
      <c r="L32" s="605">
        <f>Wood!J39</f>
        <v>0</v>
      </c>
      <c r="M32" s="606">
        <f>J32*(1-Recovery_OX!E32)*(1-Recovery_OX!F32)</f>
        <v>0</v>
      </c>
      <c r="N32" s="604">
        <f>K32*(1-Recovery_OX!E32)*(1-Recovery_OX!F32)</f>
        <v>0</v>
      </c>
      <c r="O32" s="605">
        <f>L32*(1-Recovery_OX!E32)*(1-Recovery_OX!F32)</f>
        <v>0</v>
      </c>
    </row>
    <row r="33" spans="2:15">
      <c r="B33" s="598">
        <f t="shared" si="0"/>
        <v>1971</v>
      </c>
      <c r="C33" s="599">
        <f>Stored_C!E39</f>
        <v>0</v>
      </c>
      <c r="D33" s="600">
        <f>Stored_C!F39+Stored_C!L39</f>
        <v>0</v>
      </c>
      <c r="E33" s="601">
        <f>Stored_C!G39+Stored_C!M39</f>
        <v>0</v>
      </c>
      <c r="F33" s="602">
        <f>F32+HWP!C33</f>
        <v>0</v>
      </c>
      <c r="G33" s="600">
        <f>G32+HWP!D33</f>
        <v>0</v>
      </c>
      <c r="H33" s="601">
        <f>H32+HWP!E33</f>
        <v>0</v>
      </c>
      <c r="I33" s="584"/>
      <c r="J33" s="603">
        <f>Garden!J40</f>
        <v>0</v>
      </c>
      <c r="K33" s="604">
        <f>Paper!J40</f>
        <v>0</v>
      </c>
      <c r="L33" s="605">
        <f>Wood!J40</f>
        <v>0</v>
      </c>
      <c r="M33" s="606">
        <f>J33*(1-Recovery_OX!E33)*(1-Recovery_OX!F33)</f>
        <v>0</v>
      </c>
      <c r="N33" s="604">
        <f>K33*(1-Recovery_OX!E33)*(1-Recovery_OX!F33)</f>
        <v>0</v>
      </c>
      <c r="O33" s="605">
        <f>L33*(1-Recovery_OX!E33)*(1-Recovery_OX!F33)</f>
        <v>0</v>
      </c>
    </row>
    <row r="34" spans="2:15">
      <c r="B34" s="598">
        <f t="shared" si="0"/>
        <v>1972</v>
      </c>
      <c r="C34" s="599">
        <f>Stored_C!E40</f>
        <v>0</v>
      </c>
      <c r="D34" s="600">
        <f>Stored_C!F40+Stored_C!L40</f>
        <v>0</v>
      </c>
      <c r="E34" s="601">
        <f>Stored_C!G40+Stored_C!M40</f>
        <v>0</v>
      </c>
      <c r="F34" s="602">
        <f>F33+HWP!C34</f>
        <v>0</v>
      </c>
      <c r="G34" s="600">
        <f>G33+HWP!D34</f>
        <v>0</v>
      </c>
      <c r="H34" s="601">
        <f>H33+HWP!E34</f>
        <v>0</v>
      </c>
      <c r="I34" s="584"/>
      <c r="J34" s="603">
        <f>Garden!J41</f>
        <v>0</v>
      </c>
      <c r="K34" s="604">
        <f>Paper!J41</f>
        <v>0</v>
      </c>
      <c r="L34" s="605">
        <f>Wood!J41</f>
        <v>0</v>
      </c>
      <c r="M34" s="606">
        <f>J34*(1-Recovery_OX!E34)*(1-Recovery_OX!F34)</f>
        <v>0</v>
      </c>
      <c r="N34" s="604">
        <f>K34*(1-Recovery_OX!E34)*(1-Recovery_OX!F34)</f>
        <v>0</v>
      </c>
      <c r="O34" s="605">
        <f>L34*(1-Recovery_OX!E34)*(1-Recovery_OX!F34)</f>
        <v>0</v>
      </c>
    </row>
    <row r="35" spans="2:15">
      <c r="B35" s="598">
        <f t="shared" si="0"/>
        <v>1973</v>
      </c>
      <c r="C35" s="599">
        <f>Stored_C!E41</f>
        <v>0</v>
      </c>
      <c r="D35" s="600">
        <f>Stored_C!F41+Stored_C!L41</f>
        <v>0</v>
      </c>
      <c r="E35" s="601">
        <f>Stored_C!G41+Stored_C!M41</f>
        <v>0</v>
      </c>
      <c r="F35" s="602">
        <f>F34+HWP!C35</f>
        <v>0</v>
      </c>
      <c r="G35" s="600">
        <f>G34+HWP!D35</f>
        <v>0</v>
      </c>
      <c r="H35" s="601">
        <f>H34+HWP!E35</f>
        <v>0</v>
      </c>
      <c r="I35" s="584"/>
      <c r="J35" s="603">
        <f>Garden!J42</f>
        <v>0</v>
      </c>
      <c r="K35" s="604">
        <f>Paper!J42</f>
        <v>0</v>
      </c>
      <c r="L35" s="605">
        <f>Wood!J42</f>
        <v>0</v>
      </c>
      <c r="M35" s="606">
        <f>J35*(1-Recovery_OX!E35)*(1-Recovery_OX!F35)</f>
        <v>0</v>
      </c>
      <c r="N35" s="604">
        <f>K35*(1-Recovery_OX!E35)*(1-Recovery_OX!F35)</f>
        <v>0</v>
      </c>
      <c r="O35" s="605">
        <f>L35*(1-Recovery_OX!E35)*(1-Recovery_OX!F35)</f>
        <v>0</v>
      </c>
    </row>
    <row r="36" spans="2:15">
      <c r="B36" s="598">
        <f t="shared" si="0"/>
        <v>1974</v>
      </c>
      <c r="C36" s="599">
        <f>Stored_C!E42</f>
        <v>0</v>
      </c>
      <c r="D36" s="600">
        <f>Stored_C!F42+Stored_C!L42</f>
        <v>0</v>
      </c>
      <c r="E36" s="601">
        <f>Stored_C!G42+Stored_C!M42</f>
        <v>0</v>
      </c>
      <c r="F36" s="602">
        <f>F35+HWP!C36</f>
        <v>0</v>
      </c>
      <c r="G36" s="600">
        <f>G35+HWP!D36</f>
        <v>0</v>
      </c>
      <c r="H36" s="601">
        <f>H35+HWP!E36</f>
        <v>0</v>
      </c>
      <c r="I36" s="584"/>
      <c r="J36" s="603">
        <f>Garden!J43</f>
        <v>0</v>
      </c>
      <c r="K36" s="604">
        <f>Paper!J43</f>
        <v>0</v>
      </c>
      <c r="L36" s="605">
        <f>Wood!J43</f>
        <v>0</v>
      </c>
      <c r="M36" s="606">
        <f>J36*(1-Recovery_OX!E36)*(1-Recovery_OX!F36)</f>
        <v>0</v>
      </c>
      <c r="N36" s="604">
        <f>K36*(1-Recovery_OX!E36)*(1-Recovery_OX!F36)</f>
        <v>0</v>
      </c>
      <c r="O36" s="605">
        <f>L36*(1-Recovery_OX!E36)*(1-Recovery_OX!F36)</f>
        <v>0</v>
      </c>
    </row>
    <row r="37" spans="2:15">
      <c r="B37" s="598">
        <f t="shared" si="0"/>
        <v>1975</v>
      </c>
      <c r="C37" s="599">
        <f>Stored_C!E43</f>
        <v>0</v>
      </c>
      <c r="D37" s="600">
        <f>Stored_C!F43+Stored_C!L43</f>
        <v>0</v>
      </c>
      <c r="E37" s="601">
        <f>Stored_C!G43+Stored_C!M43</f>
        <v>0</v>
      </c>
      <c r="F37" s="602">
        <f>F36+HWP!C37</f>
        <v>0</v>
      </c>
      <c r="G37" s="600">
        <f>G36+HWP!D37</f>
        <v>0</v>
      </c>
      <c r="H37" s="601">
        <f>H36+HWP!E37</f>
        <v>0</v>
      </c>
      <c r="I37" s="584"/>
      <c r="J37" s="603">
        <f>Garden!J44</f>
        <v>0</v>
      </c>
      <c r="K37" s="604">
        <f>Paper!J44</f>
        <v>0</v>
      </c>
      <c r="L37" s="605">
        <f>Wood!J44</f>
        <v>0</v>
      </c>
      <c r="M37" s="606">
        <f>J37*(1-Recovery_OX!E37)*(1-Recovery_OX!F37)</f>
        <v>0</v>
      </c>
      <c r="N37" s="604">
        <f>K37*(1-Recovery_OX!E37)*(1-Recovery_OX!F37)</f>
        <v>0</v>
      </c>
      <c r="O37" s="605">
        <f>L37*(1-Recovery_OX!E37)*(1-Recovery_OX!F37)</f>
        <v>0</v>
      </c>
    </row>
    <row r="38" spans="2:15">
      <c r="B38" s="598">
        <f t="shared" si="0"/>
        <v>1976</v>
      </c>
      <c r="C38" s="599">
        <f>Stored_C!E44</f>
        <v>0</v>
      </c>
      <c r="D38" s="600">
        <f>Stored_C!F44+Stored_C!L44</f>
        <v>0</v>
      </c>
      <c r="E38" s="601">
        <f>Stored_C!G44+Stored_C!M44</f>
        <v>0</v>
      </c>
      <c r="F38" s="602">
        <f>F37+HWP!C38</f>
        <v>0</v>
      </c>
      <c r="G38" s="600">
        <f>G37+HWP!D38</f>
        <v>0</v>
      </c>
      <c r="H38" s="601">
        <f>H37+HWP!E38</f>
        <v>0</v>
      </c>
      <c r="I38" s="584"/>
      <c r="J38" s="603">
        <f>Garden!J45</f>
        <v>0</v>
      </c>
      <c r="K38" s="604">
        <f>Paper!J45</f>
        <v>0</v>
      </c>
      <c r="L38" s="605">
        <f>Wood!J45</f>
        <v>0</v>
      </c>
      <c r="M38" s="606">
        <f>J38*(1-Recovery_OX!E38)*(1-Recovery_OX!F38)</f>
        <v>0</v>
      </c>
      <c r="N38" s="604">
        <f>K38*(1-Recovery_OX!E38)*(1-Recovery_OX!F38)</f>
        <v>0</v>
      </c>
      <c r="O38" s="605">
        <f>L38*(1-Recovery_OX!E38)*(1-Recovery_OX!F38)</f>
        <v>0</v>
      </c>
    </row>
    <row r="39" spans="2:15">
      <c r="B39" s="598">
        <f t="shared" si="0"/>
        <v>1977</v>
      </c>
      <c r="C39" s="599">
        <f>Stored_C!E45</f>
        <v>0</v>
      </c>
      <c r="D39" s="600">
        <f>Stored_C!F45+Stored_C!L45</f>
        <v>0</v>
      </c>
      <c r="E39" s="601">
        <f>Stored_C!G45+Stored_C!M45</f>
        <v>0</v>
      </c>
      <c r="F39" s="602">
        <f>F38+HWP!C39</f>
        <v>0</v>
      </c>
      <c r="G39" s="600">
        <f>G38+HWP!D39</f>
        <v>0</v>
      </c>
      <c r="H39" s="601">
        <f>H38+HWP!E39</f>
        <v>0</v>
      </c>
      <c r="I39" s="584"/>
      <c r="J39" s="603">
        <f>Garden!J46</f>
        <v>0</v>
      </c>
      <c r="K39" s="604">
        <f>Paper!J46</f>
        <v>0</v>
      </c>
      <c r="L39" s="605">
        <f>Wood!J46</f>
        <v>0</v>
      </c>
      <c r="M39" s="606">
        <f>J39*(1-Recovery_OX!E39)*(1-Recovery_OX!F39)</f>
        <v>0</v>
      </c>
      <c r="N39" s="604">
        <f>K39*(1-Recovery_OX!E39)*(1-Recovery_OX!F39)</f>
        <v>0</v>
      </c>
      <c r="O39" s="605">
        <f>L39*(1-Recovery_OX!E39)*(1-Recovery_OX!F39)</f>
        <v>0</v>
      </c>
    </row>
    <row r="40" spans="2:15">
      <c r="B40" s="598">
        <f t="shared" si="0"/>
        <v>1978</v>
      </c>
      <c r="C40" s="599">
        <f>Stored_C!E46</f>
        <v>0</v>
      </c>
      <c r="D40" s="600">
        <f>Stored_C!F46+Stored_C!L46</f>
        <v>0</v>
      </c>
      <c r="E40" s="601">
        <f>Stored_C!G46+Stored_C!M46</f>
        <v>0</v>
      </c>
      <c r="F40" s="602">
        <f>F39+HWP!C40</f>
        <v>0</v>
      </c>
      <c r="G40" s="600">
        <f>G39+HWP!D40</f>
        <v>0</v>
      </c>
      <c r="H40" s="601">
        <f>H39+HWP!E40</f>
        <v>0</v>
      </c>
      <c r="I40" s="584"/>
      <c r="J40" s="603">
        <f>Garden!J47</f>
        <v>0</v>
      </c>
      <c r="K40" s="604">
        <f>Paper!J47</f>
        <v>0</v>
      </c>
      <c r="L40" s="605">
        <f>Wood!J47</f>
        <v>0</v>
      </c>
      <c r="M40" s="606">
        <f>J40*(1-Recovery_OX!E40)*(1-Recovery_OX!F40)</f>
        <v>0</v>
      </c>
      <c r="N40" s="604">
        <f>K40*(1-Recovery_OX!E40)*(1-Recovery_OX!F40)</f>
        <v>0</v>
      </c>
      <c r="O40" s="605">
        <f>L40*(1-Recovery_OX!E40)*(1-Recovery_OX!F40)</f>
        <v>0</v>
      </c>
    </row>
    <row r="41" spans="2:15">
      <c r="B41" s="598">
        <f t="shared" si="0"/>
        <v>1979</v>
      </c>
      <c r="C41" s="599">
        <f>Stored_C!E47</f>
        <v>0</v>
      </c>
      <c r="D41" s="600">
        <f>Stored_C!F47+Stored_C!L47</f>
        <v>0</v>
      </c>
      <c r="E41" s="601">
        <f>Stored_C!G47+Stored_C!M47</f>
        <v>0</v>
      </c>
      <c r="F41" s="602">
        <f>F40+HWP!C41</f>
        <v>0</v>
      </c>
      <c r="G41" s="600">
        <f>G40+HWP!D41</f>
        <v>0</v>
      </c>
      <c r="H41" s="601">
        <f>H40+HWP!E41</f>
        <v>0</v>
      </c>
      <c r="I41" s="584"/>
      <c r="J41" s="603">
        <f>Garden!J48</f>
        <v>0</v>
      </c>
      <c r="K41" s="604">
        <f>Paper!J48</f>
        <v>0</v>
      </c>
      <c r="L41" s="605">
        <f>Wood!J48</f>
        <v>0</v>
      </c>
      <c r="M41" s="606">
        <f>J41*(1-Recovery_OX!E41)*(1-Recovery_OX!F41)</f>
        <v>0</v>
      </c>
      <c r="N41" s="604">
        <f>K41*(1-Recovery_OX!E41)*(1-Recovery_OX!F41)</f>
        <v>0</v>
      </c>
      <c r="O41" s="605">
        <f>L41*(1-Recovery_OX!E41)*(1-Recovery_OX!F41)</f>
        <v>0</v>
      </c>
    </row>
    <row r="42" spans="2:15">
      <c r="B42" s="598">
        <f t="shared" si="0"/>
        <v>1980</v>
      </c>
      <c r="C42" s="599">
        <f>Stored_C!E48</f>
        <v>0</v>
      </c>
      <c r="D42" s="600">
        <f>Stored_C!F48+Stored_C!L48</f>
        <v>0</v>
      </c>
      <c r="E42" s="601">
        <f>Stored_C!G48+Stored_C!M48</f>
        <v>0</v>
      </c>
      <c r="F42" s="602">
        <f>F41+HWP!C42</f>
        <v>0</v>
      </c>
      <c r="G42" s="600">
        <f>G41+HWP!D42</f>
        <v>0</v>
      </c>
      <c r="H42" s="601">
        <f>H41+HWP!E42</f>
        <v>0</v>
      </c>
      <c r="I42" s="584"/>
      <c r="J42" s="603">
        <f>Garden!J49</f>
        <v>0</v>
      </c>
      <c r="K42" s="604">
        <f>Paper!J49</f>
        <v>0</v>
      </c>
      <c r="L42" s="605">
        <f>Wood!J49</f>
        <v>0</v>
      </c>
      <c r="M42" s="606">
        <f>J42*(1-Recovery_OX!E42)*(1-Recovery_OX!F42)</f>
        <v>0</v>
      </c>
      <c r="N42" s="604">
        <f>K42*(1-Recovery_OX!E42)*(1-Recovery_OX!F42)</f>
        <v>0</v>
      </c>
      <c r="O42" s="605">
        <f>L42*(1-Recovery_OX!E42)*(1-Recovery_OX!F42)</f>
        <v>0</v>
      </c>
    </row>
    <row r="43" spans="2:15">
      <c r="B43" s="598">
        <f t="shared" si="0"/>
        <v>1981</v>
      </c>
      <c r="C43" s="599">
        <f>Stored_C!E49</f>
        <v>0</v>
      </c>
      <c r="D43" s="600">
        <f>Stored_C!F49+Stored_C!L49</f>
        <v>0</v>
      </c>
      <c r="E43" s="601">
        <f>Stored_C!G49+Stored_C!M49</f>
        <v>0</v>
      </c>
      <c r="F43" s="602">
        <f>F42+HWP!C43</f>
        <v>0</v>
      </c>
      <c r="G43" s="600">
        <f>G42+HWP!D43</f>
        <v>0</v>
      </c>
      <c r="H43" s="601">
        <f>H42+HWP!E43</f>
        <v>0</v>
      </c>
      <c r="I43" s="584"/>
      <c r="J43" s="603">
        <f>Garden!J50</f>
        <v>0</v>
      </c>
      <c r="K43" s="604">
        <f>Paper!J50</f>
        <v>0</v>
      </c>
      <c r="L43" s="605">
        <f>Wood!J50</f>
        <v>0</v>
      </c>
      <c r="M43" s="606">
        <f>J43*(1-Recovery_OX!E43)*(1-Recovery_OX!F43)</f>
        <v>0</v>
      </c>
      <c r="N43" s="604">
        <f>K43*(1-Recovery_OX!E43)*(1-Recovery_OX!F43)</f>
        <v>0</v>
      </c>
      <c r="O43" s="605">
        <f>L43*(1-Recovery_OX!E43)*(1-Recovery_OX!F43)</f>
        <v>0</v>
      </c>
    </row>
    <row r="44" spans="2:15">
      <c r="B44" s="598">
        <f t="shared" si="0"/>
        <v>1982</v>
      </c>
      <c r="C44" s="599">
        <f>Stored_C!E50</f>
        <v>0</v>
      </c>
      <c r="D44" s="600">
        <f>Stored_C!F50+Stored_C!L50</f>
        <v>0</v>
      </c>
      <c r="E44" s="601">
        <f>Stored_C!G50+Stored_C!M50</f>
        <v>0</v>
      </c>
      <c r="F44" s="602">
        <f>F43+HWP!C44</f>
        <v>0</v>
      </c>
      <c r="G44" s="600">
        <f>G43+HWP!D44</f>
        <v>0</v>
      </c>
      <c r="H44" s="601">
        <f>H43+HWP!E44</f>
        <v>0</v>
      </c>
      <c r="I44" s="584"/>
      <c r="J44" s="603">
        <f>Garden!J51</f>
        <v>0</v>
      </c>
      <c r="K44" s="604">
        <f>Paper!J51</f>
        <v>0</v>
      </c>
      <c r="L44" s="605">
        <f>Wood!J51</f>
        <v>0</v>
      </c>
      <c r="M44" s="606">
        <f>J44*(1-Recovery_OX!E44)*(1-Recovery_OX!F44)</f>
        <v>0</v>
      </c>
      <c r="N44" s="604">
        <f>K44*(1-Recovery_OX!E44)*(1-Recovery_OX!F44)</f>
        <v>0</v>
      </c>
      <c r="O44" s="605">
        <f>L44*(1-Recovery_OX!E44)*(1-Recovery_OX!F44)</f>
        <v>0</v>
      </c>
    </row>
    <row r="45" spans="2:15">
      <c r="B45" s="598">
        <f t="shared" si="0"/>
        <v>1983</v>
      </c>
      <c r="C45" s="599">
        <f>Stored_C!E51</f>
        <v>0</v>
      </c>
      <c r="D45" s="600">
        <f>Stored_C!F51+Stored_C!L51</f>
        <v>0</v>
      </c>
      <c r="E45" s="601">
        <f>Stored_C!G51+Stored_C!M51</f>
        <v>0</v>
      </c>
      <c r="F45" s="602">
        <f>F44+HWP!C45</f>
        <v>0</v>
      </c>
      <c r="G45" s="600">
        <f>G44+HWP!D45</f>
        <v>0</v>
      </c>
      <c r="H45" s="601">
        <f>H44+HWP!E45</f>
        <v>0</v>
      </c>
      <c r="I45" s="584"/>
      <c r="J45" s="603">
        <f>Garden!J52</f>
        <v>0</v>
      </c>
      <c r="K45" s="604">
        <f>Paper!J52</f>
        <v>0</v>
      </c>
      <c r="L45" s="605">
        <f>Wood!J52</f>
        <v>0</v>
      </c>
      <c r="M45" s="606">
        <f>J45*(1-Recovery_OX!E45)*(1-Recovery_OX!F45)</f>
        <v>0</v>
      </c>
      <c r="N45" s="604">
        <f>K45*(1-Recovery_OX!E45)*(1-Recovery_OX!F45)</f>
        <v>0</v>
      </c>
      <c r="O45" s="605">
        <f>L45*(1-Recovery_OX!E45)*(1-Recovery_OX!F45)</f>
        <v>0</v>
      </c>
    </row>
    <row r="46" spans="2:15">
      <c r="B46" s="598">
        <f t="shared" si="0"/>
        <v>1984</v>
      </c>
      <c r="C46" s="599">
        <f>Stored_C!E52</f>
        <v>0</v>
      </c>
      <c r="D46" s="600">
        <f>Stored_C!F52+Stored_C!L52</f>
        <v>0</v>
      </c>
      <c r="E46" s="601">
        <f>Stored_C!G52+Stored_C!M52</f>
        <v>0</v>
      </c>
      <c r="F46" s="602">
        <f>F45+HWP!C46</f>
        <v>0</v>
      </c>
      <c r="G46" s="600">
        <f>G45+HWP!D46</f>
        <v>0</v>
      </c>
      <c r="H46" s="601">
        <f>H45+HWP!E46</f>
        <v>0</v>
      </c>
      <c r="I46" s="584"/>
      <c r="J46" s="603">
        <f>Garden!J53</f>
        <v>0</v>
      </c>
      <c r="K46" s="604">
        <f>Paper!J53</f>
        <v>0</v>
      </c>
      <c r="L46" s="605">
        <f>Wood!J53</f>
        <v>0</v>
      </c>
      <c r="M46" s="606">
        <f>J46*(1-Recovery_OX!E46)*(1-Recovery_OX!F46)</f>
        <v>0</v>
      </c>
      <c r="N46" s="604">
        <f>K46*(1-Recovery_OX!E46)*(1-Recovery_OX!F46)</f>
        <v>0</v>
      </c>
      <c r="O46" s="605">
        <f>L46*(1-Recovery_OX!E46)*(1-Recovery_OX!F46)</f>
        <v>0</v>
      </c>
    </row>
    <row r="47" spans="2:15">
      <c r="B47" s="598">
        <f t="shared" si="0"/>
        <v>1985</v>
      </c>
      <c r="C47" s="599">
        <f>Stored_C!E53</f>
        <v>0</v>
      </c>
      <c r="D47" s="600">
        <f>Stored_C!F53+Stored_C!L53</f>
        <v>0</v>
      </c>
      <c r="E47" s="601">
        <f>Stored_C!G53+Stored_C!M53</f>
        <v>0</v>
      </c>
      <c r="F47" s="602">
        <f>F46+HWP!C47</f>
        <v>0</v>
      </c>
      <c r="G47" s="600">
        <f>G46+HWP!D47</f>
        <v>0</v>
      </c>
      <c r="H47" s="601">
        <f>H46+HWP!E47</f>
        <v>0</v>
      </c>
      <c r="I47" s="584"/>
      <c r="J47" s="603">
        <f>Garden!J54</f>
        <v>0</v>
      </c>
      <c r="K47" s="604">
        <f>Paper!J54</f>
        <v>0</v>
      </c>
      <c r="L47" s="605">
        <f>Wood!J54</f>
        <v>0</v>
      </c>
      <c r="M47" s="606">
        <f>J47*(1-Recovery_OX!E47)*(1-Recovery_OX!F47)</f>
        <v>0</v>
      </c>
      <c r="N47" s="604">
        <f>K47*(1-Recovery_OX!E47)*(1-Recovery_OX!F47)</f>
        <v>0</v>
      </c>
      <c r="O47" s="605">
        <f>L47*(1-Recovery_OX!E47)*(1-Recovery_OX!F47)</f>
        <v>0</v>
      </c>
    </row>
    <row r="48" spans="2:15">
      <c r="B48" s="598">
        <f t="shared" si="0"/>
        <v>1986</v>
      </c>
      <c r="C48" s="599">
        <f>Stored_C!E54</f>
        <v>0</v>
      </c>
      <c r="D48" s="600">
        <f>Stored_C!F54+Stored_C!L54</f>
        <v>0</v>
      </c>
      <c r="E48" s="601">
        <f>Stored_C!G54+Stored_C!M54</f>
        <v>0</v>
      </c>
      <c r="F48" s="602">
        <f>F47+HWP!C48</f>
        <v>0</v>
      </c>
      <c r="G48" s="600">
        <f>G47+HWP!D48</f>
        <v>0</v>
      </c>
      <c r="H48" s="601">
        <f>H47+HWP!E48</f>
        <v>0</v>
      </c>
      <c r="I48" s="584"/>
      <c r="J48" s="603">
        <f>Garden!J55</f>
        <v>0</v>
      </c>
      <c r="K48" s="604">
        <f>Paper!J55</f>
        <v>0</v>
      </c>
      <c r="L48" s="605">
        <f>Wood!J55</f>
        <v>0</v>
      </c>
      <c r="M48" s="606">
        <f>J48*(1-Recovery_OX!E48)*(1-Recovery_OX!F48)</f>
        <v>0</v>
      </c>
      <c r="N48" s="604">
        <f>K48*(1-Recovery_OX!E48)*(1-Recovery_OX!F48)</f>
        <v>0</v>
      </c>
      <c r="O48" s="605">
        <f>L48*(1-Recovery_OX!E48)*(1-Recovery_OX!F48)</f>
        <v>0</v>
      </c>
    </row>
    <row r="49" spans="2:15">
      <c r="B49" s="598">
        <f t="shared" si="0"/>
        <v>1987</v>
      </c>
      <c r="C49" s="599">
        <f>Stored_C!E55</f>
        <v>0</v>
      </c>
      <c r="D49" s="600">
        <f>Stored_C!F55+Stored_C!L55</f>
        <v>0</v>
      </c>
      <c r="E49" s="601">
        <f>Stored_C!G55+Stored_C!M55</f>
        <v>0</v>
      </c>
      <c r="F49" s="602">
        <f>F48+HWP!C49</f>
        <v>0</v>
      </c>
      <c r="G49" s="600">
        <f>G48+HWP!D49</f>
        <v>0</v>
      </c>
      <c r="H49" s="601">
        <f>H48+HWP!E49</f>
        <v>0</v>
      </c>
      <c r="I49" s="584"/>
      <c r="J49" s="603">
        <f>Garden!J56</f>
        <v>0</v>
      </c>
      <c r="K49" s="604">
        <f>Paper!J56</f>
        <v>0</v>
      </c>
      <c r="L49" s="605">
        <f>Wood!J56</f>
        <v>0</v>
      </c>
      <c r="M49" s="606">
        <f>J49*(1-Recovery_OX!E49)*(1-Recovery_OX!F49)</f>
        <v>0</v>
      </c>
      <c r="N49" s="604">
        <f>K49*(1-Recovery_OX!E49)*(1-Recovery_OX!F49)</f>
        <v>0</v>
      </c>
      <c r="O49" s="605">
        <f>L49*(1-Recovery_OX!E49)*(1-Recovery_OX!F49)</f>
        <v>0</v>
      </c>
    </row>
    <row r="50" spans="2:15">
      <c r="B50" s="598">
        <f t="shared" si="0"/>
        <v>1988</v>
      </c>
      <c r="C50" s="599">
        <f>Stored_C!E56</f>
        <v>0</v>
      </c>
      <c r="D50" s="600">
        <f>Stored_C!F56+Stored_C!L56</f>
        <v>0</v>
      </c>
      <c r="E50" s="601">
        <f>Stored_C!G56+Stored_C!M56</f>
        <v>0</v>
      </c>
      <c r="F50" s="602">
        <f>F49+HWP!C50</f>
        <v>0</v>
      </c>
      <c r="G50" s="600">
        <f>G49+HWP!D50</f>
        <v>0</v>
      </c>
      <c r="H50" s="601">
        <f>H49+HWP!E50</f>
        <v>0</v>
      </c>
      <c r="I50" s="584"/>
      <c r="J50" s="603">
        <f>Garden!J57</f>
        <v>0</v>
      </c>
      <c r="K50" s="604">
        <f>Paper!J57</f>
        <v>0</v>
      </c>
      <c r="L50" s="605">
        <f>Wood!J57</f>
        <v>0</v>
      </c>
      <c r="M50" s="606">
        <f>J50*(1-Recovery_OX!E50)*(1-Recovery_OX!F50)</f>
        <v>0</v>
      </c>
      <c r="N50" s="604">
        <f>K50*(1-Recovery_OX!E50)*(1-Recovery_OX!F50)</f>
        <v>0</v>
      </c>
      <c r="O50" s="605">
        <f>L50*(1-Recovery_OX!E50)*(1-Recovery_OX!F50)</f>
        <v>0</v>
      </c>
    </row>
    <row r="51" spans="2:15">
      <c r="B51" s="598">
        <f t="shared" si="0"/>
        <v>1989</v>
      </c>
      <c r="C51" s="599">
        <f>Stored_C!E57</f>
        <v>0</v>
      </c>
      <c r="D51" s="600">
        <f>Stored_C!F57+Stored_C!L57</f>
        <v>0</v>
      </c>
      <c r="E51" s="601">
        <f>Stored_C!G57+Stored_C!M57</f>
        <v>0</v>
      </c>
      <c r="F51" s="602">
        <f>F50+HWP!C51</f>
        <v>0</v>
      </c>
      <c r="G51" s="600">
        <f>G50+HWP!D51</f>
        <v>0</v>
      </c>
      <c r="H51" s="601">
        <f>H50+HWP!E51</f>
        <v>0</v>
      </c>
      <c r="I51" s="584"/>
      <c r="J51" s="603">
        <f>Garden!J58</f>
        <v>0</v>
      </c>
      <c r="K51" s="604">
        <f>Paper!J58</f>
        <v>0</v>
      </c>
      <c r="L51" s="605">
        <f>Wood!J58</f>
        <v>0</v>
      </c>
      <c r="M51" s="606">
        <f>J51*(1-Recovery_OX!E51)*(1-Recovery_OX!F51)</f>
        <v>0</v>
      </c>
      <c r="N51" s="604">
        <f>K51*(1-Recovery_OX!E51)*(1-Recovery_OX!F51)</f>
        <v>0</v>
      </c>
      <c r="O51" s="605">
        <f>L51*(1-Recovery_OX!E51)*(1-Recovery_OX!F51)</f>
        <v>0</v>
      </c>
    </row>
    <row r="52" spans="2:15">
      <c r="B52" s="598">
        <f t="shared" si="0"/>
        <v>1990</v>
      </c>
      <c r="C52" s="599">
        <f>Stored_C!E58</f>
        <v>0</v>
      </c>
      <c r="D52" s="600">
        <f>Stored_C!F58+Stored_C!L58</f>
        <v>0</v>
      </c>
      <c r="E52" s="601">
        <f>Stored_C!G58+Stored_C!M58</f>
        <v>0</v>
      </c>
      <c r="F52" s="602">
        <f>F51+HWP!C52</f>
        <v>0</v>
      </c>
      <c r="G52" s="600">
        <f>G51+HWP!D52</f>
        <v>0</v>
      </c>
      <c r="H52" s="601">
        <f>H51+HWP!E52</f>
        <v>0</v>
      </c>
      <c r="I52" s="584"/>
      <c r="J52" s="603">
        <f>Garden!J59</f>
        <v>0</v>
      </c>
      <c r="K52" s="604">
        <f>Paper!J59</f>
        <v>0</v>
      </c>
      <c r="L52" s="605">
        <f>Wood!J59</f>
        <v>0</v>
      </c>
      <c r="M52" s="606">
        <f>J52*(1-Recovery_OX!E52)*(1-Recovery_OX!F52)</f>
        <v>0</v>
      </c>
      <c r="N52" s="604">
        <f>K52*(1-Recovery_OX!E52)*(1-Recovery_OX!F52)</f>
        <v>0</v>
      </c>
      <c r="O52" s="605">
        <f>L52*(1-Recovery_OX!E52)*(1-Recovery_OX!F52)</f>
        <v>0</v>
      </c>
    </row>
    <row r="53" spans="2:15">
      <c r="B53" s="598">
        <f t="shared" si="0"/>
        <v>1991</v>
      </c>
      <c r="C53" s="599">
        <f>Stored_C!E59</f>
        <v>0</v>
      </c>
      <c r="D53" s="600">
        <f>Stored_C!F59+Stored_C!L59</f>
        <v>0</v>
      </c>
      <c r="E53" s="601">
        <f>Stored_C!G59+Stored_C!M59</f>
        <v>0</v>
      </c>
      <c r="F53" s="602">
        <f>F52+HWP!C53</f>
        <v>0</v>
      </c>
      <c r="G53" s="600">
        <f>G52+HWP!D53</f>
        <v>0</v>
      </c>
      <c r="H53" s="601">
        <f>H52+HWP!E53</f>
        <v>0</v>
      </c>
      <c r="I53" s="584"/>
      <c r="J53" s="603">
        <f>Garden!J60</f>
        <v>0</v>
      </c>
      <c r="K53" s="604">
        <f>Paper!J60</f>
        <v>0</v>
      </c>
      <c r="L53" s="605">
        <f>Wood!J60</f>
        <v>0</v>
      </c>
      <c r="M53" s="606">
        <f>J53*(1-Recovery_OX!E53)*(1-Recovery_OX!F53)</f>
        <v>0</v>
      </c>
      <c r="N53" s="604">
        <f>K53*(1-Recovery_OX!E53)*(1-Recovery_OX!F53)</f>
        <v>0</v>
      </c>
      <c r="O53" s="605">
        <f>L53*(1-Recovery_OX!E53)*(1-Recovery_OX!F53)</f>
        <v>0</v>
      </c>
    </row>
    <row r="54" spans="2:15">
      <c r="B54" s="598">
        <f t="shared" si="0"/>
        <v>1992</v>
      </c>
      <c r="C54" s="599">
        <f>Stored_C!E60</f>
        <v>0</v>
      </c>
      <c r="D54" s="600">
        <f>Stored_C!F60+Stored_C!L60</f>
        <v>0</v>
      </c>
      <c r="E54" s="601">
        <f>Stored_C!G60+Stored_C!M60</f>
        <v>0</v>
      </c>
      <c r="F54" s="602">
        <f>F53+HWP!C54</f>
        <v>0</v>
      </c>
      <c r="G54" s="600">
        <f>G53+HWP!D54</f>
        <v>0</v>
      </c>
      <c r="H54" s="601">
        <f>H53+HWP!E54</f>
        <v>0</v>
      </c>
      <c r="I54" s="584"/>
      <c r="J54" s="603">
        <f>Garden!J61</f>
        <v>0</v>
      </c>
      <c r="K54" s="604">
        <f>Paper!J61</f>
        <v>0</v>
      </c>
      <c r="L54" s="605">
        <f>Wood!J61</f>
        <v>0</v>
      </c>
      <c r="M54" s="606">
        <f>J54*(1-Recovery_OX!E54)*(1-Recovery_OX!F54)</f>
        <v>0</v>
      </c>
      <c r="N54" s="604">
        <f>K54*(1-Recovery_OX!E54)*(1-Recovery_OX!F54)</f>
        <v>0</v>
      </c>
      <c r="O54" s="605">
        <f>L54*(1-Recovery_OX!E54)*(1-Recovery_OX!F54)</f>
        <v>0</v>
      </c>
    </row>
    <row r="55" spans="2:15">
      <c r="B55" s="598">
        <f t="shared" si="0"/>
        <v>1993</v>
      </c>
      <c r="C55" s="599">
        <f>Stored_C!E61</f>
        <v>0</v>
      </c>
      <c r="D55" s="600">
        <f>Stored_C!F61+Stored_C!L61</f>
        <v>0</v>
      </c>
      <c r="E55" s="601">
        <f>Stored_C!G61+Stored_C!M61</f>
        <v>0</v>
      </c>
      <c r="F55" s="602">
        <f>F54+HWP!C55</f>
        <v>0</v>
      </c>
      <c r="G55" s="600">
        <f>G54+HWP!D55</f>
        <v>0</v>
      </c>
      <c r="H55" s="601">
        <f>H54+HWP!E55</f>
        <v>0</v>
      </c>
      <c r="I55" s="584"/>
      <c r="J55" s="603">
        <f>Garden!J62</f>
        <v>0</v>
      </c>
      <c r="K55" s="604">
        <f>Paper!J62</f>
        <v>0</v>
      </c>
      <c r="L55" s="605">
        <f>Wood!J62</f>
        <v>0</v>
      </c>
      <c r="M55" s="606">
        <f>J55*(1-Recovery_OX!E55)*(1-Recovery_OX!F55)</f>
        <v>0</v>
      </c>
      <c r="N55" s="604">
        <f>K55*(1-Recovery_OX!E55)*(1-Recovery_OX!F55)</f>
        <v>0</v>
      </c>
      <c r="O55" s="605">
        <f>L55*(1-Recovery_OX!E55)*(1-Recovery_OX!F55)</f>
        <v>0</v>
      </c>
    </row>
    <row r="56" spans="2:15">
      <c r="B56" s="598">
        <f t="shared" si="0"/>
        <v>1994</v>
      </c>
      <c r="C56" s="599">
        <f>Stored_C!E62</f>
        <v>0</v>
      </c>
      <c r="D56" s="600">
        <f>Stored_C!F62+Stored_C!L62</f>
        <v>0</v>
      </c>
      <c r="E56" s="601">
        <f>Stored_C!G62+Stored_C!M62</f>
        <v>0</v>
      </c>
      <c r="F56" s="602">
        <f>F55+HWP!C56</f>
        <v>0</v>
      </c>
      <c r="G56" s="600">
        <f>G55+HWP!D56</f>
        <v>0</v>
      </c>
      <c r="H56" s="601">
        <f>H55+HWP!E56</f>
        <v>0</v>
      </c>
      <c r="I56" s="584"/>
      <c r="J56" s="603">
        <f>Garden!J63</f>
        <v>0</v>
      </c>
      <c r="K56" s="604">
        <f>Paper!J63</f>
        <v>0</v>
      </c>
      <c r="L56" s="605">
        <f>Wood!J63</f>
        <v>0</v>
      </c>
      <c r="M56" s="606">
        <f>J56*(1-Recovery_OX!E56)*(1-Recovery_OX!F56)</f>
        <v>0</v>
      </c>
      <c r="N56" s="604">
        <f>K56*(1-Recovery_OX!E56)*(1-Recovery_OX!F56)</f>
        <v>0</v>
      </c>
      <c r="O56" s="605">
        <f>L56*(1-Recovery_OX!E56)*(1-Recovery_OX!F56)</f>
        <v>0</v>
      </c>
    </row>
    <row r="57" spans="2:15">
      <c r="B57" s="598">
        <f t="shared" si="0"/>
        <v>1995</v>
      </c>
      <c r="C57" s="599">
        <f>Stored_C!E63</f>
        <v>0</v>
      </c>
      <c r="D57" s="600">
        <f>Stored_C!F63+Stored_C!L63</f>
        <v>0</v>
      </c>
      <c r="E57" s="601">
        <f>Stored_C!G63+Stored_C!M63</f>
        <v>0</v>
      </c>
      <c r="F57" s="602">
        <f>F56+HWP!C57</f>
        <v>0</v>
      </c>
      <c r="G57" s="600">
        <f>G56+HWP!D57</f>
        <v>0</v>
      </c>
      <c r="H57" s="601">
        <f>H56+HWP!E57</f>
        <v>0</v>
      </c>
      <c r="I57" s="584"/>
      <c r="J57" s="603">
        <f>Garden!J64</f>
        <v>0</v>
      </c>
      <c r="K57" s="604">
        <f>Paper!J64</f>
        <v>0</v>
      </c>
      <c r="L57" s="605">
        <f>Wood!J64</f>
        <v>0</v>
      </c>
      <c r="M57" s="606">
        <f>J57*(1-Recovery_OX!E57)*(1-Recovery_OX!F57)</f>
        <v>0</v>
      </c>
      <c r="N57" s="604">
        <f>K57*(1-Recovery_OX!E57)*(1-Recovery_OX!F57)</f>
        <v>0</v>
      </c>
      <c r="O57" s="605">
        <f>L57*(1-Recovery_OX!E57)*(1-Recovery_OX!F57)</f>
        <v>0</v>
      </c>
    </row>
    <row r="58" spans="2:15">
      <c r="B58" s="598">
        <f t="shared" si="0"/>
        <v>1996</v>
      </c>
      <c r="C58" s="599">
        <f>Stored_C!E64</f>
        <v>0</v>
      </c>
      <c r="D58" s="600">
        <f>Stored_C!F64+Stored_C!L64</f>
        <v>0</v>
      </c>
      <c r="E58" s="601">
        <f>Stored_C!G64+Stored_C!M64</f>
        <v>0</v>
      </c>
      <c r="F58" s="602">
        <f>F57+HWP!C58</f>
        <v>0</v>
      </c>
      <c r="G58" s="600">
        <f>G57+HWP!D58</f>
        <v>0</v>
      </c>
      <c r="H58" s="601">
        <f>H57+HWP!E58</f>
        <v>0</v>
      </c>
      <c r="I58" s="584"/>
      <c r="J58" s="603">
        <f>Garden!J65</f>
        <v>0</v>
      </c>
      <c r="K58" s="604">
        <f>Paper!J65</f>
        <v>0</v>
      </c>
      <c r="L58" s="605">
        <f>Wood!J65</f>
        <v>0</v>
      </c>
      <c r="M58" s="606">
        <f>J58*(1-Recovery_OX!E58)*(1-Recovery_OX!F58)</f>
        <v>0</v>
      </c>
      <c r="N58" s="604">
        <f>K58*(1-Recovery_OX!E58)*(1-Recovery_OX!F58)</f>
        <v>0</v>
      </c>
      <c r="O58" s="605">
        <f>L58*(1-Recovery_OX!E58)*(1-Recovery_OX!F58)</f>
        <v>0</v>
      </c>
    </row>
    <row r="59" spans="2:15">
      <c r="B59" s="598">
        <f t="shared" si="0"/>
        <v>1997</v>
      </c>
      <c r="C59" s="599">
        <f>Stored_C!E65</f>
        <v>0</v>
      </c>
      <c r="D59" s="600">
        <f>Stored_C!F65+Stored_C!L65</f>
        <v>0</v>
      </c>
      <c r="E59" s="601">
        <f>Stored_C!G65+Stored_C!M65</f>
        <v>0</v>
      </c>
      <c r="F59" s="602">
        <f>F58+HWP!C59</f>
        <v>0</v>
      </c>
      <c r="G59" s="600">
        <f>G58+HWP!D59</f>
        <v>0</v>
      </c>
      <c r="H59" s="601">
        <f>H58+HWP!E59</f>
        <v>0</v>
      </c>
      <c r="I59" s="584"/>
      <c r="J59" s="603">
        <f>Garden!J66</f>
        <v>0</v>
      </c>
      <c r="K59" s="604">
        <f>Paper!J66</f>
        <v>0</v>
      </c>
      <c r="L59" s="605">
        <f>Wood!J66</f>
        <v>0</v>
      </c>
      <c r="M59" s="606">
        <f>J59*(1-Recovery_OX!E59)*(1-Recovery_OX!F59)</f>
        <v>0</v>
      </c>
      <c r="N59" s="604">
        <f>K59*(1-Recovery_OX!E59)*(1-Recovery_OX!F59)</f>
        <v>0</v>
      </c>
      <c r="O59" s="605">
        <f>L59*(1-Recovery_OX!E59)*(1-Recovery_OX!F59)</f>
        <v>0</v>
      </c>
    </row>
    <row r="60" spans="2:15">
      <c r="B60" s="598">
        <f t="shared" si="0"/>
        <v>1998</v>
      </c>
      <c r="C60" s="599">
        <f>Stored_C!E66</f>
        <v>0</v>
      </c>
      <c r="D60" s="600">
        <f>Stored_C!F66+Stored_C!L66</f>
        <v>0</v>
      </c>
      <c r="E60" s="601">
        <f>Stored_C!G66+Stored_C!M66</f>
        <v>0</v>
      </c>
      <c r="F60" s="602">
        <f>F59+HWP!C60</f>
        <v>0</v>
      </c>
      <c r="G60" s="600">
        <f>G59+HWP!D60</f>
        <v>0</v>
      </c>
      <c r="H60" s="601">
        <f>H59+HWP!E60</f>
        <v>0</v>
      </c>
      <c r="I60" s="584"/>
      <c r="J60" s="603">
        <f>Garden!J67</f>
        <v>0</v>
      </c>
      <c r="K60" s="604">
        <f>Paper!J67</f>
        <v>0</v>
      </c>
      <c r="L60" s="605">
        <f>Wood!J67</f>
        <v>0</v>
      </c>
      <c r="M60" s="606">
        <f>J60*(1-Recovery_OX!E60)*(1-Recovery_OX!F60)</f>
        <v>0</v>
      </c>
      <c r="N60" s="604">
        <f>K60*(1-Recovery_OX!E60)*(1-Recovery_OX!F60)</f>
        <v>0</v>
      </c>
      <c r="O60" s="605">
        <f>L60*(1-Recovery_OX!E60)*(1-Recovery_OX!F60)</f>
        <v>0</v>
      </c>
    </row>
    <row r="61" spans="2:15">
      <c r="B61" s="598">
        <f t="shared" si="0"/>
        <v>1999</v>
      </c>
      <c r="C61" s="599">
        <f>Stored_C!E67</f>
        <v>0</v>
      </c>
      <c r="D61" s="600">
        <f>Stored_C!F67+Stored_C!L67</f>
        <v>0</v>
      </c>
      <c r="E61" s="601">
        <f>Stored_C!G67+Stored_C!M67</f>
        <v>0</v>
      </c>
      <c r="F61" s="602">
        <f>F60+HWP!C61</f>
        <v>0</v>
      </c>
      <c r="G61" s="600">
        <f>G60+HWP!D61</f>
        <v>0</v>
      </c>
      <c r="H61" s="601">
        <f>H60+HWP!E61</f>
        <v>0</v>
      </c>
      <c r="I61" s="584"/>
      <c r="J61" s="603">
        <f>Garden!J68</f>
        <v>0</v>
      </c>
      <c r="K61" s="604">
        <f>Paper!J68</f>
        <v>0</v>
      </c>
      <c r="L61" s="605">
        <f>Wood!J68</f>
        <v>0</v>
      </c>
      <c r="M61" s="606">
        <f>J61*(1-Recovery_OX!E61)*(1-Recovery_OX!F61)</f>
        <v>0</v>
      </c>
      <c r="N61" s="604">
        <f>K61*(1-Recovery_OX!E61)*(1-Recovery_OX!F61)</f>
        <v>0</v>
      </c>
      <c r="O61" s="605">
        <f>L61*(1-Recovery_OX!E61)*(1-Recovery_OX!F61)</f>
        <v>0</v>
      </c>
    </row>
    <row r="62" spans="2:15">
      <c r="B62" s="598">
        <f t="shared" si="0"/>
        <v>2000</v>
      </c>
      <c r="C62" s="599">
        <f>Stored_C!E68</f>
        <v>0</v>
      </c>
      <c r="D62" s="600">
        <f>Stored_C!F68+Stored_C!L68</f>
        <v>0</v>
      </c>
      <c r="E62" s="601">
        <f>Stored_C!G68+Stored_C!M68</f>
        <v>0</v>
      </c>
      <c r="F62" s="602">
        <f>F61+HWP!C62</f>
        <v>0</v>
      </c>
      <c r="G62" s="600">
        <f>G61+HWP!D62</f>
        <v>0</v>
      </c>
      <c r="H62" s="601">
        <f>H61+HWP!E62</f>
        <v>0</v>
      </c>
      <c r="I62" s="584"/>
      <c r="J62" s="603">
        <f>Garden!J69</f>
        <v>0</v>
      </c>
      <c r="K62" s="604">
        <f>Paper!J69</f>
        <v>0</v>
      </c>
      <c r="L62" s="605">
        <f>Wood!J69</f>
        <v>0</v>
      </c>
      <c r="M62" s="606">
        <f>J62*(1-Recovery_OX!E62)*(1-Recovery_OX!F62)</f>
        <v>0</v>
      </c>
      <c r="N62" s="604">
        <f>K62*(1-Recovery_OX!E62)*(1-Recovery_OX!F62)</f>
        <v>0</v>
      </c>
      <c r="O62" s="605">
        <f>L62*(1-Recovery_OX!E62)*(1-Recovery_OX!F62)</f>
        <v>0</v>
      </c>
    </row>
    <row r="63" spans="2:15">
      <c r="B63" s="598">
        <f t="shared" si="0"/>
        <v>2001</v>
      </c>
      <c r="C63" s="599">
        <f>Stored_C!E69</f>
        <v>0</v>
      </c>
      <c r="D63" s="600">
        <f>Stored_C!F69+Stored_C!L69</f>
        <v>0</v>
      </c>
      <c r="E63" s="601">
        <f>Stored_C!G69+Stored_C!M69</f>
        <v>0</v>
      </c>
      <c r="F63" s="602">
        <f>F62+HWP!C63</f>
        <v>0</v>
      </c>
      <c r="G63" s="600">
        <f>G62+HWP!D63</f>
        <v>0</v>
      </c>
      <c r="H63" s="601">
        <f>H62+HWP!E63</f>
        <v>0</v>
      </c>
      <c r="I63" s="584"/>
      <c r="J63" s="603">
        <f>Garden!J70</f>
        <v>0</v>
      </c>
      <c r="K63" s="604">
        <f>Paper!J70</f>
        <v>0</v>
      </c>
      <c r="L63" s="605">
        <f>Wood!J70</f>
        <v>0</v>
      </c>
      <c r="M63" s="606">
        <f>J63*(1-Recovery_OX!E63)*(1-Recovery_OX!F63)</f>
        <v>0</v>
      </c>
      <c r="N63" s="604">
        <f>K63*(1-Recovery_OX!E63)*(1-Recovery_OX!F63)</f>
        <v>0</v>
      </c>
      <c r="O63" s="605">
        <f>L63*(1-Recovery_OX!E63)*(1-Recovery_OX!F63)</f>
        <v>0</v>
      </c>
    </row>
    <row r="64" spans="2:15">
      <c r="B64" s="598">
        <f t="shared" si="0"/>
        <v>2002</v>
      </c>
      <c r="C64" s="599">
        <f>Stored_C!E70</f>
        <v>0</v>
      </c>
      <c r="D64" s="600">
        <f>Stored_C!F70+Stored_C!L70</f>
        <v>0</v>
      </c>
      <c r="E64" s="601">
        <f>Stored_C!G70+Stored_C!M70</f>
        <v>0</v>
      </c>
      <c r="F64" s="602">
        <f>F63+HWP!C64</f>
        <v>0</v>
      </c>
      <c r="G64" s="600">
        <f>G63+HWP!D64</f>
        <v>0</v>
      </c>
      <c r="H64" s="601">
        <f>H63+HWP!E64</f>
        <v>0</v>
      </c>
      <c r="I64" s="584"/>
      <c r="J64" s="603">
        <f>Garden!J71</f>
        <v>0</v>
      </c>
      <c r="K64" s="604">
        <f>Paper!J71</f>
        <v>0</v>
      </c>
      <c r="L64" s="605">
        <f>Wood!J71</f>
        <v>0</v>
      </c>
      <c r="M64" s="606">
        <f>J64*(1-Recovery_OX!E64)*(1-Recovery_OX!F64)</f>
        <v>0</v>
      </c>
      <c r="N64" s="604">
        <f>K64*(1-Recovery_OX!E64)*(1-Recovery_OX!F64)</f>
        <v>0</v>
      </c>
      <c r="O64" s="605">
        <f>L64*(1-Recovery_OX!E64)*(1-Recovery_OX!F64)</f>
        <v>0</v>
      </c>
    </row>
    <row r="65" spans="2:15">
      <c r="B65" s="598">
        <f t="shared" si="0"/>
        <v>2003</v>
      </c>
      <c r="C65" s="599">
        <f>Stored_C!E71</f>
        <v>0</v>
      </c>
      <c r="D65" s="600">
        <f>Stored_C!F71+Stored_C!L71</f>
        <v>0</v>
      </c>
      <c r="E65" s="601">
        <f>Stored_C!G71+Stored_C!M71</f>
        <v>0</v>
      </c>
      <c r="F65" s="602">
        <f>F64+HWP!C65</f>
        <v>0</v>
      </c>
      <c r="G65" s="600">
        <f>G64+HWP!D65</f>
        <v>0</v>
      </c>
      <c r="H65" s="601">
        <f>H64+HWP!E65</f>
        <v>0</v>
      </c>
      <c r="I65" s="584"/>
      <c r="J65" s="603">
        <f>Garden!J72</f>
        <v>0</v>
      </c>
      <c r="K65" s="604">
        <f>Paper!J72</f>
        <v>0</v>
      </c>
      <c r="L65" s="605">
        <f>Wood!J72</f>
        <v>0</v>
      </c>
      <c r="M65" s="606">
        <f>J65*(1-Recovery_OX!E65)*(1-Recovery_OX!F65)</f>
        <v>0</v>
      </c>
      <c r="N65" s="604">
        <f>K65*(1-Recovery_OX!E65)*(1-Recovery_OX!F65)</f>
        <v>0</v>
      </c>
      <c r="O65" s="605">
        <f>L65*(1-Recovery_OX!E65)*(1-Recovery_OX!F65)</f>
        <v>0</v>
      </c>
    </row>
    <row r="66" spans="2:15">
      <c r="B66" s="598">
        <f t="shared" si="0"/>
        <v>2004</v>
      </c>
      <c r="C66" s="599">
        <f>Stored_C!E72</f>
        <v>0</v>
      </c>
      <c r="D66" s="600">
        <f>Stored_C!F72+Stored_C!L72</f>
        <v>0</v>
      </c>
      <c r="E66" s="601">
        <f>Stored_C!G72+Stored_C!M72</f>
        <v>0</v>
      </c>
      <c r="F66" s="602">
        <f>F65+HWP!C66</f>
        <v>0</v>
      </c>
      <c r="G66" s="600">
        <f>G65+HWP!D66</f>
        <v>0</v>
      </c>
      <c r="H66" s="601">
        <f>H65+HWP!E66</f>
        <v>0</v>
      </c>
      <c r="I66" s="584"/>
      <c r="J66" s="603">
        <f>Garden!J73</f>
        <v>0</v>
      </c>
      <c r="K66" s="604">
        <f>Paper!J73</f>
        <v>0</v>
      </c>
      <c r="L66" s="605">
        <f>Wood!J73</f>
        <v>0</v>
      </c>
      <c r="M66" s="606">
        <f>J66*(1-Recovery_OX!E66)*(1-Recovery_OX!F66)</f>
        <v>0</v>
      </c>
      <c r="N66" s="604">
        <f>K66*(1-Recovery_OX!E66)*(1-Recovery_OX!F66)</f>
        <v>0</v>
      </c>
      <c r="O66" s="605">
        <f>L66*(1-Recovery_OX!E66)*(1-Recovery_OX!F66)</f>
        <v>0</v>
      </c>
    </row>
    <row r="67" spans="2:15">
      <c r="B67" s="598">
        <f t="shared" si="0"/>
        <v>2005</v>
      </c>
      <c r="C67" s="599">
        <f>Stored_C!E73</f>
        <v>0</v>
      </c>
      <c r="D67" s="600">
        <f>Stored_C!F73+Stored_C!L73</f>
        <v>0</v>
      </c>
      <c r="E67" s="601">
        <f>Stored_C!G73+Stored_C!M73</f>
        <v>0</v>
      </c>
      <c r="F67" s="602">
        <f>F66+HWP!C67</f>
        <v>0</v>
      </c>
      <c r="G67" s="600">
        <f>G66+HWP!D67</f>
        <v>0</v>
      </c>
      <c r="H67" s="601">
        <f>H66+HWP!E67</f>
        <v>0</v>
      </c>
      <c r="I67" s="584"/>
      <c r="J67" s="603">
        <f>Garden!J74</f>
        <v>0</v>
      </c>
      <c r="K67" s="604">
        <f>Paper!J74</f>
        <v>0</v>
      </c>
      <c r="L67" s="605">
        <f>Wood!J74</f>
        <v>0</v>
      </c>
      <c r="M67" s="606">
        <f>J67*(1-Recovery_OX!E67)*(1-Recovery_OX!F67)</f>
        <v>0</v>
      </c>
      <c r="N67" s="604">
        <f>K67*(1-Recovery_OX!E67)*(1-Recovery_OX!F67)</f>
        <v>0</v>
      </c>
      <c r="O67" s="605">
        <f>L67*(1-Recovery_OX!E67)*(1-Recovery_OX!F67)</f>
        <v>0</v>
      </c>
    </row>
    <row r="68" spans="2:15">
      <c r="B68" s="598">
        <f t="shared" si="0"/>
        <v>2006</v>
      </c>
      <c r="C68" s="599">
        <f>Stored_C!E74</f>
        <v>0</v>
      </c>
      <c r="D68" s="600">
        <f>Stored_C!F74+Stored_C!L74</f>
        <v>0</v>
      </c>
      <c r="E68" s="601">
        <f>Stored_C!G74+Stored_C!M74</f>
        <v>0</v>
      </c>
      <c r="F68" s="602">
        <f>F67+HWP!C68</f>
        <v>0</v>
      </c>
      <c r="G68" s="600">
        <f>G67+HWP!D68</f>
        <v>0</v>
      </c>
      <c r="H68" s="601">
        <f>H67+HWP!E68</f>
        <v>0</v>
      </c>
      <c r="I68" s="584"/>
      <c r="J68" s="603">
        <f>Garden!J75</f>
        <v>0</v>
      </c>
      <c r="K68" s="604">
        <f>Paper!J75</f>
        <v>0</v>
      </c>
      <c r="L68" s="605">
        <f>Wood!J75</f>
        <v>0</v>
      </c>
      <c r="M68" s="606">
        <f>J68*(1-Recovery_OX!E68)*(1-Recovery_OX!F68)</f>
        <v>0</v>
      </c>
      <c r="N68" s="604">
        <f>K68*(1-Recovery_OX!E68)*(1-Recovery_OX!F68)</f>
        <v>0</v>
      </c>
      <c r="O68" s="605">
        <f>L68*(1-Recovery_OX!E68)*(1-Recovery_OX!F68)</f>
        <v>0</v>
      </c>
    </row>
    <row r="69" spans="2:15">
      <c r="B69" s="598">
        <f t="shared" si="0"/>
        <v>2007</v>
      </c>
      <c r="C69" s="599">
        <f>Stored_C!E75</f>
        <v>0</v>
      </c>
      <c r="D69" s="600">
        <f>Stored_C!F75+Stored_C!L75</f>
        <v>0</v>
      </c>
      <c r="E69" s="601">
        <f>Stored_C!G75+Stored_C!M75</f>
        <v>0</v>
      </c>
      <c r="F69" s="602">
        <f>F68+HWP!C69</f>
        <v>0</v>
      </c>
      <c r="G69" s="600">
        <f>G68+HWP!D69</f>
        <v>0</v>
      </c>
      <c r="H69" s="601">
        <f>H68+HWP!E69</f>
        <v>0</v>
      </c>
      <c r="I69" s="584"/>
      <c r="J69" s="603">
        <f>Garden!J76</f>
        <v>0</v>
      </c>
      <c r="K69" s="604">
        <f>Paper!J76</f>
        <v>0</v>
      </c>
      <c r="L69" s="605">
        <f>Wood!J76</f>
        <v>0</v>
      </c>
      <c r="M69" s="606">
        <f>J69*(1-Recovery_OX!E69)*(1-Recovery_OX!F69)</f>
        <v>0</v>
      </c>
      <c r="N69" s="604">
        <f>K69*(1-Recovery_OX!E69)*(1-Recovery_OX!F69)</f>
        <v>0</v>
      </c>
      <c r="O69" s="605">
        <f>L69*(1-Recovery_OX!E69)*(1-Recovery_OX!F69)</f>
        <v>0</v>
      </c>
    </row>
    <row r="70" spans="2:15">
      <c r="B70" s="598">
        <f t="shared" si="0"/>
        <v>2008</v>
      </c>
      <c r="C70" s="599">
        <f>Stored_C!E76</f>
        <v>0</v>
      </c>
      <c r="D70" s="600">
        <f>Stored_C!F76+Stored_C!L76</f>
        <v>0</v>
      </c>
      <c r="E70" s="601">
        <f>Stored_C!G76+Stored_C!M76</f>
        <v>0</v>
      </c>
      <c r="F70" s="602">
        <f>F69+HWP!C70</f>
        <v>0</v>
      </c>
      <c r="G70" s="600">
        <f>G69+HWP!D70</f>
        <v>0</v>
      </c>
      <c r="H70" s="601">
        <f>H69+HWP!E70</f>
        <v>0</v>
      </c>
      <c r="I70" s="584"/>
      <c r="J70" s="603">
        <f>Garden!J77</f>
        <v>0</v>
      </c>
      <c r="K70" s="604">
        <f>Paper!J77</f>
        <v>0</v>
      </c>
      <c r="L70" s="605">
        <f>Wood!J77</f>
        <v>0</v>
      </c>
      <c r="M70" s="606">
        <f>J70*(1-Recovery_OX!E70)*(1-Recovery_OX!F70)</f>
        <v>0</v>
      </c>
      <c r="N70" s="604">
        <f>K70*(1-Recovery_OX!E70)*(1-Recovery_OX!F70)</f>
        <v>0</v>
      </c>
      <c r="O70" s="605">
        <f>L70*(1-Recovery_OX!E70)*(1-Recovery_OX!F70)</f>
        <v>0</v>
      </c>
    </row>
    <row r="71" spans="2:15">
      <c r="B71" s="598">
        <f t="shared" si="0"/>
        <v>2009</v>
      </c>
      <c r="C71" s="599">
        <f>Stored_C!E77</f>
        <v>0</v>
      </c>
      <c r="D71" s="600">
        <f>Stored_C!F77+Stored_C!L77</f>
        <v>0</v>
      </c>
      <c r="E71" s="601">
        <f>Stored_C!G77+Stored_C!M77</f>
        <v>0</v>
      </c>
      <c r="F71" s="602">
        <f>F70+HWP!C71</f>
        <v>0</v>
      </c>
      <c r="G71" s="600">
        <f>G70+HWP!D71</f>
        <v>0</v>
      </c>
      <c r="H71" s="601">
        <f>H70+HWP!E71</f>
        <v>0</v>
      </c>
      <c r="I71" s="584"/>
      <c r="J71" s="603">
        <f>Garden!J78</f>
        <v>0</v>
      </c>
      <c r="K71" s="604">
        <f>Paper!J78</f>
        <v>0</v>
      </c>
      <c r="L71" s="605">
        <f>Wood!J78</f>
        <v>0</v>
      </c>
      <c r="M71" s="606">
        <f>J71*(1-Recovery_OX!E71)*(1-Recovery_OX!F71)</f>
        <v>0</v>
      </c>
      <c r="N71" s="604">
        <f>K71*(1-Recovery_OX!E71)*(1-Recovery_OX!F71)</f>
        <v>0</v>
      </c>
      <c r="O71" s="605">
        <f>L71*(1-Recovery_OX!E71)*(1-Recovery_OX!F71)</f>
        <v>0</v>
      </c>
    </row>
    <row r="72" spans="2:15">
      <c r="B72" s="598">
        <f t="shared" si="0"/>
        <v>2010</v>
      </c>
      <c r="C72" s="599">
        <f>Stored_C!E78</f>
        <v>0</v>
      </c>
      <c r="D72" s="600">
        <f>Stored_C!F78+Stored_C!L78</f>
        <v>0</v>
      </c>
      <c r="E72" s="601">
        <f>Stored_C!G78+Stored_C!M78</f>
        <v>0</v>
      </c>
      <c r="F72" s="602">
        <f>F71+HWP!C72</f>
        <v>0</v>
      </c>
      <c r="G72" s="600">
        <f>G71+HWP!D72</f>
        <v>0</v>
      </c>
      <c r="H72" s="601">
        <f>H71+HWP!E72</f>
        <v>0</v>
      </c>
      <c r="I72" s="584"/>
      <c r="J72" s="603">
        <f>Garden!J79</f>
        <v>0</v>
      </c>
      <c r="K72" s="604">
        <f>Paper!J79</f>
        <v>0</v>
      </c>
      <c r="L72" s="605">
        <f>Wood!J79</f>
        <v>0</v>
      </c>
      <c r="M72" s="606">
        <f>J72*(1-Recovery_OX!E72)*(1-Recovery_OX!F72)</f>
        <v>0</v>
      </c>
      <c r="N72" s="604">
        <f>K72*(1-Recovery_OX!E72)*(1-Recovery_OX!F72)</f>
        <v>0</v>
      </c>
      <c r="O72" s="605">
        <f>L72*(1-Recovery_OX!E72)*(1-Recovery_OX!F72)</f>
        <v>0</v>
      </c>
    </row>
    <row r="73" spans="2:15">
      <c r="B73" s="598">
        <f t="shared" si="0"/>
        <v>2011</v>
      </c>
      <c r="C73" s="599">
        <f>Stored_C!E79</f>
        <v>0</v>
      </c>
      <c r="D73" s="600">
        <f>Stored_C!F79+Stored_C!L79</f>
        <v>0</v>
      </c>
      <c r="E73" s="601">
        <f>Stored_C!G79+Stored_C!M79</f>
        <v>0</v>
      </c>
      <c r="F73" s="602">
        <f>F72+HWP!C73</f>
        <v>0</v>
      </c>
      <c r="G73" s="600">
        <f>G72+HWP!D73</f>
        <v>0</v>
      </c>
      <c r="H73" s="601">
        <f>H72+HWP!E73</f>
        <v>0</v>
      </c>
      <c r="I73" s="584"/>
      <c r="J73" s="603">
        <f>Garden!J80</f>
        <v>0</v>
      </c>
      <c r="K73" s="604">
        <f>Paper!J80</f>
        <v>0</v>
      </c>
      <c r="L73" s="605">
        <f>Wood!J80</f>
        <v>0</v>
      </c>
      <c r="M73" s="606">
        <f>J73*(1-Recovery_OX!E73)*(1-Recovery_OX!F73)</f>
        <v>0</v>
      </c>
      <c r="N73" s="604">
        <f>K73*(1-Recovery_OX!E73)*(1-Recovery_OX!F73)</f>
        <v>0</v>
      </c>
      <c r="O73" s="605">
        <f>L73*(1-Recovery_OX!E73)*(1-Recovery_OX!F73)</f>
        <v>0</v>
      </c>
    </row>
    <row r="74" spans="2:15">
      <c r="B74" s="598">
        <f t="shared" si="0"/>
        <v>2012</v>
      </c>
      <c r="C74" s="599">
        <f>Stored_C!E80</f>
        <v>0</v>
      </c>
      <c r="D74" s="600">
        <f>Stored_C!F80+Stored_C!L80</f>
        <v>0</v>
      </c>
      <c r="E74" s="601">
        <f>Stored_C!G80+Stored_C!M80</f>
        <v>0</v>
      </c>
      <c r="F74" s="602">
        <f>F73+HWP!C74</f>
        <v>0</v>
      </c>
      <c r="G74" s="600">
        <f>G73+HWP!D74</f>
        <v>0</v>
      </c>
      <c r="H74" s="601">
        <f>H73+HWP!E74</f>
        <v>0</v>
      </c>
      <c r="I74" s="584"/>
      <c r="J74" s="603">
        <f>Garden!J81</f>
        <v>0</v>
      </c>
      <c r="K74" s="604">
        <f>Paper!J81</f>
        <v>0</v>
      </c>
      <c r="L74" s="605">
        <f>Wood!J81</f>
        <v>0</v>
      </c>
      <c r="M74" s="606">
        <f>J74*(1-Recovery_OX!E74)*(1-Recovery_OX!F74)</f>
        <v>0</v>
      </c>
      <c r="N74" s="604">
        <f>K74*(1-Recovery_OX!E74)*(1-Recovery_OX!F74)</f>
        <v>0</v>
      </c>
      <c r="O74" s="605">
        <f>L74*(1-Recovery_OX!E74)*(1-Recovery_OX!F74)</f>
        <v>0</v>
      </c>
    </row>
    <row r="75" spans="2:15">
      <c r="B75" s="598">
        <f t="shared" si="0"/>
        <v>2013</v>
      </c>
      <c r="C75" s="599">
        <f>Stored_C!E81</f>
        <v>0</v>
      </c>
      <c r="D75" s="600">
        <f>Stored_C!F81+Stored_C!L81</f>
        <v>0</v>
      </c>
      <c r="E75" s="601">
        <f>Stored_C!G81+Stored_C!M81</f>
        <v>0</v>
      </c>
      <c r="F75" s="602">
        <f>F74+HWP!C75</f>
        <v>0</v>
      </c>
      <c r="G75" s="600">
        <f>G74+HWP!D75</f>
        <v>0</v>
      </c>
      <c r="H75" s="601">
        <f>H74+HWP!E75</f>
        <v>0</v>
      </c>
      <c r="I75" s="584"/>
      <c r="J75" s="603">
        <f>Garden!J82</f>
        <v>0</v>
      </c>
      <c r="K75" s="604">
        <f>Paper!J82</f>
        <v>0</v>
      </c>
      <c r="L75" s="605">
        <f>Wood!J82</f>
        <v>0</v>
      </c>
      <c r="M75" s="606">
        <f>J75*(1-Recovery_OX!E75)*(1-Recovery_OX!F75)</f>
        <v>0</v>
      </c>
      <c r="N75" s="604">
        <f>K75*(1-Recovery_OX!E75)*(1-Recovery_OX!F75)</f>
        <v>0</v>
      </c>
      <c r="O75" s="605">
        <f>L75*(1-Recovery_OX!E75)*(1-Recovery_OX!F75)</f>
        <v>0</v>
      </c>
    </row>
    <row r="76" spans="2:15">
      <c r="B76" s="598">
        <f t="shared" si="0"/>
        <v>2014</v>
      </c>
      <c r="C76" s="599">
        <f>Stored_C!E82</f>
        <v>0</v>
      </c>
      <c r="D76" s="600">
        <f>Stored_C!F82+Stored_C!L82</f>
        <v>0</v>
      </c>
      <c r="E76" s="601">
        <f>Stored_C!G82+Stored_C!M82</f>
        <v>0</v>
      </c>
      <c r="F76" s="602">
        <f>F75+HWP!C76</f>
        <v>0</v>
      </c>
      <c r="G76" s="600">
        <f>G75+HWP!D76</f>
        <v>0</v>
      </c>
      <c r="H76" s="601">
        <f>H75+HWP!E76</f>
        <v>0</v>
      </c>
      <c r="I76" s="584"/>
      <c r="J76" s="603">
        <f>Garden!J83</f>
        <v>0</v>
      </c>
      <c r="K76" s="604">
        <f>Paper!J83</f>
        <v>0</v>
      </c>
      <c r="L76" s="605">
        <f>Wood!J83</f>
        <v>0</v>
      </c>
      <c r="M76" s="606">
        <f>J76*(1-Recovery_OX!E76)*(1-Recovery_OX!F76)</f>
        <v>0</v>
      </c>
      <c r="N76" s="604">
        <f>K76*(1-Recovery_OX!E76)*(1-Recovery_OX!F76)</f>
        <v>0</v>
      </c>
      <c r="O76" s="605">
        <f>L76*(1-Recovery_OX!E76)*(1-Recovery_OX!F76)</f>
        <v>0</v>
      </c>
    </row>
    <row r="77" spans="2:15">
      <c r="B77" s="598">
        <f t="shared" si="0"/>
        <v>2015</v>
      </c>
      <c r="C77" s="599">
        <f>Stored_C!E83</f>
        <v>0</v>
      </c>
      <c r="D77" s="600">
        <f>Stored_C!F83+Stored_C!L83</f>
        <v>0</v>
      </c>
      <c r="E77" s="601">
        <f>Stored_C!G83+Stored_C!M83</f>
        <v>0</v>
      </c>
      <c r="F77" s="602">
        <f>F76+HWP!C77</f>
        <v>0</v>
      </c>
      <c r="G77" s="600">
        <f>G76+HWP!D77</f>
        <v>0</v>
      </c>
      <c r="H77" s="601">
        <f>H76+HWP!E77</f>
        <v>0</v>
      </c>
      <c r="I77" s="584"/>
      <c r="J77" s="603">
        <f>Garden!J84</f>
        <v>0</v>
      </c>
      <c r="K77" s="604">
        <f>Paper!J84</f>
        <v>0</v>
      </c>
      <c r="L77" s="605">
        <f>Wood!J84</f>
        <v>0</v>
      </c>
      <c r="M77" s="606">
        <f>J77*(1-Recovery_OX!E77)*(1-Recovery_OX!F77)</f>
        <v>0</v>
      </c>
      <c r="N77" s="604">
        <f>K77*(1-Recovery_OX!E77)*(1-Recovery_OX!F77)</f>
        <v>0</v>
      </c>
      <c r="O77" s="605">
        <f>L77*(1-Recovery_OX!E77)*(1-Recovery_OX!F77)</f>
        <v>0</v>
      </c>
    </row>
    <row r="78" spans="2:15">
      <c r="B78" s="598">
        <f t="shared" ref="B78:B92" si="1">B77+1</f>
        <v>2016</v>
      </c>
      <c r="C78" s="599">
        <f>Stored_C!E84</f>
        <v>0</v>
      </c>
      <c r="D78" s="600">
        <f>Stored_C!F84+Stored_C!L84</f>
        <v>0</v>
      </c>
      <c r="E78" s="601">
        <f>Stored_C!G84+Stored_C!M84</f>
        <v>0</v>
      </c>
      <c r="F78" s="602">
        <f>F77+HWP!C78</f>
        <v>0</v>
      </c>
      <c r="G78" s="600">
        <f>G77+HWP!D78</f>
        <v>0</v>
      </c>
      <c r="H78" s="601">
        <f>H77+HWP!E78</f>
        <v>0</v>
      </c>
      <c r="I78" s="584"/>
      <c r="J78" s="603">
        <f>Garden!J85</f>
        <v>0</v>
      </c>
      <c r="K78" s="604">
        <f>Paper!J85</f>
        <v>0</v>
      </c>
      <c r="L78" s="605">
        <f>Wood!J85</f>
        <v>0</v>
      </c>
      <c r="M78" s="606">
        <f>J78*(1-Recovery_OX!E78)*(1-Recovery_OX!F78)</f>
        <v>0</v>
      </c>
      <c r="N78" s="604">
        <f>K78*(1-Recovery_OX!E78)*(1-Recovery_OX!F78)</f>
        <v>0</v>
      </c>
      <c r="O78" s="605">
        <f>L78*(1-Recovery_OX!E78)*(1-Recovery_OX!F78)</f>
        <v>0</v>
      </c>
    </row>
    <row r="79" spans="2:15">
      <c r="B79" s="598">
        <f t="shared" si="1"/>
        <v>2017</v>
      </c>
      <c r="C79" s="599">
        <f>Stored_C!E85</f>
        <v>0</v>
      </c>
      <c r="D79" s="600">
        <f>Stored_C!F85+Stored_C!L85</f>
        <v>0</v>
      </c>
      <c r="E79" s="601">
        <f>Stored_C!G85+Stored_C!M85</f>
        <v>0</v>
      </c>
      <c r="F79" s="602">
        <f>F78+HWP!C79</f>
        <v>0</v>
      </c>
      <c r="G79" s="600">
        <f>G78+HWP!D79</f>
        <v>0</v>
      </c>
      <c r="H79" s="601">
        <f>H78+HWP!E79</f>
        <v>0</v>
      </c>
      <c r="I79" s="584"/>
      <c r="J79" s="603">
        <f>Garden!J86</f>
        <v>0</v>
      </c>
      <c r="K79" s="604">
        <f>Paper!J86</f>
        <v>0</v>
      </c>
      <c r="L79" s="605">
        <f>Wood!J86</f>
        <v>0</v>
      </c>
      <c r="M79" s="606">
        <f>J79*(1-Recovery_OX!E79)*(1-Recovery_OX!F79)</f>
        <v>0</v>
      </c>
      <c r="N79" s="604">
        <f>K79*(1-Recovery_OX!E79)*(1-Recovery_OX!F79)</f>
        <v>0</v>
      </c>
      <c r="O79" s="605">
        <f>L79*(1-Recovery_OX!E79)*(1-Recovery_OX!F79)</f>
        <v>0</v>
      </c>
    </row>
    <row r="80" spans="2:15">
      <c r="B80" s="598">
        <f t="shared" si="1"/>
        <v>2018</v>
      </c>
      <c r="C80" s="599">
        <f>Stored_C!E86</f>
        <v>0</v>
      </c>
      <c r="D80" s="600">
        <f>Stored_C!F86+Stored_C!L86</f>
        <v>0</v>
      </c>
      <c r="E80" s="601">
        <f>Stored_C!G86+Stored_C!M86</f>
        <v>0</v>
      </c>
      <c r="F80" s="602">
        <f>F79+HWP!C80</f>
        <v>0</v>
      </c>
      <c r="G80" s="600">
        <f>G79+HWP!D80</f>
        <v>0</v>
      </c>
      <c r="H80" s="601">
        <f>H79+HWP!E80</f>
        <v>0</v>
      </c>
      <c r="I80" s="584"/>
      <c r="J80" s="603">
        <f>Garden!J87</f>
        <v>0</v>
      </c>
      <c r="K80" s="604">
        <f>Paper!J87</f>
        <v>0</v>
      </c>
      <c r="L80" s="605">
        <f>Wood!J87</f>
        <v>0</v>
      </c>
      <c r="M80" s="606">
        <f>J80*(1-Recovery_OX!E80)*(1-Recovery_OX!F80)</f>
        <v>0</v>
      </c>
      <c r="N80" s="604">
        <f>K80*(1-Recovery_OX!E80)*(1-Recovery_OX!F80)</f>
        <v>0</v>
      </c>
      <c r="O80" s="605">
        <f>L80*(1-Recovery_OX!E80)*(1-Recovery_OX!F80)</f>
        <v>0</v>
      </c>
    </row>
    <row r="81" spans="2:15">
      <c r="B81" s="598">
        <f t="shared" si="1"/>
        <v>2019</v>
      </c>
      <c r="C81" s="599">
        <f>Stored_C!E87</f>
        <v>0</v>
      </c>
      <c r="D81" s="600">
        <f>Stored_C!F87+Stored_C!L87</f>
        <v>0</v>
      </c>
      <c r="E81" s="601">
        <f>Stored_C!G87+Stored_C!M87</f>
        <v>0</v>
      </c>
      <c r="F81" s="602">
        <f>F80+HWP!C81</f>
        <v>0</v>
      </c>
      <c r="G81" s="600">
        <f>G80+HWP!D81</f>
        <v>0</v>
      </c>
      <c r="H81" s="601">
        <f>H80+HWP!E81</f>
        <v>0</v>
      </c>
      <c r="I81" s="584"/>
      <c r="J81" s="603">
        <f>Garden!J88</f>
        <v>0</v>
      </c>
      <c r="K81" s="604">
        <f>Paper!J88</f>
        <v>0</v>
      </c>
      <c r="L81" s="605">
        <f>Wood!J88</f>
        <v>0</v>
      </c>
      <c r="M81" s="606">
        <f>J81*(1-Recovery_OX!E81)*(1-Recovery_OX!F81)</f>
        <v>0</v>
      </c>
      <c r="N81" s="604">
        <f>K81*(1-Recovery_OX!E81)*(1-Recovery_OX!F81)</f>
        <v>0</v>
      </c>
      <c r="O81" s="605">
        <f>L81*(1-Recovery_OX!E81)*(1-Recovery_OX!F81)</f>
        <v>0</v>
      </c>
    </row>
    <row r="82" spans="2:15">
      <c r="B82" s="598">
        <f t="shared" si="1"/>
        <v>2020</v>
      </c>
      <c r="C82" s="599">
        <f>Stored_C!E88</f>
        <v>0</v>
      </c>
      <c r="D82" s="600">
        <f>Stored_C!F88+Stored_C!L88</f>
        <v>0</v>
      </c>
      <c r="E82" s="601">
        <f>Stored_C!G88+Stored_C!M88</f>
        <v>0</v>
      </c>
      <c r="F82" s="602">
        <f>F81+HWP!C82</f>
        <v>0</v>
      </c>
      <c r="G82" s="600">
        <f>G81+HWP!D82</f>
        <v>0</v>
      </c>
      <c r="H82" s="601">
        <f>H81+HWP!E82</f>
        <v>0</v>
      </c>
      <c r="I82" s="584"/>
      <c r="J82" s="603">
        <f>Garden!J89</f>
        <v>0</v>
      </c>
      <c r="K82" s="604">
        <f>Paper!J89</f>
        <v>0</v>
      </c>
      <c r="L82" s="605">
        <f>Wood!J89</f>
        <v>0</v>
      </c>
      <c r="M82" s="606">
        <f>J82*(1-Recovery_OX!E82)*(1-Recovery_OX!F82)</f>
        <v>0</v>
      </c>
      <c r="N82" s="604">
        <f>K82*(1-Recovery_OX!E82)*(1-Recovery_OX!F82)</f>
        <v>0</v>
      </c>
      <c r="O82" s="605">
        <f>L82*(1-Recovery_OX!E82)*(1-Recovery_OX!F82)</f>
        <v>0</v>
      </c>
    </row>
    <row r="83" spans="2:15">
      <c r="B83" s="598">
        <f t="shared" si="1"/>
        <v>2021</v>
      </c>
      <c r="C83" s="599">
        <f>Stored_C!E89</f>
        <v>0</v>
      </c>
      <c r="D83" s="600">
        <f>Stored_C!F89+Stored_C!L89</f>
        <v>0</v>
      </c>
      <c r="E83" s="601">
        <f>Stored_C!G89+Stored_C!M89</f>
        <v>0</v>
      </c>
      <c r="F83" s="602">
        <f>F82+HWP!C83</f>
        <v>0</v>
      </c>
      <c r="G83" s="600">
        <f>G82+HWP!D83</f>
        <v>0</v>
      </c>
      <c r="H83" s="601">
        <f>H82+HWP!E83</f>
        <v>0</v>
      </c>
      <c r="I83" s="584"/>
      <c r="J83" s="603">
        <f>Garden!J90</f>
        <v>0</v>
      </c>
      <c r="K83" s="604">
        <f>Paper!J90</f>
        <v>0</v>
      </c>
      <c r="L83" s="605">
        <f>Wood!J90</f>
        <v>0</v>
      </c>
      <c r="M83" s="606">
        <f>J83*(1-Recovery_OX!E83)*(1-Recovery_OX!F83)</f>
        <v>0</v>
      </c>
      <c r="N83" s="604">
        <f>K83*(1-Recovery_OX!E83)*(1-Recovery_OX!F83)</f>
        <v>0</v>
      </c>
      <c r="O83" s="605">
        <f>L83*(1-Recovery_OX!E83)*(1-Recovery_OX!F83)</f>
        <v>0</v>
      </c>
    </row>
    <row r="84" spans="2:15">
      <c r="B84" s="598">
        <f t="shared" si="1"/>
        <v>2022</v>
      </c>
      <c r="C84" s="599">
        <f>Stored_C!E90</f>
        <v>0</v>
      </c>
      <c r="D84" s="600">
        <f>Stored_C!F90+Stored_C!L90</f>
        <v>0</v>
      </c>
      <c r="E84" s="601">
        <f>Stored_C!G90+Stored_C!M90</f>
        <v>0</v>
      </c>
      <c r="F84" s="602">
        <f>F83+HWP!C84</f>
        <v>0</v>
      </c>
      <c r="G84" s="600">
        <f>G83+HWP!D84</f>
        <v>0</v>
      </c>
      <c r="H84" s="601">
        <f>H83+HWP!E84</f>
        <v>0</v>
      </c>
      <c r="I84" s="584"/>
      <c r="J84" s="603">
        <f>Garden!J91</f>
        <v>0</v>
      </c>
      <c r="K84" s="604">
        <f>Paper!J91</f>
        <v>0</v>
      </c>
      <c r="L84" s="605">
        <f>Wood!J91</f>
        <v>0</v>
      </c>
      <c r="M84" s="606">
        <f>J84*(1-Recovery_OX!E84)*(1-Recovery_OX!F84)</f>
        <v>0</v>
      </c>
      <c r="N84" s="604">
        <f>K84*(1-Recovery_OX!E84)*(1-Recovery_OX!F84)</f>
        <v>0</v>
      </c>
      <c r="O84" s="605">
        <f>L84*(1-Recovery_OX!E84)*(1-Recovery_OX!F84)</f>
        <v>0</v>
      </c>
    </row>
    <row r="85" spans="2:15">
      <c r="B85" s="598">
        <f t="shared" si="1"/>
        <v>2023</v>
      </c>
      <c r="C85" s="599">
        <f>Stored_C!E91</f>
        <v>0</v>
      </c>
      <c r="D85" s="600">
        <f>Stored_C!F91+Stored_C!L91</f>
        <v>0</v>
      </c>
      <c r="E85" s="601">
        <f>Stored_C!G91+Stored_C!M91</f>
        <v>0</v>
      </c>
      <c r="F85" s="602">
        <f>F84+HWP!C85</f>
        <v>0</v>
      </c>
      <c r="G85" s="600">
        <f>G84+HWP!D85</f>
        <v>0</v>
      </c>
      <c r="H85" s="601">
        <f>H84+HWP!E85</f>
        <v>0</v>
      </c>
      <c r="I85" s="584"/>
      <c r="J85" s="603">
        <f>Garden!J92</f>
        <v>0</v>
      </c>
      <c r="K85" s="604">
        <f>Paper!J92</f>
        <v>0</v>
      </c>
      <c r="L85" s="605">
        <f>Wood!J92</f>
        <v>0</v>
      </c>
      <c r="M85" s="606">
        <f>J85*(1-Recovery_OX!E85)*(1-Recovery_OX!F85)</f>
        <v>0</v>
      </c>
      <c r="N85" s="604">
        <f>K85*(1-Recovery_OX!E85)*(1-Recovery_OX!F85)</f>
        <v>0</v>
      </c>
      <c r="O85" s="605">
        <f>L85*(1-Recovery_OX!E85)*(1-Recovery_OX!F85)</f>
        <v>0</v>
      </c>
    </row>
    <row r="86" spans="2:15">
      <c r="B86" s="598">
        <f t="shared" si="1"/>
        <v>2024</v>
      </c>
      <c r="C86" s="599">
        <f>Stored_C!E92</f>
        <v>0</v>
      </c>
      <c r="D86" s="600">
        <f>Stored_C!F92+Stored_C!L92</f>
        <v>0</v>
      </c>
      <c r="E86" s="601">
        <f>Stored_C!G92+Stored_C!M92</f>
        <v>0</v>
      </c>
      <c r="F86" s="602">
        <f>F85+HWP!C86</f>
        <v>0</v>
      </c>
      <c r="G86" s="600">
        <f>G85+HWP!D86</f>
        <v>0</v>
      </c>
      <c r="H86" s="601">
        <f>H85+HWP!E86</f>
        <v>0</v>
      </c>
      <c r="I86" s="584"/>
      <c r="J86" s="603">
        <f>Garden!J93</f>
        <v>0</v>
      </c>
      <c r="K86" s="604">
        <f>Paper!J93</f>
        <v>0</v>
      </c>
      <c r="L86" s="605">
        <f>Wood!J93</f>
        <v>0</v>
      </c>
      <c r="M86" s="606">
        <f>J86*(1-Recovery_OX!E86)*(1-Recovery_OX!F86)</f>
        <v>0</v>
      </c>
      <c r="N86" s="604">
        <f>K86*(1-Recovery_OX!E86)*(1-Recovery_OX!F86)</f>
        <v>0</v>
      </c>
      <c r="O86" s="605">
        <f>L86*(1-Recovery_OX!E86)*(1-Recovery_OX!F86)</f>
        <v>0</v>
      </c>
    </row>
    <row r="87" spans="2:15">
      <c r="B87" s="598">
        <f t="shared" si="1"/>
        <v>2025</v>
      </c>
      <c r="C87" s="599">
        <f>Stored_C!E93</f>
        <v>0</v>
      </c>
      <c r="D87" s="600">
        <f>Stored_C!F93+Stored_C!L93</f>
        <v>0</v>
      </c>
      <c r="E87" s="601">
        <f>Stored_C!G93+Stored_C!M93</f>
        <v>0</v>
      </c>
      <c r="F87" s="602">
        <f>F86+HWP!C87</f>
        <v>0</v>
      </c>
      <c r="G87" s="600">
        <f>G86+HWP!D87</f>
        <v>0</v>
      </c>
      <c r="H87" s="601">
        <f>H86+HWP!E87</f>
        <v>0</v>
      </c>
      <c r="I87" s="584"/>
      <c r="J87" s="603">
        <f>Garden!J94</f>
        <v>0</v>
      </c>
      <c r="K87" s="604">
        <f>Paper!J94</f>
        <v>0</v>
      </c>
      <c r="L87" s="605">
        <f>Wood!J94</f>
        <v>0</v>
      </c>
      <c r="M87" s="606">
        <f>J87*(1-Recovery_OX!E87)*(1-Recovery_OX!F87)</f>
        <v>0</v>
      </c>
      <c r="N87" s="604">
        <f>K87*(1-Recovery_OX!E87)*(1-Recovery_OX!F87)</f>
        <v>0</v>
      </c>
      <c r="O87" s="605">
        <f>L87*(1-Recovery_OX!E87)*(1-Recovery_OX!F87)</f>
        <v>0</v>
      </c>
    </row>
    <row r="88" spans="2:15">
      <c r="B88" s="598">
        <f t="shared" si="1"/>
        <v>2026</v>
      </c>
      <c r="C88" s="599">
        <f>Stored_C!E94</f>
        <v>0</v>
      </c>
      <c r="D88" s="600">
        <f>Stored_C!F94+Stored_C!L94</f>
        <v>0</v>
      </c>
      <c r="E88" s="601">
        <f>Stored_C!G94+Stored_C!M94</f>
        <v>0</v>
      </c>
      <c r="F88" s="602">
        <f>F87+HWP!C88</f>
        <v>0</v>
      </c>
      <c r="G88" s="600">
        <f>G87+HWP!D88</f>
        <v>0</v>
      </c>
      <c r="H88" s="601">
        <f>H87+HWP!E88</f>
        <v>0</v>
      </c>
      <c r="I88" s="584"/>
      <c r="J88" s="603">
        <f>Garden!J95</f>
        <v>0</v>
      </c>
      <c r="K88" s="604">
        <f>Paper!J95</f>
        <v>0</v>
      </c>
      <c r="L88" s="605">
        <f>Wood!J95</f>
        <v>0</v>
      </c>
      <c r="M88" s="606">
        <f>J88*(1-Recovery_OX!E88)*(1-Recovery_OX!F88)</f>
        <v>0</v>
      </c>
      <c r="N88" s="604">
        <f>K88*(1-Recovery_OX!E88)*(1-Recovery_OX!F88)</f>
        <v>0</v>
      </c>
      <c r="O88" s="605">
        <f>L88*(1-Recovery_OX!E88)*(1-Recovery_OX!F88)</f>
        <v>0</v>
      </c>
    </row>
    <row r="89" spans="2:15">
      <c r="B89" s="598">
        <f t="shared" si="1"/>
        <v>2027</v>
      </c>
      <c r="C89" s="599">
        <f>Stored_C!E95</f>
        <v>0</v>
      </c>
      <c r="D89" s="600">
        <f>Stored_C!F95+Stored_C!L95</f>
        <v>0</v>
      </c>
      <c r="E89" s="601">
        <f>Stored_C!G95+Stored_C!M95</f>
        <v>0</v>
      </c>
      <c r="F89" s="602">
        <f>F88+HWP!C89</f>
        <v>0</v>
      </c>
      <c r="G89" s="600">
        <f>G88+HWP!D89</f>
        <v>0</v>
      </c>
      <c r="H89" s="601">
        <f>H88+HWP!E89</f>
        <v>0</v>
      </c>
      <c r="I89" s="584"/>
      <c r="J89" s="603">
        <f>Garden!J96</f>
        <v>0</v>
      </c>
      <c r="K89" s="604">
        <f>Paper!J96</f>
        <v>0</v>
      </c>
      <c r="L89" s="605">
        <f>Wood!J96</f>
        <v>0</v>
      </c>
      <c r="M89" s="606">
        <f>J89*(1-Recovery_OX!E89)*(1-Recovery_OX!F89)</f>
        <v>0</v>
      </c>
      <c r="N89" s="604">
        <f>K89*(1-Recovery_OX!E89)*(1-Recovery_OX!F89)</f>
        <v>0</v>
      </c>
      <c r="O89" s="605">
        <f>L89*(1-Recovery_OX!E89)*(1-Recovery_OX!F89)</f>
        <v>0</v>
      </c>
    </row>
    <row r="90" spans="2:15">
      <c r="B90" s="598">
        <f t="shared" si="1"/>
        <v>2028</v>
      </c>
      <c r="C90" s="599">
        <f>Stored_C!E96</f>
        <v>0</v>
      </c>
      <c r="D90" s="600">
        <f>Stored_C!F96+Stored_C!L96</f>
        <v>0</v>
      </c>
      <c r="E90" s="601">
        <f>Stored_C!G96+Stored_C!M96</f>
        <v>0</v>
      </c>
      <c r="F90" s="602">
        <f>F89+HWP!C90</f>
        <v>0</v>
      </c>
      <c r="G90" s="600">
        <f>G89+HWP!D90</f>
        <v>0</v>
      </c>
      <c r="H90" s="601">
        <f>H89+HWP!E90</f>
        <v>0</v>
      </c>
      <c r="I90" s="584"/>
      <c r="J90" s="603">
        <f>Garden!J97</f>
        <v>0</v>
      </c>
      <c r="K90" s="604">
        <f>Paper!J97</f>
        <v>0</v>
      </c>
      <c r="L90" s="605">
        <f>Wood!J97</f>
        <v>0</v>
      </c>
      <c r="M90" s="606">
        <f>J90*(1-Recovery_OX!E90)*(1-Recovery_OX!F90)</f>
        <v>0</v>
      </c>
      <c r="N90" s="604">
        <f>K90*(1-Recovery_OX!E90)*(1-Recovery_OX!F90)</f>
        <v>0</v>
      </c>
      <c r="O90" s="605">
        <f>L90*(1-Recovery_OX!E90)*(1-Recovery_OX!F90)</f>
        <v>0</v>
      </c>
    </row>
    <row r="91" spans="2:15">
      <c r="B91" s="598">
        <f t="shared" si="1"/>
        <v>2029</v>
      </c>
      <c r="C91" s="599">
        <f>Stored_C!E97</f>
        <v>0</v>
      </c>
      <c r="D91" s="600">
        <f>Stored_C!F97+Stored_C!L97</f>
        <v>0</v>
      </c>
      <c r="E91" s="601">
        <f>Stored_C!G97+Stored_C!M97</f>
        <v>0</v>
      </c>
      <c r="F91" s="602">
        <f>F90+HWP!C91</f>
        <v>0</v>
      </c>
      <c r="G91" s="600">
        <f>G90+HWP!D91</f>
        <v>0</v>
      </c>
      <c r="H91" s="601">
        <f>H90+HWP!E91</f>
        <v>0</v>
      </c>
      <c r="I91" s="584"/>
      <c r="J91" s="603">
        <f>Garden!J98</f>
        <v>0</v>
      </c>
      <c r="K91" s="604">
        <f>Paper!J98</f>
        <v>0</v>
      </c>
      <c r="L91" s="605">
        <f>Wood!J98</f>
        <v>0</v>
      </c>
      <c r="M91" s="606">
        <f>J91*(1-Recovery_OX!E91)*(1-Recovery_OX!F91)</f>
        <v>0</v>
      </c>
      <c r="N91" s="604">
        <f>K91*(1-Recovery_OX!E91)*(1-Recovery_OX!F91)</f>
        <v>0</v>
      </c>
      <c r="O91" s="605">
        <f>L91*(1-Recovery_OX!E91)*(1-Recovery_OX!F91)</f>
        <v>0</v>
      </c>
    </row>
    <row r="92" spans="2:15" ht="13.5" thickBot="1">
      <c r="B92" s="607">
        <f t="shared" si="1"/>
        <v>2030</v>
      </c>
      <c r="C92" s="608">
        <f>Stored_C!E98</f>
        <v>0</v>
      </c>
      <c r="D92" s="609">
        <f>Stored_C!F98+Stored_C!L98</f>
        <v>0</v>
      </c>
      <c r="E92" s="610">
        <f>Stored_C!G98+Stored_C!M98</f>
        <v>0</v>
      </c>
      <c r="F92" s="611">
        <f>F91+HWP!C92</f>
        <v>0</v>
      </c>
      <c r="G92" s="609">
        <f>G91+HWP!D92</f>
        <v>0</v>
      </c>
      <c r="H92" s="610">
        <f>H91+HWP!E92</f>
        <v>0</v>
      </c>
      <c r="I92" s="584"/>
      <c r="J92" s="612">
        <f>Garden!J99</f>
        <v>0</v>
      </c>
      <c r="K92" s="613">
        <f>Paper!J99</f>
        <v>0</v>
      </c>
      <c r="L92" s="614">
        <f>Wood!J99</f>
        <v>0</v>
      </c>
      <c r="M92" s="615">
        <f>J92*(1-Recovery_OX!E92)*(1-Recovery_OX!F92)</f>
        <v>0</v>
      </c>
      <c r="N92" s="613">
        <f>K92*(1-Recovery_OX!E92)*(1-Recovery_OX!F92)</f>
        <v>0</v>
      </c>
      <c r="O92" s="614">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2017-09-14T06:26:27Z</dcterms:modified>
</cp:coreProperties>
</file>